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trlProps/ctrlProp3.xml" ContentType="application/vnd.ms-excel.controlproperties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trlProps/ctrlProp4.xml" ContentType="application/vnd.ms-excel.controlproperties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drawings/drawing6.xml" ContentType="application/vnd.openxmlformats-officedocument.drawing+xml"/>
  <Override PartName="/xl/ctrlProps/ctrlProp7.xml" ContentType="application/vnd.ms-excel.controlproperties+xml"/>
  <Override PartName="/xl/drawings/drawing7.xml" ContentType="application/vnd.openxmlformats-officedocument.drawing+xml"/>
  <Override PartName="/xl/ctrlProps/ctrlProp8.xml" ContentType="application/vnd.ms-excel.controlproperties+xml"/>
  <Override PartName="/xl/drawings/drawing8.xml" ContentType="application/vnd.openxmlformats-officedocument.drawing+xml"/>
  <Override PartName="/xl/ctrlProps/ctrlProp9.xml" ContentType="application/vnd.ms-excel.controlproperties+xml"/>
  <Override PartName="/xl/drawings/drawing9.xml" ContentType="application/vnd.openxmlformats-officedocument.drawing+xml"/>
  <Override PartName="/xl/ctrlProps/ctrlProp10.xml" ContentType="application/vnd.ms-excel.controlproperties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ctrlProps/ctrlProp11.xml" ContentType="application/vnd.ms-excel.controlproperties+xml"/>
  <Override PartName="/xl/comments5.xml" ContentType="application/vnd.openxmlformats-officedocument.spreadsheetml.comments+xml"/>
  <Override PartName="/xl/drawings/drawing11.xml" ContentType="application/vnd.openxmlformats-officedocument.drawing+xml"/>
  <Override PartName="/xl/ctrlProps/ctrlProp12.xml" ContentType="application/vnd.ms-excel.controlproperties+xml"/>
  <Override PartName="/xl/drawings/drawing1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13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omments6.xml" ContentType="application/vnd.openxmlformats-officedocument.spreadsheetml.comments+xml"/>
  <Override PartName="/xl/drawings/drawing14.xml" ContentType="application/vnd.openxmlformats-officedocument.drawing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15.xml" ContentType="application/vnd.openxmlformats-officedocument.drawing+xml"/>
  <Override PartName="/xl/ctrlProps/ctrlProp19.xml" ContentType="application/vnd.ms-excel.controlproperties+xml"/>
  <Override PartName="/xl/drawings/drawing16.xml" ContentType="application/vnd.openxmlformats-officedocument.drawing+xml"/>
  <Override PartName="/xl/ctrlProps/ctrlProp20.xml" ContentType="application/vnd.ms-excel.controlproperties+xml"/>
  <Override PartName="/xl/drawings/drawing17.xml" ContentType="application/vnd.openxmlformats-officedocument.drawing+xml"/>
  <Override PartName="/xl/ctrlProps/ctrlProp21.xml" ContentType="application/vnd.ms-excel.controlproperties+xml"/>
  <Override PartName="/xl/drawings/drawing18.xml" ContentType="application/vnd.openxmlformats-officedocument.drawing+xml"/>
  <Override PartName="/xl/ctrlProps/ctrlProp22.xml" ContentType="application/vnd.ms-excel.controlproperties+xml"/>
  <Override PartName="/xl/comments7.xml" ContentType="application/vnd.openxmlformats-officedocument.spreadsheetml.comments+xml"/>
  <Override PartName="/xl/drawings/drawing19.xml" ContentType="application/vnd.openxmlformats-officedocument.drawing+xml"/>
  <Override PartName="/xl/ctrlProps/ctrlProp23.xml" ContentType="application/vnd.ms-excel.controlproperties+xml"/>
  <Override PartName="/xl/comments8.xml" ContentType="application/vnd.openxmlformats-officedocument.spreadsheetml.comments+xml"/>
  <Override PartName="/xl/drawings/drawing20.xml" ContentType="application/vnd.openxmlformats-officedocument.drawing+xml"/>
  <Override PartName="/xl/ctrlProps/ctrlProp24.xml" ContentType="application/vnd.ms-excel.controlproperties+xml"/>
  <Override PartName="/xl/drawings/drawing21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drawings/drawing22.xml" ContentType="application/vnd.openxmlformats-officedocument.drawing+xml"/>
  <Override PartName="/xl/ctrlProps/ctrlProp27.xml" ContentType="application/vnd.ms-excel.controlproperties+xml"/>
  <Override PartName="/xl/ctrlProps/ctrlProp28.xml" ContentType="application/vnd.ms-excel.controlproperties+xml"/>
  <Override PartName="/xl/comments9.xml" ContentType="application/vnd.openxmlformats-officedocument.spreadsheetml.comments+xml"/>
  <Override PartName="/xl/drawings/drawing23.xml" ContentType="application/vnd.openxmlformats-officedocument.drawing+xml"/>
  <Override PartName="/xl/ctrlProps/ctrlProp29.xml" ContentType="application/vnd.ms-excel.controlproperties+xml"/>
  <Override PartName="/xl/ctrlProps/ctrlProp30.xml" ContentType="application/vnd.ms-excel.controlproperties+xml"/>
  <Override PartName="/xl/drawings/drawing24.xml" ContentType="application/vnd.openxmlformats-officedocument.drawing+xml"/>
  <Override PartName="/xl/ctrlProps/ctrlProp31.xml" ContentType="application/vnd.ms-excel.controlproperties+xml"/>
  <Override PartName="/xl/drawings/drawing25.xml" ContentType="application/vnd.openxmlformats-officedocument.drawing+xml"/>
  <Override PartName="/xl/ctrlProps/ctrlProp32.xml" ContentType="application/vnd.ms-excel.controlproperties+xml"/>
  <Override PartName="/xl/drawings/drawing26.xml" ContentType="application/vnd.openxmlformats-officedocument.drawing+xml"/>
  <Override PartName="/xl/ctrlProps/ctrlProp33.xml" ContentType="application/vnd.ms-excel.controlproperties+xml"/>
  <Override PartName="/xl/drawings/drawing27.xml" ContentType="application/vnd.openxmlformats-officedocument.drawing+xml"/>
  <Override PartName="/xl/ctrlProps/ctrlProp34.xml" ContentType="application/vnd.ms-excel.controlproperties+xml"/>
  <Override PartName="/xl/comments10.xml" ContentType="application/vnd.openxmlformats-officedocument.spreadsheetml.comments+xml"/>
  <Override PartName="/xl/drawings/drawing28.xml" ContentType="application/vnd.openxmlformats-officedocument.drawing+xml"/>
  <Override PartName="/xl/ctrlProps/ctrlProp35.xml" ContentType="application/vnd.ms-excel.controlproperties+xml"/>
  <Override PartName="/xl/comments11.xml" ContentType="application/vnd.openxmlformats-officedocument.spreadsheetml.comments+xml"/>
  <Override PartName="/xl/drawings/drawing29.xml" ContentType="application/vnd.openxmlformats-officedocument.drawing+xml"/>
  <Override PartName="/xl/ctrlProps/ctrlProp36.xml" ContentType="application/vnd.ms-excel.controlproperties+xml"/>
  <Override PartName="/xl/drawings/drawing30.xml" ContentType="application/vnd.openxmlformats-officedocument.drawing+xml"/>
  <Override PartName="/xl/ctrlProps/ctrlProp37.xml" ContentType="application/vnd.ms-excel.controlproperties+xml"/>
  <Override PartName="/xl/ctrlProps/ctrlProp38.xml" ContentType="application/vnd.ms-excel.controlproperties+xml"/>
  <Override PartName="/xl/drawings/drawing31.xml" ContentType="application/vnd.openxmlformats-officedocument.drawing+xml"/>
  <Override PartName="/xl/ctrlProps/ctrlProp39.xml" ContentType="application/vnd.ms-excel.controlproperties+xml"/>
  <Override PartName="/xl/ctrlProps/ctrlProp40.xml" ContentType="application/vnd.ms-excel.controlproperties+xml"/>
  <Override PartName="/xl/comments12.xml" ContentType="application/vnd.openxmlformats-officedocument.spreadsheetml.comments+xml"/>
  <Override PartName="/xl/drawings/drawing32.xml" ContentType="application/vnd.openxmlformats-officedocument.drawing+xml"/>
  <Override PartName="/xl/ctrlProps/ctrlProp41.xml" ContentType="application/vnd.ms-excel.controlproperties+xml"/>
  <Override PartName="/xl/ctrlProps/ctrlProp42.xml" ContentType="application/vnd.ms-excel.controlproperties+xml"/>
  <Override PartName="/xl/drawings/drawing33.xml" ContentType="application/vnd.openxmlformats-officedocument.drawing+xml"/>
  <Override PartName="/xl/ctrlProps/ctrlProp43.xml" ContentType="application/vnd.ms-excel.controlproperties+xml"/>
  <Override PartName="/xl/comments13.xml" ContentType="application/vnd.openxmlformats-officedocument.spreadsheetml.comments+xml"/>
  <Override PartName="/xl/drawings/drawing34.xml" ContentType="application/vnd.openxmlformats-officedocument.drawing+xml"/>
  <Override PartName="/xl/ctrlProps/ctrlProp44.xml" ContentType="application/vnd.ms-excel.controlproperties+xml"/>
  <Override PartName="/xl/comments14.xml" ContentType="application/vnd.openxmlformats-officedocument.spreadsheetml.comments+xml"/>
  <Override PartName="/xl/drawings/drawing35.xml" ContentType="application/vnd.openxmlformats-officedocument.drawing+xml"/>
  <Override PartName="/xl/ctrlProps/ctrlProp45.xml" ContentType="application/vnd.ms-excel.controlproperties+xml"/>
  <Override PartName="/xl/comments15.xml" ContentType="application/vnd.openxmlformats-officedocument.spreadsheetml.comments+xml"/>
  <Override PartName="/xl/drawings/drawing36.xml" ContentType="application/vnd.openxmlformats-officedocument.drawing+xml"/>
  <Override PartName="/xl/ctrlProps/ctrlProp46.xml" ContentType="application/vnd.ms-excel.controlproperties+xml"/>
  <Override PartName="/xl/comments16.xml" ContentType="application/vnd.openxmlformats-officedocument.spreadsheetml.comments+xml"/>
  <Override PartName="/xl/drawings/drawing37.xml" ContentType="application/vnd.openxmlformats-officedocument.drawing+xml"/>
  <Override PartName="/xl/ctrlProps/ctrlProp47.xml" ContentType="application/vnd.ms-excel.controlproperties+xml"/>
  <Override PartName="/xl/comments17.xml" ContentType="application/vnd.openxmlformats-officedocument.spreadsheetml.comments+xml"/>
  <Override PartName="/xl/drawings/drawing38.xml" ContentType="application/vnd.openxmlformats-officedocument.drawing+xml"/>
  <Override PartName="/xl/ctrlProps/ctrlProp48.xml" ContentType="application/vnd.ms-excel.controlproperties+xml"/>
  <Override PartName="/xl/comments18.xml" ContentType="application/vnd.openxmlformats-officedocument.spreadsheetml.comments+xml"/>
  <Override PartName="/xl/drawings/drawing3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Users\NT08838\Desktop\Intern Report\"/>
    </mc:Choice>
  </mc:AlternateContent>
  <workbookProtection workbookAlgorithmName="SHA-512" workbookHashValue="Tv8vEqQMb4HV5DDJAFBK/SVKFZ2InJFRsOa8OkFz0LdjSs86hzF/YMsJ0DRTsYMRDjs9kkd5s2QBdYEk7IDk/Q==" workbookSaltValue="j+puLQ4Vt/vFCLIVpwNrOg==" workbookSpinCount="100000" lockStructure="1"/>
  <bookViews>
    <workbookView xWindow="0" yWindow="0" windowWidth="23270" windowHeight="12010" tabRatio="960" activeTab="8"/>
  </bookViews>
  <sheets>
    <sheet name="Financial summary" sheetId="1" r:id="rId1"/>
    <sheet name="Control Panel" sheetId="16" r:id="rId2"/>
    <sheet name="S&amp;U" sheetId="3" r:id="rId3"/>
    <sheet name="Acquisition BS adjustments" sheetId="20" r:id="rId4"/>
    <sheet name="Consolidated --&gt;" sheetId="44" r:id="rId5"/>
    <sheet name="IS consol" sheetId="23" r:id="rId6"/>
    <sheet name="BS consol" sheetId="24" r:id="rId7"/>
    <sheet name="CF consol" sheetId="25" r:id="rId8"/>
    <sheet name="Covenants Consolidated" sheetId="43" r:id="rId9"/>
    <sheet name="Holdco --&gt;" sheetId="41" r:id="rId10"/>
    <sheet name="Assumptions Holdco" sheetId="32" r:id="rId11"/>
    <sheet name="Financing assumptions Holdco" sheetId="38" r:id="rId12"/>
    <sheet name="IS Holdco" sheetId="33" r:id="rId13"/>
    <sheet name="BS Holdco" sheetId="34" r:id="rId14"/>
    <sheet name="CF Holdco" sheetId="35" r:id="rId15"/>
    <sheet name="Cash sweep &amp; dividend Holdco" sheetId="40" r:id="rId16"/>
    <sheet name="Covenants Holdco" sheetId="39" r:id="rId17"/>
    <sheet name="Financial Quarterly Holdco" sheetId="37" r:id="rId18"/>
    <sheet name="Operating quarterly Holdco" sheetId="36" r:id="rId19"/>
    <sheet name="Offshore trading --&gt;" sheetId="42" r:id="rId20"/>
    <sheet name="Scenarios offshore" sheetId="8" r:id="rId21"/>
    <sheet name="Financing assumptions offshore" sheetId="2" r:id="rId22"/>
    <sheet name="IS offshore" sheetId="29" r:id="rId23"/>
    <sheet name="BS offshore" sheetId="30" r:id="rId24"/>
    <sheet name="CF offshore" sheetId="31" r:id="rId25"/>
    <sheet name="dropdown menu" sheetId="26" state="hidden" r:id="rId26"/>
    <sheet name="Cash sweep &amp; dividend offshore" sheetId="22" r:id="rId27"/>
    <sheet name="Covenants offshore" sheetId="21" r:id="rId28"/>
    <sheet name="Financial Quarterly offshore" sheetId="11" r:id="rId29"/>
    <sheet name="Operating quarterly offshore" sheetId="10" r:id="rId30"/>
    <sheet name="Onshore --&gt;" sheetId="45" r:id="rId31"/>
    <sheet name="Scenarios onshore" sheetId="46" r:id="rId32"/>
    <sheet name="Financing assumptions onshore" sheetId="47" r:id="rId33"/>
    <sheet name="IS onshore" sheetId="48" r:id="rId34"/>
    <sheet name="BS onshore" sheetId="49" r:id="rId35"/>
    <sheet name="CF onshore" sheetId="50" r:id="rId36"/>
    <sheet name="Cash sweep &amp; dividend onshore" sheetId="51" r:id="rId37"/>
    <sheet name="Covenants onshore" sheetId="52" r:id="rId38"/>
    <sheet name="Financial Quarterly onshore" sheetId="53" r:id="rId39"/>
    <sheet name="Operating quarterly onshore" sheetId="54" r:id="rId40"/>
    <sheet name="Historicals --&gt;" sheetId="12" r:id="rId41"/>
    <sheet name="Consolidated historicals" sheetId="13" r:id="rId42"/>
    <sheet name="Consolidation adjustments" sheetId="14" r:id="rId43"/>
    <sheet name="Historical Holdco" sheetId="15" r:id="rId44"/>
    <sheet name="Historical BU1" sheetId="7" r:id="rId45"/>
    <sheet name="Historical BU2" sheetId="6" r:id="rId46"/>
    <sheet name="Historical other" sheetId="5" r:id="rId47"/>
    <sheet name="Flow Schedule" sheetId="18" state="hidden" r:id="rId48"/>
    <sheet name="To do projection" sheetId="28" r:id="rId49"/>
    <sheet name="Sponsor Operating Model" sheetId="55" r:id="rId50"/>
    <sheet name="Sponsor Revenue Summary" sheetId="56" r:id="rId51"/>
    <sheet name="Base case Operating Model" sheetId="57" r:id="rId52"/>
    <sheet name="Base Case Revenue Summary" sheetId="58" r:id="rId53"/>
  </sheets>
  <definedNames>
    <definedName name="_xlnm._FilterDatabase" localSheetId="42">'Consolidation adjustments'!$A$82:$G$416</definedName>
    <definedName name="_xlnm._FilterDatabase" localSheetId="44">'Historical BU1'!$A$82:$N$417</definedName>
    <definedName name="_xlnm._FilterDatabase" localSheetId="45">'Historical BU2'!$A$82:$L$418</definedName>
    <definedName name="_xlnm._FilterDatabase" localSheetId="43">'Historical Holdco'!$A$82:$I$416</definedName>
    <definedName name="_xlnm._FilterDatabase" localSheetId="46">'Historical other'!$A$82:$K$416</definedName>
    <definedName name="_xlnm._FilterDatabase" localSheetId="48" hidden="1">'To do projection'!$A$3:$E$34</definedName>
    <definedName name="_Order1">255</definedName>
    <definedName name="_Order2">255</definedName>
    <definedName name="BLANK" localSheetId="48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localSheetId="48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U1_currency_balance" localSheetId="48">'Scenarios offshore'!$16:$16</definedName>
    <definedName name="BU1_currency_balance">'Scenarios offshore'!$16:$16</definedName>
    <definedName name="BU1_currency_cashflow" localSheetId="48">'Scenarios offshore'!$15:$15</definedName>
    <definedName name="BU1_currency_cashflow">'Scenarios offshore'!$15:$15</definedName>
    <definedName name="BU1_name" localSheetId="48">'Control Panel'!$B$25</definedName>
    <definedName name="BU1_name">'Control Panel'!$B$25</definedName>
    <definedName name="BU2_name" localSheetId="48">'Control Panel'!$B$26</definedName>
    <definedName name="BU2_name">'Control Panel'!$B$26</definedName>
    <definedName name="cash_int" localSheetId="11">'Financing assumptions Holdco'!$F$12</definedName>
    <definedName name="cash_int" localSheetId="48">'Financing assumptions offshore'!$F$12</definedName>
    <definedName name="cash_int">'Financing assumptions offshore'!$F$12</definedName>
    <definedName name="cash_int_holdco">'Financing assumptions Holdco'!$F$12</definedName>
    <definedName name="cash_sweep_consol">'Financing assumptions Holdco'!$F$71</definedName>
    <definedName name="Currency_conversion_BU1" localSheetId="48">'Control Panel'!$F$4</definedName>
    <definedName name="Currency_conversion_BU1">'Control Panel'!$F$4</definedName>
    <definedName name="Currency_conversion_BU2">'Control Panel'!$F$5</definedName>
    <definedName name="Currency_conversion_rate_BU2" localSheetId="48">'Control Panel'!$F$5</definedName>
    <definedName name="Currency_conversion_rate_BU2">'Control Panel'!$F$5</definedName>
    <definedName name="Currency_conversion_rate_other" localSheetId="48">'Control Panel'!$F$6</definedName>
    <definedName name="Currency_conversion_rate_other">'Control Panel'!$F$6</definedName>
    <definedName name="depr_inc" localSheetId="48">'Control Panel'!$B$17</definedName>
    <definedName name="depr_inc">'Control Panel'!$B$17</definedName>
    <definedName name="dropdown_ratio" localSheetId="48">'dropdown menu'!$B$2:$B$11</definedName>
    <definedName name="dropdown_ratio">'dropdown menu'!$B$2:$B$11</definedName>
    <definedName name="Input_unit">'Control Panel'!$B$22</definedName>
    <definedName name="int_pay_trigger" localSheetId="11">'Financing assumptions Holdco'!$F$83</definedName>
    <definedName name="int_pay_trigger">'Financing assumptions offshore'!$F$73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42906.5259027778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model_curr" localSheetId="48">'Control Panel'!$B$20</definedName>
    <definedName name="model_curr">'Control Panel'!$B$20</definedName>
    <definedName name="_xlnm.Print_Area" localSheetId="51">'Base case Operating Model'!$B$2:$R$288</definedName>
    <definedName name="_xlnm.Print_Area" localSheetId="52">'Base Case Revenue Summary'!$B$2:$S$112</definedName>
    <definedName name="_xlnm.Print_Area" localSheetId="6">'BS consol'!$A$1:$Q$179</definedName>
    <definedName name="_xlnm.Print_Area" localSheetId="34">'BS onshore'!$A$1:$Q$138</definedName>
    <definedName name="_xlnm.Print_Area" localSheetId="7">'CF consol'!$A$1:$Q$53</definedName>
    <definedName name="_xlnm.Print_Area" localSheetId="14">'CF Holdco'!$A$1:$Q$53</definedName>
    <definedName name="_xlnm.Print_Area" localSheetId="0">'Financial summary'!$A$1:$P$98</definedName>
    <definedName name="_xlnm.Print_Area" localSheetId="11">'Financing assumptions Holdco'!$A$1:$AP$92</definedName>
    <definedName name="_xlnm.Print_Area" localSheetId="21">'Financing assumptions offshore'!$A$1:$AO$79</definedName>
    <definedName name="_xlnm.Print_Area" localSheetId="32">'Financing assumptions onshore'!$A$1:$AO$79</definedName>
    <definedName name="_xlnm.Print_Area" localSheetId="5">'IS consol'!$A$1:$P$145</definedName>
    <definedName name="_xlnm.Print_Area" localSheetId="12">'IS Holdco'!$A$1:$Q$72</definedName>
    <definedName name="_xlnm.Print_Area" localSheetId="22">'IS offshore'!$A$1:$Q$95</definedName>
    <definedName name="_xlnm.Print_Area" localSheetId="33">'IS onshore'!$A$1:$Q$95</definedName>
    <definedName name="_xlnm.Print_Area" localSheetId="49">'Sponsor Operating Model'!$B$2:$R$288</definedName>
    <definedName name="_xlnm.Print_Area" localSheetId="50">'Sponsor Revenue Summary'!$B$2:$S$112</definedName>
    <definedName name="project_name" localSheetId="48">'Control Panel'!$B$21</definedName>
    <definedName name="project_name">'Control Panel'!$B$21</definedName>
    <definedName name="Stake_Bu1">'Control Panel'!$C$25</definedName>
    <definedName name="Stake_Bu2">'Control Panel'!$C$26</definedName>
    <definedName name="Stake_other">'Control Panel'!$C$27</definedName>
    <definedName name="stub_quarter">'Control Panel'!$B$10</definedName>
    <definedName name="stub_switch" localSheetId="48">'Control Panel'!$B$8</definedName>
    <definedName name="stub_switch">'Control Panel'!$B$8</definedName>
    <definedName name="Sweep_adj_repay_trigger" localSheetId="11">'Financing assumptions Holdco'!$F$70</definedName>
    <definedName name="Sweep_adj_repay_trigger" localSheetId="48">'Financing assumptions offshore'!$F$64</definedName>
    <definedName name="Sweep_adj_repay_trigger">'Financing assumptions offshore'!$F$64</definedName>
    <definedName name="Withholding_tax_BU1" localSheetId="48">'Control Panel'!$F$9</definedName>
    <definedName name="Withholding_tax_BU1">'Control Panel'!$F$9</definedName>
    <definedName name="Withholding_tax_BU2">'Control Panel'!$F$10</definedName>
    <definedName name="Withholding_tax_other">'Control Panel'!$F$11</definedName>
  </definedNames>
  <calcPr calcId="162913" calcMode="autoNoTable" iterate="1" calcOnSave="0"/>
</workbook>
</file>

<file path=xl/calcChain.xml><?xml version="1.0" encoding="utf-8"?>
<calcChain xmlns="http://schemas.openxmlformats.org/spreadsheetml/2006/main">
  <c r="I138" i="6" l="1"/>
  <c r="K147" i="6"/>
  <c r="K148" i="6"/>
  <c r="I145" i="6" l="1"/>
  <c r="I160" i="6" s="1"/>
  <c r="I163" i="6" s="1"/>
  <c r="K159" i="6" l="1"/>
  <c r="K195" i="46" l="1"/>
  <c r="L195" i="46"/>
  <c r="M195" i="46"/>
  <c r="N195" i="46"/>
  <c r="O195" i="46"/>
  <c r="P195" i="46"/>
  <c r="J195" i="46"/>
  <c r="I195" i="46"/>
  <c r="J45" i="46"/>
  <c r="J161" i="46"/>
  <c r="J109" i="46"/>
  <c r="I45" i="46"/>
  <c r="J37" i="46" l="1"/>
  <c r="J37" i="8" s="1"/>
  <c r="J21" i="8" s="1"/>
  <c r="D75" i="37" l="1"/>
  <c r="N11" i="38"/>
  <c r="O11" i="38"/>
  <c r="P11" i="38"/>
  <c r="Q11" i="38"/>
  <c r="R11" i="38"/>
  <c r="S11" i="38"/>
  <c r="T11" i="38"/>
  <c r="U11" i="38"/>
  <c r="V11" i="38"/>
  <c r="W11" i="38"/>
  <c r="X11" i="38"/>
  <c r="Y11" i="38"/>
  <c r="Z11" i="38"/>
  <c r="AA11" i="38"/>
  <c r="AB11" i="38"/>
  <c r="AC11" i="38"/>
  <c r="AD11" i="38"/>
  <c r="AE11" i="38"/>
  <c r="AF11" i="38"/>
  <c r="AG11" i="38"/>
  <c r="AH11" i="38"/>
  <c r="AI11" i="38"/>
  <c r="AJ11" i="38"/>
  <c r="AK11" i="38"/>
  <c r="AL11" i="38"/>
  <c r="AM11" i="38"/>
  <c r="AN11" i="38"/>
  <c r="AO11" i="38"/>
  <c r="AP11" i="38"/>
  <c r="M11" i="38"/>
  <c r="D218" i="20" l="1"/>
  <c r="D211" i="20"/>
  <c r="G72" i="6"/>
  <c r="D206" i="20"/>
  <c r="D4" i="20" l="1"/>
  <c r="I87" i="15" l="1"/>
  <c r="I86" i="15"/>
  <c r="I85" i="15"/>
  <c r="D7" i="15"/>
  <c r="H7" i="15"/>
  <c r="I7" i="15"/>
  <c r="I130" i="6" l="1"/>
  <c r="I132" i="6" s="1"/>
  <c r="I120" i="6"/>
  <c r="I116" i="6"/>
  <c r="I105" i="6"/>
  <c r="I97" i="6"/>
  <c r="I86" i="6"/>
  <c r="I85" i="6"/>
  <c r="I121" i="6" l="1"/>
  <c r="I139" i="6"/>
  <c r="I106" i="6"/>
  <c r="H85" i="38"/>
  <c r="H74" i="38"/>
  <c r="I4" i="3"/>
  <c r="I6" i="3"/>
  <c r="D6" i="3"/>
  <c r="F56" i="38"/>
  <c r="X28" i="38"/>
  <c r="P28" i="38"/>
  <c r="T28" i="38"/>
  <c r="I123" i="6" l="1"/>
  <c r="I133" i="6"/>
  <c r="I146" i="6"/>
  <c r="J3" i="3"/>
  <c r="D92" i="1"/>
  <c r="D97" i="1" s="1"/>
  <c r="P48" i="46"/>
  <c r="P39" i="46"/>
  <c r="J8" i="3"/>
  <c r="O61" i="46" l="1"/>
  <c r="N61" i="46"/>
  <c r="M61" i="46"/>
  <c r="L61" i="46"/>
  <c r="K61" i="46"/>
  <c r="J61" i="46"/>
  <c r="I61" i="46"/>
  <c r="I53" i="46" s="1"/>
  <c r="M2" i="43"/>
  <c r="M2" i="40"/>
  <c r="M2" i="39"/>
  <c r="M2" i="37"/>
  <c r="M2" i="36"/>
  <c r="M2" i="22"/>
  <c r="M2" i="21"/>
  <c r="M2" i="11"/>
  <c r="M2" i="10"/>
  <c r="M2" i="53"/>
  <c r="M2" i="54"/>
  <c r="M2" i="52"/>
  <c r="M2" i="51"/>
  <c r="P186" i="46"/>
  <c r="P177" i="46"/>
  <c r="P169" i="46"/>
  <c r="P161" i="46"/>
  <c r="O161" i="46"/>
  <c r="N161" i="46"/>
  <c r="M161" i="46"/>
  <c r="L161" i="46"/>
  <c r="K161" i="46"/>
  <c r="I161" i="46"/>
  <c r="P109" i="46"/>
  <c r="O109" i="46"/>
  <c r="N109" i="46"/>
  <c r="M109" i="46"/>
  <c r="L109" i="46"/>
  <c r="K109" i="46"/>
  <c r="I109" i="46"/>
  <c r="I111" i="46" s="1"/>
  <c r="I112" i="46" s="1"/>
  <c r="P101" i="46"/>
  <c r="O101" i="46"/>
  <c r="N101" i="46"/>
  <c r="M101" i="46"/>
  <c r="L101" i="46"/>
  <c r="K101" i="46"/>
  <c r="J101" i="46"/>
  <c r="I101" i="46"/>
  <c r="P77" i="46"/>
  <c r="P79" i="46" s="1"/>
  <c r="P80" i="46" s="1"/>
  <c r="O77" i="46"/>
  <c r="O79" i="46" s="1"/>
  <c r="O80" i="46" s="1"/>
  <c r="N77" i="46"/>
  <c r="N79" i="46" s="1"/>
  <c r="N80" i="46" s="1"/>
  <c r="M77" i="46"/>
  <c r="M79" i="46" s="1"/>
  <c r="M80" i="46" s="1"/>
  <c r="L77" i="46"/>
  <c r="L79" i="46" s="1"/>
  <c r="L80" i="46" s="1"/>
  <c r="K77" i="46"/>
  <c r="K79" i="46" s="1"/>
  <c r="K80" i="46" s="1"/>
  <c r="J77" i="46"/>
  <c r="J79" i="46" s="1"/>
  <c r="J80" i="46" s="1"/>
  <c r="I77" i="46"/>
  <c r="P69" i="46"/>
  <c r="O69" i="46"/>
  <c r="N69" i="46"/>
  <c r="M69" i="46"/>
  <c r="L69" i="46"/>
  <c r="K69" i="46"/>
  <c r="J69" i="46"/>
  <c r="I69" i="46"/>
  <c r="P61" i="46"/>
  <c r="P53" i="46" s="1"/>
  <c r="P45" i="46"/>
  <c r="P37" i="46"/>
  <c r="P37" i="8" s="1"/>
  <c r="O37" i="46"/>
  <c r="O37" i="8" s="1"/>
  <c r="N37" i="46"/>
  <c r="N37" i="8" s="1"/>
  <c r="M37" i="46"/>
  <c r="M37" i="8" s="1"/>
  <c r="L37" i="46"/>
  <c r="L37" i="8" s="1"/>
  <c r="K37" i="46"/>
  <c r="K37" i="8" s="1"/>
  <c r="I37" i="46"/>
  <c r="H138" i="6"/>
  <c r="H145" i="6" s="1"/>
  <c r="H120" i="6"/>
  <c r="H116" i="6"/>
  <c r="H121" i="6" s="1"/>
  <c r="H87" i="6"/>
  <c r="H86" i="6"/>
  <c r="H85" i="6"/>
  <c r="H105" i="6"/>
  <c r="AG47" i="51"/>
  <c r="AG36" i="51"/>
  <c r="AG35" i="51"/>
  <c r="AG34" i="51"/>
  <c r="AG33" i="51"/>
  <c r="AG14" i="51"/>
  <c r="AG47" i="22"/>
  <c r="AG36" i="22"/>
  <c r="AG35" i="22"/>
  <c r="AG34" i="22"/>
  <c r="AG33" i="22"/>
  <c r="AG14" i="22"/>
  <c r="AG35" i="39"/>
  <c r="Q57" i="24"/>
  <c r="P57" i="24"/>
  <c r="O57" i="24"/>
  <c r="N57" i="24"/>
  <c r="M57" i="24"/>
  <c r="L57" i="24"/>
  <c r="K57" i="24"/>
  <c r="J57" i="24"/>
  <c r="I57" i="24"/>
  <c r="H57" i="24"/>
  <c r="G57" i="24"/>
  <c r="F57" i="24"/>
  <c r="E57" i="24"/>
  <c r="E56" i="24"/>
  <c r="U85" i="23"/>
  <c r="U94" i="23" s="1"/>
  <c r="T85" i="23"/>
  <c r="T94" i="23" s="1"/>
  <c r="S85" i="23"/>
  <c r="S94" i="23" s="1"/>
  <c r="R85" i="23"/>
  <c r="R94" i="23" s="1"/>
  <c r="Q85" i="23"/>
  <c r="Q94" i="23" s="1"/>
  <c r="P85" i="23"/>
  <c r="P94" i="23" s="1"/>
  <c r="O85" i="23"/>
  <c r="O94" i="23" s="1"/>
  <c r="N85" i="23"/>
  <c r="N94" i="23" s="1"/>
  <c r="M85" i="23"/>
  <c r="M94" i="23" s="1"/>
  <c r="L85" i="23"/>
  <c r="L94" i="23" s="1"/>
  <c r="K85" i="23"/>
  <c r="K94" i="23" s="1"/>
  <c r="J85" i="23"/>
  <c r="J94" i="23" s="1"/>
  <c r="I85" i="23"/>
  <c r="I94" i="23" s="1"/>
  <c r="H85" i="23"/>
  <c r="H94" i="23" s="1"/>
  <c r="G85" i="23"/>
  <c r="G94" i="23" s="1"/>
  <c r="F85" i="23"/>
  <c r="F94" i="23" s="1"/>
  <c r="E85" i="23"/>
  <c r="E94" i="23" s="1"/>
  <c r="AC46" i="35"/>
  <c r="AB46" i="35"/>
  <c r="AA46" i="35"/>
  <c r="Z46" i="35"/>
  <c r="Y46" i="35"/>
  <c r="X46" i="35"/>
  <c r="W46" i="35"/>
  <c r="V46" i="35"/>
  <c r="AP45" i="38"/>
  <c r="AP36" i="38"/>
  <c r="AP27" i="38"/>
  <c r="AP15" i="38"/>
  <c r="AC25" i="35"/>
  <c r="AB25" i="35"/>
  <c r="AA25" i="35"/>
  <c r="Z25" i="35"/>
  <c r="Y25" i="35"/>
  <c r="X25" i="35"/>
  <c r="W25" i="35"/>
  <c r="V25" i="35"/>
  <c r="AG88" i="37"/>
  <c r="AG84" i="37"/>
  <c r="AG74" i="37"/>
  <c r="AG72" i="37"/>
  <c r="AG63" i="37"/>
  <c r="AG48" i="37"/>
  <c r="AG35" i="37"/>
  <c r="AG22" i="37"/>
  <c r="AG90" i="53"/>
  <c r="AG75" i="53"/>
  <c r="AG74" i="53"/>
  <c r="AG73" i="53"/>
  <c r="AG57" i="53"/>
  <c r="AG58" i="53" s="1"/>
  <c r="AG42" i="53"/>
  <c r="AG43" i="53" s="1"/>
  <c r="AG29" i="53"/>
  <c r="AG30" i="53" s="1"/>
  <c r="AG16" i="53"/>
  <c r="AG17" i="53" s="1"/>
  <c r="AG11" i="53"/>
  <c r="AG90" i="11"/>
  <c r="AG75" i="11"/>
  <c r="AG74" i="11"/>
  <c r="AG73" i="11"/>
  <c r="AG57" i="11"/>
  <c r="AG58" i="11" s="1"/>
  <c r="AG42" i="11"/>
  <c r="AG43" i="11" s="1"/>
  <c r="AG29" i="11"/>
  <c r="AG30" i="11" s="1"/>
  <c r="AG16" i="11"/>
  <c r="AG17" i="11" s="1"/>
  <c r="AG11" i="11"/>
  <c r="P38" i="8"/>
  <c r="O38" i="8"/>
  <c r="N38" i="8"/>
  <c r="M38" i="8"/>
  <c r="L38" i="8"/>
  <c r="K38" i="8"/>
  <c r="J38" i="8"/>
  <c r="I38" i="8"/>
  <c r="D85" i="48"/>
  <c r="G87" i="6"/>
  <c r="G86" i="6"/>
  <c r="G85" i="6"/>
  <c r="G130" i="6"/>
  <c r="G132" i="6" s="1"/>
  <c r="E123" i="6"/>
  <c r="D123" i="6"/>
  <c r="G120" i="6"/>
  <c r="G116" i="6"/>
  <c r="G105" i="6"/>
  <c r="F105" i="6"/>
  <c r="E105" i="6"/>
  <c r="D105" i="6"/>
  <c r="G97" i="6"/>
  <c r="F97" i="6"/>
  <c r="E97" i="6"/>
  <c r="D97" i="6"/>
  <c r="I79" i="46" l="1"/>
  <c r="I80" i="46" s="1"/>
  <c r="N53" i="46"/>
  <c r="M53" i="46"/>
  <c r="O53" i="46"/>
  <c r="L53" i="46"/>
  <c r="H97" i="6"/>
  <c r="H106" i="6" s="1"/>
  <c r="H123" i="6" s="1"/>
  <c r="J53" i="46"/>
  <c r="J39" i="46"/>
  <c r="J55" i="46" s="1"/>
  <c r="F106" i="6"/>
  <c r="F123" i="6" s="1"/>
  <c r="K53" i="46"/>
  <c r="G106" i="6"/>
  <c r="AG96" i="37"/>
  <c r="G121" i="6"/>
  <c r="G133" i="6" s="1"/>
  <c r="J111" i="46" l="1"/>
  <c r="J40" i="46"/>
  <c r="J56" i="46" s="1"/>
  <c r="J163" i="46"/>
  <c r="J71" i="46"/>
  <c r="J188" i="46"/>
  <c r="J47" i="46"/>
  <c r="J179" i="46" s="1"/>
  <c r="J197" i="46"/>
  <c r="J39" i="8"/>
  <c r="J63" i="46"/>
  <c r="J189" i="46"/>
  <c r="J164" i="46"/>
  <c r="J64" i="46"/>
  <c r="I39" i="46"/>
  <c r="G123" i="6"/>
  <c r="D28" i="48"/>
  <c r="D33" i="48" s="1"/>
  <c r="D37" i="48" s="1"/>
  <c r="D41" i="48" s="1"/>
  <c r="D46" i="48" s="1"/>
  <c r="Q16" i="46"/>
  <c r="P16" i="46"/>
  <c r="O16" i="46"/>
  <c r="N16" i="46"/>
  <c r="M16" i="46"/>
  <c r="L16" i="46"/>
  <c r="K16" i="46"/>
  <c r="J16" i="46"/>
  <c r="I16" i="46"/>
  <c r="H16" i="46"/>
  <c r="G16" i="46"/>
  <c r="F16" i="46"/>
  <c r="E16" i="46"/>
  <c r="C29" i="54"/>
  <c r="C28" i="54"/>
  <c r="C27" i="54"/>
  <c r="C26" i="54"/>
  <c r="C25" i="54"/>
  <c r="C24" i="54"/>
  <c r="C23" i="54"/>
  <c r="I8" i="54"/>
  <c r="J8" i="54" s="1"/>
  <c r="K8" i="54" s="1"/>
  <c r="E8" i="54"/>
  <c r="F8" i="54" s="1"/>
  <c r="G8" i="54" s="1"/>
  <c r="L8" i="54"/>
  <c r="J2" i="54"/>
  <c r="D2" i="54"/>
  <c r="E2" i="54" s="1"/>
  <c r="M1" i="54"/>
  <c r="J1" i="54"/>
  <c r="G1" i="54"/>
  <c r="D1" i="54"/>
  <c r="D106" i="53"/>
  <c r="AF90" i="53"/>
  <c r="AE90" i="53"/>
  <c r="AD90" i="53"/>
  <c r="AC90" i="53"/>
  <c r="AB90" i="53"/>
  <c r="AA90" i="53"/>
  <c r="Z90" i="53"/>
  <c r="Y90" i="53"/>
  <c r="X90" i="53"/>
  <c r="W90" i="53"/>
  <c r="V90" i="53"/>
  <c r="U90" i="53"/>
  <c r="T90" i="53"/>
  <c r="S90" i="53"/>
  <c r="R90" i="53"/>
  <c r="Q90" i="53"/>
  <c r="P90" i="53"/>
  <c r="O90" i="53"/>
  <c r="N90" i="53"/>
  <c r="M90" i="53"/>
  <c r="L90" i="53"/>
  <c r="K90" i="53"/>
  <c r="J90" i="53"/>
  <c r="I90" i="53"/>
  <c r="H90" i="53"/>
  <c r="G90" i="53"/>
  <c r="F90" i="53"/>
  <c r="E90" i="53"/>
  <c r="D90" i="53"/>
  <c r="D78" i="53"/>
  <c r="D80" i="53" s="1"/>
  <c r="AF75" i="53"/>
  <c r="AE75" i="53"/>
  <c r="AD75" i="53"/>
  <c r="AC75" i="53"/>
  <c r="AB75" i="53"/>
  <c r="AA75" i="53"/>
  <c r="Z75" i="53"/>
  <c r="Y75" i="53"/>
  <c r="X75" i="53"/>
  <c r="W75" i="53"/>
  <c r="V75" i="53"/>
  <c r="U75" i="53"/>
  <c r="T75" i="53"/>
  <c r="S75" i="53"/>
  <c r="R75" i="53"/>
  <c r="Q75" i="53"/>
  <c r="P75" i="53"/>
  <c r="O75" i="53"/>
  <c r="N75" i="53"/>
  <c r="M75" i="53"/>
  <c r="L75" i="53"/>
  <c r="K75" i="53"/>
  <c r="J75" i="53"/>
  <c r="I75" i="53"/>
  <c r="H75" i="53"/>
  <c r="G75" i="53"/>
  <c r="F75" i="53"/>
  <c r="E75" i="53"/>
  <c r="D75" i="53"/>
  <c r="AF73" i="53"/>
  <c r="AE73" i="53"/>
  <c r="AD73" i="53"/>
  <c r="AC73" i="53"/>
  <c r="AB73" i="53"/>
  <c r="AA73" i="53"/>
  <c r="Z73" i="53"/>
  <c r="Y73" i="53"/>
  <c r="X73" i="53"/>
  <c r="W73" i="53"/>
  <c r="V73" i="53"/>
  <c r="U73" i="53"/>
  <c r="T73" i="53"/>
  <c r="S73" i="53"/>
  <c r="R73" i="53"/>
  <c r="Q73" i="53"/>
  <c r="P73" i="53"/>
  <c r="O73" i="53"/>
  <c r="N73" i="53"/>
  <c r="M73" i="53"/>
  <c r="L73" i="53"/>
  <c r="K73" i="53"/>
  <c r="J73" i="53"/>
  <c r="I73" i="53"/>
  <c r="H73" i="53"/>
  <c r="G73" i="53"/>
  <c r="F73" i="53"/>
  <c r="E73" i="53"/>
  <c r="D73" i="53"/>
  <c r="D77" i="53" s="1"/>
  <c r="D60" i="53"/>
  <c r="D45" i="53"/>
  <c r="D32" i="53"/>
  <c r="D34" i="53" s="1"/>
  <c r="AF11" i="53"/>
  <c r="AE11" i="53"/>
  <c r="AD11" i="53"/>
  <c r="AC11" i="53"/>
  <c r="AB11" i="53"/>
  <c r="AA11" i="53"/>
  <c r="Z11" i="53"/>
  <c r="Y11" i="53"/>
  <c r="X11" i="53"/>
  <c r="W11" i="53"/>
  <c r="V11" i="53"/>
  <c r="U11" i="53"/>
  <c r="T11" i="53"/>
  <c r="S11" i="53"/>
  <c r="R11" i="53"/>
  <c r="Q11" i="53"/>
  <c r="P11" i="53"/>
  <c r="O11" i="53"/>
  <c r="N11" i="53"/>
  <c r="M11" i="53"/>
  <c r="L11" i="53"/>
  <c r="K11" i="53"/>
  <c r="J11" i="53"/>
  <c r="I11" i="53"/>
  <c r="H11" i="53"/>
  <c r="G11" i="53"/>
  <c r="F11" i="53"/>
  <c r="E11" i="53"/>
  <c r="D11" i="53"/>
  <c r="J2" i="53"/>
  <c r="D2" i="53"/>
  <c r="E2" i="53" s="1"/>
  <c r="M1" i="53"/>
  <c r="J1" i="53"/>
  <c r="G1" i="53"/>
  <c r="D1" i="53"/>
  <c r="B41" i="52"/>
  <c r="C30" i="52"/>
  <c r="D8" i="52"/>
  <c r="E8" i="52" s="1"/>
  <c r="F8" i="52" s="1"/>
  <c r="G8" i="52" s="1"/>
  <c r="H8" i="52" s="1"/>
  <c r="I8" i="52" s="1"/>
  <c r="J8" i="52" s="1"/>
  <c r="K8" i="52" s="1"/>
  <c r="L8" i="52" s="1"/>
  <c r="M8" i="52" s="1"/>
  <c r="N8" i="52" s="1"/>
  <c r="O8" i="52" s="1"/>
  <c r="P8" i="52" s="1"/>
  <c r="Q8" i="52" s="1"/>
  <c r="R8" i="52" s="1"/>
  <c r="S8" i="52" s="1"/>
  <c r="T8" i="52" s="1"/>
  <c r="U8" i="52" s="1"/>
  <c r="V8" i="52" s="1"/>
  <c r="W8" i="52" s="1"/>
  <c r="X8" i="52" s="1"/>
  <c r="Y8" i="52" s="1"/>
  <c r="Z8" i="52" s="1"/>
  <c r="AA8" i="52" s="1"/>
  <c r="AB8" i="52" s="1"/>
  <c r="AC8" i="52" s="1"/>
  <c r="AD8" i="52" s="1"/>
  <c r="AE8" i="52" s="1"/>
  <c r="AF8" i="52" s="1"/>
  <c r="AG8" i="52" s="1"/>
  <c r="J2" i="52"/>
  <c r="D2" i="52"/>
  <c r="E2" i="52" s="1"/>
  <c r="M1" i="52"/>
  <c r="J1" i="52"/>
  <c r="G1" i="52"/>
  <c r="D1" i="52"/>
  <c r="D51" i="51"/>
  <c r="AF47" i="51"/>
  <c r="AE47" i="51"/>
  <c r="AD47" i="51"/>
  <c r="AC47" i="51"/>
  <c r="AB47" i="51"/>
  <c r="AA47" i="51"/>
  <c r="Z47" i="51"/>
  <c r="Y47" i="51"/>
  <c r="X47" i="51"/>
  <c r="W47" i="51"/>
  <c r="V47" i="51"/>
  <c r="U47" i="51"/>
  <c r="T47" i="51"/>
  <c r="S47" i="51"/>
  <c r="R47" i="51"/>
  <c r="Q47" i="51"/>
  <c r="P47" i="51"/>
  <c r="O47" i="51"/>
  <c r="N47" i="51"/>
  <c r="M47" i="51"/>
  <c r="L47" i="51"/>
  <c r="K47" i="51"/>
  <c r="J47" i="51"/>
  <c r="I47" i="51"/>
  <c r="H47" i="51"/>
  <c r="G47" i="51"/>
  <c r="F47" i="51"/>
  <c r="E47" i="51"/>
  <c r="D47" i="51"/>
  <c r="AF36" i="51"/>
  <c r="AE36" i="51"/>
  <c r="AD36" i="51"/>
  <c r="AC36" i="51"/>
  <c r="AB36" i="51"/>
  <c r="AA36" i="51"/>
  <c r="Z36" i="51"/>
  <c r="Y36" i="51"/>
  <c r="X36" i="51"/>
  <c r="W36" i="51"/>
  <c r="V36" i="51"/>
  <c r="U36" i="51"/>
  <c r="T36" i="51"/>
  <c r="S36" i="51"/>
  <c r="R36" i="51"/>
  <c r="Q36" i="51"/>
  <c r="P36" i="51"/>
  <c r="O36" i="51"/>
  <c r="N36" i="51"/>
  <c r="M36" i="51"/>
  <c r="L36" i="51"/>
  <c r="K36" i="51"/>
  <c r="J36" i="51"/>
  <c r="I36" i="51"/>
  <c r="H36" i="51"/>
  <c r="G36" i="51"/>
  <c r="F36" i="51"/>
  <c r="E36" i="51"/>
  <c r="D36" i="51"/>
  <c r="AF35" i="51"/>
  <c r="AE35" i="51"/>
  <c r="AD35" i="51"/>
  <c r="AC35" i="51"/>
  <c r="AB35" i="51"/>
  <c r="AA35" i="51"/>
  <c r="Z35" i="51"/>
  <c r="Y35" i="51"/>
  <c r="X35" i="51"/>
  <c r="W35" i="51"/>
  <c r="V35" i="51"/>
  <c r="U35" i="51"/>
  <c r="T35" i="51"/>
  <c r="S35" i="51"/>
  <c r="R35" i="51"/>
  <c r="Q35" i="51"/>
  <c r="P35" i="51"/>
  <c r="O35" i="51"/>
  <c r="N35" i="51"/>
  <c r="M35" i="51"/>
  <c r="L35" i="51"/>
  <c r="K35" i="51"/>
  <c r="J35" i="51"/>
  <c r="I35" i="51"/>
  <c r="H35" i="51"/>
  <c r="G35" i="51"/>
  <c r="F35" i="51"/>
  <c r="E35" i="51"/>
  <c r="D35" i="51"/>
  <c r="AF34" i="51"/>
  <c r="AE34" i="51"/>
  <c r="AD34" i="51"/>
  <c r="AC34" i="51"/>
  <c r="AB34" i="51"/>
  <c r="AA34" i="51"/>
  <c r="Z34" i="51"/>
  <c r="Y34" i="51"/>
  <c r="X34" i="51"/>
  <c r="W34" i="51"/>
  <c r="V34" i="51"/>
  <c r="U34" i="51"/>
  <c r="T34" i="51"/>
  <c r="S34" i="51"/>
  <c r="R34" i="51"/>
  <c r="Q34" i="51"/>
  <c r="P34" i="51"/>
  <c r="O34" i="51"/>
  <c r="N34" i="51"/>
  <c r="M34" i="51"/>
  <c r="L34" i="51"/>
  <c r="K34" i="51"/>
  <c r="J34" i="51"/>
  <c r="I34" i="51"/>
  <c r="H34" i="51"/>
  <c r="G34" i="51"/>
  <c r="F34" i="51"/>
  <c r="E34" i="51"/>
  <c r="D34" i="51"/>
  <c r="AF33" i="51"/>
  <c r="AE33" i="51"/>
  <c r="AD33" i="51"/>
  <c r="AC33" i="51"/>
  <c r="AB33" i="51"/>
  <c r="AA33" i="51"/>
  <c r="Z33" i="51"/>
  <c r="Y33" i="51"/>
  <c r="X33" i="51"/>
  <c r="W33" i="51"/>
  <c r="V33" i="51"/>
  <c r="U33" i="51"/>
  <c r="T33" i="51"/>
  <c r="S33" i="51"/>
  <c r="R33" i="51"/>
  <c r="Q33" i="51"/>
  <c r="P33" i="51"/>
  <c r="O33" i="51"/>
  <c r="N33" i="51"/>
  <c r="M33" i="51"/>
  <c r="L33" i="51"/>
  <c r="K33" i="51"/>
  <c r="J33" i="51"/>
  <c r="I33" i="51"/>
  <c r="H33" i="51"/>
  <c r="G33" i="51"/>
  <c r="F33" i="51"/>
  <c r="E33" i="51"/>
  <c r="D33" i="51"/>
  <c r="C27" i="51"/>
  <c r="AF14" i="51"/>
  <c r="AE14" i="51"/>
  <c r="AD14" i="51"/>
  <c r="AC14" i="51"/>
  <c r="AB14" i="51"/>
  <c r="AA14" i="51"/>
  <c r="Z14" i="51"/>
  <c r="Y14" i="51"/>
  <c r="X14" i="51"/>
  <c r="W14" i="51"/>
  <c r="V14" i="51"/>
  <c r="U14" i="51"/>
  <c r="T14" i="51"/>
  <c r="S14" i="51"/>
  <c r="R14" i="51"/>
  <c r="Q14" i="51"/>
  <c r="P14" i="51"/>
  <c r="O14" i="51"/>
  <c r="N14" i="51"/>
  <c r="M14" i="51"/>
  <c r="L14" i="51"/>
  <c r="K14" i="51"/>
  <c r="J14" i="51"/>
  <c r="I14" i="51"/>
  <c r="H14" i="51"/>
  <c r="G14" i="51"/>
  <c r="F14" i="51"/>
  <c r="E14" i="51"/>
  <c r="D14" i="51"/>
  <c r="B12" i="51"/>
  <c r="B11" i="51"/>
  <c r="D9" i="51"/>
  <c r="E9" i="51" s="1"/>
  <c r="F9" i="51" s="1"/>
  <c r="G9" i="51" s="1"/>
  <c r="H9" i="51" s="1"/>
  <c r="I9" i="51" s="1"/>
  <c r="J9" i="51" s="1"/>
  <c r="K9" i="51" s="1"/>
  <c r="L9" i="51" s="1"/>
  <c r="M9" i="51" s="1"/>
  <c r="N9" i="51" s="1"/>
  <c r="O9" i="51" s="1"/>
  <c r="P9" i="51" s="1"/>
  <c r="Q9" i="51" s="1"/>
  <c r="R9" i="51" s="1"/>
  <c r="S9" i="51" s="1"/>
  <c r="T9" i="51" s="1"/>
  <c r="U9" i="51" s="1"/>
  <c r="V9" i="51" s="1"/>
  <c r="W9" i="51" s="1"/>
  <c r="X9" i="51" s="1"/>
  <c r="Y9" i="51" s="1"/>
  <c r="Z9" i="51" s="1"/>
  <c r="AA9" i="51" s="1"/>
  <c r="AB9" i="51" s="1"/>
  <c r="AC9" i="51" s="1"/>
  <c r="AD9" i="51" s="1"/>
  <c r="AE9" i="51" s="1"/>
  <c r="AF9" i="51" s="1"/>
  <c r="AG9" i="51" s="1"/>
  <c r="J2" i="51"/>
  <c r="D2" i="51"/>
  <c r="E2" i="51" s="1"/>
  <c r="M1" i="51"/>
  <c r="J1" i="51"/>
  <c r="G1" i="51"/>
  <c r="D1" i="51"/>
  <c r="AC52" i="50"/>
  <c r="AB52" i="50"/>
  <c r="AC50" i="50" s="1"/>
  <c r="AA52" i="50"/>
  <c r="AB50" i="50" s="1"/>
  <c r="Z52" i="50"/>
  <c r="AA50" i="50" s="1"/>
  <c r="Y52" i="50"/>
  <c r="Z50" i="50" s="1"/>
  <c r="X52" i="50"/>
  <c r="Y50" i="50" s="1"/>
  <c r="W52" i="50"/>
  <c r="X50" i="50" s="1"/>
  <c r="V52" i="50"/>
  <c r="W50" i="50" s="1"/>
  <c r="U52" i="50"/>
  <c r="V50" i="50" s="1"/>
  <c r="T52" i="50"/>
  <c r="U50" i="50" s="1"/>
  <c r="S52" i="50"/>
  <c r="T50" i="50" s="1"/>
  <c r="R52" i="50"/>
  <c r="S50" i="50" s="1"/>
  <c r="AC46" i="50"/>
  <c r="AB46" i="50"/>
  <c r="AA46" i="50"/>
  <c r="Z46" i="50"/>
  <c r="Y46" i="50"/>
  <c r="X46" i="50"/>
  <c r="W46" i="50"/>
  <c r="V46" i="50"/>
  <c r="AC44" i="50"/>
  <c r="AB44" i="50"/>
  <c r="AA44" i="50"/>
  <c r="Z44" i="50"/>
  <c r="Y44" i="50"/>
  <c r="X44" i="50"/>
  <c r="W44" i="50"/>
  <c r="V44" i="50"/>
  <c r="AC41" i="50"/>
  <c r="AB41" i="50"/>
  <c r="AA41" i="50"/>
  <c r="Z41" i="50"/>
  <c r="Y41" i="50"/>
  <c r="X41" i="50"/>
  <c r="W41" i="50"/>
  <c r="V41" i="50"/>
  <c r="U41" i="50"/>
  <c r="T41" i="50"/>
  <c r="S41" i="50"/>
  <c r="AC37" i="50"/>
  <c r="AB37" i="50"/>
  <c r="AA37" i="50"/>
  <c r="Z37" i="50"/>
  <c r="Y37" i="50"/>
  <c r="X37" i="50"/>
  <c r="W37" i="50"/>
  <c r="V37" i="50"/>
  <c r="AC35" i="50"/>
  <c r="AB35" i="50"/>
  <c r="AA35" i="50"/>
  <c r="Z35" i="50"/>
  <c r="Y35" i="50"/>
  <c r="X35" i="50"/>
  <c r="W35" i="50"/>
  <c r="V35" i="50"/>
  <c r="AC32" i="50"/>
  <c r="AB32" i="50"/>
  <c r="AA32" i="50"/>
  <c r="Z32" i="50"/>
  <c r="Y32" i="50"/>
  <c r="X32" i="50"/>
  <c r="W32" i="50"/>
  <c r="V32" i="50"/>
  <c r="U32" i="50"/>
  <c r="T32" i="50"/>
  <c r="S32" i="50"/>
  <c r="AC26" i="50"/>
  <c r="AB26" i="50"/>
  <c r="AA26" i="50"/>
  <c r="Z26" i="50"/>
  <c r="Y26" i="50"/>
  <c r="X26" i="50"/>
  <c r="W26" i="50"/>
  <c r="V26" i="50"/>
  <c r="U26" i="50"/>
  <c r="T26" i="50"/>
  <c r="S26" i="50"/>
  <c r="AC25" i="50"/>
  <c r="AB25" i="50"/>
  <c r="AA25" i="50"/>
  <c r="Z25" i="50"/>
  <c r="Y25" i="50"/>
  <c r="X25" i="50"/>
  <c r="W25" i="50"/>
  <c r="V25" i="50"/>
  <c r="AC23" i="50"/>
  <c r="AB23" i="50"/>
  <c r="AA23" i="50"/>
  <c r="Z23" i="50"/>
  <c r="Y23" i="50"/>
  <c r="X23" i="50"/>
  <c r="W23" i="50"/>
  <c r="V23" i="50"/>
  <c r="C16" i="50"/>
  <c r="C15" i="50"/>
  <c r="E5" i="50"/>
  <c r="F4" i="50"/>
  <c r="L2" i="50"/>
  <c r="I2" i="50"/>
  <c r="E7" i="50" s="1"/>
  <c r="D2" i="50"/>
  <c r="L1" i="50"/>
  <c r="I1" i="50"/>
  <c r="D1" i="50"/>
  <c r="C21" i="49"/>
  <c r="C16" i="49"/>
  <c r="C15" i="49"/>
  <c r="E5" i="49"/>
  <c r="E5" i="48" s="1"/>
  <c r="F4" i="49"/>
  <c r="L2" i="49"/>
  <c r="I2" i="49"/>
  <c r="E8" i="49" s="1"/>
  <c r="E8" i="48" s="1"/>
  <c r="D2" i="49"/>
  <c r="L1" i="49"/>
  <c r="I1" i="49"/>
  <c r="D1" i="49"/>
  <c r="K88" i="48"/>
  <c r="D61" i="48"/>
  <c r="D55" i="48"/>
  <c r="C24" i="48"/>
  <c r="C16" i="48"/>
  <c r="C15" i="48"/>
  <c r="E4" i="48"/>
  <c r="M2" i="48"/>
  <c r="J2" i="48"/>
  <c r="D2" i="48"/>
  <c r="E2" i="48" s="1"/>
  <c r="M1" i="48"/>
  <c r="J1" i="48"/>
  <c r="G1" i="48"/>
  <c r="D1" i="48"/>
  <c r="H68" i="47"/>
  <c r="H67" i="47"/>
  <c r="H66" i="47"/>
  <c r="H65" i="47"/>
  <c r="H56" i="47"/>
  <c r="H55" i="47"/>
  <c r="H54" i="47"/>
  <c r="H53" i="47"/>
  <c r="H52" i="47"/>
  <c r="F50" i="47"/>
  <c r="H47" i="47"/>
  <c r="H46" i="47"/>
  <c r="H45" i="47"/>
  <c r="H44" i="47"/>
  <c r="H43" i="47"/>
  <c r="G43" i="47"/>
  <c r="AO42" i="47"/>
  <c r="AN42" i="47"/>
  <c r="AM42" i="47"/>
  <c r="AL42" i="47"/>
  <c r="AK42" i="47"/>
  <c r="AJ42" i="47"/>
  <c r="AI42" i="47"/>
  <c r="AH42" i="47"/>
  <c r="AG42" i="47"/>
  <c r="AF42" i="47"/>
  <c r="AE42" i="47"/>
  <c r="AD42" i="47"/>
  <c r="AC42" i="47"/>
  <c r="AB42" i="47"/>
  <c r="AA42" i="47"/>
  <c r="Z42" i="47"/>
  <c r="Y42" i="47"/>
  <c r="X42" i="47"/>
  <c r="W42" i="47"/>
  <c r="V42" i="47"/>
  <c r="U42" i="47"/>
  <c r="T42" i="47"/>
  <c r="S42" i="47"/>
  <c r="R42" i="47"/>
  <c r="Q42" i="47"/>
  <c r="P42" i="47"/>
  <c r="O42" i="47"/>
  <c r="N42" i="47"/>
  <c r="F41" i="47"/>
  <c r="H38" i="47"/>
  <c r="H37" i="47"/>
  <c r="H36" i="47"/>
  <c r="H35" i="47"/>
  <c r="H34" i="47"/>
  <c r="G34" i="47"/>
  <c r="AO33" i="47"/>
  <c r="AN33" i="47"/>
  <c r="AM33" i="47"/>
  <c r="AL33" i="47"/>
  <c r="AK33" i="47"/>
  <c r="AJ33" i="47"/>
  <c r="AI33" i="47"/>
  <c r="AH33" i="47"/>
  <c r="AG33" i="47"/>
  <c r="AF33" i="47"/>
  <c r="AE33" i="47"/>
  <c r="AD33" i="47"/>
  <c r="AC33" i="47"/>
  <c r="AB33" i="47"/>
  <c r="AA33" i="47"/>
  <c r="Z33" i="47"/>
  <c r="Y33" i="47"/>
  <c r="X33" i="47"/>
  <c r="W33" i="47"/>
  <c r="V33" i="47"/>
  <c r="U33" i="47"/>
  <c r="T33" i="47"/>
  <c r="S33" i="47"/>
  <c r="R33" i="47"/>
  <c r="Q33" i="47"/>
  <c r="P33" i="47"/>
  <c r="O33" i="47"/>
  <c r="N33" i="47"/>
  <c r="F32" i="47"/>
  <c r="H29" i="47"/>
  <c r="H28" i="47"/>
  <c r="H27" i="47"/>
  <c r="H26" i="47"/>
  <c r="H25" i="47"/>
  <c r="G25" i="47"/>
  <c r="AO24" i="47"/>
  <c r="AN24" i="47"/>
  <c r="AM24" i="47"/>
  <c r="AL24" i="47"/>
  <c r="AK24" i="47"/>
  <c r="AJ24" i="47"/>
  <c r="AI24" i="47"/>
  <c r="AH24" i="47"/>
  <c r="AG24" i="47"/>
  <c r="AF24" i="47"/>
  <c r="AE24" i="47"/>
  <c r="AD24" i="47"/>
  <c r="AC24" i="47"/>
  <c r="AB24" i="47"/>
  <c r="AA24" i="47"/>
  <c r="Z24" i="47"/>
  <c r="Y24" i="47"/>
  <c r="X24" i="47"/>
  <c r="W24" i="47"/>
  <c r="V24" i="47"/>
  <c r="U24" i="47"/>
  <c r="T24" i="47"/>
  <c r="S24" i="47"/>
  <c r="R24" i="47"/>
  <c r="Q24" i="47"/>
  <c r="P24" i="47"/>
  <c r="O24" i="47"/>
  <c r="N24" i="47"/>
  <c r="F23" i="47"/>
  <c r="H20" i="47"/>
  <c r="H19" i="47"/>
  <c r="H18" i="47"/>
  <c r="H17" i="47"/>
  <c r="W16" i="47"/>
  <c r="H16" i="47"/>
  <c r="G16" i="47"/>
  <c r="M18" i="47" s="1"/>
  <c r="D16" i="53" s="1"/>
  <c r="D17" i="53" s="1"/>
  <c r="AO11" i="47"/>
  <c r="AN11" i="47"/>
  <c r="AM11" i="47"/>
  <c r="AL11" i="47"/>
  <c r="AK11" i="47"/>
  <c r="AJ11" i="47"/>
  <c r="AI11" i="47"/>
  <c r="AH11" i="47"/>
  <c r="AG11" i="47"/>
  <c r="AF11" i="47"/>
  <c r="AE11" i="47"/>
  <c r="AD11" i="47"/>
  <c r="AC11" i="47"/>
  <c r="AB11" i="47"/>
  <c r="AA11" i="47"/>
  <c r="Z11" i="47"/>
  <c r="Y11" i="47"/>
  <c r="X11" i="47"/>
  <c r="W11" i="47"/>
  <c r="V11" i="47"/>
  <c r="U11" i="47"/>
  <c r="T11" i="47"/>
  <c r="S11" i="47"/>
  <c r="R11" i="47"/>
  <c r="Q11" i="47"/>
  <c r="P11" i="47"/>
  <c r="O11" i="47"/>
  <c r="N11" i="47"/>
  <c r="M11" i="47"/>
  <c r="M52" i="47" s="1"/>
  <c r="D74" i="53" s="1"/>
  <c r="N7" i="47"/>
  <c r="C2" i="47"/>
  <c r="C1" i="47"/>
  <c r="Q206" i="46"/>
  <c r="H206" i="46"/>
  <c r="G206" i="46"/>
  <c r="F206" i="46"/>
  <c r="E206" i="46"/>
  <c r="D206" i="46"/>
  <c r="Q205" i="46"/>
  <c r="H205" i="46"/>
  <c r="G205" i="46"/>
  <c r="F205" i="46"/>
  <c r="E205" i="46"/>
  <c r="D205" i="46"/>
  <c r="Q204" i="46"/>
  <c r="P204" i="46"/>
  <c r="O204" i="46"/>
  <c r="N204" i="46"/>
  <c r="M204" i="46"/>
  <c r="L204" i="46"/>
  <c r="K204" i="46"/>
  <c r="J204" i="46"/>
  <c r="I204" i="46"/>
  <c r="H204" i="46"/>
  <c r="G204" i="46"/>
  <c r="F204" i="46"/>
  <c r="E204" i="46"/>
  <c r="D204" i="46"/>
  <c r="Q203" i="46"/>
  <c r="P203" i="46"/>
  <c r="H203" i="46"/>
  <c r="G203" i="46"/>
  <c r="F203" i="46"/>
  <c r="E203" i="46"/>
  <c r="D203" i="46"/>
  <c r="D198" i="46"/>
  <c r="D197" i="46"/>
  <c r="D196" i="46"/>
  <c r="D195" i="46"/>
  <c r="D189" i="46"/>
  <c r="D188" i="46"/>
  <c r="D187" i="46"/>
  <c r="D186" i="46"/>
  <c r="D180" i="46"/>
  <c r="D179" i="46"/>
  <c r="D178" i="46"/>
  <c r="D177" i="46"/>
  <c r="D172" i="46"/>
  <c r="D171" i="46"/>
  <c r="D170" i="46"/>
  <c r="D169" i="46"/>
  <c r="D164" i="46"/>
  <c r="D163" i="46"/>
  <c r="D162" i="46"/>
  <c r="D161" i="46"/>
  <c r="D153" i="46"/>
  <c r="D152" i="46"/>
  <c r="D151" i="46"/>
  <c r="D150" i="46"/>
  <c r="D135" i="46"/>
  <c r="D134" i="46"/>
  <c r="D133" i="46"/>
  <c r="D132" i="46"/>
  <c r="D127" i="46"/>
  <c r="D126" i="46"/>
  <c r="D125" i="46"/>
  <c r="D124" i="46"/>
  <c r="D119" i="46"/>
  <c r="D118" i="46"/>
  <c r="D117" i="46"/>
  <c r="D116" i="46"/>
  <c r="D112" i="46"/>
  <c r="Q111" i="46"/>
  <c r="D111" i="46"/>
  <c r="Q110" i="46"/>
  <c r="D110" i="46"/>
  <c r="D109" i="46"/>
  <c r="D104" i="46"/>
  <c r="D103" i="46"/>
  <c r="D102" i="46"/>
  <c r="D101" i="46"/>
  <c r="D96" i="46"/>
  <c r="D95" i="46"/>
  <c r="D94" i="46"/>
  <c r="D93" i="46"/>
  <c r="D88" i="46"/>
  <c r="D87" i="46"/>
  <c r="D86" i="46"/>
  <c r="D85" i="46"/>
  <c r="D80" i="46"/>
  <c r="D79" i="46"/>
  <c r="D78" i="46"/>
  <c r="D77" i="46"/>
  <c r="D72" i="46"/>
  <c r="D71" i="46"/>
  <c r="D70" i="46"/>
  <c r="D69" i="46"/>
  <c r="D64" i="46"/>
  <c r="D63" i="46"/>
  <c r="D62" i="46"/>
  <c r="D61" i="46"/>
  <c r="D56" i="46"/>
  <c r="D55" i="46"/>
  <c r="D54" i="46"/>
  <c r="D53" i="46"/>
  <c r="D48" i="46"/>
  <c r="D47" i="46"/>
  <c r="D46" i="46"/>
  <c r="D45" i="46"/>
  <c r="D40" i="46"/>
  <c r="D39" i="46"/>
  <c r="D38" i="46"/>
  <c r="D37" i="46"/>
  <c r="D32" i="46"/>
  <c r="D31" i="46"/>
  <c r="D30" i="46"/>
  <c r="D29" i="46"/>
  <c r="S11" i="46"/>
  <c r="R11" i="46"/>
  <c r="A9" i="46"/>
  <c r="E4" i="46"/>
  <c r="D2" i="46"/>
  <c r="J1" i="46"/>
  <c r="D1" i="46"/>
  <c r="R20" i="46" s="1"/>
  <c r="F13" i="40"/>
  <c r="E13" i="40"/>
  <c r="D13" i="40"/>
  <c r="J2" i="8"/>
  <c r="M2" i="23"/>
  <c r="L2" i="24"/>
  <c r="L2" i="25"/>
  <c r="M2" i="33"/>
  <c r="L2" i="34"/>
  <c r="L2" i="35"/>
  <c r="L2" i="31"/>
  <c r="L2" i="30"/>
  <c r="M2" i="29"/>
  <c r="J40" i="8" l="1"/>
  <c r="E2" i="46"/>
  <c r="J42" i="46"/>
  <c r="E176" i="46"/>
  <c r="J171" i="46"/>
  <c r="J72" i="46"/>
  <c r="J198" i="46"/>
  <c r="J112" i="46"/>
  <c r="D81" i="53"/>
  <c r="E76" i="53"/>
  <c r="E77" i="53" s="1"/>
  <c r="M45" i="47"/>
  <c r="D57" i="53" s="1"/>
  <c r="D58" i="53" s="1"/>
  <c r="D65" i="53" s="1"/>
  <c r="I40" i="46"/>
  <c r="I197" i="46"/>
  <c r="I47" i="46"/>
  <c r="I55" i="46"/>
  <c r="I188" i="46"/>
  <c r="I71" i="46"/>
  <c r="I163" i="46"/>
  <c r="I63" i="46"/>
  <c r="I39" i="8"/>
  <c r="F7" i="50"/>
  <c r="F7" i="49"/>
  <c r="F7" i="48" s="1"/>
  <c r="E8" i="50"/>
  <c r="E44" i="46"/>
  <c r="E76" i="46"/>
  <c r="E141" i="46"/>
  <c r="E145" i="46"/>
  <c r="E185" i="46"/>
  <c r="M36" i="47"/>
  <c r="D42" i="53" s="1"/>
  <c r="D46" i="53" s="1"/>
  <c r="E52" i="46"/>
  <c r="E100" i="46"/>
  <c r="E142" i="46"/>
  <c r="E160" i="46"/>
  <c r="E194" i="46"/>
  <c r="M27" i="47"/>
  <c r="D29" i="53" s="1"/>
  <c r="D33" i="53" s="1"/>
  <c r="E20" i="46"/>
  <c r="E60" i="46"/>
  <c r="E115" i="46"/>
  <c r="E143" i="46"/>
  <c r="E168" i="46"/>
  <c r="E68" i="46"/>
  <c r="E123" i="46"/>
  <c r="E144" i="46"/>
  <c r="F4" i="48"/>
  <c r="M8" i="54"/>
  <c r="N8" i="54" s="1"/>
  <c r="O8" i="54" s="1"/>
  <c r="P8" i="54" s="1"/>
  <c r="Q8" i="54" s="1"/>
  <c r="R8" i="54" s="1"/>
  <c r="S8" i="54" s="1"/>
  <c r="T8" i="54" s="1"/>
  <c r="U8" i="54" s="1"/>
  <c r="V8" i="54" s="1"/>
  <c r="W8" i="54" s="1"/>
  <c r="X8" i="54" s="1"/>
  <c r="Y8" i="54" s="1"/>
  <c r="Z8" i="54" s="1"/>
  <c r="AA8" i="54" s="1"/>
  <c r="AB8" i="54" s="1"/>
  <c r="AC8" i="54" s="1"/>
  <c r="AD8" i="54" s="1"/>
  <c r="AE8" i="54" s="1"/>
  <c r="AF8" i="54" s="1"/>
  <c r="AG8" i="54" s="1"/>
  <c r="AH8" i="54" s="1"/>
  <c r="AI8" i="54" s="1"/>
  <c r="AJ8" i="54" s="1"/>
  <c r="AK8" i="54" s="1"/>
  <c r="AL8" i="54" s="1"/>
  <c r="AM8" i="54" s="1"/>
  <c r="AN8" i="54" s="1"/>
  <c r="AO8" i="54" s="1"/>
  <c r="AP8" i="54" s="1"/>
  <c r="D8" i="53"/>
  <c r="E8" i="53" s="1"/>
  <c r="F8" i="53" s="1"/>
  <c r="G8" i="53" s="1"/>
  <c r="H8" i="53" s="1"/>
  <c r="I8" i="53" s="1"/>
  <c r="J8" i="53" s="1"/>
  <c r="K8" i="53" s="1"/>
  <c r="L8" i="53" s="1"/>
  <c r="M8" i="53" s="1"/>
  <c r="N8" i="53" s="1"/>
  <c r="O8" i="53" s="1"/>
  <c r="P8" i="53" s="1"/>
  <c r="Q8" i="53" s="1"/>
  <c r="R8" i="53" s="1"/>
  <c r="S8" i="53" s="1"/>
  <c r="T8" i="53" s="1"/>
  <c r="U8" i="53" s="1"/>
  <c r="V8" i="53" s="1"/>
  <c r="W8" i="53" s="1"/>
  <c r="X8" i="53" s="1"/>
  <c r="Y8" i="53" s="1"/>
  <c r="Z8" i="53" s="1"/>
  <c r="AA8" i="53" s="1"/>
  <c r="AB8" i="53" s="1"/>
  <c r="AC8" i="53" s="1"/>
  <c r="AD8" i="53" s="1"/>
  <c r="AE8" i="53" s="1"/>
  <c r="AF8" i="53" s="1"/>
  <c r="AG8" i="53" s="1"/>
  <c r="D24" i="51"/>
  <c r="F38" i="47"/>
  <c r="D43" i="53"/>
  <c r="D50" i="53" s="1"/>
  <c r="D65" i="48"/>
  <c r="D70" i="48"/>
  <c r="D51" i="48"/>
  <c r="D60" i="48" s="1"/>
  <c r="E10" i="46"/>
  <c r="F4" i="46"/>
  <c r="E6" i="46"/>
  <c r="E9" i="49"/>
  <c r="E6" i="49"/>
  <c r="F6" i="49"/>
  <c r="E7" i="49"/>
  <c r="F8" i="50"/>
  <c r="F9" i="50"/>
  <c r="G4" i="50"/>
  <c r="F6" i="50"/>
  <c r="F29" i="47"/>
  <c r="F8" i="49"/>
  <c r="F8" i="48" s="1"/>
  <c r="O7" i="47"/>
  <c r="F47" i="47"/>
  <c r="E18" i="48"/>
  <c r="G4" i="49"/>
  <c r="F9" i="49"/>
  <c r="E10" i="49"/>
  <c r="E10" i="48" s="1"/>
  <c r="E18" i="49"/>
  <c r="E9" i="50"/>
  <c r="E6" i="50"/>
  <c r="E19" i="50" s="1"/>
  <c r="E17" i="50" s="1"/>
  <c r="E18" i="50"/>
  <c r="E10" i="50"/>
  <c r="D47" i="53"/>
  <c r="D62" i="53"/>
  <c r="H89" i="38"/>
  <c r="H88" i="38"/>
  <c r="H87" i="38"/>
  <c r="H86" i="38"/>
  <c r="H84" i="38"/>
  <c r="H77" i="38"/>
  <c r="H76" i="38"/>
  <c r="H75" i="38"/>
  <c r="H73" i="38"/>
  <c r="H72" i="38"/>
  <c r="H61" i="38"/>
  <c r="H60" i="38"/>
  <c r="H59" i="38"/>
  <c r="H58" i="38"/>
  <c r="H57" i="38"/>
  <c r="H56" i="38"/>
  <c r="H22" i="38"/>
  <c r="H21" i="38"/>
  <c r="H20" i="38"/>
  <c r="H19" i="38"/>
  <c r="H18" i="38"/>
  <c r="D61" i="53" l="1"/>
  <c r="I179" i="46"/>
  <c r="I171" i="46"/>
  <c r="I56" i="46"/>
  <c r="I189" i="46"/>
  <c r="I72" i="46"/>
  <c r="I40" i="8"/>
  <c r="I198" i="46"/>
  <c r="I164" i="46"/>
  <c r="I64" i="46"/>
  <c r="D30" i="53"/>
  <c r="D37" i="53" s="1"/>
  <c r="D40" i="51" s="1"/>
  <c r="F185" i="46"/>
  <c r="F145" i="46"/>
  <c r="F141" i="46"/>
  <c r="F52" i="46"/>
  <c r="F168" i="46"/>
  <c r="F143" i="46"/>
  <c r="F115" i="46"/>
  <c r="F123" i="46"/>
  <c r="F76" i="46"/>
  <c r="F44" i="46"/>
  <c r="F194" i="46"/>
  <c r="F160" i="46"/>
  <c r="F142" i="46"/>
  <c r="F100" i="46"/>
  <c r="F60" i="46"/>
  <c r="F20" i="46"/>
  <c r="F68" i="46"/>
  <c r="F176" i="46"/>
  <c r="F144" i="46"/>
  <c r="F9" i="48"/>
  <c r="P7" i="47"/>
  <c r="F19" i="50"/>
  <c r="E6" i="48"/>
  <c r="E19" i="49"/>
  <c r="E17" i="49" s="1"/>
  <c r="E21" i="49" s="1"/>
  <c r="D44" i="51"/>
  <c r="E202" i="46"/>
  <c r="G7" i="49"/>
  <c r="G8" i="49"/>
  <c r="G8" i="48" s="1"/>
  <c r="G4" i="48"/>
  <c r="G9" i="49"/>
  <c r="H4" i="49"/>
  <c r="G6" i="49"/>
  <c r="G7" i="50"/>
  <c r="G8" i="50"/>
  <c r="H4" i="50"/>
  <c r="G9" i="50"/>
  <c r="G6" i="50"/>
  <c r="E7" i="48"/>
  <c r="E62" i="49"/>
  <c r="E58" i="49"/>
  <c r="E97" i="49"/>
  <c r="E110" i="49"/>
  <c r="E122" i="49"/>
  <c r="E32" i="49"/>
  <c r="E9" i="48"/>
  <c r="E118" i="49"/>
  <c r="E84" i="46"/>
  <c r="E36" i="46"/>
  <c r="D28" i="52"/>
  <c r="D39" i="52" s="1"/>
  <c r="F6" i="48"/>
  <c r="F19" i="48" s="1"/>
  <c r="F19" i="49"/>
  <c r="F7" i="46"/>
  <c r="F6" i="46"/>
  <c r="F10" i="46"/>
  <c r="G4" i="46"/>
  <c r="D42" i="51"/>
  <c r="E131" i="46"/>
  <c r="D91" i="1"/>
  <c r="AC52" i="25"/>
  <c r="AB52" i="25"/>
  <c r="AC50" i="25" s="1"/>
  <c r="AA52" i="25"/>
  <c r="AB50" i="25" s="1"/>
  <c r="Z52" i="25"/>
  <c r="Y52" i="25"/>
  <c r="Z50" i="25" s="1"/>
  <c r="X52" i="25"/>
  <c r="Y50" i="25" s="1"/>
  <c r="W52" i="25"/>
  <c r="X50" i="25" s="1"/>
  <c r="V52" i="25"/>
  <c r="U52" i="25"/>
  <c r="V50" i="25" s="1"/>
  <c r="T52" i="25"/>
  <c r="U50" i="25" s="1"/>
  <c r="S52" i="25"/>
  <c r="T50" i="25" s="1"/>
  <c r="R52" i="25"/>
  <c r="AC46" i="25"/>
  <c r="AB46" i="25"/>
  <c r="AA46" i="25"/>
  <c r="Z46" i="25"/>
  <c r="Y46" i="25"/>
  <c r="X46" i="25"/>
  <c r="W46" i="25"/>
  <c r="V46" i="25"/>
  <c r="AC44" i="25"/>
  <c r="AB44" i="25"/>
  <c r="AA44" i="25"/>
  <c r="Z44" i="25"/>
  <c r="Y44" i="25"/>
  <c r="X44" i="25"/>
  <c r="W44" i="25"/>
  <c r="V44" i="25"/>
  <c r="AC37" i="25"/>
  <c r="AB37" i="25"/>
  <c r="AA37" i="25"/>
  <c r="Z37" i="25"/>
  <c r="Y37" i="25"/>
  <c r="X37" i="25"/>
  <c r="W37" i="25"/>
  <c r="V37" i="25"/>
  <c r="O37" i="25"/>
  <c r="O72" i="1" s="1"/>
  <c r="N37" i="25"/>
  <c r="N72" i="1" s="1"/>
  <c r="M37" i="25"/>
  <c r="AC35" i="25"/>
  <c r="AB35" i="25"/>
  <c r="AA35" i="25"/>
  <c r="Z35" i="25"/>
  <c r="Y35" i="25"/>
  <c r="X35" i="25"/>
  <c r="W35" i="25"/>
  <c r="V35" i="25"/>
  <c r="AC32" i="25"/>
  <c r="AB32" i="25"/>
  <c r="AA32" i="25"/>
  <c r="Z32" i="25"/>
  <c r="Y32" i="25"/>
  <c r="X32" i="25"/>
  <c r="W32" i="25"/>
  <c r="V32" i="25"/>
  <c r="U32" i="25"/>
  <c r="T32" i="25"/>
  <c r="S32" i="25"/>
  <c r="AC26" i="25"/>
  <c r="AB26" i="25"/>
  <c r="AA26" i="25"/>
  <c r="Z26" i="25"/>
  <c r="Y26" i="25"/>
  <c r="X26" i="25"/>
  <c r="W26" i="25"/>
  <c r="V26" i="25"/>
  <c r="U26" i="25"/>
  <c r="T26" i="25"/>
  <c r="S26" i="25"/>
  <c r="AC25" i="25"/>
  <c r="AB25" i="25"/>
  <c r="AA25" i="25"/>
  <c r="Z25" i="25"/>
  <c r="Y25" i="25"/>
  <c r="X25" i="25"/>
  <c r="W25" i="25"/>
  <c r="V25" i="25"/>
  <c r="AC23" i="25"/>
  <c r="AB23" i="25"/>
  <c r="AA23" i="25"/>
  <c r="Z23" i="25"/>
  <c r="Y23" i="25"/>
  <c r="X23" i="25"/>
  <c r="W23" i="25"/>
  <c r="V23" i="25"/>
  <c r="J6" i="3"/>
  <c r="C49" i="40"/>
  <c r="C27" i="40"/>
  <c r="H90" i="38"/>
  <c r="H83" i="38"/>
  <c r="E7" i="3"/>
  <c r="J7" i="3"/>
  <c r="J4" i="3"/>
  <c r="AO45" i="38"/>
  <c r="AN45" i="38"/>
  <c r="AM45" i="38"/>
  <c r="AL45" i="38"/>
  <c r="AK45" i="38"/>
  <c r="AJ45" i="38"/>
  <c r="AI45" i="38"/>
  <c r="AH45" i="38"/>
  <c r="AO36" i="38"/>
  <c r="AN36" i="38"/>
  <c r="AM36" i="38"/>
  <c r="AL36" i="38"/>
  <c r="AK36" i="38"/>
  <c r="AJ36" i="38"/>
  <c r="AI36" i="38"/>
  <c r="AH36" i="38"/>
  <c r="AO27" i="38"/>
  <c r="AN27" i="38"/>
  <c r="AM27" i="38"/>
  <c r="AL27" i="38"/>
  <c r="AK27" i="38"/>
  <c r="AJ27" i="38"/>
  <c r="AI27" i="38"/>
  <c r="AH27" i="38"/>
  <c r="AO11" i="2"/>
  <c r="AO24" i="2"/>
  <c r="AO33" i="2"/>
  <c r="AO42" i="2"/>
  <c r="AH11" i="2"/>
  <c r="AI11" i="2"/>
  <c r="AJ11" i="2"/>
  <c r="AK11" i="2"/>
  <c r="AL11" i="2"/>
  <c r="AM11" i="2"/>
  <c r="AN11" i="2"/>
  <c r="AH24" i="2"/>
  <c r="AI24" i="2"/>
  <c r="AJ24" i="2"/>
  <c r="AK24" i="2"/>
  <c r="AL24" i="2"/>
  <c r="AM24" i="2"/>
  <c r="AN24" i="2"/>
  <c r="AH33" i="2"/>
  <c r="AI33" i="2"/>
  <c r="AJ33" i="2"/>
  <c r="AK33" i="2"/>
  <c r="AL33" i="2"/>
  <c r="AM33" i="2"/>
  <c r="AN33" i="2"/>
  <c r="AH42" i="2"/>
  <c r="AI42" i="2"/>
  <c r="AJ42" i="2"/>
  <c r="AK42" i="2"/>
  <c r="AL42" i="2"/>
  <c r="AM42" i="2"/>
  <c r="AN42" i="2"/>
  <c r="R48" i="34"/>
  <c r="S48" i="34"/>
  <c r="T48" i="34"/>
  <c r="U48" i="34"/>
  <c r="V48" i="34"/>
  <c r="W48" i="34"/>
  <c r="X48" i="34"/>
  <c r="Y48" i="34"/>
  <c r="Z48" i="34"/>
  <c r="AA48" i="34"/>
  <c r="AB48" i="34"/>
  <c r="AC48" i="34"/>
  <c r="AC14" i="40"/>
  <c r="AD14" i="40"/>
  <c r="AE14" i="40"/>
  <c r="AF14" i="40"/>
  <c r="AC33" i="40"/>
  <c r="AD33" i="40"/>
  <c r="AE33" i="40"/>
  <c r="AF33" i="40"/>
  <c r="AC34" i="40"/>
  <c r="AD34" i="40"/>
  <c r="AE34" i="40"/>
  <c r="AF34" i="40"/>
  <c r="AC35" i="40"/>
  <c r="AD35" i="40"/>
  <c r="AE35" i="40"/>
  <c r="AF35" i="40"/>
  <c r="AC36" i="40"/>
  <c r="AD36" i="40"/>
  <c r="AE36" i="40"/>
  <c r="AF36" i="40"/>
  <c r="AC47" i="40"/>
  <c r="AD47" i="40"/>
  <c r="AE47" i="40"/>
  <c r="AF47" i="40"/>
  <c r="AF35" i="39"/>
  <c r="AE35" i="39"/>
  <c r="AD35" i="39"/>
  <c r="AC35" i="39"/>
  <c r="AC72" i="37"/>
  <c r="AD72" i="37"/>
  <c r="AE72" i="37"/>
  <c r="AF72" i="37"/>
  <c r="AC74" i="37"/>
  <c r="AD74" i="37"/>
  <c r="AE74" i="37"/>
  <c r="AF74" i="37"/>
  <c r="AC84" i="37"/>
  <c r="AD84" i="37"/>
  <c r="AE84" i="37"/>
  <c r="AF84" i="37"/>
  <c r="AF47" i="22"/>
  <c r="AE47" i="22"/>
  <c r="AD47" i="22"/>
  <c r="AC47" i="22"/>
  <c r="AF36" i="22"/>
  <c r="AE36" i="22"/>
  <c r="AD36" i="22"/>
  <c r="AC36" i="22"/>
  <c r="AF35" i="22"/>
  <c r="AE35" i="22"/>
  <c r="AD35" i="22"/>
  <c r="AC35" i="22"/>
  <c r="AF34" i="22"/>
  <c r="AE34" i="22"/>
  <c r="AD34" i="22"/>
  <c r="AC34" i="22"/>
  <c r="AF33" i="22"/>
  <c r="AE33" i="22"/>
  <c r="AD33" i="22"/>
  <c r="AC33" i="22"/>
  <c r="AF14" i="22"/>
  <c r="AE14" i="22"/>
  <c r="AD14" i="22"/>
  <c r="AC14" i="22"/>
  <c r="AF90" i="11"/>
  <c r="AE90" i="11"/>
  <c r="AD90" i="11"/>
  <c r="AC90" i="11"/>
  <c r="AF75" i="11"/>
  <c r="AE75" i="11"/>
  <c r="AD75" i="11"/>
  <c r="AC75" i="11"/>
  <c r="AF73" i="11"/>
  <c r="AE73" i="11"/>
  <c r="AD73" i="11"/>
  <c r="AC73" i="11"/>
  <c r="AF11" i="11"/>
  <c r="AE11" i="11"/>
  <c r="AD11" i="11"/>
  <c r="AC11" i="11"/>
  <c r="Q56" i="24"/>
  <c r="I205" i="46" l="1"/>
  <c r="G176" i="46"/>
  <c r="G144" i="46"/>
  <c r="G123" i="46"/>
  <c r="G76" i="46"/>
  <c r="G44" i="46"/>
  <c r="G194" i="46"/>
  <c r="G160" i="46"/>
  <c r="G142" i="46"/>
  <c r="G60" i="46"/>
  <c r="G185" i="46"/>
  <c r="G145" i="46"/>
  <c r="G141" i="46"/>
  <c r="G52" i="46"/>
  <c r="G100" i="46"/>
  <c r="G20" i="46"/>
  <c r="G168" i="46"/>
  <c r="G143" i="46"/>
  <c r="G115" i="46"/>
  <c r="G68" i="46"/>
  <c r="F84" i="46"/>
  <c r="F36" i="46"/>
  <c r="H6" i="50"/>
  <c r="H7" i="50"/>
  <c r="H9" i="50"/>
  <c r="I4" i="50"/>
  <c r="H8" i="50"/>
  <c r="H6" i="49"/>
  <c r="H7" i="49"/>
  <c r="H8" i="49"/>
  <c r="H8" i="48" s="1"/>
  <c r="H4" i="48"/>
  <c r="H9" i="49"/>
  <c r="I4" i="49"/>
  <c r="G7" i="48"/>
  <c r="H4" i="46"/>
  <c r="G6" i="46"/>
  <c r="G10" i="46"/>
  <c r="G7" i="46"/>
  <c r="G19" i="50"/>
  <c r="Q7" i="47"/>
  <c r="G19" i="49"/>
  <c r="G6" i="48"/>
  <c r="G19" i="48" s="1"/>
  <c r="G9" i="48"/>
  <c r="E19" i="48"/>
  <c r="E17" i="48" s="1"/>
  <c r="E24" i="48" s="1"/>
  <c r="F131" i="46"/>
  <c r="F202" i="46"/>
  <c r="S50" i="25"/>
  <c r="W50" i="25"/>
  <c r="AA50" i="25"/>
  <c r="AN15" i="38"/>
  <c r="AK15" i="38"/>
  <c r="AI15" i="38"/>
  <c r="AH15" i="38"/>
  <c r="AM15" i="38"/>
  <c r="AO15" i="38"/>
  <c r="AL15" i="38"/>
  <c r="AJ15" i="38"/>
  <c r="K39" i="46" l="1"/>
  <c r="L39" i="46"/>
  <c r="P55" i="46"/>
  <c r="P197" i="46"/>
  <c r="P188" i="46"/>
  <c r="P163" i="46"/>
  <c r="P111" i="46"/>
  <c r="P71" i="46"/>
  <c r="P63" i="46"/>
  <c r="P47" i="46"/>
  <c r="P40" i="46"/>
  <c r="P39" i="8"/>
  <c r="G131" i="46"/>
  <c r="H168" i="46"/>
  <c r="H143" i="46"/>
  <c r="H115" i="46"/>
  <c r="H68" i="46"/>
  <c r="H185" i="46"/>
  <c r="H145" i="46"/>
  <c r="H100" i="46"/>
  <c r="H60" i="46"/>
  <c r="H176" i="46"/>
  <c r="H144" i="46"/>
  <c r="H123" i="46"/>
  <c r="H76" i="46"/>
  <c r="H44" i="46"/>
  <c r="H141" i="46"/>
  <c r="H52" i="46"/>
  <c r="H194" i="46"/>
  <c r="H160" i="46"/>
  <c r="H142" i="46"/>
  <c r="H20" i="46"/>
  <c r="I37" i="8" s="1"/>
  <c r="R7" i="47"/>
  <c r="S7" i="47" s="1"/>
  <c r="T7" i="47" s="1"/>
  <c r="U7" i="47" s="1"/>
  <c r="V7" i="47" s="1"/>
  <c r="W7" i="47" s="1"/>
  <c r="X7" i="47" s="1"/>
  <c r="Y7" i="47" s="1"/>
  <c r="Z7" i="47" s="1"/>
  <c r="AA7" i="47" s="1"/>
  <c r="AB7" i="47" s="1"/>
  <c r="AC7" i="47" s="1"/>
  <c r="AD7" i="47" s="1"/>
  <c r="AE7" i="47" s="1"/>
  <c r="AF7" i="47" s="1"/>
  <c r="AG7" i="47" s="1"/>
  <c r="AH7" i="47" s="1"/>
  <c r="AI7" i="47" s="1"/>
  <c r="AJ7" i="47" s="1"/>
  <c r="AK7" i="47" s="1"/>
  <c r="AL7" i="47" s="1"/>
  <c r="AM7" i="47" s="1"/>
  <c r="AN7" i="47" s="1"/>
  <c r="AO7" i="47" s="1"/>
  <c r="H9" i="48"/>
  <c r="H6" i="48"/>
  <c r="H19" i="49"/>
  <c r="H10" i="46"/>
  <c r="H7" i="46"/>
  <c r="H6" i="46"/>
  <c r="I4" i="46"/>
  <c r="I9" i="49"/>
  <c r="J4" i="49"/>
  <c r="I6" i="49"/>
  <c r="I7" i="49"/>
  <c r="I8" i="49"/>
  <c r="I8" i="48" s="1"/>
  <c r="I4" i="48"/>
  <c r="H7" i="48"/>
  <c r="G202" i="46"/>
  <c r="F26" i="47"/>
  <c r="H19" i="50"/>
  <c r="G84" i="46"/>
  <c r="G36" i="46"/>
  <c r="I9" i="50"/>
  <c r="I6" i="50"/>
  <c r="I8" i="50"/>
  <c r="J4" i="50"/>
  <c r="I7" i="50"/>
  <c r="D51" i="22"/>
  <c r="C30" i="21"/>
  <c r="E27" i="1"/>
  <c r="D76" i="20"/>
  <c r="J48" i="46" l="1"/>
  <c r="L188" i="46"/>
  <c r="L63" i="46"/>
  <c r="L39" i="8"/>
  <c r="L163" i="46"/>
  <c r="L47" i="46"/>
  <c r="L55" i="46"/>
  <c r="L111" i="46"/>
  <c r="L197" i="46"/>
  <c r="L71" i="46"/>
  <c r="L40" i="46"/>
  <c r="K111" i="46"/>
  <c r="K55" i="46"/>
  <c r="K71" i="46"/>
  <c r="K197" i="46"/>
  <c r="K40" i="46"/>
  <c r="K63" i="46"/>
  <c r="K188" i="46"/>
  <c r="K47" i="46"/>
  <c r="K39" i="8"/>
  <c r="K163" i="46"/>
  <c r="P40" i="8"/>
  <c r="P72" i="46"/>
  <c r="P64" i="46"/>
  <c r="P56" i="46"/>
  <c r="P198" i="46"/>
  <c r="P189" i="46"/>
  <c r="P164" i="46"/>
  <c r="P112" i="46"/>
  <c r="P179" i="46"/>
  <c r="P171" i="46"/>
  <c r="F17" i="47"/>
  <c r="F35" i="47"/>
  <c r="I194" i="46"/>
  <c r="I160" i="46"/>
  <c r="I142" i="46"/>
  <c r="I100" i="46"/>
  <c r="I60" i="46"/>
  <c r="I20" i="46"/>
  <c r="I176" i="46"/>
  <c r="I144" i="46"/>
  <c r="I123" i="46"/>
  <c r="I44" i="46"/>
  <c r="I168" i="46"/>
  <c r="I143" i="46"/>
  <c r="I115" i="46"/>
  <c r="I68" i="46"/>
  <c r="I76" i="46"/>
  <c r="I74" i="46" s="1"/>
  <c r="I185" i="46"/>
  <c r="I145" i="46"/>
  <c r="I141" i="46"/>
  <c r="I52" i="46"/>
  <c r="H131" i="46"/>
  <c r="I19" i="50"/>
  <c r="I6" i="48"/>
  <c r="I19" i="49"/>
  <c r="J8" i="50"/>
  <c r="J9" i="50"/>
  <c r="K4" i="50"/>
  <c r="J7" i="50"/>
  <c r="J6" i="50"/>
  <c r="I7" i="48"/>
  <c r="J4" i="46"/>
  <c r="I10" i="46"/>
  <c r="I7" i="46"/>
  <c r="I6" i="46"/>
  <c r="H19" i="48"/>
  <c r="F44" i="47"/>
  <c r="J8" i="49"/>
  <c r="J8" i="48" s="1"/>
  <c r="J4" i="48"/>
  <c r="J9" i="49"/>
  <c r="K4" i="49"/>
  <c r="J6" i="49"/>
  <c r="J7" i="49"/>
  <c r="H84" i="46"/>
  <c r="H36" i="46"/>
  <c r="I9" i="48"/>
  <c r="H202" i="46"/>
  <c r="D96" i="1"/>
  <c r="D90" i="1"/>
  <c r="D95" i="1" s="1"/>
  <c r="D89" i="1"/>
  <c r="I36" i="46" l="1"/>
  <c r="I84" i="46"/>
  <c r="R84" i="46" s="1"/>
  <c r="I202" i="46"/>
  <c r="R202" i="46" s="1"/>
  <c r="R100" i="46"/>
  <c r="R194" i="46"/>
  <c r="R68" i="46"/>
  <c r="R115" i="46"/>
  <c r="R168" i="46"/>
  <c r="R76" i="46"/>
  <c r="R60" i="46"/>
  <c r="R16" i="46"/>
  <c r="R176" i="46"/>
  <c r="R28" i="46"/>
  <c r="R185" i="46"/>
  <c r="R44" i="46"/>
  <c r="R52" i="46"/>
  <c r="R123" i="46"/>
  <c r="R160" i="46"/>
  <c r="K40" i="8"/>
  <c r="K164" i="46"/>
  <c r="K56" i="46"/>
  <c r="K112" i="46"/>
  <c r="K198" i="46"/>
  <c r="K72" i="46"/>
  <c r="K189" i="46"/>
  <c r="K64" i="46"/>
  <c r="L179" i="46"/>
  <c r="L171" i="46"/>
  <c r="K179" i="46"/>
  <c r="K171" i="46"/>
  <c r="N39" i="46"/>
  <c r="M39" i="46"/>
  <c r="L72" i="46"/>
  <c r="L164" i="46"/>
  <c r="L64" i="46"/>
  <c r="L112" i="46"/>
  <c r="L40" i="8"/>
  <c r="L56" i="46"/>
  <c r="L189" i="46"/>
  <c r="L198" i="46"/>
  <c r="J180" i="46"/>
  <c r="J172" i="46"/>
  <c r="P180" i="46"/>
  <c r="P172" i="46"/>
  <c r="J185" i="46"/>
  <c r="J145" i="46"/>
  <c r="J141" i="46"/>
  <c r="J52" i="46"/>
  <c r="J168" i="46"/>
  <c r="J68" i="46"/>
  <c r="J194" i="46"/>
  <c r="J160" i="46"/>
  <c r="J142" i="46"/>
  <c r="J100" i="46"/>
  <c r="J60" i="46"/>
  <c r="J20" i="46"/>
  <c r="J143" i="46"/>
  <c r="J115" i="46"/>
  <c r="J176" i="46"/>
  <c r="J144" i="46"/>
  <c r="J123" i="46"/>
  <c r="J76" i="46"/>
  <c r="J44" i="46"/>
  <c r="I19" i="48"/>
  <c r="J7" i="46"/>
  <c r="J6" i="46"/>
  <c r="J10" i="46"/>
  <c r="K4" i="46"/>
  <c r="K7" i="50"/>
  <c r="K8" i="50"/>
  <c r="K6" i="50"/>
  <c r="K9" i="50"/>
  <c r="L4" i="50"/>
  <c r="J19" i="49"/>
  <c r="J6" i="48"/>
  <c r="K7" i="49"/>
  <c r="K8" i="49"/>
  <c r="K8" i="48" s="1"/>
  <c r="K4" i="48"/>
  <c r="K6" i="49"/>
  <c r="K9" i="49"/>
  <c r="L4" i="49"/>
  <c r="J7" i="48"/>
  <c r="J19" i="50"/>
  <c r="J9" i="48"/>
  <c r="R36" i="46"/>
  <c r="I131" i="46"/>
  <c r="R131" i="46" s="1"/>
  <c r="D71" i="1"/>
  <c r="D72" i="1"/>
  <c r="D73" i="1"/>
  <c r="D74" i="1"/>
  <c r="D75" i="1"/>
  <c r="D76" i="1"/>
  <c r="D77" i="1"/>
  <c r="D78" i="1"/>
  <c r="D70" i="1"/>
  <c r="J206" i="46" l="1"/>
  <c r="M111" i="46"/>
  <c r="M55" i="46"/>
  <c r="M39" i="8"/>
  <c r="M71" i="46"/>
  <c r="M197" i="46"/>
  <c r="M40" i="46"/>
  <c r="M63" i="46"/>
  <c r="M188" i="46"/>
  <c r="M47" i="46"/>
  <c r="M163" i="46"/>
  <c r="I48" i="46"/>
  <c r="O39" i="46"/>
  <c r="N197" i="46"/>
  <c r="N47" i="46"/>
  <c r="N188" i="46"/>
  <c r="N111" i="46"/>
  <c r="N40" i="46"/>
  <c r="N163" i="46"/>
  <c r="N63" i="46"/>
  <c r="N39" i="8"/>
  <c r="N55" i="46"/>
  <c r="N71" i="46"/>
  <c r="P206" i="46"/>
  <c r="J131" i="46"/>
  <c r="K176" i="46"/>
  <c r="K144" i="46"/>
  <c r="K123" i="46"/>
  <c r="K76" i="46"/>
  <c r="K44" i="46"/>
  <c r="K194" i="46"/>
  <c r="K160" i="46"/>
  <c r="K142" i="46"/>
  <c r="K100" i="46"/>
  <c r="K20" i="46"/>
  <c r="K115" i="46"/>
  <c r="K68" i="46"/>
  <c r="K185" i="46"/>
  <c r="K145" i="46"/>
  <c r="K141" i="46"/>
  <c r="K52" i="46"/>
  <c r="K60" i="46"/>
  <c r="K168" i="46"/>
  <c r="K143" i="46"/>
  <c r="J19" i="48"/>
  <c r="K19" i="49"/>
  <c r="K6" i="48"/>
  <c r="L4" i="46"/>
  <c r="K10" i="46"/>
  <c r="K7" i="46"/>
  <c r="K6" i="46"/>
  <c r="J84" i="46"/>
  <c r="J36" i="46"/>
  <c r="K9" i="48"/>
  <c r="K7" i="48"/>
  <c r="K19" i="50"/>
  <c r="J202" i="46"/>
  <c r="L6" i="50"/>
  <c r="L7" i="50"/>
  <c r="L8" i="50"/>
  <c r="L9" i="50"/>
  <c r="M4" i="50"/>
  <c r="L6" i="49"/>
  <c r="L7" i="49"/>
  <c r="M4" i="49"/>
  <c r="L8" i="49"/>
  <c r="L8" i="48" s="1"/>
  <c r="L4" i="48"/>
  <c r="L9" i="49"/>
  <c r="E82" i="7"/>
  <c r="F82" i="7" s="1"/>
  <c r="G82" i="7" s="1"/>
  <c r="H82" i="7" s="1"/>
  <c r="I82" i="7" s="1"/>
  <c r="J82" i="7" s="1"/>
  <c r="K82" i="7" s="1"/>
  <c r="L82" i="7" s="1"/>
  <c r="M82" i="7" s="1"/>
  <c r="N82" i="7" s="1"/>
  <c r="O82" i="7" s="1"/>
  <c r="P82" i="7" s="1"/>
  <c r="Q82" i="7" s="1"/>
  <c r="R82" i="7" s="1"/>
  <c r="S82" i="7" s="1"/>
  <c r="T82" i="7" s="1"/>
  <c r="U82" i="7" s="1"/>
  <c r="V82" i="7" s="1"/>
  <c r="W82" i="7" s="1"/>
  <c r="X82" i="7" s="1"/>
  <c r="J10" i="38"/>
  <c r="D33" i="20"/>
  <c r="D34" i="20"/>
  <c r="D30" i="20"/>
  <c r="D20" i="20"/>
  <c r="D21" i="20"/>
  <c r="D22" i="20"/>
  <c r="D23" i="20"/>
  <c r="D24" i="20"/>
  <c r="D25" i="20"/>
  <c r="D16" i="20"/>
  <c r="D13" i="20"/>
  <c r="D12" i="20"/>
  <c r="D6" i="20"/>
  <c r="D7" i="20"/>
  <c r="D8" i="20"/>
  <c r="D9" i="20"/>
  <c r="C28" i="20"/>
  <c r="C10" i="20"/>
  <c r="P56" i="24"/>
  <c r="O56" i="24"/>
  <c r="N56" i="24"/>
  <c r="M56" i="24"/>
  <c r="L56" i="24"/>
  <c r="K56" i="24"/>
  <c r="J56" i="24"/>
  <c r="I56" i="24"/>
  <c r="H56" i="24"/>
  <c r="G56" i="24"/>
  <c r="F56" i="24"/>
  <c r="N179" i="46" l="1"/>
  <c r="N171" i="46"/>
  <c r="N40" i="8"/>
  <c r="N164" i="46"/>
  <c r="N56" i="46"/>
  <c r="N112" i="46"/>
  <c r="N198" i="46"/>
  <c r="N72" i="46"/>
  <c r="N189" i="46"/>
  <c r="N64" i="46"/>
  <c r="O71" i="46"/>
  <c r="O188" i="46"/>
  <c r="O63" i="46"/>
  <c r="O163" i="46"/>
  <c r="O40" i="46"/>
  <c r="O47" i="46"/>
  <c r="O55" i="46"/>
  <c r="O39" i="8"/>
  <c r="O111" i="46"/>
  <c r="O197" i="46"/>
  <c r="I172" i="46"/>
  <c r="I180" i="46"/>
  <c r="M72" i="46"/>
  <c r="M189" i="46"/>
  <c r="M64" i="46"/>
  <c r="M164" i="46"/>
  <c r="M56" i="46"/>
  <c r="M112" i="46"/>
  <c r="M40" i="8"/>
  <c r="M198" i="46"/>
  <c r="K48" i="46"/>
  <c r="M171" i="46"/>
  <c r="M179" i="46"/>
  <c r="K131" i="46"/>
  <c r="L168" i="46"/>
  <c r="L143" i="46"/>
  <c r="L115" i="46"/>
  <c r="L68" i="46"/>
  <c r="L185" i="46"/>
  <c r="L145" i="46"/>
  <c r="L141" i="46"/>
  <c r="L52" i="46"/>
  <c r="L142" i="46"/>
  <c r="L20" i="46"/>
  <c r="L176" i="46"/>
  <c r="L144" i="46"/>
  <c r="L123" i="46"/>
  <c r="L76" i="46"/>
  <c r="L44" i="46"/>
  <c r="L194" i="46"/>
  <c r="L160" i="46"/>
  <c r="L100" i="46"/>
  <c r="L60" i="46"/>
  <c r="L9" i="48"/>
  <c r="L7" i="48"/>
  <c r="M9" i="50"/>
  <c r="M6" i="50"/>
  <c r="N4" i="50"/>
  <c r="M7" i="50"/>
  <c r="M8" i="50"/>
  <c r="L19" i="50"/>
  <c r="K19" i="48"/>
  <c r="K36" i="46"/>
  <c r="K84" i="46"/>
  <c r="L10" i="46"/>
  <c r="L7" i="46"/>
  <c r="L6" i="46"/>
  <c r="M4" i="46"/>
  <c r="M9" i="49"/>
  <c r="N4" i="49"/>
  <c r="M6" i="49"/>
  <c r="M7" i="49"/>
  <c r="M8" i="49"/>
  <c r="M8" i="48" s="1"/>
  <c r="M4" i="48"/>
  <c r="L6" i="48"/>
  <c r="L19" i="49"/>
  <c r="K202" i="46"/>
  <c r="E103" i="37"/>
  <c r="F103" i="37" s="1"/>
  <c r="G103" i="37" s="1"/>
  <c r="H103" i="37" s="1"/>
  <c r="I103" i="37" s="1"/>
  <c r="J103" i="37" s="1"/>
  <c r="K103" i="37" s="1"/>
  <c r="L103" i="37" s="1"/>
  <c r="M103" i="37" s="1"/>
  <c r="N103" i="37" s="1"/>
  <c r="O103" i="37" s="1"/>
  <c r="P103" i="37" s="1"/>
  <c r="Q103" i="37" s="1"/>
  <c r="R103" i="37" s="1"/>
  <c r="S103" i="37" s="1"/>
  <c r="T103" i="37" s="1"/>
  <c r="U103" i="37" s="1"/>
  <c r="V103" i="37" s="1"/>
  <c r="W103" i="37" s="1"/>
  <c r="X103" i="37" s="1"/>
  <c r="Y103" i="37" s="1"/>
  <c r="Z103" i="37" s="1"/>
  <c r="AA103" i="37" s="1"/>
  <c r="AB103" i="37" s="1"/>
  <c r="AC103" i="37" s="1"/>
  <c r="AD103" i="37" s="1"/>
  <c r="AE103" i="37" s="1"/>
  <c r="AF103" i="37" s="1"/>
  <c r="AG103" i="37" s="1"/>
  <c r="I206" i="46" l="1"/>
  <c r="O56" i="46"/>
  <c r="O112" i="46"/>
  <c r="O198" i="46"/>
  <c r="O72" i="46"/>
  <c r="O189" i="46"/>
  <c r="O64" i="46"/>
  <c r="O40" i="8"/>
  <c r="O164" i="46"/>
  <c r="K180" i="46"/>
  <c r="K172" i="46"/>
  <c r="L48" i="46"/>
  <c r="O171" i="46"/>
  <c r="O179" i="46"/>
  <c r="M194" i="46"/>
  <c r="M160" i="46"/>
  <c r="M142" i="46"/>
  <c r="M100" i="46"/>
  <c r="M60" i="46"/>
  <c r="M20" i="46"/>
  <c r="M176" i="46"/>
  <c r="M144" i="46"/>
  <c r="M76" i="46"/>
  <c r="M52" i="46"/>
  <c r="M168" i="46"/>
  <c r="M143" i="46"/>
  <c r="M115" i="46"/>
  <c r="M68" i="46"/>
  <c r="M123" i="46"/>
  <c r="M44" i="46"/>
  <c r="M185" i="46"/>
  <c r="M145" i="46"/>
  <c r="M141" i="46"/>
  <c r="M19" i="50"/>
  <c r="L19" i="48"/>
  <c r="M6" i="48"/>
  <c r="M19" i="49"/>
  <c r="N8" i="50"/>
  <c r="N9" i="50"/>
  <c r="O4" i="50"/>
  <c r="N6" i="50"/>
  <c r="N7" i="50"/>
  <c r="M7" i="48"/>
  <c r="L84" i="46"/>
  <c r="L36" i="46"/>
  <c r="L131" i="46"/>
  <c r="L202" i="46"/>
  <c r="N8" i="49"/>
  <c r="N8" i="48" s="1"/>
  <c r="N4" i="48"/>
  <c r="N9" i="49"/>
  <c r="O4" i="49"/>
  <c r="N6" i="49"/>
  <c r="N7" i="49"/>
  <c r="M9" i="48"/>
  <c r="N4" i="46"/>
  <c r="M6" i="46"/>
  <c r="M10" i="46"/>
  <c r="M7" i="46"/>
  <c r="D81" i="1"/>
  <c r="D80" i="1"/>
  <c r="D68" i="1"/>
  <c r="D67" i="1"/>
  <c r="D65" i="1"/>
  <c r="D54" i="1"/>
  <c r="D53" i="1"/>
  <c r="D52" i="1"/>
  <c r="D51" i="1"/>
  <c r="D43" i="1"/>
  <c r="D42" i="1"/>
  <c r="D41" i="1"/>
  <c r="D40" i="1"/>
  <c r="D39" i="1"/>
  <c r="D37" i="1"/>
  <c r="D36" i="1"/>
  <c r="D35" i="1"/>
  <c r="D34" i="1"/>
  <c r="D33" i="1"/>
  <c r="D32" i="1"/>
  <c r="B41" i="43"/>
  <c r="F31" i="43"/>
  <c r="E31" i="43"/>
  <c r="D31" i="43"/>
  <c r="C30" i="43"/>
  <c r="J2" i="43"/>
  <c r="D2" i="43"/>
  <c r="E2" i="43" s="1"/>
  <c r="M1" i="43"/>
  <c r="J1" i="43"/>
  <c r="G1" i="43"/>
  <c r="D1" i="43"/>
  <c r="W27" i="38"/>
  <c r="F5" i="1"/>
  <c r="D206" i="8"/>
  <c r="D205" i="8"/>
  <c r="D204" i="8"/>
  <c r="D203" i="8"/>
  <c r="D198" i="8"/>
  <c r="D197" i="8"/>
  <c r="D196" i="8"/>
  <c r="D195" i="8"/>
  <c r="D189" i="8"/>
  <c r="D188" i="8"/>
  <c r="D187" i="8"/>
  <c r="D186" i="8"/>
  <c r="D180" i="8"/>
  <c r="D179" i="8"/>
  <c r="D178" i="8"/>
  <c r="D177" i="8"/>
  <c r="D172" i="8"/>
  <c r="D171" i="8"/>
  <c r="D170" i="8"/>
  <c r="D169" i="8"/>
  <c r="D164" i="8"/>
  <c r="D163" i="8"/>
  <c r="D162" i="8"/>
  <c r="D161" i="8"/>
  <c r="D153" i="8"/>
  <c r="D152" i="8"/>
  <c r="D151" i="8"/>
  <c r="D150" i="8"/>
  <c r="D135" i="8"/>
  <c r="D134" i="8"/>
  <c r="D133" i="8"/>
  <c r="D132" i="8"/>
  <c r="D127" i="8"/>
  <c r="D126" i="8"/>
  <c r="D125" i="8"/>
  <c r="D124" i="8"/>
  <c r="D119" i="8"/>
  <c r="D118" i="8"/>
  <c r="D117" i="8"/>
  <c r="D116" i="8"/>
  <c r="D112" i="8"/>
  <c r="D111" i="8"/>
  <c r="D110" i="8"/>
  <c r="D109" i="8"/>
  <c r="D104" i="8"/>
  <c r="D103" i="8"/>
  <c r="D102" i="8"/>
  <c r="D101" i="8"/>
  <c r="D96" i="8"/>
  <c r="D95" i="8"/>
  <c r="D94" i="8"/>
  <c r="D93" i="8"/>
  <c r="D88" i="8"/>
  <c r="D87" i="8"/>
  <c r="D86" i="8"/>
  <c r="D85" i="8"/>
  <c r="D80" i="8"/>
  <c r="D79" i="8"/>
  <c r="D78" i="8"/>
  <c r="D77" i="8"/>
  <c r="D72" i="8"/>
  <c r="D71" i="8"/>
  <c r="D70" i="8"/>
  <c r="D69" i="8"/>
  <c r="D64" i="8"/>
  <c r="D63" i="8"/>
  <c r="D62" i="8"/>
  <c r="D61" i="8"/>
  <c r="D56" i="8"/>
  <c r="D55" i="8"/>
  <c r="D54" i="8"/>
  <c r="D53" i="8"/>
  <c r="D48" i="8"/>
  <c r="D47" i="8"/>
  <c r="D46" i="8"/>
  <c r="D45" i="8"/>
  <c r="D40" i="8"/>
  <c r="D39" i="8"/>
  <c r="D38" i="8"/>
  <c r="D37" i="8"/>
  <c r="D32" i="8"/>
  <c r="D31" i="8"/>
  <c r="D30" i="8"/>
  <c r="D29" i="8"/>
  <c r="AB84" i="37"/>
  <c r="AA84" i="37"/>
  <c r="Z84" i="37"/>
  <c r="Y84" i="37"/>
  <c r="X84" i="37"/>
  <c r="W84" i="37"/>
  <c r="V84" i="37"/>
  <c r="U84" i="37"/>
  <c r="T84" i="37"/>
  <c r="S84" i="37"/>
  <c r="R84" i="37"/>
  <c r="Q84" i="37"/>
  <c r="P84" i="37"/>
  <c r="O84" i="37"/>
  <c r="N84" i="37"/>
  <c r="M84" i="37"/>
  <c r="L84" i="37"/>
  <c r="K84" i="37"/>
  <c r="J84" i="37"/>
  <c r="I84" i="37"/>
  <c r="H84" i="37"/>
  <c r="G84" i="37"/>
  <c r="F84" i="37"/>
  <c r="E84" i="37"/>
  <c r="D84" i="37"/>
  <c r="AB74" i="37"/>
  <c r="AA74" i="37"/>
  <c r="Z74" i="37"/>
  <c r="Y74" i="37"/>
  <c r="X74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AB72" i="37"/>
  <c r="AA72" i="37"/>
  <c r="Z72" i="37"/>
  <c r="Y72" i="37"/>
  <c r="X72" i="37"/>
  <c r="W72" i="37"/>
  <c r="V72" i="37"/>
  <c r="U72" i="37"/>
  <c r="T72" i="37"/>
  <c r="S72" i="37"/>
  <c r="R72" i="37"/>
  <c r="Q72" i="37"/>
  <c r="P72" i="37"/>
  <c r="O72" i="37"/>
  <c r="N72" i="37"/>
  <c r="M72" i="37"/>
  <c r="L72" i="37"/>
  <c r="K72" i="37"/>
  <c r="J72" i="37"/>
  <c r="I72" i="37"/>
  <c r="H72" i="37"/>
  <c r="G72" i="37"/>
  <c r="F72" i="37"/>
  <c r="E72" i="37"/>
  <c r="D72" i="37"/>
  <c r="D59" i="37"/>
  <c r="D44" i="37"/>
  <c r="D46" i="37" s="1"/>
  <c r="D31" i="37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B36" i="40"/>
  <c r="AA36" i="40"/>
  <c r="Z36" i="40"/>
  <c r="Y36" i="40"/>
  <c r="X36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AB35" i="40"/>
  <c r="AA35" i="40"/>
  <c r="Z35" i="40"/>
  <c r="Y35" i="40"/>
  <c r="X35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AB34" i="40"/>
  <c r="AA34" i="40"/>
  <c r="Z34" i="40"/>
  <c r="Y34" i="40"/>
  <c r="X34" i="40"/>
  <c r="W34" i="40"/>
  <c r="V34" i="40"/>
  <c r="U34" i="40"/>
  <c r="T34" i="40"/>
  <c r="S34" i="40"/>
  <c r="R34" i="40"/>
  <c r="Q34" i="40"/>
  <c r="P34" i="40"/>
  <c r="O34" i="40"/>
  <c r="N34" i="40"/>
  <c r="M34" i="40"/>
  <c r="L34" i="40"/>
  <c r="K34" i="40"/>
  <c r="J34" i="40"/>
  <c r="I34" i="40"/>
  <c r="H34" i="40"/>
  <c r="G34" i="40"/>
  <c r="F34" i="40"/>
  <c r="E34" i="40"/>
  <c r="AB33" i="40"/>
  <c r="AA33" i="40"/>
  <c r="Z33" i="40"/>
  <c r="Y33" i="40"/>
  <c r="X33" i="40"/>
  <c r="W33" i="40"/>
  <c r="V33" i="40"/>
  <c r="U33" i="40"/>
  <c r="T33" i="40"/>
  <c r="S33" i="40"/>
  <c r="R33" i="40"/>
  <c r="Q33" i="40"/>
  <c r="P33" i="40"/>
  <c r="O33" i="40"/>
  <c r="N33" i="40"/>
  <c r="M33" i="40"/>
  <c r="L33" i="40"/>
  <c r="K33" i="40"/>
  <c r="J33" i="40"/>
  <c r="I33" i="40"/>
  <c r="H33" i="40"/>
  <c r="G33" i="40"/>
  <c r="F33" i="40"/>
  <c r="E33" i="40"/>
  <c r="D36" i="40"/>
  <c r="D35" i="40"/>
  <c r="D34" i="40"/>
  <c r="D33" i="40"/>
  <c r="AB14" i="40"/>
  <c r="AA14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B12" i="40"/>
  <c r="B11" i="40"/>
  <c r="J2" i="40"/>
  <c r="D2" i="40"/>
  <c r="M1" i="40"/>
  <c r="J1" i="40"/>
  <c r="G1" i="40"/>
  <c r="D1" i="40"/>
  <c r="B41" i="39"/>
  <c r="F31" i="39"/>
  <c r="E31" i="39"/>
  <c r="D31" i="39"/>
  <c r="C30" i="39"/>
  <c r="J2" i="39"/>
  <c r="D2" i="39"/>
  <c r="E2" i="39" s="1"/>
  <c r="M1" i="39"/>
  <c r="J1" i="39"/>
  <c r="G1" i="39"/>
  <c r="D1" i="39"/>
  <c r="H78" i="38"/>
  <c r="H71" i="38"/>
  <c r="H62" i="38"/>
  <c r="H55" i="38"/>
  <c r="H50" i="38"/>
  <c r="H49" i="38"/>
  <c r="H48" i="38"/>
  <c r="H47" i="38"/>
  <c r="H46" i="38"/>
  <c r="G46" i="38"/>
  <c r="AG45" i="38"/>
  <c r="AF45" i="38"/>
  <c r="AE45" i="38"/>
  <c r="AD45" i="38"/>
  <c r="AC45" i="38"/>
  <c r="AB45" i="38"/>
  <c r="AA45" i="38"/>
  <c r="Z45" i="38"/>
  <c r="Y45" i="38"/>
  <c r="X45" i="38"/>
  <c r="W45" i="38"/>
  <c r="V45" i="38"/>
  <c r="U45" i="38"/>
  <c r="T45" i="38"/>
  <c r="S45" i="38"/>
  <c r="R45" i="38"/>
  <c r="Q45" i="38"/>
  <c r="P45" i="38"/>
  <c r="O45" i="38"/>
  <c r="N45" i="38"/>
  <c r="H41" i="38"/>
  <c r="H40" i="38"/>
  <c r="H39" i="38"/>
  <c r="H38" i="38"/>
  <c r="H37" i="38"/>
  <c r="G37" i="38"/>
  <c r="AG36" i="38"/>
  <c r="AF36" i="38"/>
  <c r="AE36" i="38"/>
  <c r="AD36" i="38"/>
  <c r="AC36" i="38"/>
  <c r="AB36" i="38"/>
  <c r="AA36" i="38"/>
  <c r="Z36" i="38"/>
  <c r="Y36" i="38"/>
  <c r="X36" i="38"/>
  <c r="W36" i="38"/>
  <c r="V36" i="38"/>
  <c r="U36" i="38"/>
  <c r="T36" i="38"/>
  <c r="S36" i="38"/>
  <c r="R36" i="38"/>
  <c r="Q36" i="38"/>
  <c r="P36" i="38"/>
  <c r="O36" i="38"/>
  <c r="N36" i="38"/>
  <c r="H32" i="38"/>
  <c r="H31" i="38"/>
  <c r="H30" i="38"/>
  <c r="H29" i="38"/>
  <c r="H28" i="38"/>
  <c r="G28" i="38"/>
  <c r="AG27" i="38"/>
  <c r="AF27" i="38"/>
  <c r="AE27" i="38"/>
  <c r="AD27" i="38"/>
  <c r="AC27" i="38"/>
  <c r="AB27" i="38"/>
  <c r="AA27" i="38"/>
  <c r="Z27" i="38"/>
  <c r="Y27" i="38"/>
  <c r="X27" i="38"/>
  <c r="V27" i="38"/>
  <c r="U27" i="38"/>
  <c r="T27" i="38"/>
  <c r="S27" i="38"/>
  <c r="R27" i="38"/>
  <c r="Q27" i="38"/>
  <c r="P27" i="38"/>
  <c r="O27" i="38"/>
  <c r="N27" i="38"/>
  <c r="H23" i="38"/>
  <c r="H17" i="38"/>
  <c r="X15" i="38"/>
  <c r="H16" i="38"/>
  <c r="G16" i="38"/>
  <c r="AG15" i="38"/>
  <c r="AC15" i="38"/>
  <c r="U15" i="38"/>
  <c r="Q15" i="38"/>
  <c r="M39" i="38"/>
  <c r="D41" i="37" s="1"/>
  <c r="D42" i="37" s="1"/>
  <c r="N7" i="38"/>
  <c r="C2" i="38"/>
  <c r="C1" i="38"/>
  <c r="D100" i="37"/>
  <c r="J2" i="37"/>
  <c r="D2" i="37"/>
  <c r="E2" i="37" s="1"/>
  <c r="M1" i="37"/>
  <c r="J1" i="37"/>
  <c r="G1" i="37"/>
  <c r="D1" i="37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I9" i="36"/>
  <c r="J9" i="36" s="1"/>
  <c r="K9" i="36" s="1"/>
  <c r="E9" i="36"/>
  <c r="F9" i="36" s="1"/>
  <c r="G9" i="36" s="1"/>
  <c r="J2" i="36"/>
  <c r="D2" i="36"/>
  <c r="E2" i="36" s="1"/>
  <c r="M1" i="36"/>
  <c r="J1" i="36"/>
  <c r="G1" i="36"/>
  <c r="D1" i="36"/>
  <c r="D40" i="33"/>
  <c r="E4" i="33"/>
  <c r="AC44" i="35"/>
  <c r="AB44" i="35"/>
  <c r="AA44" i="35"/>
  <c r="Z44" i="35"/>
  <c r="Y44" i="35"/>
  <c r="X44" i="35"/>
  <c r="W44" i="35"/>
  <c r="V44" i="35"/>
  <c r="AC37" i="35"/>
  <c r="AB37" i="35"/>
  <c r="AA37" i="35"/>
  <c r="Z37" i="35"/>
  <c r="Y37" i="35"/>
  <c r="X37" i="35"/>
  <c r="W37" i="35"/>
  <c r="V37" i="35"/>
  <c r="AC35" i="35"/>
  <c r="AB35" i="35"/>
  <c r="AA35" i="35"/>
  <c r="Z35" i="35"/>
  <c r="Y35" i="35"/>
  <c r="X35" i="35"/>
  <c r="W35" i="35"/>
  <c r="V35" i="35"/>
  <c r="AC23" i="35"/>
  <c r="AB23" i="35"/>
  <c r="AA23" i="35"/>
  <c r="Z23" i="35"/>
  <c r="Y23" i="35"/>
  <c r="X23" i="35"/>
  <c r="W23" i="35"/>
  <c r="V23" i="35"/>
  <c r="C16" i="35"/>
  <c r="C15" i="35"/>
  <c r="E5" i="35"/>
  <c r="F4" i="35"/>
  <c r="I2" i="35"/>
  <c r="E6" i="35" s="1"/>
  <c r="E19" i="35" s="1"/>
  <c r="D2" i="35"/>
  <c r="L1" i="35"/>
  <c r="I1" i="35"/>
  <c r="D1" i="35"/>
  <c r="C21" i="34"/>
  <c r="C16" i="34"/>
  <c r="C15" i="34"/>
  <c r="E5" i="34"/>
  <c r="F4" i="34"/>
  <c r="G4" i="34" s="1"/>
  <c r="I2" i="34"/>
  <c r="E7" i="34" s="1"/>
  <c r="D2" i="34"/>
  <c r="L1" i="34"/>
  <c r="I1" i="34"/>
  <c r="D1" i="34"/>
  <c r="C24" i="33"/>
  <c r="C16" i="33"/>
  <c r="C15" i="33"/>
  <c r="J2" i="33"/>
  <c r="D2" i="33"/>
  <c r="E2" i="33" s="1"/>
  <c r="M1" i="33"/>
  <c r="J1" i="33"/>
  <c r="G1" i="33"/>
  <c r="D1" i="33"/>
  <c r="AC41" i="31"/>
  <c r="AB41" i="31"/>
  <c r="AA41" i="31"/>
  <c r="Z41" i="31"/>
  <c r="Y41" i="31"/>
  <c r="X41" i="31"/>
  <c r="W41" i="31"/>
  <c r="V41" i="31"/>
  <c r="U41" i="31"/>
  <c r="T41" i="31"/>
  <c r="S41" i="31"/>
  <c r="E253" i="20"/>
  <c r="D254" i="20"/>
  <c r="E235" i="20"/>
  <c r="D236" i="20"/>
  <c r="E208" i="20"/>
  <c r="D209" i="20"/>
  <c r="D164" i="20"/>
  <c r="E163" i="20"/>
  <c r="E145" i="20"/>
  <c r="D146" i="20"/>
  <c r="E118" i="20"/>
  <c r="E100" i="20"/>
  <c r="E55" i="20"/>
  <c r="S11" i="32"/>
  <c r="R11" i="32"/>
  <c r="A9" i="32"/>
  <c r="E4" i="32"/>
  <c r="D2" i="32"/>
  <c r="E2" i="32" s="1"/>
  <c r="J1" i="32"/>
  <c r="D1" i="32"/>
  <c r="AC52" i="31"/>
  <c r="AB52" i="31"/>
  <c r="AC50" i="31" s="1"/>
  <c r="AA52" i="31"/>
  <c r="AB50" i="31" s="1"/>
  <c r="Z52" i="31"/>
  <c r="AA50" i="31" s="1"/>
  <c r="Y52" i="31"/>
  <c r="Z50" i="31" s="1"/>
  <c r="X52" i="31"/>
  <c r="Y50" i="31" s="1"/>
  <c r="W52" i="31"/>
  <c r="X50" i="31" s="1"/>
  <c r="V52" i="31"/>
  <c r="W50" i="31" s="1"/>
  <c r="U52" i="31"/>
  <c r="V50" i="31" s="1"/>
  <c r="T52" i="31"/>
  <c r="U50" i="31" s="1"/>
  <c r="S52" i="31"/>
  <c r="T50" i="31" s="1"/>
  <c r="R52" i="31"/>
  <c r="S50" i="31" s="1"/>
  <c r="AC46" i="31"/>
  <c r="AB46" i="31"/>
  <c r="AA46" i="31"/>
  <c r="Z46" i="31"/>
  <c r="Y46" i="31"/>
  <c r="X46" i="31"/>
  <c r="W46" i="31"/>
  <c r="V46" i="31"/>
  <c r="AC44" i="31"/>
  <c r="AB44" i="31"/>
  <c r="AA44" i="31"/>
  <c r="Z44" i="31"/>
  <c r="Y44" i="31"/>
  <c r="X44" i="31"/>
  <c r="W44" i="31"/>
  <c r="V44" i="31"/>
  <c r="AC37" i="31"/>
  <c r="AB37" i="31"/>
  <c r="AA37" i="31"/>
  <c r="Z37" i="31"/>
  <c r="Y37" i="31"/>
  <c r="X37" i="31"/>
  <c r="W37" i="31"/>
  <c r="V37" i="31"/>
  <c r="AC35" i="31"/>
  <c r="AB35" i="31"/>
  <c r="AA35" i="31"/>
  <c r="Z35" i="31"/>
  <c r="Y35" i="31"/>
  <c r="X35" i="31"/>
  <c r="W35" i="31"/>
  <c r="V35" i="31"/>
  <c r="AC32" i="31"/>
  <c r="AB32" i="31"/>
  <c r="AA32" i="31"/>
  <c r="Z32" i="31"/>
  <c r="Y32" i="31"/>
  <c r="X32" i="31"/>
  <c r="W32" i="31"/>
  <c r="V32" i="31"/>
  <c r="U32" i="31"/>
  <c r="T32" i="31"/>
  <c r="S32" i="31"/>
  <c r="AC26" i="31"/>
  <c r="AB26" i="31"/>
  <c r="AA26" i="31"/>
  <c r="Z26" i="31"/>
  <c r="Y26" i="31"/>
  <c r="X26" i="31"/>
  <c r="W26" i="31"/>
  <c r="V26" i="31"/>
  <c r="U26" i="31"/>
  <c r="T26" i="31"/>
  <c r="S26" i="31"/>
  <c r="AC25" i="31"/>
  <c r="AB25" i="31"/>
  <c r="AA25" i="31"/>
  <c r="Z25" i="31"/>
  <c r="Y25" i="31"/>
  <c r="X25" i="31"/>
  <c r="W25" i="31"/>
  <c r="V25" i="31"/>
  <c r="AC23" i="31"/>
  <c r="AB23" i="31"/>
  <c r="AA23" i="31"/>
  <c r="Z23" i="31"/>
  <c r="Y23" i="31"/>
  <c r="X23" i="31"/>
  <c r="W23" i="31"/>
  <c r="V23" i="31"/>
  <c r="C16" i="31"/>
  <c r="C15" i="31"/>
  <c r="E5" i="31"/>
  <c r="F4" i="31"/>
  <c r="I2" i="31"/>
  <c r="E7" i="31" s="1"/>
  <c r="D2" i="31"/>
  <c r="L1" i="31"/>
  <c r="I1" i="31"/>
  <c r="D1" i="31"/>
  <c r="C21" i="30"/>
  <c r="C16" i="30"/>
  <c r="C15" i="30"/>
  <c r="E5" i="30"/>
  <c r="F4" i="30"/>
  <c r="I2" i="30"/>
  <c r="E7" i="30" s="1"/>
  <c r="D2" i="30"/>
  <c r="L1" i="30"/>
  <c r="I1" i="30"/>
  <c r="D1" i="30"/>
  <c r="K88" i="29"/>
  <c r="D85" i="29"/>
  <c r="D61" i="29"/>
  <c r="D55" i="29"/>
  <c r="D28" i="29"/>
  <c r="D33" i="29" s="1"/>
  <c r="D37" i="29" s="1"/>
  <c r="D41" i="29" s="1"/>
  <c r="D46" i="29" s="1"/>
  <c r="D65" i="29" s="1"/>
  <c r="C24" i="29"/>
  <c r="C16" i="29"/>
  <c r="C15" i="29"/>
  <c r="E4" i="29"/>
  <c r="J2" i="29"/>
  <c r="D2" i="29"/>
  <c r="E2" i="29" s="1"/>
  <c r="M1" i="29"/>
  <c r="J1" i="29"/>
  <c r="G1" i="29"/>
  <c r="D1" i="29"/>
  <c r="J2" i="11"/>
  <c r="J2" i="21"/>
  <c r="J2" i="22"/>
  <c r="I2" i="25"/>
  <c r="I2" i="24"/>
  <c r="J2" i="23"/>
  <c r="J2" i="10"/>
  <c r="M48" i="46" l="1"/>
  <c r="D33" i="37"/>
  <c r="L172" i="46"/>
  <c r="L180" i="46"/>
  <c r="K206" i="46"/>
  <c r="E17" i="32"/>
  <c r="N185" i="46"/>
  <c r="N145" i="46"/>
  <c r="N141" i="46"/>
  <c r="N52" i="46"/>
  <c r="N168" i="46"/>
  <c r="N143" i="46"/>
  <c r="N115" i="46"/>
  <c r="N123" i="46"/>
  <c r="N76" i="46"/>
  <c r="N44" i="46"/>
  <c r="N194" i="46"/>
  <c r="N160" i="46"/>
  <c r="N142" i="46"/>
  <c r="N100" i="46"/>
  <c r="N60" i="46"/>
  <c r="N20" i="46"/>
  <c r="N68" i="46"/>
  <c r="N176" i="46"/>
  <c r="N144" i="46"/>
  <c r="M131" i="46"/>
  <c r="N7" i="46"/>
  <c r="N6" i="46"/>
  <c r="N10" i="46"/>
  <c r="O4" i="46"/>
  <c r="N7" i="48"/>
  <c r="N19" i="50"/>
  <c r="M19" i="48"/>
  <c r="M84" i="46"/>
  <c r="M36" i="46"/>
  <c r="N9" i="48"/>
  <c r="O7" i="49"/>
  <c r="O8" i="49"/>
  <c r="O8" i="48" s="1"/>
  <c r="O4" i="48"/>
  <c r="O9" i="49"/>
  <c r="P4" i="49"/>
  <c r="O6" i="49"/>
  <c r="N6" i="48"/>
  <c r="N19" i="49"/>
  <c r="O7" i="50"/>
  <c r="O8" i="50"/>
  <c r="P4" i="50"/>
  <c r="O9" i="50"/>
  <c r="O6" i="50"/>
  <c r="M202" i="46"/>
  <c r="F32" i="38"/>
  <c r="F50" i="38"/>
  <c r="F41" i="38"/>
  <c r="D61" i="37"/>
  <c r="D28" i="39" s="1"/>
  <c r="M48" i="38"/>
  <c r="D56" i="37" s="1"/>
  <c r="D57" i="37" s="1"/>
  <c r="D64" i="37" s="1"/>
  <c r="P15" i="38"/>
  <c r="T15" i="38"/>
  <c r="Z15" i="38"/>
  <c r="AF15" i="38"/>
  <c r="W15" i="38"/>
  <c r="O15" i="38"/>
  <c r="S15" i="38"/>
  <c r="Y15" i="38"/>
  <c r="AE15" i="38"/>
  <c r="AB15" i="38"/>
  <c r="D18" i="37"/>
  <c r="N15" i="38"/>
  <c r="R15" i="38"/>
  <c r="V15" i="38"/>
  <c r="AD15" i="38"/>
  <c r="AA15" i="38"/>
  <c r="M30" i="38"/>
  <c r="D28" i="37" s="1"/>
  <c r="G7" i="34"/>
  <c r="G7" i="33" s="1"/>
  <c r="F8" i="35"/>
  <c r="E5" i="33"/>
  <c r="E10" i="34"/>
  <c r="E10" i="33" s="1"/>
  <c r="E8" i="35"/>
  <c r="E6" i="34"/>
  <c r="E6" i="33" s="1"/>
  <c r="E9" i="34"/>
  <c r="E18" i="34"/>
  <c r="F6" i="34"/>
  <c r="F6" i="33" s="1"/>
  <c r="E8" i="34"/>
  <c r="E8" i="33" s="1"/>
  <c r="E17" i="35"/>
  <c r="E9" i="35"/>
  <c r="D49" i="37"/>
  <c r="M18" i="38"/>
  <c r="D15" i="37" s="1"/>
  <c r="D16" i="37" s="1"/>
  <c r="M55" i="38"/>
  <c r="D73" i="37" s="1"/>
  <c r="O7" i="38"/>
  <c r="P7" i="38" s="1"/>
  <c r="Q7" i="38" s="1"/>
  <c r="R7" i="38" s="1"/>
  <c r="S7" i="38" s="1"/>
  <c r="T7" i="38" s="1"/>
  <c r="U7" i="38" s="1"/>
  <c r="V7" i="38" s="1"/>
  <c r="W7" i="38" s="1"/>
  <c r="X7" i="38" s="1"/>
  <c r="Y7" i="38" s="1"/>
  <c r="Z7" i="38" s="1"/>
  <c r="AA7" i="38" s="1"/>
  <c r="AB7" i="38" s="1"/>
  <c r="AC7" i="38" s="1"/>
  <c r="AD7" i="38" s="1"/>
  <c r="AE7" i="38" s="1"/>
  <c r="AF7" i="38" s="1"/>
  <c r="AG7" i="38" s="1"/>
  <c r="AH7" i="38" s="1"/>
  <c r="AI7" i="38" s="1"/>
  <c r="AJ7" i="38" s="1"/>
  <c r="AK7" i="38" s="1"/>
  <c r="AL7" i="38" s="1"/>
  <c r="AM7" i="38" s="1"/>
  <c r="AN7" i="38" s="1"/>
  <c r="AO7" i="38" s="1"/>
  <c r="AP7" i="38" s="1"/>
  <c r="D76" i="37"/>
  <c r="D45" i="37"/>
  <c r="F7" i="35"/>
  <c r="E7" i="33"/>
  <c r="G4" i="33"/>
  <c r="F4" i="33"/>
  <c r="G9" i="34"/>
  <c r="H4" i="34"/>
  <c r="H4" i="33" s="1"/>
  <c r="G6" i="34"/>
  <c r="G8" i="34"/>
  <c r="G8" i="33" s="1"/>
  <c r="F7" i="34"/>
  <c r="F8" i="34"/>
  <c r="F9" i="34"/>
  <c r="F9" i="35"/>
  <c r="G4" i="35"/>
  <c r="F6" i="35"/>
  <c r="E18" i="35"/>
  <c r="E10" i="35"/>
  <c r="E7" i="35"/>
  <c r="F6" i="31"/>
  <c r="F19" i="31" s="1"/>
  <c r="E9" i="30"/>
  <c r="F8" i="30"/>
  <c r="J2" i="32"/>
  <c r="E6" i="32"/>
  <c r="E10" i="32"/>
  <c r="F4" i="32"/>
  <c r="F17" i="32" s="1"/>
  <c r="E18" i="30"/>
  <c r="E10" i="30"/>
  <c r="E10" i="29" s="1"/>
  <c r="E5" i="29"/>
  <c r="E7" i="29"/>
  <c r="D70" i="29"/>
  <c r="D51" i="29"/>
  <c r="D60" i="29" s="1"/>
  <c r="F7" i="30"/>
  <c r="F9" i="30"/>
  <c r="G4" i="30"/>
  <c r="F6" i="30"/>
  <c r="F4" i="29"/>
  <c r="E8" i="30"/>
  <c r="E6" i="30"/>
  <c r="E6" i="31"/>
  <c r="E19" i="31" s="1"/>
  <c r="E17" i="31" s="1"/>
  <c r="E8" i="31"/>
  <c r="E9" i="31"/>
  <c r="F8" i="31"/>
  <c r="F9" i="31"/>
  <c r="G4" i="31"/>
  <c r="F7" i="31"/>
  <c r="E18" i="31"/>
  <c r="E10" i="31"/>
  <c r="L206" i="46" l="1"/>
  <c r="M180" i="46"/>
  <c r="M172" i="46"/>
  <c r="D20" i="37"/>
  <c r="D27" i="39" s="1"/>
  <c r="N48" i="46"/>
  <c r="N202" i="46"/>
  <c r="O176" i="46"/>
  <c r="O144" i="46"/>
  <c r="O123" i="46"/>
  <c r="O76" i="46"/>
  <c r="O44" i="46"/>
  <c r="O194" i="46"/>
  <c r="O160" i="46"/>
  <c r="O142" i="46"/>
  <c r="O60" i="46"/>
  <c r="O143" i="46"/>
  <c r="O185" i="46"/>
  <c r="O145" i="46"/>
  <c r="O141" i="46"/>
  <c r="O52" i="46"/>
  <c r="O100" i="46"/>
  <c r="O20" i="46"/>
  <c r="O168" i="46"/>
  <c r="O115" i="46"/>
  <c r="O68" i="46"/>
  <c r="N131" i="46"/>
  <c r="O19" i="50"/>
  <c r="N36" i="46"/>
  <c r="N84" i="46"/>
  <c r="N19" i="48"/>
  <c r="P4" i="46"/>
  <c r="O6" i="46"/>
  <c r="O10" i="46"/>
  <c r="O7" i="46"/>
  <c r="O19" i="49"/>
  <c r="O6" i="48"/>
  <c r="P6" i="50"/>
  <c r="P7" i="50"/>
  <c r="P9" i="50"/>
  <c r="P8" i="50"/>
  <c r="Q4" i="50"/>
  <c r="O9" i="48"/>
  <c r="P6" i="49"/>
  <c r="P7" i="49"/>
  <c r="P8" i="49"/>
  <c r="P8" i="48" s="1"/>
  <c r="P4" i="48"/>
  <c r="P9" i="49"/>
  <c r="Q4" i="49"/>
  <c r="O7" i="48"/>
  <c r="F17" i="38"/>
  <c r="F38" i="38"/>
  <c r="F47" i="38"/>
  <c r="F29" i="38"/>
  <c r="E18" i="33"/>
  <c r="F23" i="38"/>
  <c r="D60" i="37"/>
  <c r="D44" i="40" s="1"/>
  <c r="E58" i="34"/>
  <c r="D23" i="37"/>
  <c r="D29" i="37"/>
  <c r="D36" i="37" s="1"/>
  <c r="D32" i="37"/>
  <c r="D19" i="37"/>
  <c r="E32" i="34"/>
  <c r="E111" i="34"/>
  <c r="E123" i="34"/>
  <c r="E119" i="34"/>
  <c r="E98" i="34"/>
  <c r="E9" i="33"/>
  <c r="E76" i="34"/>
  <c r="E19" i="34"/>
  <c r="E17" i="34" s="1"/>
  <c r="E21" i="34" s="1"/>
  <c r="F19" i="33"/>
  <c r="E19" i="33"/>
  <c r="E17" i="33" s="1"/>
  <c r="F19" i="34"/>
  <c r="G76" i="34"/>
  <c r="F9" i="33"/>
  <c r="F7" i="33"/>
  <c r="F76" i="34"/>
  <c r="G9" i="33"/>
  <c r="F8" i="33"/>
  <c r="G6" i="33"/>
  <c r="H8" i="34"/>
  <c r="H8" i="33" s="1"/>
  <c r="H7" i="34"/>
  <c r="I4" i="34"/>
  <c r="I4" i="33" s="1"/>
  <c r="H9" i="34"/>
  <c r="H6" i="34"/>
  <c r="F19" i="35"/>
  <c r="E122" i="30"/>
  <c r="G8" i="35"/>
  <c r="G9" i="35"/>
  <c r="H4" i="35"/>
  <c r="G7" i="35"/>
  <c r="G6" i="35"/>
  <c r="F8" i="29"/>
  <c r="G19" i="34"/>
  <c r="E9" i="29"/>
  <c r="E62" i="30"/>
  <c r="E8" i="29"/>
  <c r="E97" i="30"/>
  <c r="E58" i="30"/>
  <c r="E118" i="30"/>
  <c r="E110" i="30"/>
  <c r="E32" i="30"/>
  <c r="F10" i="32"/>
  <c r="G4" i="32"/>
  <c r="G17" i="32" s="1"/>
  <c r="F7" i="32"/>
  <c r="F6" i="32"/>
  <c r="G8" i="31"/>
  <c r="G6" i="31"/>
  <c r="G7" i="31"/>
  <c r="G9" i="31"/>
  <c r="H4" i="31"/>
  <c r="E6" i="29"/>
  <c r="E19" i="30"/>
  <c r="E17" i="30" s="1"/>
  <c r="E21" i="30" s="1"/>
  <c r="F9" i="29"/>
  <c r="G6" i="30"/>
  <c r="G8" i="30"/>
  <c r="G9" i="30"/>
  <c r="H4" i="30"/>
  <c r="G7" i="30"/>
  <c r="G4" i="29"/>
  <c r="E18" i="29"/>
  <c r="F19" i="30"/>
  <c r="F6" i="29"/>
  <c r="F7" i="29"/>
  <c r="E4" i="14"/>
  <c r="X83" i="7"/>
  <c r="X85" i="7" s="1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W83" i="7"/>
  <c r="W85" i="7" s="1"/>
  <c r="V83" i="7"/>
  <c r="V85" i="7" s="1"/>
  <c r="U83" i="7"/>
  <c r="U85" i="7" s="1"/>
  <c r="T83" i="7"/>
  <c r="T85" i="7" s="1"/>
  <c r="S83" i="7"/>
  <c r="S85" i="7" s="1"/>
  <c r="R83" i="7"/>
  <c r="R85" i="7" s="1"/>
  <c r="Q83" i="7"/>
  <c r="Q85" i="7" s="1"/>
  <c r="P83" i="7"/>
  <c r="P85" i="7" s="1"/>
  <c r="O83" i="7"/>
  <c r="O85" i="7" s="1"/>
  <c r="N83" i="7"/>
  <c r="N85" i="7" s="1"/>
  <c r="M83" i="7"/>
  <c r="M85" i="7" s="1"/>
  <c r="L83" i="7"/>
  <c r="L85" i="7" s="1"/>
  <c r="K83" i="7"/>
  <c r="K85" i="7" s="1"/>
  <c r="J83" i="7"/>
  <c r="J85" i="7" s="1"/>
  <c r="I83" i="7"/>
  <c r="I85" i="7" s="1"/>
  <c r="H83" i="7"/>
  <c r="H85" i="7" s="1"/>
  <c r="G83" i="7"/>
  <c r="G85" i="7" s="1"/>
  <c r="F83" i="7"/>
  <c r="E83" i="7"/>
  <c r="D83" i="7"/>
  <c r="D95" i="37" l="1"/>
  <c r="M206" i="46"/>
  <c r="N180" i="46"/>
  <c r="N172" i="46"/>
  <c r="O131" i="46"/>
  <c r="P168" i="46"/>
  <c r="P143" i="46"/>
  <c r="P115" i="46"/>
  <c r="P68" i="46"/>
  <c r="P185" i="46"/>
  <c r="P145" i="46"/>
  <c r="P100" i="46"/>
  <c r="P60" i="46"/>
  <c r="P176" i="46"/>
  <c r="P144" i="46"/>
  <c r="P123" i="46"/>
  <c r="P76" i="46"/>
  <c r="P44" i="46"/>
  <c r="P141" i="46"/>
  <c r="P52" i="46"/>
  <c r="P194" i="46"/>
  <c r="P160" i="46"/>
  <c r="P142" i="46"/>
  <c r="P20" i="46"/>
  <c r="P9" i="48"/>
  <c r="P6" i="48"/>
  <c r="P19" i="49"/>
  <c r="P10" i="46"/>
  <c r="P7" i="46"/>
  <c r="P6" i="46"/>
  <c r="Q4" i="46"/>
  <c r="Q9" i="49"/>
  <c r="R4" i="49"/>
  <c r="Q6" i="49"/>
  <c r="Q7" i="49"/>
  <c r="Q8" i="49"/>
  <c r="Q8" i="48" s="1"/>
  <c r="Q4" i="48"/>
  <c r="P7" i="48"/>
  <c r="O202" i="46"/>
  <c r="Q9" i="50"/>
  <c r="Q6" i="50"/>
  <c r="Q8" i="50"/>
  <c r="Q7" i="50"/>
  <c r="R4" i="50"/>
  <c r="P19" i="50"/>
  <c r="O19" i="48"/>
  <c r="O36" i="46"/>
  <c r="O84" i="46"/>
  <c r="Q39" i="46"/>
  <c r="E24" i="33"/>
  <c r="D38" i="40"/>
  <c r="D40" i="40"/>
  <c r="H9" i="33"/>
  <c r="H7" i="33"/>
  <c r="H76" i="34"/>
  <c r="G19" i="33"/>
  <c r="H6" i="33"/>
  <c r="G8" i="29"/>
  <c r="G19" i="35"/>
  <c r="I7" i="34"/>
  <c r="J4" i="34"/>
  <c r="J4" i="33" s="1"/>
  <c r="I9" i="34"/>
  <c r="I6" i="34"/>
  <c r="I8" i="34"/>
  <c r="I8" i="33" s="1"/>
  <c r="H7" i="35"/>
  <c r="H8" i="35"/>
  <c r="H9" i="35"/>
  <c r="H6" i="35"/>
  <c r="I4" i="35"/>
  <c r="H19" i="34"/>
  <c r="H4" i="32"/>
  <c r="H17" i="32" s="1"/>
  <c r="G7" i="32"/>
  <c r="G10" i="32"/>
  <c r="G6" i="32"/>
  <c r="F19" i="29"/>
  <c r="G7" i="29"/>
  <c r="G19" i="30"/>
  <c r="G6" i="29"/>
  <c r="G19" i="31"/>
  <c r="G9" i="29"/>
  <c r="E19" i="29"/>
  <c r="E17" i="29" s="1"/>
  <c r="E24" i="29" s="1"/>
  <c r="H9" i="30"/>
  <c r="I4" i="30"/>
  <c r="H7" i="30"/>
  <c r="H8" i="30"/>
  <c r="H4" i="29"/>
  <c r="H6" i="30"/>
  <c r="H7" i="31"/>
  <c r="H9" i="31"/>
  <c r="I4" i="31"/>
  <c r="H6" i="31"/>
  <c r="H8" i="31"/>
  <c r="F4" i="14"/>
  <c r="G4" i="14" s="1"/>
  <c r="O48" i="46" l="1"/>
  <c r="N206" i="46"/>
  <c r="P131" i="46"/>
  <c r="Q194" i="46"/>
  <c r="Q160" i="46"/>
  <c r="Q142" i="46"/>
  <c r="Q100" i="46"/>
  <c r="Q60" i="46"/>
  <c r="Q20" i="46"/>
  <c r="Q176" i="46"/>
  <c r="Q144" i="46"/>
  <c r="Q123" i="46"/>
  <c r="Q44" i="46"/>
  <c r="Q141" i="46"/>
  <c r="Q168" i="46"/>
  <c r="Q143" i="46"/>
  <c r="Q115" i="46"/>
  <c r="Q68" i="46"/>
  <c r="Q76" i="46"/>
  <c r="Q185" i="46"/>
  <c r="Q145" i="46"/>
  <c r="Q92" i="46"/>
  <c r="Q52" i="46"/>
  <c r="R8" i="50"/>
  <c r="R9" i="50"/>
  <c r="S4" i="50"/>
  <c r="R7" i="50"/>
  <c r="R6" i="50"/>
  <c r="P19" i="48"/>
  <c r="Q19" i="50"/>
  <c r="Q6" i="48"/>
  <c r="Q19" i="49"/>
  <c r="Q7" i="48"/>
  <c r="R8" i="49"/>
  <c r="R8" i="48" s="1"/>
  <c r="R4" i="48"/>
  <c r="R9" i="49"/>
  <c r="R9" i="48" s="1"/>
  <c r="S4" i="49"/>
  <c r="R6" i="49"/>
  <c r="R7" i="49"/>
  <c r="R7" i="48" s="1"/>
  <c r="Q9" i="48"/>
  <c r="Q10" i="46"/>
  <c r="Q7" i="46"/>
  <c r="Q6" i="46"/>
  <c r="P84" i="46"/>
  <c r="P36" i="46"/>
  <c r="P202" i="46"/>
  <c r="I9" i="33"/>
  <c r="I7" i="33"/>
  <c r="I76" i="34"/>
  <c r="H19" i="33"/>
  <c r="I6" i="33"/>
  <c r="I6" i="35"/>
  <c r="I7" i="35"/>
  <c r="I9" i="35"/>
  <c r="J4" i="35"/>
  <c r="I8" i="35"/>
  <c r="J6" i="34"/>
  <c r="J8" i="34"/>
  <c r="J8" i="33" s="1"/>
  <c r="J7" i="34"/>
  <c r="K4" i="34"/>
  <c r="K4" i="33" s="1"/>
  <c r="J9" i="34"/>
  <c r="H8" i="29"/>
  <c r="H19" i="35"/>
  <c r="I19" i="34"/>
  <c r="H7" i="32"/>
  <c r="H6" i="32"/>
  <c r="H10" i="32"/>
  <c r="I4" i="32"/>
  <c r="I17" i="32" s="1"/>
  <c r="H19" i="30"/>
  <c r="H6" i="29"/>
  <c r="I8" i="30"/>
  <c r="I6" i="30"/>
  <c r="I7" i="30"/>
  <c r="I9" i="30"/>
  <c r="J4" i="30"/>
  <c r="I4" i="29"/>
  <c r="I6" i="31"/>
  <c r="I8" i="31"/>
  <c r="J4" i="31"/>
  <c r="I9" i="31"/>
  <c r="I7" i="31"/>
  <c r="H7" i="29"/>
  <c r="G19" i="29"/>
  <c r="H19" i="31"/>
  <c r="H9" i="29"/>
  <c r="H4" i="14"/>
  <c r="E5" i="13"/>
  <c r="E11" i="13" s="1"/>
  <c r="F4" i="13"/>
  <c r="G4" i="13" s="1"/>
  <c r="K2" i="13"/>
  <c r="E2" i="13"/>
  <c r="N1" i="13"/>
  <c r="K1" i="13"/>
  <c r="E1" i="13"/>
  <c r="D5" i="14"/>
  <c r="D11" i="14" s="1"/>
  <c r="J2" i="14"/>
  <c r="G7" i="14" s="1"/>
  <c r="D2" i="14"/>
  <c r="M1" i="14"/>
  <c r="J1" i="14"/>
  <c r="D1" i="14"/>
  <c r="D5" i="15"/>
  <c r="D11" i="15" s="1"/>
  <c r="E4" i="15"/>
  <c r="F4" i="15" s="1"/>
  <c r="J2" i="15"/>
  <c r="D2" i="15"/>
  <c r="M1" i="15"/>
  <c r="J1" i="15"/>
  <c r="D1" i="15"/>
  <c r="D5" i="7"/>
  <c r="D11" i="7" s="1"/>
  <c r="E4" i="7"/>
  <c r="F4" i="7" s="1"/>
  <c r="J2" i="7"/>
  <c r="D2" i="7"/>
  <c r="M1" i="7"/>
  <c r="J1" i="7"/>
  <c r="D1" i="7"/>
  <c r="D5" i="6"/>
  <c r="D11" i="6" s="1"/>
  <c r="E4" i="6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J2" i="6"/>
  <c r="D2" i="6"/>
  <c r="M1" i="6"/>
  <c r="J1" i="6"/>
  <c r="D1" i="6"/>
  <c r="D5" i="5"/>
  <c r="E4" i="5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J2" i="5"/>
  <c r="D6" i="5" s="1"/>
  <c r="D2" i="5"/>
  <c r="M1" i="5"/>
  <c r="J1" i="5"/>
  <c r="D1" i="5"/>
  <c r="O172" i="46" l="1"/>
  <c r="O180" i="46"/>
  <c r="S180" i="46" s="1"/>
  <c r="R19" i="50"/>
  <c r="S24" i="50"/>
  <c r="S189" i="46"/>
  <c r="S72" i="46"/>
  <c r="S195" i="46"/>
  <c r="S62" i="46"/>
  <c r="S170" i="46"/>
  <c r="S162" i="46"/>
  <c r="S77" i="46"/>
  <c r="S56" i="46"/>
  <c r="S64" i="46"/>
  <c r="S135" i="46"/>
  <c r="S80" i="46"/>
  <c r="S179" i="46"/>
  <c r="S54" i="46"/>
  <c r="S48" i="46"/>
  <c r="S70" i="46"/>
  <c r="S71" i="46"/>
  <c r="S53" i="46"/>
  <c r="S187" i="46"/>
  <c r="S102" i="46"/>
  <c r="S133" i="46"/>
  <c r="S32" i="46"/>
  <c r="S78" i="46"/>
  <c r="S204" i="46"/>
  <c r="S38" i="46"/>
  <c r="S132" i="46"/>
  <c r="S29" i="46"/>
  <c r="S171" i="46"/>
  <c r="S125" i="46"/>
  <c r="S161" i="46"/>
  <c r="S79" i="46"/>
  <c r="S46" i="46"/>
  <c r="S30" i="46"/>
  <c r="S47" i="46"/>
  <c r="S39" i="46"/>
  <c r="S61" i="46"/>
  <c r="S31" i="46"/>
  <c r="S198" i="46"/>
  <c r="S178" i="46"/>
  <c r="S124" i="46"/>
  <c r="S126" i="46"/>
  <c r="S16" i="46"/>
  <c r="S37" i="46"/>
  <c r="S164" i="46"/>
  <c r="S134" i="46"/>
  <c r="S69" i="46"/>
  <c r="S101" i="46"/>
  <c r="S127" i="46"/>
  <c r="S40" i="46"/>
  <c r="S196" i="46"/>
  <c r="Q19" i="48"/>
  <c r="S7" i="50"/>
  <c r="S8" i="50"/>
  <c r="S6" i="50"/>
  <c r="T4" i="50"/>
  <c r="S9" i="50"/>
  <c r="S7" i="49"/>
  <c r="S7" i="48" s="1"/>
  <c r="S8" i="49"/>
  <c r="S8" i="48" s="1"/>
  <c r="S4" i="48"/>
  <c r="S6" i="49"/>
  <c r="S9" i="49"/>
  <c r="S9" i="48" s="1"/>
  <c r="T4" i="49"/>
  <c r="Q84" i="46"/>
  <c r="Q36" i="46"/>
  <c r="R19" i="49"/>
  <c r="R6" i="48"/>
  <c r="R19" i="48" s="1"/>
  <c r="Q131" i="46"/>
  <c r="Q202" i="46"/>
  <c r="D23" i="6"/>
  <c r="D24" i="6"/>
  <c r="D23" i="7"/>
  <c r="D24" i="7"/>
  <c r="D23" i="15"/>
  <c r="D24" i="15"/>
  <c r="J7" i="33"/>
  <c r="J76" i="34"/>
  <c r="J9" i="33"/>
  <c r="I19" i="33"/>
  <c r="J6" i="33"/>
  <c r="J9" i="35"/>
  <c r="K4" i="35"/>
  <c r="J6" i="35"/>
  <c r="J8" i="35"/>
  <c r="J7" i="35"/>
  <c r="I8" i="29"/>
  <c r="K9" i="34"/>
  <c r="L4" i="34"/>
  <c r="L4" i="33" s="1"/>
  <c r="K8" i="34"/>
  <c r="K8" i="33" s="1"/>
  <c r="K7" i="34"/>
  <c r="K6" i="34"/>
  <c r="I19" i="35"/>
  <c r="J19" i="34"/>
  <c r="J4" i="32"/>
  <c r="J17" i="32" s="1"/>
  <c r="I7" i="32"/>
  <c r="I6" i="32"/>
  <c r="I10" i="32"/>
  <c r="I6" i="29"/>
  <c r="I19" i="30"/>
  <c r="I9" i="29"/>
  <c r="J9" i="31"/>
  <c r="K4" i="31"/>
  <c r="J7" i="31"/>
  <c r="J8" i="31"/>
  <c r="J6" i="31"/>
  <c r="J7" i="30"/>
  <c r="J9" i="30"/>
  <c r="K4" i="30"/>
  <c r="J6" i="30"/>
  <c r="J4" i="29"/>
  <c r="J8" i="30"/>
  <c r="H19" i="29"/>
  <c r="I19" i="31"/>
  <c r="I7" i="29"/>
  <c r="F6" i="14"/>
  <c r="G6" i="14"/>
  <c r="D75" i="15"/>
  <c r="D70" i="15"/>
  <c r="E121" i="34" s="1"/>
  <c r="D64" i="15"/>
  <c r="E104" i="34" s="1"/>
  <c r="D60" i="15"/>
  <c r="D53" i="15"/>
  <c r="E69" i="34" s="1"/>
  <c r="D49" i="15"/>
  <c r="E52" i="34" s="1"/>
  <c r="D44" i="15"/>
  <c r="E34" i="34" s="1"/>
  <c r="D34" i="15"/>
  <c r="D28" i="15"/>
  <c r="D17" i="15"/>
  <c r="D78" i="15"/>
  <c r="D63" i="15"/>
  <c r="E100" i="34" s="1"/>
  <c r="D43" i="15"/>
  <c r="E30" i="34" s="1"/>
  <c r="D76" i="15"/>
  <c r="D72" i="15"/>
  <c r="D66" i="15"/>
  <c r="E109" i="34" s="1"/>
  <c r="D61" i="15"/>
  <c r="E92" i="34" s="1"/>
  <c r="D57" i="15"/>
  <c r="E79" i="34" s="1"/>
  <c r="D50" i="15"/>
  <c r="E56" i="34" s="1"/>
  <c r="D45" i="15"/>
  <c r="E38" i="34" s="1"/>
  <c r="D29" i="15"/>
  <c r="D18" i="15"/>
  <c r="D69" i="15"/>
  <c r="E117" i="34" s="1"/>
  <c r="D52" i="15"/>
  <c r="E65" i="34" s="1"/>
  <c r="D32" i="15"/>
  <c r="D77" i="15"/>
  <c r="D73" i="15"/>
  <c r="D67" i="15"/>
  <c r="E113" i="34" s="1"/>
  <c r="D62" i="15"/>
  <c r="E96" i="34" s="1"/>
  <c r="D58" i="15"/>
  <c r="D51" i="15"/>
  <c r="E60" i="34" s="1"/>
  <c r="D46" i="15"/>
  <c r="E42" i="34" s="1"/>
  <c r="D42" i="15"/>
  <c r="E25" i="34" s="1"/>
  <c r="D30" i="15"/>
  <c r="D26" i="15"/>
  <c r="D19" i="15"/>
  <c r="D14" i="15"/>
  <c r="D74" i="15"/>
  <c r="D59" i="15"/>
  <c r="E86" i="34" s="1"/>
  <c r="D47" i="15"/>
  <c r="E45" i="34" s="1"/>
  <c r="D27" i="15"/>
  <c r="D20" i="15"/>
  <c r="D15" i="15"/>
  <c r="G4" i="15"/>
  <c r="F6" i="15"/>
  <c r="F7" i="15"/>
  <c r="G4" i="7"/>
  <c r="F7" i="7"/>
  <c r="F6" i="7"/>
  <c r="G6" i="13"/>
  <c r="G7" i="13"/>
  <c r="H4" i="13"/>
  <c r="S4" i="5"/>
  <c r="R7" i="5"/>
  <c r="R6" i="5"/>
  <c r="D75" i="6"/>
  <c r="D70" i="6"/>
  <c r="E120" i="49" s="1"/>
  <c r="D64" i="6"/>
  <c r="E103" i="49" s="1"/>
  <c r="D60" i="6"/>
  <c r="E88" i="49" s="1"/>
  <c r="D53" i="6"/>
  <c r="E68" i="49" s="1"/>
  <c r="D49" i="6"/>
  <c r="E52" i="49" s="1"/>
  <c r="D44" i="6"/>
  <c r="E34" i="49" s="1"/>
  <c r="D34" i="6"/>
  <c r="D28" i="6"/>
  <c r="D17" i="6"/>
  <c r="D74" i="6"/>
  <c r="D52" i="6"/>
  <c r="E64" i="49" s="1"/>
  <c r="D32" i="6"/>
  <c r="D76" i="6"/>
  <c r="D72" i="6"/>
  <c r="D66" i="6"/>
  <c r="E108" i="49" s="1"/>
  <c r="D61" i="6"/>
  <c r="E91" i="49" s="1"/>
  <c r="D57" i="6"/>
  <c r="E78" i="49" s="1"/>
  <c r="D50" i="6"/>
  <c r="E56" i="49" s="1"/>
  <c r="D45" i="6"/>
  <c r="E38" i="49" s="1"/>
  <c r="D29" i="6"/>
  <c r="D18" i="6"/>
  <c r="D78" i="6"/>
  <c r="D59" i="6"/>
  <c r="E85" i="49" s="1"/>
  <c r="D43" i="6"/>
  <c r="E30" i="49" s="1"/>
  <c r="D20" i="6"/>
  <c r="D77" i="6"/>
  <c r="D73" i="6"/>
  <c r="D67" i="6"/>
  <c r="E112" i="49" s="1"/>
  <c r="D62" i="6"/>
  <c r="E95" i="49" s="1"/>
  <c r="D58" i="6"/>
  <c r="E82" i="49" s="1"/>
  <c r="D51" i="6"/>
  <c r="E60" i="49" s="1"/>
  <c r="D46" i="6"/>
  <c r="E42" i="49" s="1"/>
  <c r="D42" i="6"/>
  <c r="E25" i="49" s="1"/>
  <c r="D30" i="6"/>
  <c r="D26" i="6"/>
  <c r="D19" i="6"/>
  <c r="D14" i="6"/>
  <c r="D69" i="6"/>
  <c r="E116" i="49" s="1"/>
  <c r="D63" i="6"/>
  <c r="E99" i="49" s="1"/>
  <c r="D47" i="6"/>
  <c r="E45" i="49" s="1"/>
  <c r="D27" i="6"/>
  <c r="D15" i="6"/>
  <c r="D77" i="14"/>
  <c r="D73" i="14"/>
  <c r="D67" i="14"/>
  <c r="D62" i="14"/>
  <c r="D58" i="14"/>
  <c r="D51" i="14"/>
  <c r="D46" i="14"/>
  <c r="D42" i="14"/>
  <c r="D30" i="14"/>
  <c r="D26" i="14"/>
  <c r="D19" i="14"/>
  <c r="D14" i="14"/>
  <c r="D66" i="14"/>
  <c r="D50" i="14"/>
  <c r="D29" i="14"/>
  <c r="D78" i="14"/>
  <c r="D74" i="14"/>
  <c r="D69" i="14"/>
  <c r="D63" i="14"/>
  <c r="D59" i="14"/>
  <c r="D52" i="14"/>
  <c r="D47" i="14"/>
  <c r="D43" i="14"/>
  <c r="D32" i="14"/>
  <c r="D27" i="14"/>
  <c r="D20" i="14"/>
  <c r="D15" i="14"/>
  <c r="D72" i="14"/>
  <c r="D57" i="14"/>
  <c r="D18" i="14"/>
  <c r="D75" i="14"/>
  <c r="D70" i="14"/>
  <c r="D64" i="14"/>
  <c r="D60" i="14"/>
  <c r="D53" i="14"/>
  <c r="D49" i="14"/>
  <c r="D44" i="14"/>
  <c r="D34" i="14"/>
  <c r="D28" i="14"/>
  <c r="D23" i="14"/>
  <c r="D17" i="14"/>
  <c r="D76" i="14"/>
  <c r="D61" i="14"/>
  <c r="D45" i="14"/>
  <c r="D24" i="14"/>
  <c r="R6" i="6"/>
  <c r="S4" i="6"/>
  <c r="R7" i="6"/>
  <c r="D77" i="7"/>
  <c r="D73" i="7"/>
  <c r="D67" i="7"/>
  <c r="D62" i="7"/>
  <c r="D58" i="7"/>
  <c r="D51" i="7"/>
  <c r="D46" i="7"/>
  <c r="D42" i="7"/>
  <c r="D30" i="7"/>
  <c r="D26" i="7"/>
  <c r="D19" i="7"/>
  <c r="D14" i="7"/>
  <c r="D72" i="7"/>
  <c r="D61" i="7"/>
  <c r="D29" i="7"/>
  <c r="D78" i="7"/>
  <c r="D74" i="7"/>
  <c r="D69" i="7"/>
  <c r="D63" i="7"/>
  <c r="D59" i="7"/>
  <c r="D52" i="7"/>
  <c r="D47" i="7"/>
  <c r="D43" i="7"/>
  <c r="D32" i="7"/>
  <c r="D27" i="7"/>
  <c r="D20" i="7"/>
  <c r="D15" i="7"/>
  <c r="D76" i="7"/>
  <c r="D57" i="7"/>
  <c r="D45" i="7"/>
  <c r="D75" i="7"/>
  <c r="D70" i="7"/>
  <c r="D64" i="7"/>
  <c r="D60" i="7"/>
  <c r="D53" i="7"/>
  <c r="D49" i="7"/>
  <c r="D44" i="7"/>
  <c r="D34" i="7"/>
  <c r="D28" i="7"/>
  <c r="D17" i="7"/>
  <c r="D66" i="7"/>
  <c r="D50" i="7"/>
  <c r="D18" i="7"/>
  <c r="D7" i="14"/>
  <c r="F7" i="14"/>
  <c r="E7" i="14"/>
  <c r="E6" i="14"/>
  <c r="I4" i="14"/>
  <c r="H7" i="14"/>
  <c r="H6" i="14"/>
  <c r="E7" i="6"/>
  <c r="F7" i="13"/>
  <c r="E7" i="13"/>
  <c r="H6" i="5"/>
  <c r="D6" i="14"/>
  <c r="D7" i="6"/>
  <c r="E6" i="5"/>
  <c r="H7" i="5"/>
  <c r="G7" i="6"/>
  <c r="F6" i="6"/>
  <c r="E6" i="7"/>
  <c r="D6" i="7"/>
  <c r="E7" i="15"/>
  <c r="F7" i="6"/>
  <c r="E6" i="6"/>
  <c r="D6" i="6"/>
  <c r="E6" i="15"/>
  <c r="G6" i="5"/>
  <c r="G7" i="5"/>
  <c r="E7" i="7"/>
  <c r="F6" i="5"/>
  <c r="F7" i="5"/>
  <c r="D7" i="7"/>
  <c r="E7" i="5"/>
  <c r="D6" i="15"/>
  <c r="F6" i="13"/>
  <c r="E6" i="13"/>
  <c r="D11" i="5"/>
  <c r="I6" i="6"/>
  <c r="I7" i="6"/>
  <c r="H6" i="6"/>
  <c r="G6" i="6"/>
  <c r="H7" i="6"/>
  <c r="K6" i="5"/>
  <c r="D7" i="5"/>
  <c r="C21" i="24"/>
  <c r="C24" i="23"/>
  <c r="D131" i="23"/>
  <c r="D84" i="23"/>
  <c r="D30" i="23"/>
  <c r="D130" i="23"/>
  <c r="D83" i="23"/>
  <c r="D28" i="23"/>
  <c r="S11" i="8"/>
  <c r="R11" i="8"/>
  <c r="B41" i="21"/>
  <c r="B11" i="22"/>
  <c r="C1" i="3"/>
  <c r="A9" i="8"/>
  <c r="D79" i="6" l="1"/>
  <c r="O206" i="46"/>
  <c r="S206" i="46" s="1"/>
  <c r="S172" i="46"/>
  <c r="E120" i="30"/>
  <c r="E25" i="30"/>
  <c r="T6" i="50"/>
  <c r="T7" i="50"/>
  <c r="T8" i="50"/>
  <c r="U4" i="50"/>
  <c r="T9" i="50"/>
  <c r="E38" i="30"/>
  <c r="E45" i="30"/>
  <c r="E91" i="30"/>
  <c r="E60" i="30"/>
  <c r="S43" i="50"/>
  <c r="T24" i="50"/>
  <c r="E52" i="30"/>
  <c r="E85" i="30"/>
  <c r="E95" i="30"/>
  <c r="E108" i="30"/>
  <c r="E34" i="30"/>
  <c r="E103" i="30"/>
  <c r="E78" i="30"/>
  <c r="E64" i="30"/>
  <c r="E82" i="30"/>
  <c r="S19" i="49"/>
  <c r="S6" i="48"/>
  <c r="S19" i="48" s="1"/>
  <c r="E56" i="30"/>
  <c r="E88" i="30"/>
  <c r="E116" i="30"/>
  <c r="E68" i="30"/>
  <c r="E30" i="30"/>
  <c r="E99" i="30"/>
  <c r="E42" i="30"/>
  <c r="E112" i="30"/>
  <c r="T6" i="49"/>
  <c r="T7" i="49"/>
  <c r="T7" i="48" s="1"/>
  <c r="U4" i="49"/>
  <c r="T8" i="49"/>
  <c r="T8" i="48" s="1"/>
  <c r="T4" i="48"/>
  <c r="T9" i="49"/>
  <c r="T9" i="48" s="1"/>
  <c r="S19" i="50"/>
  <c r="D24" i="5"/>
  <c r="D23" i="5"/>
  <c r="K7" i="33"/>
  <c r="K76" i="34"/>
  <c r="K9" i="33"/>
  <c r="K6" i="33"/>
  <c r="J19" i="33"/>
  <c r="D68" i="7"/>
  <c r="L8" i="34"/>
  <c r="L8" i="33" s="1"/>
  <c r="L9" i="34"/>
  <c r="L6" i="34"/>
  <c r="M4" i="34"/>
  <c r="M4" i="33" s="1"/>
  <c r="L7" i="34"/>
  <c r="J19" i="35"/>
  <c r="J8" i="29"/>
  <c r="K19" i="34"/>
  <c r="K8" i="35"/>
  <c r="K9" i="35"/>
  <c r="L4" i="35"/>
  <c r="K7" i="35"/>
  <c r="K6" i="35"/>
  <c r="D21" i="7"/>
  <c r="J10" i="32"/>
  <c r="R17" i="32" s="1"/>
  <c r="J6" i="32"/>
  <c r="K4" i="32"/>
  <c r="K17" i="32" s="1"/>
  <c r="J7" i="32"/>
  <c r="J19" i="30"/>
  <c r="J6" i="29"/>
  <c r="J19" i="31"/>
  <c r="K6" i="30"/>
  <c r="K8" i="30"/>
  <c r="L4" i="30"/>
  <c r="K9" i="30"/>
  <c r="K7" i="30"/>
  <c r="K4" i="29"/>
  <c r="J7" i="29"/>
  <c r="K8" i="31"/>
  <c r="K6" i="31"/>
  <c r="K7" i="31"/>
  <c r="K9" i="31"/>
  <c r="L4" i="31"/>
  <c r="J9" i="29"/>
  <c r="I19" i="29"/>
  <c r="D16" i="6"/>
  <c r="D48" i="6"/>
  <c r="D68" i="15"/>
  <c r="E127" i="49"/>
  <c r="D16" i="15"/>
  <c r="E5" i="14"/>
  <c r="E11" i="14" s="1"/>
  <c r="D54" i="7"/>
  <c r="T4" i="6"/>
  <c r="S6" i="6"/>
  <c r="S7" i="6"/>
  <c r="H4" i="7"/>
  <c r="G6" i="7"/>
  <c r="G7" i="7"/>
  <c r="D77" i="5"/>
  <c r="D73" i="5"/>
  <c r="D67" i="5"/>
  <c r="D62" i="5"/>
  <c r="D58" i="5"/>
  <c r="D51" i="5"/>
  <c r="D46" i="5"/>
  <c r="D42" i="5"/>
  <c r="D29" i="5"/>
  <c r="D20" i="5"/>
  <c r="D15" i="5"/>
  <c r="D76" i="5"/>
  <c r="D61" i="5"/>
  <c r="D50" i="5"/>
  <c r="D28" i="5"/>
  <c r="D14" i="5"/>
  <c r="D78" i="5"/>
  <c r="D74" i="5"/>
  <c r="D69" i="5"/>
  <c r="D63" i="5"/>
  <c r="D59" i="5"/>
  <c r="D52" i="5"/>
  <c r="D47" i="5"/>
  <c r="D43" i="5"/>
  <c r="D30" i="5"/>
  <c r="D26" i="5"/>
  <c r="D17" i="5"/>
  <c r="D72" i="5"/>
  <c r="D57" i="5"/>
  <c r="D34" i="5"/>
  <c r="D19" i="5"/>
  <c r="D75" i="5"/>
  <c r="D70" i="5"/>
  <c r="D64" i="5"/>
  <c r="D60" i="5"/>
  <c r="D53" i="5"/>
  <c r="D49" i="5"/>
  <c r="D44" i="5"/>
  <c r="D32" i="5"/>
  <c r="D27" i="5"/>
  <c r="D18" i="5"/>
  <c r="D66" i="5"/>
  <c r="D45" i="5"/>
  <c r="H7" i="13"/>
  <c r="I4" i="13"/>
  <c r="H6" i="13"/>
  <c r="G7" i="15"/>
  <c r="H4" i="15"/>
  <c r="G6" i="15"/>
  <c r="D16" i="7"/>
  <c r="D48" i="7"/>
  <c r="D21" i="14"/>
  <c r="D54" i="14"/>
  <c r="D79" i="14"/>
  <c r="D16" i="14"/>
  <c r="D48" i="14"/>
  <c r="D68" i="6"/>
  <c r="D21" i="15"/>
  <c r="D54" i="15"/>
  <c r="T4" i="5"/>
  <c r="S6" i="5"/>
  <c r="S7" i="5"/>
  <c r="D65" i="7"/>
  <c r="D79" i="7"/>
  <c r="D65" i="14"/>
  <c r="D68" i="14"/>
  <c r="D21" i="6"/>
  <c r="D54" i="6"/>
  <c r="D48" i="15"/>
  <c r="D65" i="15"/>
  <c r="D65" i="6"/>
  <c r="D79" i="15"/>
  <c r="E128" i="34" s="1"/>
  <c r="J4" i="14"/>
  <c r="I6" i="14"/>
  <c r="I7" i="14"/>
  <c r="E5" i="6"/>
  <c r="E11" i="6" s="1"/>
  <c r="E5" i="15"/>
  <c r="F5" i="15" s="1"/>
  <c r="F5" i="13"/>
  <c r="J6" i="5"/>
  <c r="K7" i="5"/>
  <c r="I7" i="5"/>
  <c r="I6" i="5"/>
  <c r="J7" i="5"/>
  <c r="E5" i="5"/>
  <c r="E11" i="5" s="1"/>
  <c r="E5" i="7"/>
  <c r="J7" i="6"/>
  <c r="J6" i="6"/>
  <c r="I3" i="3"/>
  <c r="D3" i="3"/>
  <c r="A1" i="16"/>
  <c r="C2" i="2"/>
  <c r="C1" i="2"/>
  <c r="C15" i="25"/>
  <c r="C16" i="25"/>
  <c r="C16" i="24"/>
  <c r="C15" i="24"/>
  <c r="C15" i="23"/>
  <c r="C16" i="23"/>
  <c r="C2" i="1"/>
  <c r="C1" i="1"/>
  <c r="N7" i="2"/>
  <c r="C27" i="22"/>
  <c r="T19" i="50" l="1"/>
  <c r="E127" i="30"/>
  <c r="T6" i="48"/>
  <c r="T19" i="48" s="1"/>
  <c r="T19" i="49"/>
  <c r="T43" i="50"/>
  <c r="U24" i="50"/>
  <c r="U9" i="49"/>
  <c r="U9" i="48" s="1"/>
  <c r="V4" i="49"/>
  <c r="U6" i="49"/>
  <c r="U7" i="49"/>
  <c r="U7" i="48" s="1"/>
  <c r="U8" i="49"/>
  <c r="U8" i="48" s="1"/>
  <c r="U4" i="48"/>
  <c r="U9" i="50"/>
  <c r="U6" i="50"/>
  <c r="U7" i="50"/>
  <c r="U8" i="50"/>
  <c r="V4" i="50"/>
  <c r="D22" i="15"/>
  <c r="D25" i="15" s="1"/>
  <c r="D31" i="15" s="1"/>
  <c r="D33" i="15" s="1"/>
  <c r="D35" i="15" s="1"/>
  <c r="E24" i="5"/>
  <c r="E23" i="5"/>
  <c r="E24" i="6"/>
  <c r="E23" i="6"/>
  <c r="L9" i="33"/>
  <c r="L7" i="33"/>
  <c r="L76" i="34"/>
  <c r="D22" i="7"/>
  <c r="D25" i="7" s="1"/>
  <c r="D31" i="7" s="1"/>
  <c r="D33" i="7" s="1"/>
  <c r="D35" i="7" s="1"/>
  <c r="L6" i="33"/>
  <c r="L19" i="34"/>
  <c r="K19" i="35"/>
  <c r="M7" i="34"/>
  <c r="N4" i="34"/>
  <c r="N4" i="33" s="1"/>
  <c r="M9" i="34"/>
  <c r="M6" i="34"/>
  <c r="M8" i="34"/>
  <c r="M8" i="33" s="1"/>
  <c r="D71" i="7"/>
  <c r="D80" i="7" s="1"/>
  <c r="K8" i="29"/>
  <c r="L7" i="35"/>
  <c r="L8" i="35"/>
  <c r="L6" i="35"/>
  <c r="L9" i="35"/>
  <c r="M4" i="35"/>
  <c r="K19" i="33"/>
  <c r="L4" i="32"/>
  <c r="L17" i="32" s="1"/>
  <c r="K6" i="32"/>
  <c r="K10" i="32"/>
  <c r="K7" i="32"/>
  <c r="K19" i="31"/>
  <c r="K7" i="29"/>
  <c r="K19" i="30"/>
  <c r="K6" i="29"/>
  <c r="J19" i="29"/>
  <c r="L9" i="30"/>
  <c r="M4" i="30"/>
  <c r="L7" i="30"/>
  <c r="L8" i="30"/>
  <c r="L6" i="30"/>
  <c r="L4" i="29"/>
  <c r="L7" i="31"/>
  <c r="L9" i="31"/>
  <c r="M4" i="31"/>
  <c r="L6" i="31"/>
  <c r="L8" i="31"/>
  <c r="K9" i="29"/>
  <c r="D55" i="6"/>
  <c r="D71" i="15"/>
  <c r="D80" i="15" s="1"/>
  <c r="D71" i="6"/>
  <c r="D80" i="6" s="1"/>
  <c r="D22" i="6"/>
  <c r="D25" i="6" s="1"/>
  <c r="D31" i="6" s="1"/>
  <c r="D33" i="6" s="1"/>
  <c r="D35" i="6" s="1"/>
  <c r="D55" i="7"/>
  <c r="G5" i="15"/>
  <c r="D55" i="14"/>
  <c r="F5" i="14"/>
  <c r="G5" i="14" s="1"/>
  <c r="H5" i="14" s="1"/>
  <c r="I5" i="14" s="1"/>
  <c r="D55" i="15"/>
  <c r="D71" i="14"/>
  <c r="D80" i="14" s="1"/>
  <c r="I7" i="13"/>
  <c r="J4" i="13"/>
  <c r="I6" i="13"/>
  <c r="T7" i="6"/>
  <c r="T6" i="6"/>
  <c r="D22" i="14"/>
  <c r="D25" i="14" s="1"/>
  <c r="D31" i="14" s="1"/>
  <c r="D33" i="14" s="1"/>
  <c r="D35" i="14" s="1"/>
  <c r="T6" i="5"/>
  <c r="T7" i="5"/>
  <c r="I4" i="15"/>
  <c r="H6" i="15"/>
  <c r="I4" i="7"/>
  <c r="H7" i="7"/>
  <c r="H6" i="7"/>
  <c r="F11" i="15"/>
  <c r="E11" i="15"/>
  <c r="G5" i="13"/>
  <c r="H5" i="13" s="1"/>
  <c r="H11" i="13" s="1"/>
  <c r="E76" i="5"/>
  <c r="E72" i="5"/>
  <c r="E66" i="5"/>
  <c r="E61" i="5"/>
  <c r="E50" i="5"/>
  <c r="E45" i="5"/>
  <c r="E29" i="5"/>
  <c r="E19" i="5"/>
  <c r="E14" i="5"/>
  <c r="E77" i="5"/>
  <c r="E73" i="5"/>
  <c r="E67" i="5"/>
  <c r="E62" i="5"/>
  <c r="E58" i="5"/>
  <c r="E51" i="5"/>
  <c r="E46" i="5"/>
  <c r="E42" i="5"/>
  <c r="E30" i="5"/>
  <c r="E26" i="5"/>
  <c r="E20" i="5"/>
  <c r="E15" i="5"/>
  <c r="E78" i="5"/>
  <c r="E74" i="5"/>
  <c r="E69" i="5"/>
  <c r="E63" i="5"/>
  <c r="E59" i="5"/>
  <c r="E52" i="5"/>
  <c r="E47" i="5"/>
  <c r="E43" i="5"/>
  <c r="E32" i="5"/>
  <c r="E27" i="5"/>
  <c r="E17" i="5"/>
  <c r="E75" i="5"/>
  <c r="E70" i="5"/>
  <c r="E64" i="5"/>
  <c r="E60" i="5"/>
  <c r="E53" i="5"/>
  <c r="E49" i="5"/>
  <c r="E44" i="5"/>
  <c r="E34" i="5"/>
  <c r="E28" i="5"/>
  <c r="E18" i="5"/>
  <c r="E57" i="5"/>
  <c r="J6" i="14"/>
  <c r="K4" i="14"/>
  <c r="J7" i="14"/>
  <c r="E76" i="14"/>
  <c r="E72" i="14"/>
  <c r="E67" i="14"/>
  <c r="E62" i="14"/>
  <c r="E58" i="14"/>
  <c r="E51" i="14"/>
  <c r="E46" i="14"/>
  <c r="E42" i="14"/>
  <c r="E30" i="14"/>
  <c r="E26" i="14"/>
  <c r="E19" i="14"/>
  <c r="E14" i="14"/>
  <c r="E78" i="14"/>
  <c r="E64" i="14"/>
  <c r="E60" i="14"/>
  <c r="E53" i="14"/>
  <c r="E49" i="14"/>
  <c r="E44" i="14"/>
  <c r="E77" i="14"/>
  <c r="E73" i="14"/>
  <c r="E63" i="14"/>
  <c r="E59" i="14"/>
  <c r="E52" i="14"/>
  <c r="E47" i="14"/>
  <c r="E43" i="14"/>
  <c r="E32" i="14"/>
  <c r="E27" i="14"/>
  <c r="E20" i="14"/>
  <c r="E15" i="14"/>
  <c r="E74" i="14"/>
  <c r="E69" i="14"/>
  <c r="E34" i="14"/>
  <c r="E29" i="14"/>
  <c r="E24" i="14"/>
  <c r="E18" i="14"/>
  <c r="E75" i="14"/>
  <c r="E70" i="14"/>
  <c r="E66" i="14"/>
  <c r="E61" i="14"/>
  <c r="E57" i="14"/>
  <c r="E50" i="14"/>
  <c r="E45" i="14"/>
  <c r="E28" i="14"/>
  <c r="E23" i="14"/>
  <c r="E17" i="14"/>
  <c r="F5" i="7"/>
  <c r="G5" i="7" s="1"/>
  <c r="E76" i="6"/>
  <c r="E72" i="6"/>
  <c r="E67" i="6"/>
  <c r="F112" i="49" s="1"/>
  <c r="E62" i="6"/>
  <c r="F95" i="49" s="1"/>
  <c r="E58" i="6"/>
  <c r="F82" i="49" s="1"/>
  <c r="E51" i="6"/>
  <c r="F60" i="49" s="1"/>
  <c r="E46" i="6"/>
  <c r="F42" i="49" s="1"/>
  <c r="E42" i="6"/>
  <c r="F25" i="49" s="1"/>
  <c r="E30" i="6"/>
  <c r="E26" i="6"/>
  <c r="E19" i="6"/>
  <c r="E14" i="6"/>
  <c r="E77" i="6"/>
  <c r="E73" i="6"/>
  <c r="E63" i="6"/>
  <c r="F99" i="49" s="1"/>
  <c r="E59" i="6"/>
  <c r="F85" i="49" s="1"/>
  <c r="E52" i="6"/>
  <c r="F64" i="49" s="1"/>
  <c r="E47" i="6"/>
  <c r="F45" i="49" s="1"/>
  <c r="E43" i="6"/>
  <c r="F30" i="49" s="1"/>
  <c r="E78" i="6"/>
  <c r="E74" i="6"/>
  <c r="E69" i="6"/>
  <c r="F116" i="49" s="1"/>
  <c r="E64" i="6"/>
  <c r="F103" i="49" s="1"/>
  <c r="E60" i="6"/>
  <c r="F88" i="49" s="1"/>
  <c r="E53" i="6"/>
  <c r="F68" i="49" s="1"/>
  <c r="E49" i="6"/>
  <c r="F52" i="49" s="1"/>
  <c r="E44" i="6"/>
  <c r="F34" i="49" s="1"/>
  <c r="E34" i="6"/>
  <c r="E28" i="6"/>
  <c r="E17" i="6"/>
  <c r="E75" i="6"/>
  <c r="E70" i="6"/>
  <c r="F120" i="49" s="1"/>
  <c r="E66" i="6"/>
  <c r="F108" i="49" s="1"/>
  <c r="E61" i="6"/>
  <c r="F91" i="49" s="1"/>
  <c r="E57" i="6"/>
  <c r="F78" i="49" s="1"/>
  <c r="E50" i="6"/>
  <c r="F56" i="49" s="1"/>
  <c r="E45" i="6"/>
  <c r="F38" i="49" s="1"/>
  <c r="E32" i="6"/>
  <c r="E15" i="6"/>
  <c r="E29" i="6"/>
  <c r="E27" i="6"/>
  <c r="E18" i="6"/>
  <c r="E20" i="6"/>
  <c r="F5" i="6"/>
  <c r="F11" i="6" s="1"/>
  <c r="D48" i="5"/>
  <c r="D21" i="5"/>
  <c r="D54" i="5"/>
  <c r="D65" i="5"/>
  <c r="D68" i="5"/>
  <c r="D79" i="5"/>
  <c r="D16" i="5"/>
  <c r="F11" i="13"/>
  <c r="L6" i="5"/>
  <c r="L7" i="5"/>
  <c r="E11" i="7"/>
  <c r="F5" i="5"/>
  <c r="F11" i="5" s="1"/>
  <c r="K7" i="6"/>
  <c r="K6" i="6"/>
  <c r="W16" i="2"/>
  <c r="D78" i="11"/>
  <c r="V8" i="50" l="1"/>
  <c r="V9" i="50"/>
  <c r="W4" i="50"/>
  <c r="V6" i="50"/>
  <c r="V7" i="50"/>
  <c r="U19" i="50"/>
  <c r="V8" i="49"/>
  <c r="V9" i="49"/>
  <c r="W4" i="49"/>
  <c r="V6" i="49"/>
  <c r="V7" i="49"/>
  <c r="U43" i="50"/>
  <c r="V24" i="50"/>
  <c r="V27" i="50" s="1"/>
  <c r="U6" i="48"/>
  <c r="U19" i="48" s="1"/>
  <c r="U19" i="49"/>
  <c r="F24" i="5"/>
  <c r="F23" i="5"/>
  <c r="F24" i="6"/>
  <c r="F23" i="6"/>
  <c r="F72" i="15"/>
  <c r="F24" i="15"/>
  <c r="F23" i="15"/>
  <c r="E24" i="7"/>
  <c r="E23" i="7"/>
  <c r="E24" i="15"/>
  <c r="E23" i="15"/>
  <c r="M9" i="33"/>
  <c r="M7" i="33"/>
  <c r="M76" i="34"/>
  <c r="M6" i="33"/>
  <c r="L8" i="29"/>
  <c r="M19" i="34"/>
  <c r="L19" i="35"/>
  <c r="N6" i="34"/>
  <c r="N7" i="34"/>
  <c r="O4" i="34"/>
  <c r="O4" i="33" s="1"/>
  <c r="N9" i="34"/>
  <c r="N8" i="34"/>
  <c r="N8" i="33" s="1"/>
  <c r="M6" i="35"/>
  <c r="M7" i="35"/>
  <c r="N4" i="35"/>
  <c r="M9" i="35"/>
  <c r="M8" i="35"/>
  <c r="L19" i="33"/>
  <c r="D40" i="14"/>
  <c r="L7" i="32"/>
  <c r="L6" i="32"/>
  <c r="L10" i="32"/>
  <c r="M4" i="32"/>
  <c r="M17" i="32" s="1"/>
  <c r="L19" i="31"/>
  <c r="L19" i="30"/>
  <c r="L6" i="29"/>
  <c r="L9" i="29"/>
  <c r="M8" i="30"/>
  <c r="M6" i="30"/>
  <c r="M7" i="30"/>
  <c r="M9" i="30"/>
  <c r="M4" i="29"/>
  <c r="N4" i="30"/>
  <c r="M6" i="31"/>
  <c r="M8" i="31"/>
  <c r="M9" i="31"/>
  <c r="N4" i="31"/>
  <c r="M7" i="31"/>
  <c r="L7" i="29"/>
  <c r="K19" i="29"/>
  <c r="D40" i="6"/>
  <c r="D40" i="7"/>
  <c r="F11" i="14"/>
  <c r="F66" i="14" s="1"/>
  <c r="H5" i="15"/>
  <c r="I5" i="15" s="1"/>
  <c r="D40" i="15"/>
  <c r="H5" i="7"/>
  <c r="H11" i="7" s="1"/>
  <c r="I6" i="15"/>
  <c r="J4" i="15"/>
  <c r="J7" i="13"/>
  <c r="K4" i="13"/>
  <c r="J6" i="13"/>
  <c r="I5" i="13"/>
  <c r="I11" i="13" s="1"/>
  <c r="J4" i="7"/>
  <c r="I7" i="7"/>
  <c r="I6" i="7"/>
  <c r="G11" i="7"/>
  <c r="F20" i="15"/>
  <c r="F28" i="15"/>
  <c r="F27" i="15"/>
  <c r="F29" i="15"/>
  <c r="F63" i="15"/>
  <c r="G100" i="34" s="1"/>
  <c r="F73" i="15"/>
  <c r="F19" i="15"/>
  <c r="F67" i="15"/>
  <c r="G113" i="34" s="1"/>
  <c r="F76" i="15"/>
  <c r="E68" i="5"/>
  <c r="G11" i="13"/>
  <c r="F17" i="15"/>
  <c r="F46" i="15"/>
  <c r="G42" i="34" s="1"/>
  <c r="F53" i="15"/>
  <c r="G69" i="34" s="1"/>
  <c r="F52" i="15"/>
  <c r="G65" i="34" s="1"/>
  <c r="F47" i="15"/>
  <c r="G45" i="34" s="1"/>
  <c r="F30" i="15"/>
  <c r="F74" i="15"/>
  <c r="F44" i="15"/>
  <c r="G34" i="34" s="1"/>
  <c r="E68" i="6"/>
  <c r="F50" i="15"/>
  <c r="G56" i="34" s="1"/>
  <c r="F57" i="15"/>
  <c r="G79" i="34" s="1"/>
  <c r="F75" i="15"/>
  <c r="F58" i="15"/>
  <c r="F83" i="34" s="1"/>
  <c r="F18" i="15"/>
  <c r="F64" i="15"/>
  <c r="G104" i="34" s="1"/>
  <c r="F43" i="15"/>
  <c r="G30" i="34" s="1"/>
  <c r="F45" i="15"/>
  <c r="G38" i="34" s="1"/>
  <c r="F32" i="15"/>
  <c r="F70" i="15"/>
  <c r="G121" i="34" s="1"/>
  <c r="F26" i="15"/>
  <c r="F51" i="15"/>
  <c r="G60" i="34" s="1"/>
  <c r="F69" i="15"/>
  <c r="G117" i="34" s="1"/>
  <c r="F77" i="15"/>
  <c r="F34" i="15"/>
  <c r="F60" i="15"/>
  <c r="F89" i="34" s="1"/>
  <c r="E21" i="5"/>
  <c r="E54" i="5"/>
  <c r="F11" i="7"/>
  <c r="F61" i="15"/>
  <c r="G92" i="34" s="1"/>
  <c r="F66" i="15"/>
  <c r="G109" i="34" s="1"/>
  <c r="F14" i="15"/>
  <c r="F59" i="15"/>
  <c r="G86" i="34" s="1"/>
  <c r="F15" i="15"/>
  <c r="F42" i="15"/>
  <c r="G25" i="34" s="1"/>
  <c r="F62" i="15"/>
  <c r="G96" i="34" s="1"/>
  <c r="F78" i="15"/>
  <c r="F49" i="15"/>
  <c r="G52" i="34" s="1"/>
  <c r="E65" i="5"/>
  <c r="E77" i="15"/>
  <c r="E75" i="15"/>
  <c r="E73" i="15"/>
  <c r="E70" i="15"/>
  <c r="F121" i="34" s="1"/>
  <c r="E67" i="15"/>
  <c r="F113" i="34" s="1"/>
  <c r="E64" i="15"/>
  <c r="F104" i="34" s="1"/>
  <c r="E62" i="15"/>
  <c r="F96" i="34" s="1"/>
  <c r="E60" i="15"/>
  <c r="E89" i="34" s="1"/>
  <c r="E58" i="15"/>
  <c r="E83" i="34" s="1"/>
  <c r="E53" i="15"/>
  <c r="F69" i="34" s="1"/>
  <c r="E51" i="15"/>
  <c r="F60" i="34" s="1"/>
  <c r="E49" i="15"/>
  <c r="F52" i="34" s="1"/>
  <c r="E46" i="15"/>
  <c r="F42" i="34" s="1"/>
  <c r="E44" i="15"/>
  <c r="F34" i="34" s="1"/>
  <c r="E42" i="15"/>
  <c r="F25" i="34" s="1"/>
  <c r="E34" i="15"/>
  <c r="E30" i="15"/>
  <c r="E28" i="15"/>
  <c r="E26" i="15"/>
  <c r="E15" i="15"/>
  <c r="E20" i="15"/>
  <c r="E18" i="15"/>
  <c r="E78" i="15"/>
  <c r="E76" i="15"/>
  <c r="E74" i="15"/>
  <c r="E72" i="15"/>
  <c r="E69" i="15"/>
  <c r="F117" i="34" s="1"/>
  <c r="E66" i="15"/>
  <c r="E63" i="15"/>
  <c r="F100" i="34" s="1"/>
  <c r="E61" i="15"/>
  <c r="F92" i="34" s="1"/>
  <c r="E59" i="15"/>
  <c r="F86" i="34" s="1"/>
  <c r="E57" i="15"/>
  <c r="F79" i="34" s="1"/>
  <c r="E52" i="15"/>
  <c r="F65" i="34" s="1"/>
  <c r="E50" i="15"/>
  <c r="F56" i="34" s="1"/>
  <c r="E47" i="15"/>
  <c r="F45" i="34" s="1"/>
  <c r="E45" i="15"/>
  <c r="F38" i="34" s="1"/>
  <c r="E43" i="15"/>
  <c r="F30" i="34" s="1"/>
  <c r="E32" i="15"/>
  <c r="E29" i="15"/>
  <c r="E27" i="15"/>
  <c r="E14" i="15"/>
  <c r="E19" i="15"/>
  <c r="E17" i="15"/>
  <c r="G5" i="6"/>
  <c r="G11" i="6" s="1"/>
  <c r="E79" i="5"/>
  <c r="E65" i="6"/>
  <c r="E79" i="6"/>
  <c r="F127" i="49" s="1"/>
  <c r="E48" i="6"/>
  <c r="E54" i="6"/>
  <c r="E21" i="14"/>
  <c r="E16" i="14"/>
  <c r="E48" i="5"/>
  <c r="E16" i="5"/>
  <c r="K6" i="14"/>
  <c r="L4" i="14"/>
  <c r="K7" i="14"/>
  <c r="J5" i="14"/>
  <c r="E65" i="14"/>
  <c r="E79" i="14"/>
  <c r="E48" i="14"/>
  <c r="E54" i="14"/>
  <c r="E68" i="14"/>
  <c r="E78" i="7"/>
  <c r="E74" i="7"/>
  <c r="E69" i="7"/>
  <c r="E67" i="7"/>
  <c r="E62" i="7"/>
  <c r="E58" i="7"/>
  <c r="E51" i="7"/>
  <c r="E46" i="7"/>
  <c r="E42" i="7"/>
  <c r="E30" i="7"/>
  <c r="E26" i="7"/>
  <c r="E17" i="7"/>
  <c r="E14" i="7"/>
  <c r="E75" i="7"/>
  <c r="E70" i="7"/>
  <c r="E63" i="7"/>
  <c r="E59" i="7"/>
  <c r="E52" i="7"/>
  <c r="E47" i="7"/>
  <c r="E43" i="7"/>
  <c r="E32" i="7"/>
  <c r="E27" i="7"/>
  <c r="E18" i="7"/>
  <c r="E15" i="7"/>
  <c r="E76" i="7"/>
  <c r="E72" i="7"/>
  <c r="E64" i="7"/>
  <c r="E60" i="7"/>
  <c r="E53" i="7"/>
  <c r="E49" i="7"/>
  <c r="E44" i="7"/>
  <c r="E34" i="7"/>
  <c r="E28" i="7"/>
  <c r="E19" i="7"/>
  <c r="E77" i="7"/>
  <c r="E73" i="7"/>
  <c r="E66" i="7"/>
  <c r="E61" i="7"/>
  <c r="E57" i="7"/>
  <c r="E50" i="7"/>
  <c r="E45" i="7"/>
  <c r="E29" i="7"/>
  <c r="E20" i="7"/>
  <c r="F75" i="6"/>
  <c r="F70" i="6"/>
  <c r="G120" i="49" s="1"/>
  <c r="F66" i="6"/>
  <c r="G108" i="49" s="1"/>
  <c r="F61" i="6"/>
  <c r="G91" i="49" s="1"/>
  <c r="F57" i="6"/>
  <c r="G78" i="49" s="1"/>
  <c r="F50" i="6"/>
  <c r="G56" i="49" s="1"/>
  <c r="F45" i="6"/>
  <c r="G38" i="49" s="1"/>
  <c r="F29" i="6"/>
  <c r="F18" i="6"/>
  <c r="F76" i="6"/>
  <c r="F72" i="6"/>
  <c r="F67" i="6"/>
  <c r="G112" i="49" s="1"/>
  <c r="F62" i="6"/>
  <c r="G95" i="49" s="1"/>
  <c r="F58" i="6"/>
  <c r="G82" i="49" s="1"/>
  <c r="F51" i="6"/>
  <c r="G60" i="49" s="1"/>
  <c r="F46" i="6"/>
  <c r="G42" i="49" s="1"/>
  <c r="F42" i="6"/>
  <c r="G25" i="49" s="1"/>
  <c r="F77" i="6"/>
  <c r="F73" i="6"/>
  <c r="F63" i="6"/>
  <c r="G99" i="49" s="1"/>
  <c r="F59" i="6"/>
  <c r="G85" i="49" s="1"/>
  <c r="F52" i="6"/>
  <c r="G64" i="49" s="1"/>
  <c r="F47" i="6"/>
  <c r="G45" i="49" s="1"/>
  <c r="F43" i="6"/>
  <c r="G30" i="49" s="1"/>
  <c r="F32" i="6"/>
  <c r="F27" i="6"/>
  <c r="F20" i="6"/>
  <c r="F15" i="6"/>
  <c r="F78" i="6"/>
  <c r="F74" i="6"/>
  <c r="F69" i="6"/>
  <c r="G116" i="49" s="1"/>
  <c r="F64" i="6"/>
  <c r="G103" i="49" s="1"/>
  <c r="F60" i="6"/>
  <c r="G88" i="49" s="1"/>
  <c r="F53" i="6"/>
  <c r="G68" i="49" s="1"/>
  <c r="F49" i="6"/>
  <c r="G52" i="49" s="1"/>
  <c r="F44" i="6"/>
  <c r="G34" i="49" s="1"/>
  <c r="F26" i="6"/>
  <c r="F17" i="6"/>
  <c r="F14" i="6"/>
  <c r="F28" i="6"/>
  <c r="F19" i="6"/>
  <c r="F30" i="6"/>
  <c r="F34" i="6"/>
  <c r="E16" i="6"/>
  <c r="E21" i="6"/>
  <c r="F78" i="5"/>
  <c r="F77" i="5"/>
  <c r="F76" i="5"/>
  <c r="F75" i="5"/>
  <c r="F74" i="5"/>
  <c r="F73" i="5"/>
  <c r="F72" i="5"/>
  <c r="F70" i="5"/>
  <c r="F69" i="5"/>
  <c r="F67" i="5"/>
  <c r="F66" i="5"/>
  <c r="F64" i="5"/>
  <c r="F63" i="5"/>
  <c r="F62" i="5"/>
  <c r="F61" i="5"/>
  <c r="F60" i="5"/>
  <c r="F59" i="5"/>
  <c r="F58" i="5"/>
  <c r="F57" i="5"/>
  <c r="F53" i="5"/>
  <c r="F52" i="5"/>
  <c r="F51" i="5"/>
  <c r="F50" i="5"/>
  <c r="F49" i="5"/>
  <c r="F47" i="5"/>
  <c r="F46" i="5"/>
  <c r="F45" i="5"/>
  <c r="F44" i="5"/>
  <c r="F43" i="5"/>
  <c r="F42" i="5"/>
  <c r="F29" i="5"/>
  <c r="F20" i="5"/>
  <c r="F18" i="5"/>
  <c r="F15" i="5"/>
  <c r="F34" i="5"/>
  <c r="F28" i="5"/>
  <c r="F32" i="5"/>
  <c r="F27" i="5"/>
  <c r="F19" i="5"/>
  <c r="F17" i="5"/>
  <c r="F14" i="5"/>
  <c r="F30" i="5"/>
  <c r="F26" i="5"/>
  <c r="D71" i="5"/>
  <c r="D80" i="5" s="1"/>
  <c r="D22" i="5"/>
  <c r="D25" i="5" s="1"/>
  <c r="D31" i="5" s="1"/>
  <c r="D33" i="5" s="1"/>
  <c r="D35" i="5" s="1"/>
  <c r="D55" i="5"/>
  <c r="M6" i="5"/>
  <c r="M7" i="5"/>
  <c r="G5" i="5"/>
  <c r="G11" i="5" s="1"/>
  <c r="G11" i="14"/>
  <c r="G11" i="15"/>
  <c r="L7" i="6"/>
  <c r="L6" i="6"/>
  <c r="B11" i="16"/>
  <c r="L4" i="54" s="1"/>
  <c r="L5" i="54" l="1"/>
  <c r="L6" i="54"/>
  <c r="L7" i="54"/>
  <c r="M4" i="54"/>
  <c r="D4" i="53"/>
  <c r="D4" i="52"/>
  <c r="D4" i="51"/>
  <c r="F1" i="50"/>
  <c r="F5" i="50" s="1"/>
  <c r="F1" i="49"/>
  <c r="F5" i="49" s="1"/>
  <c r="G1" i="46"/>
  <c r="F21" i="6"/>
  <c r="F103" i="30"/>
  <c r="F45" i="30"/>
  <c r="F120" i="30"/>
  <c r="F60" i="30"/>
  <c r="F116" i="30"/>
  <c r="F56" i="30"/>
  <c r="F88" i="30"/>
  <c r="F30" i="30"/>
  <c r="F99" i="30"/>
  <c r="F42" i="30"/>
  <c r="F112" i="30"/>
  <c r="W7" i="50"/>
  <c r="W8" i="50"/>
  <c r="X4" i="50"/>
  <c r="W9" i="50"/>
  <c r="W6" i="50"/>
  <c r="F38" i="30"/>
  <c r="F108" i="30"/>
  <c r="F68" i="30"/>
  <c r="F85" i="30"/>
  <c r="F25" i="30"/>
  <c r="F95" i="30"/>
  <c r="W7" i="49"/>
  <c r="W8" i="49"/>
  <c r="W9" i="49"/>
  <c r="X4" i="49"/>
  <c r="W6" i="49"/>
  <c r="V19" i="50"/>
  <c r="F78" i="30"/>
  <c r="F34" i="30"/>
  <c r="F91" i="30"/>
  <c r="F52" i="30"/>
  <c r="F64" i="30"/>
  <c r="F82" i="30"/>
  <c r="V19" i="49"/>
  <c r="W24" i="50"/>
  <c r="W27" i="50" s="1"/>
  <c r="V43" i="50"/>
  <c r="G58" i="7"/>
  <c r="G42" i="7"/>
  <c r="H25" i="30" s="1"/>
  <c r="H42" i="7"/>
  <c r="H58" i="7"/>
  <c r="F16" i="5"/>
  <c r="H24" i="7"/>
  <c r="H23" i="7"/>
  <c r="G24" i="7"/>
  <c r="G23" i="7"/>
  <c r="G24" i="15"/>
  <c r="G23" i="15"/>
  <c r="G69" i="6"/>
  <c r="H116" i="49" s="1"/>
  <c r="G24" i="6"/>
  <c r="G23" i="6"/>
  <c r="G24" i="5"/>
  <c r="G23" i="5"/>
  <c r="F32" i="7"/>
  <c r="F23" i="7"/>
  <c r="F24" i="7"/>
  <c r="E22" i="5"/>
  <c r="E25" i="5" s="1"/>
  <c r="E31" i="5" s="1"/>
  <c r="E33" i="5" s="1"/>
  <c r="E35" i="5" s="1"/>
  <c r="G19" i="6"/>
  <c r="L4" i="36"/>
  <c r="L7" i="36" s="1"/>
  <c r="D4" i="43"/>
  <c r="G59" i="7"/>
  <c r="D4" i="37"/>
  <c r="F1" i="34"/>
  <c r="F5" i="34" s="1"/>
  <c r="D4" i="40"/>
  <c r="D4" i="39"/>
  <c r="F1" i="35"/>
  <c r="F5" i="35" s="1"/>
  <c r="N9" i="33"/>
  <c r="N7" i="33"/>
  <c r="N76" i="34"/>
  <c r="E68" i="15"/>
  <c r="F109" i="34"/>
  <c r="N6" i="33"/>
  <c r="M19" i="35"/>
  <c r="O9" i="34"/>
  <c r="P4" i="34"/>
  <c r="P4" i="33" s="1"/>
  <c r="O8" i="34"/>
  <c r="O8" i="33" s="1"/>
  <c r="O7" i="34"/>
  <c r="O6" i="34"/>
  <c r="N9" i="35"/>
  <c r="O4" i="35"/>
  <c r="N6" i="35"/>
  <c r="N8" i="35"/>
  <c r="N7" i="35"/>
  <c r="N19" i="34"/>
  <c r="M8" i="29"/>
  <c r="M19" i="33"/>
  <c r="F1" i="31"/>
  <c r="F5" i="31" s="1"/>
  <c r="G1" i="32"/>
  <c r="M5" i="32" s="1"/>
  <c r="F1" i="30"/>
  <c r="F5" i="30" s="1"/>
  <c r="F53" i="14"/>
  <c r="N4" i="32"/>
  <c r="N17" i="32" s="1"/>
  <c r="M10" i="32"/>
  <c r="M7" i="32"/>
  <c r="M6" i="32"/>
  <c r="F74" i="14"/>
  <c r="F29" i="14"/>
  <c r="F43" i="14"/>
  <c r="F42" i="14"/>
  <c r="N9" i="31"/>
  <c r="O4" i="31"/>
  <c r="N7" i="31"/>
  <c r="N8" i="31"/>
  <c r="N6" i="31"/>
  <c r="N7" i="30"/>
  <c r="N9" i="30"/>
  <c r="O4" i="30"/>
  <c r="N6" i="30"/>
  <c r="N4" i="29"/>
  <c r="N8" i="30"/>
  <c r="M19" i="30"/>
  <c r="M6" i="29"/>
  <c r="M9" i="29"/>
  <c r="G77" i="7"/>
  <c r="M19" i="31"/>
  <c r="M7" i="29"/>
  <c r="L19" i="29"/>
  <c r="G50" i="6"/>
  <c r="H56" i="49" s="1"/>
  <c r="F17" i="14"/>
  <c r="F14" i="14"/>
  <c r="F63" i="14"/>
  <c r="F32" i="14"/>
  <c r="F62" i="14"/>
  <c r="F61" i="14"/>
  <c r="F28" i="14"/>
  <c r="F20" i="14"/>
  <c r="F44" i="14"/>
  <c r="F64" i="14"/>
  <c r="F26" i="14"/>
  <c r="F51" i="14"/>
  <c r="F72" i="14"/>
  <c r="F52" i="14"/>
  <c r="F18" i="14"/>
  <c r="F50" i="14"/>
  <c r="F70" i="14"/>
  <c r="F15" i="14"/>
  <c r="F69" i="14"/>
  <c r="F27" i="14"/>
  <c r="F49" i="14"/>
  <c r="F73" i="14"/>
  <c r="F30" i="14"/>
  <c r="F58" i="14"/>
  <c r="F76" i="14"/>
  <c r="F59" i="14"/>
  <c r="F24" i="14"/>
  <c r="F57" i="14"/>
  <c r="F75" i="14"/>
  <c r="F23" i="14"/>
  <c r="F78" i="14"/>
  <c r="F34" i="14"/>
  <c r="F60" i="14"/>
  <c r="F19" i="14"/>
  <c r="F46" i="14"/>
  <c r="F67" i="14"/>
  <c r="F68" i="14" s="1"/>
  <c r="F47" i="14"/>
  <c r="F77" i="14"/>
  <c r="F45" i="14"/>
  <c r="I5" i="7"/>
  <c r="K4" i="7"/>
  <c r="J7" i="7"/>
  <c r="J6" i="7"/>
  <c r="G75" i="7"/>
  <c r="J5" i="13"/>
  <c r="J11" i="13" s="1"/>
  <c r="K7" i="13"/>
  <c r="L4" i="13"/>
  <c r="K6" i="13"/>
  <c r="J6" i="15"/>
  <c r="J7" i="15"/>
  <c r="K4" i="15"/>
  <c r="G27" i="7"/>
  <c r="G63" i="6"/>
  <c r="H99" i="49" s="1"/>
  <c r="G74" i="6"/>
  <c r="G70" i="6"/>
  <c r="H120" i="49" s="1"/>
  <c r="G60" i="7"/>
  <c r="G72" i="7"/>
  <c r="G78" i="7"/>
  <c r="G52" i="7"/>
  <c r="G14" i="7"/>
  <c r="G34" i="7"/>
  <c r="G57" i="7"/>
  <c r="E71" i="5"/>
  <c r="E80" i="5" s="1"/>
  <c r="G30" i="7"/>
  <c r="G67" i="7"/>
  <c r="G66" i="7"/>
  <c r="G28" i="7"/>
  <c r="G53" i="7"/>
  <c r="G74" i="7"/>
  <c r="G76" i="7"/>
  <c r="G50" i="7"/>
  <c r="G20" i="7"/>
  <c r="G47" i="7"/>
  <c r="G73" i="7"/>
  <c r="F26" i="7"/>
  <c r="F54" i="15"/>
  <c r="G29" i="6"/>
  <c r="G67" i="6"/>
  <c r="H112" i="49" s="1"/>
  <c r="G53" i="6"/>
  <c r="H68" i="49" s="1"/>
  <c r="G26" i="7"/>
  <c r="G61" i="7"/>
  <c r="G49" i="7"/>
  <c r="G69" i="7"/>
  <c r="G62" i="7"/>
  <c r="G45" i="7"/>
  <c r="G15" i="7"/>
  <c r="G43" i="7"/>
  <c r="G63" i="7"/>
  <c r="F66" i="7"/>
  <c r="G18" i="6"/>
  <c r="G46" i="6"/>
  <c r="H42" i="49" s="1"/>
  <c r="G28" i="6"/>
  <c r="G19" i="7"/>
  <c r="G46" i="7"/>
  <c r="G18" i="7"/>
  <c r="G17" i="7"/>
  <c r="G44" i="7"/>
  <c r="G64" i="7"/>
  <c r="G51" i="7"/>
  <c r="G29" i="7"/>
  <c r="G70" i="7"/>
  <c r="G32" i="7"/>
  <c r="F73" i="7"/>
  <c r="F19" i="7"/>
  <c r="F44" i="7"/>
  <c r="F47" i="7"/>
  <c r="F59" i="7"/>
  <c r="F67" i="7"/>
  <c r="F68" i="15"/>
  <c r="E22" i="14"/>
  <c r="E25" i="14" s="1"/>
  <c r="E31" i="14" s="1"/>
  <c r="E33" i="14" s="1"/>
  <c r="E35" i="14" s="1"/>
  <c r="E71" i="6"/>
  <c r="E80" i="6" s="1"/>
  <c r="F79" i="15"/>
  <c r="G128" i="34" s="1"/>
  <c r="E68" i="7"/>
  <c r="K5" i="14"/>
  <c r="E21" i="15"/>
  <c r="F16" i="15"/>
  <c r="F21" i="15"/>
  <c r="H5" i="6"/>
  <c r="H11" i="6" s="1"/>
  <c r="G15" i="6"/>
  <c r="G52" i="6"/>
  <c r="H64" i="49" s="1"/>
  <c r="G30" i="6"/>
  <c r="G76" i="6"/>
  <c r="G17" i="6"/>
  <c r="G64" i="6"/>
  <c r="H103" i="49" s="1"/>
  <c r="F65" i="15"/>
  <c r="F48" i="15"/>
  <c r="F68" i="5"/>
  <c r="G43" i="6"/>
  <c r="H30" i="49" s="1"/>
  <c r="G77" i="6"/>
  <c r="G58" i="6"/>
  <c r="H82" i="49" s="1"/>
  <c r="G61" i="6"/>
  <c r="H91" i="49" s="1"/>
  <c r="G44" i="6"/>
  <c r="H34" i="49" s="1"/>
  <c r="F64" i="7"/>
  <c r="F69" i="7"/>
  <c r="F14" i="7"/>
  <c r="F61" i="7"/>
  <c r="F46" i="7"/>
  <c r="F52" i="7"/>
  <c r="F78" i="7"/>
  <c r="F49" i="7"/>
  <c r="F72" i="7"/>
  <c r="F75" i="7"/>
  <c r="F29" i="7"/>
  <c r="F30" i="7"/>
  <c r="F27" i="7"/>
  <c r="F53" i="7"/>
  <c r="F76" i="7"/>
  <c r="F77" i="7"/>
  <c r="F50" i="7"/>
  <c r="F42" i="7"/>
  <c r="F43" i="7"/>
  <c r="F74" i="7"/>
  <c r="F34" i="7"/>
  <c r="F58" i="7"/>
  <c r="F70" i="7"/>
  <c r="F63" i="7"/>
  <c r="F15" i="7"/>
  <c r="F62" i="7"/>
  <c r="F51" i="7"/>
  <c r="E55" i="5"/>
  <c r="F28" i="7"/>
  <c r="F18" i="7"/>
  <c r="E55" i="6"/>
  <c r="F17" i="7"/>
  <c r="F45" i="7"/>
  <c r="F20" i="7"/>
  <c r="F60" i="7"/>
  <c r="F57" i="7"/>
  <c r="E16" i="15"/>
  <c r="F68" i="6"/>
  <c r="F16" i="6"/>
  <c r="G27" i="6"/>
  <c r="G47" i="6"/>
  <c r="H45" i="49" s="1"/>
  <c r="G73" i="6"/>
  <c r="G26" i="6"/>
  <c r="G51" i="6"/>
  <c r="H60" i="49" s="1"/>
  <c r="G57" i="6"/>
  <c r="H78" i="49" s="1"/>
  <c r="G75" i="6"/>
  <c r="G34" i="6"/>
  <c r="G60" i="6"/>
  <c r="H88" i="49" s="1"/>
  <c r="G78" i="6"/>
  <c r="E54" i="7"/>
  <c r="E16" i="7"/>
  <c r="E48" i="7"/>
  <c r="E65" i="15"/>
  <c r="E48" i="15"/>
  <c r="E22" i="6"/>
  <c r="E25" i="6" s="1"/>
  <c r="E31" i="6" s="1"/>
  <c r="E33" i="6" s="1"/>
  <c r="E35" i="6" s="1"/>
  <c r="G32" i="6"/>
  <c r="G20" i="6"/>
  <c r="G59" i="6"/>
  <c r="H85" i="49" s="1"/>
  <c r="G14" i="6"/>
  <c r="G42" i="6"/>
  <c r="H25" i="49" s="1"/>
  <c r="G62" i="6"/>
  <c r="H95" i="49" s="1"/>
  <c r="G45" i="6"/>
  <c r="H38" i="49" s="1"/>
  <c r="G66" i="6"/>
  <c r="H108" i="49" s="1"/>
  <c r="G49" i="6"/>
  <c r="H52" i="49" s="1"/>
  <c r="E54" i="15"/>
  <c r="E79" i="15"/>
  <c r="F128" i="34" s="1"/>
  <c r="M4" i="14"/>
  <c r="L7" i="14"/>
  <c r="L6" i="14"/>
  <c r="E55" i="14"/>
  <c r="G78" i="14"/>
  <c r="G74" i="14"/>
  <c r="G69" i="14"/>
  <c r="G64" i="14"/>
  <c r="G60" i="14"/>
  <c r="G53" i="14"/>
  <c r="G49" i="14"/>
  <c r="G44" i="14"/>
  <c r="G34" i="14"/>
  <c r="G28" i="14"/>
  <c r="G23" i="14"/>
  <c r="G17" i="14"/>
  <c r="G76" i="14"/>
  <c r="G62" i="14"/>
  <c r="G58" i="14"/>
  <c r="G51" i="14"/>
  <c r="G46" i="14"/>
  <c r="G42" i="14"/>
  <c r="G75" i="14"/>
  <c r="G70" i="14"/>
  <c r="G66" i="14"/>
  <c r="G61" i="14"/>
  <c r="G57" i="14"/>
  <c r="G50" i="14"/>
  <c r="G45" i="14"/>
  <c r="G29" i="14"/>
  <c r="G24" i="14"/>
  <c r="G18" i="14"/>
  <c r="G72" i="14"/>
  <c r="G67" i="14"/>
  <c r="G63" i="14"/>
  <c r="G59" i="14"/>
  <c r="G52" i="14"/>
  <c r="G47" i="14"/>
  <c r="G43" i="14"/>
  <c r="G30" i="14"/>
  <c r="G26" i="14"/>
  <c r="G19" i="14"/>
  <c r="G14" i="14"/>
  <c r="G77" i="14"/>
  <c r="G73" i="14"/>
  <c r="G32" i="14"/>
  <c r="G27" i="14"/>
  <c r="G20" i="14"/>
  <c r="G15" i="14"/>
  <c r="E71" i="14"/>
  <c r="E80" i="14" s="1"/>
  <c r="G75" i="15"/>
  <c r="G70" i="15"/>
  <c r="H121" i="34" s="1"/>
  <c r="G63" i="15"/>
  <c r="H100" i="34" s="1"/>
  <c r="G59" i="15"/>
  <c r="H86" i="34" s="1"/>
  <c r="G52" i="15"/>
  <c r="H65" i="34" s="1"/>
  <c r="G47" i="15"/>
  <c r="H45" i="34" s="1"/>
  <c r="G43" i="15"/>
  <c r="H30" i="34" s="1"/>
  <c r="G32" i="15"/>
  <c r="G27" i="15"/>
  <c r="G17" i="15"/>
  <c r="G76" i="15"/>
  <c r="G72" i="15"/>
  <c r="G77" i="15"/>
  <c r="G73" i="15"/>
  <c r="G66" i="15"/>
  <c r="H109" i="34" s="1"/>
  <c r="G61" i="15"/>
  <c r="H92" i="34" s="1"/>
  <c r="G57" i="15"/>
  <c r="H79" i="34" s="1"/>
  <c r="G50" i="15"/>
  <c r="H56" i="34" s="1"/>
  <c r="G45" i="15"/>
  <c r="H38" i="34" s="1"/>
  <c r="G29" i="15"/>
  <c r="G19" i="15"/>
  <c r="G14" i="15"/>
  <c r="G78" i="15"/>
  <c r="G74" i="15"/>
  <c r="G69" i="15"/>
  <c r="H117" i="34" s="1"/>
  <c r="G67" i="15"/>
  <c r="H113" i="34" s="1"/>
  <c r="G64" i="15"/>
  <c r="H104" i="34" s="1"/>
  <c r="G53" i="15"/>
  <c r="H69" i="34" s="1"/>
  <c r="G44" i="15"/>
  <c r="H34" i="34" s="1"/>
  <c r="G28" i="15"/>
  <c r="G51" i="15"/>
  <c r="H60" i="34" s="1"/>
  <c r="G26" i="15"/>
  <c r="G60" i="15"/>
  <c r="G89" i="34" s="1"/>
  <c r="G49" i="15"/>
  <c r="H52" i="34" s="1"/>
  <c r="G34" i="15"/>
  <c r="G20" i="15"/>
  <c r="G15" i="15"/>
  <c r="G58" i="15"/>
  <c r="G83" i="34" s="1"/>
  <c r="G46" i="15"/>
  <c r="H42" i="34" s="1"/>
  <c r="G30" i="15"/>
  <c r="G18" i="15"/>
  <c r="G62" i="15"/>
  <c r="H96" i="34" s="1"/>
  <c r="G42" i="15"/>
  <c r="H25" i="34" s="1"/>
  <c r="E21" i="7"/>
  <c r="E79" i="7"/>
  <c r="E65" i="7"/>
  <c r="H76" i="7"/>
  <c r="H72" i="7"/>
  <c r="H67" i="7"/>
  <c r="H62" i="7"/>
  <c r="H51" i="7"/>
  <c r="H46" i="7"/>
  <c r="H30" i="7"/>
  <c r="H26" i="7"/>
  <c r="H19" i="7"/>
  <c r="H14" i="7"/>
  <c r="H78" i="7"/>
  <c r="H74" i="7"/>
  <c r="H64" i="7"/>
  <c r="H60" i="7"/>
  <c r="H17" i="7"/>
  <c r="H70" i="7"/>
  <c r="H66" i="7"/>
  <c r="H57" i="7"/>
  <c r="H77" i="7"/>
  <c r="H73" i="7"/>
  <c r="H63" i="7"/>
  <c r="H59" i="7"/>
  <c r="H52" i="7"/>
  <c r="H47" i="7"/>
  <c r="H43" i="7"/>
  <c r="H32" i="7"/>
  <c r="H27" i="7"/>
  <c r="H20" i="7"/>
  <c r="H15" i="7"/>
  <c r="H69" i="7"/>
  <c r="H53" i="7"/>
  <c r="H49" i="7"/>
  <c r="H44" i="7"/>
  <c r="H34" i="7"/>
  <c r="H28" i="7"/>
  <c r="H75" i="7"/>
  <c r="H61" i="7"/>
  <c r="H50" i="7"/>
  <c r="H45" i="7"/>
  <c r="H29" i="7"/>
  <c r="H18" i="7"/>
  <c r="F54" i="6"/>
  <c r="F79" i="6"/>
  <c r="G127" i="49" s="1"/>
  <c r="F48" i="6"/>
  <c r="F65" i="6"/>
  <c r="F79" i="5"/>
  <c r="F65" i="5"/>
  <c r="G78" i="5"/>
  <c r="G77" i="5"/>
  <c r="G76" i="5"/>
  <c r="G75" i="5"/>
  <c r="G74" i="5"/>
  <c r="G73" i="5"/>
  <c r="G72" i="5"/>
  <c r="G70" i="5"/>
  <c r="G69" i="5"/>
  <c r="G67" i="5"/>
  <c r="G66" i="5"/>
  <c r="G64" i="5"/>
  <c r="G63" i="5"/>
  <c r="G62" i="5"/>
  <c r="G61" i="5"/>
  <c r="G60" i="5"/>
  <c r="G59" i="5"/>
  <c r="G58" i="5"/>
  <c r="G57" i="5"/>
  <c r="G53" i="5"/>
  <c r="G52" i="5"/>
  <c r="G51" i="5"/>
  <c r="G50" i="5"/>
  <c r="G49" i="5"/>
  <c r="G47" i="5"/>
  <c r="G46" i="5"/>
  <c r="G45" i="5"/>
  <c r="G44" i="5"/>
  <c r="G43" i="5"/>
  <c r="G42" i="5"/>
  <c r="G34" i="5"/>
  <c r="G32" i="5"/>
  <c r="G30" i="5"/>
  <c r="G29" i="5"/>
  <c r="G28" i="5"/>
  <c r="G27" i="5"/>
  <c r="G26" i="5"/>
  <c r="G20" i="5"/>
  <c r="G19" i="5"/>
  <c r="G18" i="5"/>
  <c r="G17" i="5"/>
  <c r="G15" i="5"/>
  <c r="G14" i="5"/>
  <c r="F48" i="5"/>
  <c r="F21" i="5"/>
  <c r="F54" i="5"/>
  <c r="D40" i="5"/>
  <c r="N6" i="5"/>
  <c r="N7" i="5"/>
  <c r="H5" i="5"/>
  <c r="H11" i="5" s="1"/>
  <c r="H11" i="14"/>
  <c r="H1" i="13"/>
  <c r="G1" i="7"/>
  <c r="G1" i="5"/>
  <c r="G1" i="15"/>
  <c r="G1" i="14"/>
  <c r="G1" i="6"/>
  <c r="H11" i="15"/>
  <c r="M6" i="6"/>
  <c r="M7" i="6"/>
  <c r="D4" i="22"/>
  <c r="D4" i="21"/>
  <c r="F1" i="24"/>
  <c r="D4" i="11"/>
  <c r="M5" i="38" s="1"/>
  <c r="L4" i="10"/>
  <c r="C2" i="20"/>
  <c r="F1" i="25"/>
  <c r="G1" i="8"/>
  <c r="E5" i="24"/>
  <c r="Q111" i="8"/>
  <c r="D56" i="20"/>
  <c r="N4" i="54" l="1"/>
  <c r="M6" i="54"/>
  <c r="M7" i="54"/>
  <c r="M5" i="54"/>
  <c r="L19" i="54"/>
  <c r="L17" i="54"/>
  <c r="L13" i="54"/>
  <c r="L14" i="54"/>
  <c r="L12" i="54"/>
  <c r="L10" i="54"/>
  <c r="L11" i="54"/>
  <c r="L18" i="54"/>
  <c r="L15" i="54"/>
  <c r="F18" i="49"/>
  <c r="F10" i="49"/>
  <c r="F10" i="48" s="1"/>
  <c r="F5" i="48"/>
  <c r="F17" i="49"/>
  <c r="F21" i="49" s="1"/>
  <c r="G5" i="49"/>
  <c r="D7" i="53"/>
  <c r="M5" i="47"/>
  <c r="D6" i="53"/>
  <c r="D79" i="53" s="1"/>
  <c r="E4" i="53"/>
  <c r="D5" i="53"/>
  <c r="M6" i="47" s="1"/>
  <c r="E5" i="46"/>
  <c r="F5" i="46"/>
  <c r="G5" i="46"/>
  <c r="H5" i="46"/>
  <c r="I5" i="46"/>
  <c r="J5" i="46"/>
  <c r="K5" i="46"/>
  <c r="L5" i="46"/>
  <c r="M5" i="46"/>
  <c r="N5" i="46"/>
  <c r="O5" i="46"/>
  <c r="P5" i="46"/>
  <c r="Q5" i="46"/>
  <c r="D51" i="52"/>
  <c r="D7" i="52"/>
  <c r="D5" i="52"/>
  <c r="D42" i="52"/>
  <c r="D6" i="52"/>
  <c r="E4" i="52"/>
  <c r="D60" i="52"/>
  <c r="D12" i="51"/>
  <c r="D32" i="51" s="1"/>
  <c r="D5" i="51"/>
  <c r="D7" i="51"/>
  <c r="E51" i="51" s="1"/>
  <c r="E4" i="51"/>
  <c r="D6" i="51"/>
  <c r="D8" i="51"/>
  <c r="F10" i="50"/>
  <c r="F18" i="50"/>
  <c r="F17" i="50"/>
  <c r="G5" i="50"/>
  <c r="F22" i="6"/>
  <c r="F25" i="6" s="1"/>
  <c r="F31" i="6" s="1"/>
  <c r="F33" i="6" s="1"/>
  <c r="F35" i="6" s="1"/>
  <c r="G108" i="30"/>
  <c r="H91" i="30"/>
  <c r="H85" i="30"/>
  <c r="W19" i="49"/>
  <c r="W43" i="50"/>
  <c r="X24" i="50"/>
  <c r="X27" i="50" s="1"/>
  <c r="I56" i="30"/>
  <c r="I116" i="30"/>
  <c r="I85" i="30"/>
  <c r="I78" i="30"/>
  <c r="I88" i="30"/>
  <c r="I42" i="30"/>
  <c r="I112" i="30"/>
  <c r="F127" i="30"/>
  <c r="G95" i="30"/>
  <c r="G82" i="30"/>
  <c r="G25" i="30"/>
  <c r="G68" i="30"/>
  <c r="G64" i="30"/>
  <c r="G116" i="30"/>
  <c r="G45" i="30"/>
  <c r="H103" i="30"/>
  <c r="H42" i="30"/>
  <c r="H52" i="30"/>
  <c r="H78" i="30"/>
  <c r="H82" i="30"/>
  <c r="X6" i="50"/>
  <c r="X7" i="50"/>
  <c r="X9" i="50"/>
  <c r="Y4" i="50"/>
  <c r="X8" i="50"/>
  <c r="I38" i="30"/>
  <c r="I68" i="30"/>
  <c r="I64" i="30"/>
  <c r="I95" i="30"/>
  <c r="G88" i="30"/>
  <c r="G60" i="30"/>
  <c r="G120" i="30"/>
  <c r="G30" i="30"/>
  <c r="G85" i="30"/>
  <c r="H60" i="30"/>
  <c r="H30" i="30"/>
  <c r="H116" i="30"/>
  <c r="H56" i="30"/>
  <c r="H64" i="30"/>
  <c r="I91" i="30"/>
  <c r="I34" i="30"/>
  <c r="I30" i="30"/>
  <c r="I99" i="30"/>
  <c r="I108" i="30"/>
  <c r="I103" i="30"/>
  <c r="I60" i="30"/>
  <c r="G38" i="30"/>
  <c r="G56" i="30"/>
  <c r="G42" i="30"/>
  <c r="G103" i="30"/>
  <c r="G34" i="30"/>
  <c r="H120" i="30"/>
  <c r="H34" i="30"/>
  <c r="H38" i="30"/>
  <c r="H45" i="30"/>
  <c r="H112" i="30"/>
  <c r="H108" i="30"/>
  <c r="I52" i="30"/>
  <c r="I45" i="30"/>
  <c r="I120" i="30"/>
  <c r="G78" i="30"/>
  <c r="G99" i="30"/>
  <c r="G52" i="30"/>
  <c r="G91" i="30"/>
  <c r="G112" i="30"/>
  <c r="H99" i="30"/>
  <c r="H95" i="30"/>
  <c r="H68" i="30"/>
  <c r="H88" i="30"/>
  <c r="I25" i="30"/>
  <c r="X6" i="49"/>
  <c r="X7" i="49"/>
  <c r="X8" i="49"/>
  <c r="X9" i="49"/>
  <c r="Y4" i="49"/>
  <c r="W19" i="50"/>
  <c r="I82" i="30"/>
  <c r="L9" i="36"/>
  <c r="M9" i="36" s="1"/>
  <c r="N9" i="36" s="1"/>
  <c r="O9" i="36" s="1"/>
  <c r="P9" i="36" s="1"/>
  <c r="Q9" i="36" s="1"/>
  <c r="R9" i="36" s="1"/>
  <c r="S9" i="36" s="1"/>
  <c r="T9" i="36" s="1"/>
  <c r="U9" i="36" s="1"/>
  <c r="V9" i="36" s="1"/>
  <c r="W9" i="36" s="1"/>
  <c r="X9" i="36" s="1"/>
  <c r="Y9" i="36" s="1"/>
  <c r="Z9" i="36" s="1"/>
  <c r="AA9" i="36" s="1"/>
  <c r="AB9" i="36" s="1"/>
  <c r="AC9" i="36" s="1"/>
  <c r="AD9" i="36" s="1"/>
  <c r="AE9" i="36" s="1"/>
  <c r="AF9" i="36" s="1"/>
  <c r="AG9" i="36" s="1"/>
  <c r="AH9" i="36" s="1"/>
  <c r="AI9" i="36" s="1"/>
  <c r="AJ9" i="36" s="1"/>
  <c r="AK9" i="36" s="1"/>
  <c r="F22" i="5"/>
  <c r="F25" i="5" s="1"/>
  <c r="F31" i="5" s="1"/>
  <c r="F33" i="5" s="1"/>
  <c r="F35" i="5" s="1"/>
  <c r="H24" i="5"/>
  <c r="H23" i="5"/>
  <c r="H73" i="6"/>
  <c r="H24" i="6"/>
  <c r="H23" i="6"/>
  <c r="H24" i="15"/>
  <c r="H23" i="15"/>
  <c r="G16" i="7"/>
  <c r="L6" i="36"/>
  <c r="D5" i="43"/>
  <c r="E4" i="43"/>
  <c r="D51" i="43"/>
  <c r="D7" i="43"/>
  <c r="D42" i="43"/>
  <c r="D6" i="43"/>
  <c r="D8" i="43"/>
  <c r="E8" i="43" s="1"/>
  <c r="F8" i="43" s="1"/>
  <c r="G8" i="43" s="1"/>
  <c r="H8" i="43" s="1"/>
  <c r="I8" i="43" s="1"/>
  <c r="J8" i="43" s="1"/>
  <c r="K8" i="43" s="1"/>
  <c r="L8" i="43" s="1"/>
  <c r="M8" i="43" s="1"/>
  <c r="N8" i="43" s="1"/>
  <c r="O8" i="43" s="1"/>
  <c r="P8" i="43" s="1"/>
  <c r="Q8" i="43" s="1"/>
  <c r="R8" i="43" s="1"/>
  <c r="S8" i="43" s="1"/>
  <c r="T8" i="43" s="1"/>
  <c r="U8" i="43" s="1"/>
  <c r="V8" i="43" s="1"/>
  <c r="W8" i="43" s="1"/>
  <c r="X8" i="43" s="1"/>
  <c r="Y8" i="43" s="1"/>
  <c r="Z8" i="43" s="1"/>
  <c r="AA8" i="43" s="1"/>
  <c r="AB8" i="43" s="1"/>
  <c r="AC8" i="43" s="1"/>
  <c r="AD8" i="43" s="1"/>
  <c r="AE8" i="43" s="1"/>
  <c r="AF8" i="43" s="1"/>
  <c r="AG8" i="43" s="1"/>
  <c r="D60" i="43"/>
  <c r="L5" i="36"/>
  <c r="M4" i="36"/>
  <c r="M7" i="36" s="1"/>
  <c r="L8" i="36"/>
  <c r="D6" i="21"/>
  <c r="L7" i="10"/>
  <c r="F18" i="35"/>
  <c r="F17" i="35"/>
  <c r="G5" i="35"/>
  <c r="F10" i="35"/>
  <c r="D5" i="37"/>
  <c r="D7" i="37"/>
  <c r="E4" i="37"/>
  <c r="D6" i="37"/>
  <c r="D78" i="37" s="1"/>
  <c r="F5" i="33"/>
  <c r="G5" i="34"/>
  <c r="F10" i="34"/>
  <c r="F10" i="33" s="1"/>
  <c r="F17" i="34"/>
  <c r="F21" i="34" s="1"/>
  <c r="F18" i="34"/>
  <c r="D12" i="40"/>
  <c r="D32" i="40" s="1"/>
  <c r="D7" i="40"/>
  <c r="D8" i="40"/>
  <c r="D5" i="40"/>
  <c r="D6" i="40"/>
  <c r="D9" i="40"/>
  <c r="E9" i="40" s="1"/>
  <c r="F9" i="40" s="1"/>
  <c r="G9" i="40" s="1"/>
  <c r="H9" i="40" s="1"/>
  <c r="I9" i="40" s="1"/>
  <c r="J9" i="40" s="1"/>
  <c r="K9" i="40" s="1"/>
  <c r="L9" i="40" s="1"/>
  <c r="M9" i="40" s="1"/>
  <c r="N9" i="40" s="1"/>
  <c r="O9" i="40" s="1"/>
  <c r="P9" i="40" s="1"/>
  <c r="Q9" i="40" s="1"/>
  <c r="R9" i="40" s="1"/>
  <c r="S9" i="40" s="1"/>
  <c r="T9" i="40" s="1"/>
  <c r="U9" i="40" s="1"/>
  <c r="V9" i="40" s="1"/>
  <c r="W9" i="40" s="1"/>
  <c r="X9" i="40" s="1"/>
  <c r="Y9" i="40" s="1"/>
  <c r="Z9" i="40" s="1"/>
  <c r="AA9" i="40" s="1"/>
  <c r="AB9" i="40" s="1"/>
  <c r="AC9" i="40" s="1"/>
  <c r="AD9" i="40" s="1"/>
  <c r="AE9" i="40" s="1"/>
  <c r="AF9" i="40" s="1"/>
  <c r="E4" i="40"/>
  <c r="D5" i="39"/>
  <c r="D6" i="39"/>
  <c r="E4" i="39"/>
  <c r="D8" i="39"/>
  <c r="E8" i="39" s="1"/>
  <c r="F8" i="39" s="1"/>
  <c r="G8" i="39" s="1"/>
  <c r="H8" i="39" s="1"/>
  <c r="I8" i="39" s="1"/>
  <c r="J8" i="39" s="1"/>
  <c r="K8" i="39" s="1"/>
  <c r="L8" i="39" s="1"/>
  <c r="M8" i="39" s="1"/>
  <c r="N8" i="39" s="1"/>
  <c r="O8" i="39" s="1"/>
  <c r="P8" i="39" s="1"/>
  <c r="Q8" i="39" s="1"/>
  <c r="R8" i="39" s="1"/>
  <c r="S8" i="39" s="1"/>
  <c r="T8" i="39" s="1"/>
  <c r="U8" i="39" s="1"/>
  <c r="V8" i="39" s="1"/>
  <c r="W8" i="39" s="1"/>
  <c r="X8" i="39" s="1"/>
  <c r="Y8" i="39" s="1"/>
  <c r="Z8" i="39" s="1"/>
  <c r="AA8" i="39" s="1"/>
  <c r="AB8" i="39" s="1"/>
  <c r="AC8" i="39" s="1"/>
  <c r="AD8" i="39" s="1"/>
  <c r="AE8" i="39" s="1"/>
  <c r="AF8" i="39" s="1"/>
  <c r="AG8" i="39" s="1"/>
  <c r="D42" i="39"/>
  <c r="D60" i="39"/>
  <c r="D51" i="39"/>
  <c r="D7" i="39"/>
  <c r="O9" i="33"/>
  <c r="F21" i="14"/>
  <c r="O7" i="33"/>
  <c r="O76" i="34"/>
  <c r="E71" i="15"/>
  <c r="E80" i="15" s="1"/>
  <c r="O6" i="33"/>
  <c r="O8" i="35"/>
  <c r="O9" i="35"/>
  <c r="P4" i="35"/>
  <c r="O6" i="35"/>
  <c r="O7" i="35"/>
  <c r="N8" i="29"/>
  <c r="P8" i="34"/>
  <c r="P8" i="33" s="1"/>
  <c r="P7" i="34"/>
  <c r="Q4" i="34"/>
  <c r="Q4" i="33" s="1"/>
  <c r="P9" i="34"/>
  <c r="P6" i="34"/>
  <c r="N19" i="33"/>
  <c r="N19" i="35"/>
  <c r="O19" i="34"/>
  <c r="F18" i="30"/>
  <c r="F10" i="30"/>
  <c r="G5" i="30"/>
  <c r="F17" i="30"/>
  <c r="F21" i="30" s="1"/>
  <c r="F5" i="29"/>
  <c r="F65" i="14"/>
  <c r="F71" i="14" s="1"/>
  <c r="F54" i="14"/>
  <c r="F18" i="31"/>
  <c r="F17" i="31"/>
  <c r="F10" i="31"/>
  <c r="G5" i="31"/>
  <c r="E5" i="32"/>
  <c r="F5" i="32"/>
  <c r="G5" i="32"/>
  <c r="H5" i="32"/>
  <c r="I5" i="32"/>
  <c r="J5" i="32"/>
  <c r="K5" i="32"/>
  <c r="L5" i="32"/>
  <c r="F16" i="14"/>
  <c r="N10" i="32"/>
  <c r="N5" i="32"/>
  <c r="O4" i="32"/>
  <c r="O17" i="32" s="1"/>
  <c r="N7" i="32"/>
  <c r="N6" i="32"/>
  <c r="F79" i="14"/>
  <c r="M11" i="32"/>
  <c r="M15" i="32"/>
  <c r="H63" i="6"/>
  <c r="I99" i="49" s="1"/>
  <c r="M19" i="29"/>
  <c r="N9" i="29"/>
  <c r="O6" i="30"/>
  <c r="O8" i="30"/>
  <c r="O9" i="30"/>
  <c r="P4" i="30"/>
  <c r="O7" i="30"/>
  <c r="O4" i="29"/>
  <c r="N19" i="30"/>
  <c r="N6" i="29"/>
  <c r="N19" i="31"/>
  <c r="N7" i="29"/>
  <c r="O8" i="31"/>
  <c r="O6" i="31"/>
  <c r="O7" i="31"/>
  <c r="O9" i="31"/>
  <c r="P4" i="31"/>
  <c r="F48" i="14"/>
  <c r="E40" i="14"/>
  <c r="H51" i="6"/>
  <c r="I60" i="49" s="1"/>
  <c r="H44" i="6"/>
  <c r="I34" i="49" s="1"/>
  <c r="J5" i="7"/>
  <c r="J11" i="7" s="1"/>
  <c r="H19" i="6"/>
  <c r="H15" i="6"/>
  <c r="K5" i="13"/>
  <c r="K11" i="13" s="1"/>
  <c r="H29" i="6"/>
  <c r="L4" i="7"/>
  <c r="K6" i="7"/>
  <c r="K7" i="7"/>
  <c r="J5" i="15"/>
  <c r="K7" i="15"/>
  <c r="L4" i="15"/>
  <c r="K6" i="15"/>
  <c r="L6" i="13"/>
  <c r="M4" i="13"/>
  <c r="L7" i="13"/>
  <c r="G21" i="7"/>
  <c r="F71" i="5"/>
  <c r="F80" i="5" s="1"/>
  <c r="H30" i="6"/>
  <c r="H46" i="6"/>
  <c r="I42" i="49" s="1"/>
  <c r="H75" i="6"/>
  <c r="H78" i="6"/>
  <c r="H59" i="6"/>
  <c r="I85" i="49" s="1"/>
  <c r="E40" i="6"/>
  <c r="G79" i="7"/>
  <c r="H72" i="6"/>
  <c r="H61" i="6"/>
  <c r="I91" i="49" s="1"/>
  <c r="H64" i="6"/>
  <c r="I103" i="49" s="1"/>
  <c r="H43" i="6"/>
  <c r="I30" i="49" s="1"/>
  <c r="F68" i="7"/>
  <c r="G54" i="7"/>
  <c r="H26" i="6"/>
  <c r="H67" i="6"/>
  <c r="I112" i="49" s="1"/>
  <c r="H57" i="6"/>
  <c r="I78" i="49" s="1"/>
  <c r="H60" i="6"/>
  <c r="I88" i="49" s="1"/>
  <c r="H32" i="6"/>
  <c r="F55" i="15"/>
  <c r="G68" i="6"/>
  <c r="G48" i="7"/>
  <c r="G65" i="7"/>
  <c r="G68" i="7"/>
  <c r="F22" i="15"/>
  <c r="F25" i="15" s="1"/>
  <c r="F31" i="15" s="1"/>
  <c r="F33" i="15" s="1"/>
  <c r="F35" i="15" s="1"/>
  <c r="E22" i="7"/>
  <c r="E25" i="7" s="1"/>
  <c r="E31" i="7" s="1"/>
  <c r="E33" i="7" s="1"/>
  <c r="E35" i="7" s="1"/>
  <c r="E71" i="7"/>
  <c r="E80" i="7" s="1"/>
  <c r="G54" i="6"/>
  <c r="E22" i="15"/>
  <c r="E25" i="15" s="1"/>
  <c r="E31" i="15" s="1"/>
  <c r="E33" i="15" s="1"/>
  <c r="E35" i="15" s="1"/>
  <c r="E40" i="5"/>
  <c r="F71" i="15"/>
  <c r="F80" i="15" s="1"/>
  <c r="G16" i="6"/>
  <c r="F54" i="7"/>
  <c r="F55" i="6"/>
  <c r="H14" i="6"/>
  <c r="H17" i="6"/>
  <c r="H42" i="6"/>
  <c r="I25" i="49" s="1"/>
  <c r="H62" i="6"/>
  <c r="I95" i="49" s="1"/>
  <c r="H18" i="6"/>
  <c r="H50" i="6"/>
  <c r="I56" i="49" s="1"/>
  <c r="H70" i="6"/>
  <c r="I120" i="49" s="1"/>
  <c r="H53" i="6"/>
  <c r="I68" i="49" s="1"/>
  <c r="H74" i="6"/>
  <c r="H27" i="6"/>
  <c r="H52" i="6"/>
  <c r="I64" i="49" s="1"/>
  <c r="H77" i="6"/>
  <c r="I5" i="6"/>
  <c r="J5" i="6" s="1"/>
  <c r="K5" i="6" s="1"/>
  <c r="H28" i="6"/>
  <c r="H34" i="6"/>
  <c r="H58" i="6"/>
  <c r="I82" i="49" s="1"/>
  <c r="H76" i="6"/>
  <c r="H45" i="6"/>
  <c r="I38" i="49" s="1"/>
  <c r="H66" i="6"/>
  <c r="I108" i="49" s="1"/>
  <c r="H49" i="6"/>
  <c r="I52" i="49" s="1"/>
  <c r="H69" i="6"/>
  <c r="I116" i="49" s="1"/>
  <c r="H20" i="6"/>
  <c r="H47" i="6"/>
  <c r="I45" i="49" s="1"/>
  <c r="F65" i="7"/>
  <c r="F48" i="7"/>
  <c r="F79" i="7"/>
  <c r="G21" i="6"/>
  <c r="G48" i="6"/>
  <c r="E55" i="7"/>
  <c r="G65" i="6"/>
  <c r="G79" i="6"/>
  <c r="H127" i="49" s="1"/>
  <c r="F21" i="7"/>
  <c r="G21" i="5"/>
  <c r="G68" i="5"/>
  <c r="F16" i="7"/>
  <c r="F71" i="6"/>
  <c r="F80" i="6" s="1"/>
  <c r="H68" i="7"/>
  <c r="G54" i="15"/>
  <c r="E55" i="15"/>
  <c r="G65" i="5"/>
  <c r="G68" i="15"/>
  <c r="G68" i="14"/>
  <c r="N4" i="14"/>
  <c r="M7" i="14"/>
  <c r="M6" i="14"/>
  <c r="L5" i="14"/>
  <c r="G16" i="14"/>
  <c r="G54" i="14"/>
  <c r="H77" i="14"/>
  <c r="H73" i="14"/>
  <c r="H63" i="14"/>
  <c r="H59" i="14"/>
  <c r="H52" i="14"/>
  <c r="H47" i="14"/>
  <c r="H43" i="14"/>
  <c r="H32" i="14"/>
  <c r="H27" i="14"/>
  <c r="H20" i="14"/>
  <c r="H15" i="14"/>
  <c r="H75" i="14"/>
  <c r="H61" i="14"/>
  <c r="H57" i="14"/>
  <c r="H50" i="14"/>
  <c r="H45" i="14"/>
  <c r="H78" i="14"/>
  <c r="H74" i="14"/>
  <c r="H69" i="14"/>
  <c r="H64" i="14"/>
  <c r="H60" i="14"/>
  <c r="H53" i="14"/>
  <c r="H49" i="14"/>
  <c r="H44" i="14"/>
  <c r="H34" i="14"/>
  <c r="H28" i="14"/>
  <c r="H23" i="14"/>
  <c r="H17" i="14"/>
  <c r="H70" i="14"/>
  <c r="H66" i="14"/>
  <c r="H76" i="14"/>
  <c r="H72" i="14"/>
  <c r="H30" i="14"/>
  <c r="H67" i="14"/>
  <c r="H62" i="14"/>
  <c r="H58" i="14"/>
  <c r="H51" i="14"/>
  <c r="H46" i="14"/>
  <c r="H42" i="14"/>
  <c r="H29" i="14"/>
  <c r="H24" i="14"/>
  <c r="H18" i="14"/>
  <c r="H26" i="14"/>
  <c r="H19" i="14"/>
  <c r="H14" i="14"/>
  <c r="G65" i="14"/>
  <c r="G21" i="14"/>
  <c r="G48" i="14"/>
  <c r="G79" i="14"/>
  <c r="H78" i="15"/>
  <c r="H74" i="15"/>
  <c r="H69" i="15"/>
  <c r="I117" i="34" s="1"/>
  <c r="H67" i="15"/>
  <c r="I113" i="34" s="1"/>
  <c r="H62" i="15"/>
  <c r="I96" i="34" s="1"/>
  <c r="H58" i="15"/>
  <c r="H83" i="34" s="1"/>
  <c r="H51" i="15"/>
  <c r="I60" i="34" s="1"/>
  <c r="H46" i="15"/>
  <c r="I42" i="34" s="1"/>
  <c r="H42" i="15"/>
  <c r="I25" i="34" s="1"/>
  <c r="H30" i="15"/>
  <c r="H26" i="15"/>
  <c r="H20" i="15"/>
  <c r="H15" i="15"/>
  <c r="H75" i="15"/>
  <c r="H70" i="15"/>
  <c r="I121" i="34" s="1"/>
  <c r="H76" i="15"/>
  <c r="H72" i="15"/>
  <c r="H64" i="15"/>
  <c r="I104" i="34" s="1"/>
  <c r="H60" i="15"/>
  <c r="H89" i="34" s="1"/>
  <c r="H53" i="15"/>
  <c r="I69" i="34" s="1"/>
  <c r="H49" i="15"/>
  <c r="I52" i="34" s="1"/>
  <c r="H44" i="15"/>
  <c r="I34" i="34" s="1"/>
  <c r="H34" i="15"/>
  <c r="H28" i="15"/>
  <c r="H18" i="15"/>
  <c r="H77" i="15"/>
  <c r="H73" i="15"/>
  <c r="H66" i="15"/>
  <c r="I109" i="34" s="1"/>
  <c r="H61" i="15"/>
  <c r="I92" i="34" s="1"/>
  <c r="H50" i="15"/>
  <c r="I56" i="34" s="1"/>
  <c r="H59" i="15"/>
  <c r="I86" i="34" s="1"/>
  <c r="H47" i="15"/>
  <c r="I45" i="34" s="1"/>
  <c r="H19" i="15"/>
  <c r="H14" i="15"/>
  <c r="H63" i="15"/>
  <c r="I100" i="34" s="1"/>
  <c r="H57" i="15"/>
  <c r="I79" i="34" s="1"/>
  <c r="H45" i="15"/>
  <c r="I38" i="34" s="1"/>
  <c r="H29" i="15"/>
  <c r="H17" i="15"/>
  <c r="H52" i="15"/>
  <c r="I65" i="34" s="1"/>
  <c r="H43" i="15"/>
  <c r="I30" i="34" s="1"/>
  <c r="H27" i="15"/>
  <c r="H32" i="15"/>
  <c r="G16" i="15"/>
  <c r="G48" i="15"/>
  <c r="G21" i="15"/>
  <c r="G65" i="15"/>
  <c r="G79" i="15"/>
  <c r="H128" i="34" s="1"/>
  <c r="H54" i="7"/>
  <c r="H16" i="7"/>
  <c r="H21" i="7"/>
  <c r="H79" i="7"/>
  <c r="H48" i="7"/>
  <c r="H65" i="7"/>
  <c r="I5" i="5"/>
  <c r="I11" i="5" s="1"/>
  <c r="F55" i="5"/>
  <c r="G16" i="5"/>
  <c r="G79" i="5"/>
  <c r="H78" i="5"/>
  <c r="H77" i="5"/>
  <c r="H76" i="5"/>
  <c r="H75" i="5"/>
  <c r="H74" i="5"/>
  <c r="H73" i="5"/>
  <c r="H72" i="5"/>
  <c r="H70" i="5"/>
  <c r="H69" i="5"/>
  <c r="H67" i="5"/>
  <c r="H66" i="5"/>
  <c r="H64" i="5"/>
  <c r="H63" i="5"/>
  <c r="H62" i="5"/>
  <c r="H61" i="5"/>
  <c r="H60" i="5"/>
  <c r="H59" i="5"/>
  <c r="H58" i="5"/>
  <c r="H57" i="5"/>
  <c r="H53" i="5"/>
  <c r="H52" i="5"/>
  <c r="H51" i="5"/>
  <c r="H50" i="5"/>
  <c r="H49" i="5"/>
  <c r="H47" i="5"/>
  <c r="H46" i="5"/>
  <c r="H45" i="5"/>
  <c r="H44" i="5"/>
  <c r="H43" i="5"/>
  <c r="H42" i="5"/>
  <c r="H34" i="5"/>
  <c r="H32" i="5"/>
  <c r="H30" i="5"/>
  <c r="H29" i="5"/>
  <c r="H28" i="5"/>
  <c r="H27" i="5"/>
  <c r="H26" i="5"/>
  <c r="H14" i="5"/>
  <c r="H20" i="5"/>
  <c r="H18" i="5"/>
  <c r="H15" i="5"/>
  <c r="H19" i="5"/>
  <c r="H17" i="5"/>
  <c r="G48" i="5"/>
  <c r="G54" i="5"/>
  <c r="I11" i="7"/>
  <c r="L6" i="10"/>
  <c r="O6" i="5"/>
  <c r="O7" i="5"/>
  <c r="I11" i="15"/>
  <c r="N6" i="6"/>
  <c r="N7" i="6"/>
  <c r="E4" i="11"/>
  <c r="D6" i="11"/>
  <c r="D12" i="22"/>
  <c r="D32" i="22" s="1"/>
  <c r="D6" i="22"/>
  <c r="D42" i="21"/>
  <c r="D51" i="21"/>
  <c r="D60" i="21"/>
  <c r="F87" i="5"/>
  <c r="E87" i="5"/>
  <c r="D87" i="5"/>
  <c r="F86" i="5"/>
  <c r="E86" i="5"/>
  <c r="D86" i="5"/>
  <c r="F85" i="5"/>
  <c r="E85" i="5"/>
  <c r="D85" i="5"/>
  <c r="F87" i="6"/>
  <c r="E87" i="6"/>
  <c r="D87" i="6"/>
  <c r="F86" i="6"/>
  <c r="E86" i="6"/>
  <c r="D86" i="6"/>
  <c r="F85" i="6"/>
  <c r="E85" i="6"/>
  <c r="D85" i="6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94" i="1"/>
  <c r="C11" i="1"/>
  <c r="D91" i="23"/>
  <c r="D93" i="23"/>
  <c r="D95" i="23"/>
  <c r="J34" i="46" l="1"/>
  <c r="J21" i="46"/>
  <c r="H79" i="6"/>
  <c r="I127" i="49" s="1"/>
  <c r="D25" i="39"/>
  <c r="D26" i="39" s="1"/>
  <c r="D94" i="37"/>
  <c r="O92" i="46"/>
  <c r="K92" i="46"/>
  <c r="G92" i="46"/>
  <c r="G91" i="46" s="1"/>
  <c r="N92" i="46"/>
  <c r="F92" i="46"/>
  <c r="E92" i="46"/>
  <c r="E108" i="46" s="1"/>
  <c r="E106" i="46" s="1"/>
  <c r="P92" i="46"/>
  <c r="L92" i="46"/>
  <c r="M92" i="46"/>
  <c r="L14" i="36"/>
  <c r="M17" i="54"/>
  <c r="M10" i="54"/>
  <c r="M13" i="54"/>
  <c r="M15" i="54"/>
  <c r="M19" i="54"/>
  <c r="M11" i="54"/>
  <c r="M18" i="54"/>
  <c r="M14" i="54"/>
  <c r="M12" i="54"/>
  <c r="N6" i="54"/>
  <c r="N7" i="54"/>
  <c r="N5" i="54"/>
  <c r="O4" i="54"/>
  <c r="J74" i="46"/>
  <c r="J121" i="46"/>
  <c r="J22" i="46"/>
  <c r="J23" i="46"/>
  <c r="J66" i="46"/>
  <c r="J129" i="46"/>
  <c r="J24" i="46"/>
  <c r="J26" i="46"/>
  <c r="J11" i="46"/>
  <c r="E60" i="52"/>
  <c r="F4" i="52"/>
  <c r="E5" i="52"/>
  <c r="E7" i="52"/>
  <c r="E51" i="52"/>
  <c r="E42" i="52"/>
  <c r="E6" i="52"/>
  <c r="O106" i="46"/>
  <c r="O129" i="46"/>
  <c r="O121" i="46"/>
  <c r="O11" i="46"/>
  <c r="O66" i="46"/>
  <c r="O26" i="46"/>
  <c r="O148" i="46"/>
  <c r="O34" i="46"/>
  <c r="O24" i="46"/>
  <c r="O74" i="46"/>
  <c r="O22" i="46"/>
  <c r="O21" i="46"/>
  <c r="O23" i="46"/>
  <c r="K148" i="46"/>
  <c r="K34" i="46"/>
  <c r="K66" i="46"/>
  <c r="K74" i="46"/>
  <c r="K24" i="46"/>
  <c r="K22" i="46"/>
  <c r="K106" i="46"/>
  <c r="K23" i="46"/>
  <c r="K47" i="8" s="1"/>
  <c r="K21" i="46"/>
  <c r="K121" i="46"/>
  <c r="K129" i="46"/>
  <c r="K11" i="46"/>
  <c r="K26" i="46"/>
  <c r="G166" i="46"/>
  <c r="G98" i="46"/>
  <c r="G158" i="46"/>
  <c r="G119" i="46"/>
  <c r="G58" i="46"/>
  <c r="G96" i="46"/>
  <c r="G21" i="46"/>
  <c r="G85" i="46" s="1"/>
  <c r="G24" i="46"/>
  <c r="G88" i="46" s="1"/>
  <c r="G117" i="46"/>
  <c r="G183" i="46"/>
  <c r="G192" i="46"/>
  <c r="G118" i="46"/>
  <c r="G26" i="46"/>
  <c r="G42" i="46"/>
  <c r="G121" i="46"/>
  <c r="G11" i="46"/>
  <c r="G93" i="46"/>
  <c r="G18" i="46"/>
  <c r="G50" i="46"/>
  <c r="G116" i="46"/>
  <c r="H116" i="46" s="1"/>
  <c r="I116" i="46" s="1"/>
  <c r="G23" i="46"/>
  <c r="G87" i="46" s="1"/>
  <c r="G174" i="46"/>
  <c r="G94" i="46"/>
  <c r="G74" i="46"/>
  <c r="G95" i="46"/>
  <c r="G22" i="46"/>
  <c r="G86" i="46" s="1"/>
  <c r="G66" i="46"/>
  <c r="G129" i="46"/>
  <c r="G114" i="46"/>
  <c r="G200" i="46"/>
  <c r="G34" i="46"/>
  <c r="F4" i="53"/>
  <c r="E6" i="53"/>
  <c r="N5" i="47"/>
  <c r="E7" i="53"/>
  <c r="E5" i="53"/>
  <c r="N6" i="47" s="1"/>
  <c r="G5" i="48"/>
  <c r="G10" i="49"/>
  <c r="G10" i="48" s="1"/>
  <c r="G18" i="49"/>
  <c r="H5" i="49"/>
  <c r="G17" i="49"/>
  <c r="G21" i="49" s="1"/>
  <c r="E8" i="51"/>
  <c r="E6" i="51"/>
  <c r="E5" i="51"/>
  <c r="E12" i="51"/>
  <c r="E32" i="51" s="1"/>
  <c r="F4" i="51"/>
  <c r="E7" i="51"/>
  <c r="F51" i="51" s="1"/>
  <c r="P23" i="46"/>
  <c r="P47" i="8" s="1"/>
  <c r="P42" i="46"/>
  <c r="P34" i="46"/>
  <c r="P121" i="46"/>
  <c r="P129" i="46"/>
  <c r="P26" i="46"/>
  <c r="P11" i="46"/>
  <c r="P66" i="46"/>
  <c r="P22" i="46"/>
  <c r="P46" i="8" s="1"/>
  <c r="P21" i="46"/>
  <c r="P45" i="8" s="1"/>
  <c r="P24" i="46"/>
  <c r="P48" i="8" s="1"/>
  <c r="P74" i="46"/>
  <c r="P166" i="46"/>
  <c r="P174" i="46"/>
  <c r="L74" i="46"/>
  <c r="L24" i="46"/>
  <c r="L106" i="46"/>
  <c r="L26" i="46"/>
  <c r="L22" i="46"/>
  <c r="L148" i="46"/>
  <c r="L121" i="46"/>
  <c r="L21" i="46"/>
  <c r="L129" i="46"/>
  <c r="L34" i="46"/>
  <c r="L66" i="46"/>
  <c r="L23" i="46"/>
  <c r="L11" i="46"/>
  <c r="H166" i="46"/>
  <c r="H66" i="46"/>
  <c r="H26" i="46"/>
  <c r="H96" i="46"/>
  <c r="H24" i="46"/>
  <c r="H88" i="46" s="1"/>
  <c r="H93" i="46"/>
  <c r="H11" i="46"/>
  <c r="H158" i="46"/>
  <c r="H50" i="46"/>
  <c r="H42" i="46"/>
  <c r="H74" i="46"/>
  <c r="H192" i="46"/>
  <c r="H98" i="46"/>
  <c r="H21" i="46"/>
  <c r="H85" i="46" s="1"/>
  <c r="H58" i="46"/>
  <c r="H117" i="46"/>
  <c r="I117" i="46" s="1"/>
  <c r="J117" i="46" s="1"/>
  <c r="K117" i="46" s="1"/>
  <c r="L117" i="46" s="1"/>
  <c r="M117" i="46" s="1"/>
  <c r="N117" i="46" s="1"/>
  <c r="O117" i="46" s="1"/>
  <c r="P117" i="46" s="1"/>
  <c r="S117" i="46" s="1"/>
  <c r="H119" i="46"/>
  <c r="I119" i="46" s="1"/>
  <c r="J119" i="46" s="1"/>
  <c r="K119" i="46" s="1"/>
  <c r="L119" i="46" s="1"/>
  <c r="M119" i="46" s="1"/>
  <c r="N119" i="46" s="1"/>
  <c r="O119" i="46" s="1"/>
  <c r="P119" i="46" s="1"/>
  <c r="S119" i="46" s="1"/>
  <c r="H118" i="46"/>
  <c r="I118" i="46" s="1"/>
  <c r="H23" i="46"/>
  <c r="H87" i="46" s="1"/>
  <c r="H94" i="46"/>
  <c r="H22" i="46"/>
  <c r="H86" i="46" s="1"/>
  <c r="H183" i="46"/>
  <c r="H95" i="46"/>
  <c r="H174" i="46"/>
  <c r="H121" i="46"/>
  <c r="H129" i="46"/>
  <c r="H34" i="46"/>
  <c r="H200" i="46"/>
  <c r="N22" i="46"/>
  <c r="N26" i="46"/>
  <c r="N34" i="46"/>
  <c r="N21" i="46"/>
  <c r="N24" i="46"/>
  <c r="N129" i="46"/>
  <c r="N148" i="46"/>
  <c r="N106" i="46"/>
  <c r="N11" i="46"/>
  <c r="N74" i="46"/>
  <c r="N66" i="46"/>
  <c r="N121" i="46"/>
  <c r="N23" i="46"/>
  <c r="F93" i="46"/>
  <c r="F96" i="46"/>
  <c r="F24" i="46"/>
  <c r="F88" i="46" s="1"/>
  <c r="F118" i="46"/>
  <c r="F26" i="46"/>
  <c r="F158" i="46"/>
  <c r="F98" i="46"/>
  <c r="F116" i="46"/>
  <c r="F114" i="46"/>
  <c r="F217" i="46" s="1"/>
  <c r="F66" i="49" s="1"/>
  <c r="F42" i="46"/>
  <c r="F166" i="46"/>
  <c r="F50" i="46"/>
  <c r="F192" i="46"/>
  <c r="F119" i="46"/>
  <c r="F183" i="46"/>
  <c r="F121" i="46"/>
  <c r="F58" i="46"/>
  <c r="F18" i="46"/>
  <c r="F66" i="46"/>
  <c r="F21" i="46"/>
  <c r="F85" i="46" s="1"/>
  <c r="F11" i="46"/>
  <c r="F174" i="46"/>
  <c r="F74" i="46"/>
  <c r="F22" i="46"/>
  <c r="F86" i="46" s="1"/>
  <c r="F117" i="46"/>
  <c r="F23" i="46"/>
  <c r="F87" i="46" s="1"/>
  <c r="F94" i="46"/>
  <c r="F95" i="46"/>
  <c r="F129" i="46"/>
  <c r="F200" i="46"/>
  <c r="F34" i="46"/>
  <c r="G10" i="50"/>
  <c r="G18" i="50"/>
  <c r="H5" i="50"/>
  <c r="G17" i="50"/>
  <c r="Q183" i="46"/>
  <c r="Q96" i="46"/>
  <c r="Q74" i="46"/>
  <c r="Q66" i="46"/>
  <c r="Q94" i="46"/>
  <c r="Q42" i="46"/>
  <c r="Q26" i="46"/>
  <c r="Q24" i="46"/>
  <c r="Q88" i="46" s="1"/>
  <c r="Q119" i="46"/>
  <c r="Q91" i="46"/>
  <c r="Q214" i="46" s="1"/>
  <c r="Q93" i="46"/>
  <c r="Q166" i="46"/>
  <c r="Q18" i="46"/>
  <c r="Q50" i="46"/>
  <c r="Q95" i="46"/>
  <c r="Q158" i="46"/>
  <c r="Q114" i="46"/>
  <c r="Q217" i="46" s="1"/>
  <c r="Q117" i="46"/>
  <c r="Q23" i="46"/>
  <c r="Q87" i="46" s="1"/>
  <c r="Q22" i="46"/>
  <c r="Q86" i="46" s="1"/>
  <c r="Q98" i="46"/>
  <c r="Q174" i="46"/>
  <c r="Q192" i="46"/>
  <c r="Q121" i="46"/>
  <c r="Q118" i="46"/>
  <c r="Q11" i="46"/>
  <c r="Q58" i="46"/>
  <c r="Q116" i="46"/>
  <c r="Q21" i="46"/>
  <c r="Q85" i="46" s="1"/>
  <c r="Q129" i="46"/>
  <c r="Q34" i="46"/>
  <c r="Q200" i="46"/>
  <c r="M34" i="46"/>
  <c r="M21" i="46"/>
  <c r="M66" i="46"/>
  <c r="M23" i="46"/>
  <c r="M47" i="8" s="1"/>
  <c r="M74" i="46"/>
  <c r="M106" i="46"/>
  <c r="M121" i="46"/>
  <c r="M26" i="46"/>
  <c r="M24" i="46"/>
  <c r="M22" i="46"/>
  <c r="M129" i="46"/>
  <c r="M11" i="46"/>
  <c r="M148" i="46"/>
  <c r="I121" i="46"/>
  <c r="I24" i="46"/>
  <c r="I48" i="8" s="1"/>
  <c r="I66" i="46"/>
  <c r="I11" i="46"/>
  <c r="I22" i="46"/>
  <c r="I21" i="46"/>
  <c r="I85" i="46" s="1"/>
  <c r="I192" i="46"/>
  <c r="I23" i="46"/>
  <c r="I47" i="8" s="1"/>
  <c r="I129" i="46"/>
  <c r="I158" i="46"/>
  <c r="I34" i="46"/>
  <c r="I26" i="46"/>
  <c r="E119" i="46"/>
  <c r="E94" i="46"/>
  <c r="E174" i="46"/>
  <c r="E26" i="46"/>
  <c r="E27" i="46" s="1"/>
  <c r="E24" i="46"/>
  <c r="E88" i="46" s="1"/>
  <c r="E114" i="46"/>
  <c r="E217" i="46" s="1"/>
  <c r="E66" i="49" s="1"/>
  <c r="E93" i="46"/>
  <c r="E158" i="46"/>
  <c r="E95" i="46"/>
  <c r="E11" i="46"/>
  <c r="E50" i="46"/>
  <c r="E42" i="46"/>
  <c r="E166" i="46"/>
  <c r="E118" i="46"/>
  <c r="E183" i="46"/>
  <c r="E116" i="46"/>
  <c r="E117" i="46"/>
  <c r="E21" i="46"/>
  <c r="E85" i="46" s="1"/>
  <c r="E58" i="46"/>
  <c r="E23" i="46"/>
  <c r="E87" i="46" s="1"/>
  <c r="E192" i="46"/>
  <c r="E96" i="46"/>
  <c r="E98" i="46"/>
  <c r="E66" i="46"/>
  <c r="E74" i="46"/>
  <c r="E18" i="46"/>
  <c r="E121" i="46"/>
  <c r="E22" i="46"/>
  <c r="E86" i="46" s="1"/>
  <c r="E200" i="46"/>
  <c r="E34" i="46"/>
  <c r="E35" i="46" s="1"/>
  <c r="E129" i="46"/>
  <c r="F18" i="48"/>
  <c r="F17" i="48"/>
  <c r="F24" i="48" s="1"/>
  <c r="Y9" i="49"/>
  <c r="Z4" i="49"/>
  <c r="Y6" i="49"/>
  <c r="Y7" i="49"/>
  <c r="Y8" i="49"/>
  <c r="X19" i="49"/>
  <c r="X43" i="50"/>
  <c r="Y24" i="50"/>
  <c r="Y27" i="50" s="1"/>
  <c r="X19" i="50"/>
  <c r="I127" i="30"/>
  <c r="Y9" i="50"/>
  <c r="Y6" i="50"/>
  <c r="Y8" i="50"/>
  <c r="Z4" i="50"/>
  <c r="Y7" i="50"/>
  <c r="G127" i="30"/>
  <c r="H127" i="30"/>
  <c r="L13" i="36"/>
  <c r="I42" i="7"/>
  <c r="I58" i="7"/>
  <c r="AL9" i="36"/>
  <c r="AM9" i="36" s="1"/>
  <c r="AN9" i="36" s="1"/>
  <c r="AO9" i="36" s="1"/>
  <c r="J58" i="7"/>
  <c r="J42" i="7"/>
  <c r="L12" i="36"/>
  <c r="L11" i="36"/>
  <c r="J24" i="7"/>
  <c r="J23" i="7"/>
  <c r="I76" i="5"/>
  <c r="I24" i="5"/>
  <c r="I23" i="5"/>
  <c r="N4" i="36"/>
  <c r="N7" i="36" s="1"/>
  <c r="I24" i="15"/>
  <c r="I23" i="15"/>
  <c r="I24" i="7"/>
  <c r="I23" i="7"/>
  <c r="G22" i="7"/>
  <c r="G25" i="7" s="1"/>
  <c r="G31" i="7" s="1"/>
  <c r="G33" i="7" s="1"/>
  <c r="G35" i="7" s="1"/>
  <c r="M6" i="36"/>
  <c r="M13" i="36" s="1"/>
  <c r="L16" i="36"/>
  <c r="M8" i="36"/>
  <c r="L15" i="36"/>
  <c r="M5" i="36"/>
  <c r="E42" i="43"/>
  <c r="E5" i="43"/>
  <c r="E60" i="43"/>
  <c r="E6" i="43"/>
  <c r="E51" i="43"/>
  <c r="F4" i="43"/>
  <c r="E7" i="43"/>
  <c r="G55" i="7"/>
  <c r="E7" i="40"/>
  <c r="E8" i="40"/>
  <c r="E12" i="40"/>
  <c r="E32" i="40" s="1"/>
  <c r="F4" i="40"/>
  <c r="E5" i="40"/>
  <c r="E6" i="40"/>
  <c r="D85" i="37"/>
  <c r="D101" i="37" s="1"/>
  <c r="D93" i="37"/>
  <c r="G17" i="34"/>
  <c r="G21" i="34" s="1"/>
  <c r="H5" i="34"/>
  <c r="G18" i="34"/>
  <c r="G10" i="34"/>
  <c r="G10" i="33" s="1"/>
  <c r="G5" i="33"/>
  <c r="G10" i="35"/>
  <c r="G17" i="35"/>
  <c r="H5" i="35"/>
  <c r="G18" i="35"/>
  <c r="E6" i="39"/>
  <c r="E60" i="39"/>
  <c r="E51" i="39"/>
  <c r="E5" i="39"/>
  <c r="E42" i="39"/>
  <c r="E7" i="39"/>
  <c r="F4" i="39"/>
  <c r="E6" i="37"/>
  <c r="E5" i="37"/>
  <c r="E7" i="37"/>
  <c r="F4" i="37"/>
  <c r="E6" i="11"/>
  <c r="N5" i="38"/>
  <c r="G71" i="6"/>
  <c r="G80" i="6" s="1"/>
  <c r="F22" i="14"/>
  <c r="F25" i="14" s="1"/>
  <c r="F31" i="14" s="1"/>
  <c r="F33" i="14" s="1"/>
  <c r="F35" i="14" s="1"/>
  <c r="F55" i="14"/>
  <c r="J11" i="6"/>
  <c r="F80" i="14"/>
  <c r="P7" i="33"/>
  <c r="P76" i="34"/>
  <c r="P9" i="33"/>
  <c r="P6" i="33"/>
  <c r="P7" i="35"/>
  <c r="P8" i="35"/>
  <c r="P9" i="35"/>
  <c r="P6" i="35"/>
  <c r="Q4" i="35"/>
  <c r="P19" i="34"/>
  <c r="O8" i="29"/>
  <c r="O19" i="33"/>
  <c r="F10" i="29"/>
  <c r="Q7" i="34"/>
  <c r="Q9" i="34"/>
  <c r="Q6" i="34"/>
  <c r="Q8" i="34"/>
  <c r="Q8" i="33" s="1"/>
  <c r="R4" i="34"/>
  <c r="R4" i="33" s="1"/>
  <c r="O19" i="35"/>
  <c r="F17" i="33"/>
  <c r="F18" i="33"/>
  <c r="I15" i="32"/>
  <c r="I11" i="32"/>
  <c r="E11" i="32"/>
  <c r="E15" i="32"/>
  <c r="J11" i="32"/>
  <c r="J15" i="32"/>
  <c r="F11" i="32"/>
  <c r="F15" i="32"/>
  <c r="F16" i="32" s="1"/>
  <c r="F17" i="29"/>
  <c r="F24" i="29" s="1"/>
  <c r="F18" i="29"/>
  <c r="K11" i="32"/>
  <c r="K15" i="32"/>
  <c r="G11" i="32"/>
  <c r="G15" i="32"/>
  <c r="L11" i="32"/>
  <c r="L15" i="32"/>
  <c r="L16" i="32" s="1"/>
  <c r="H11" i="32"/>
  <c r="H15" i="32"/>
  <c r="H5" i="31"/>
  <c r="G10" i="31"/>
  <c r="G18" i="31"/>
  <c r="G17" i="31"/>
  <c r="G17" i="30"/>
  <c r="G21" i="30" s="1"/>
  <c r="H5" i="30"/>
  <c r="G5" i="29"/>
  <c r="G10" i="30"/>
  <c r="G18" i="30"/>
  <c r="N15" i="32"/>
  <c r="N16" i="32" s="1"/>
  <c r="N11" i="32"/>
  <c r="O5" i="32"/>
  <c r="O10" i="32"/>
  <c r="P4" i="32"/>
  <c r="P17" i="32" s="1"/>
  <c r="O7" i="32"/>
  <c r="O6" i="32"/>
  <c r="N19" i="29"/>
  <c r="P9" i="30"/>
  <c r="Q4" i="30"/>
  <c r="P7" i="30"/>
  <c r="P8" i="30"/>
  <c r="P6" i="30"/>
  <c r="P4" i="29"/>
  <c r="P7" i="31"/>
  <c r="P9" i="31"/>
  <c r="Q4" i="31"/>
  <c r="P6" i="31"/>
  <c r="P8" i="31"/>
  <c r="O7" i="29"/>
  <c r="O19" i="30"/>
  <c r="O6" i="29"/>
  <c r="H16" i="6"/>
  <c r="O19" i="31"/>
  <c r="O9" i="29"/>
  <c r="F22" i="7"/>
  <c r="F25" i="7" s="1"/>
  <c r="F31" i="7" s="1"/>
  <c r="F33" i="7" s="1"/>
  <c r="F35" i="7" s="1"/>
  <c r="K5" i="7"/>
  <c r="K11" i="7" s="1"/>
  <c r="G22" i="6"/>
  <c r="G25" i="6" s="1"/>
  <c r="G31" i="6" s="1"/>
  <c r="G33" i="6" s="1"/>
  <c r="G35" i="6" s="1"/>
  <c r="L5" i="13"/>
  <c r="L11" i="13" s="1"/>
  <c r="M4" i="7"/>
  <c r="L7" i="7"/>
  <c r="L6" i="7"/>
  <c r="N4" i="13"/>
  <c r="M6" i="13"/>
  <c r="M7" i="13"/>
  <c r="L6" i="15"/>
  <c r="L7" i="15"/>
  <c r="M4" i="15"/>
  <c r="K5" i="15"/>
  <c r="F40" i="15"/>
  <c r="H21" i="6"/>
  <c r="F71" i="7"/>
  <c r="F80" i="7" s="1"/>
  <c r="H54" i="6"/>
  <c r="H65" i="6"/>
  <c r="G71" i="7"/>
  <c r="G80" i="7" s="1"/>
  <c r="F55" i="7"/>
  <c r="G71" i="5"/>
  <c r="G80" i="5" s="1"/>
  <c r="F40" i="6"/>
  <c r="E40" i="7"/>
  <c r="H68" i="6"/>
  <c r="H71" i="7"/>
  <c r="H80" i="7" s="1"/>
  <c r="I18" i="5"/>
  <c r="H48" i="6"/>
  <c r="I11" i="6"/>
  <c r="G55" i="6"/>
  <c r="G71" i="15"/>
  <c r="G80" i="15" s="1"/>
  <c r="I51" i="5"/>
  <c r="I32" i="5"/>
  <c r="G22" i="5"/>
  <c r="G25" i="5" s="1"/>
  <c r="G31" i="5" s="1"/>
  <c r="G33" i="5" s="1"/>
  <c r="G35" i="5" s="1"/>
  <c r="I67" i="5"/>
  <c r="H68" i="15"/>
  <c r="E40" i="15"/>
  <c r="I29" i="5"/>
  <c r="I49" i="5"/>
  <c r="I62" i="5"/>
  <c r="I77" i="5"/>
  <c r="I46" i="5"/>
  <c r="I60" i="5"/>
  <c r="I73" i="5"/>
  <c r="I20" i="5"/>
  <c r="I42" i="5"/>
  <c r="I58" i="5"/>
  <c r="I70" i="5"/>
  <c r="G55" i="15"/>
  <c r="I15" i="5"/>
  <c r="I27" i="5"/>
  <c r="I44" i="5"/>
  <c r="I53" i="5"/>
  <c r="I64" i="5"/>
  <c r="I75" i="5"/>
  <c r="F40" i="5"/>
  <c r="H55" i="7"/>
  <c r="H22" i="7"/>
  <c r="H25" i="7" s="1"/>
  <c r="H31" i="7" s="1"/>
  <c r="H33" i="7" s="1"/>
  <c r="H35" i="7" s="1"/>
  <c r="G71" i="14"/>
  <c r="G80" i="14" s="1"/>
  <c r="N6" i="14"/>
  <c r="O4" i="14"/>
  <c r="N7" i="14"/>
  <c r="G22" i="14"/>
  <c r="G25" i="14" s="1"/>
  <c r="G31" i="14" s="1"/>
  <c r="G33" i="14" s="1"/>
  <c r="G35" i="14" s="1"/>
  <c r="G55" i="14"/>
  <c r="M5" i="14"/>
  <c r="H48" i="14"/>
  <c r="H21" i="14"/>
  <c r="H16" i="14"/>
  <c r="H68" i="14"/>
  <c r="H65" i="14"/>
  <c r="H54" i="14"/>
  <c r="H79" i="14"/>
  <c r="I77" i="15"/>
  <c r="I73" i="15"/>
  <c r="I66" i="15"/>
  <c r="J109" i="34" s="1"/>
  <c r="I61" i="15"/>
  <c r="J92" i="34" s="1"/>
  <c r="I57" i="15"/>
  <c r="J79" i="34" s="1"/>
  <c r="I50" i="15"/>
  <c r="J56" i="34" s="1"/>
  <c r="I45" i="15"/>
  <c r="J38" i="34" s="1"/>
  <c r="I29" i="15"/>
  <c r="I19" i="15"/>
  <c r="I14" i="15"/>
  <c r="I78" i="15"/>
  <c r="I74" i="15"/>
  <c r="I69" i="15"/>
  <c r="J117" i="34" s="1"/>
  <c r="I67" i="15"/>
  <c r="I75" i="15"/>
  <c r="I70" i="15"/>
  <c r="J121" i="34" s="1"/>
  <c r="I63" i="15"/>
  <c r="J100" i="34" s="1"/>
  <c r="I59" i="15"/>
  <c r="J86" i="34" s="1"/>
  <c r="I52" i="15"/>
  <c r="J65" i="34" s="1"/>
  <c r="I47" i="15"/>
  <c r="J45" i="34" s="1"/>
  <c r="I43" i="15"/>
  <c r="J30" i="34" s="1"/>
  <c r="I32" i="15"/>
  <c r="I27" i="15"/>
  <c r="I17" i="15"/>
  <c r="I76" i="15"/>
  <c r="I72" i="15"/>
  <c r="I64" i="15"/>
  <c r="J104" i="34" s="1"/>
  <c r="I58" i="15"/>
  <c r="I83" i="34" s="1"/>
  <c r="I46" i="15"/>
  <c r="J42" i="34" s="1"/>
  <c r="I30" i="15"/>
  <c r="I18" i="15"/>
  <c r="I53" i="15"/>
  <c r="J69" i="34" s="1"/>
  <c r="I44" i="15"/>
  <c r="J34" i="34" s="1"/>
  <c r="I62" i="15"/>
  <c r="J96" i="34" s="1"/>
  <c r="I51" i="15"/>
  <c r="J60" i="34" s="1"/>
  <c r="I42" i="15"/>
  <c r="J25" i="34" s="1"/>
  <c r="I26" i="15"/>
  <c r="I60" i="15"/>
  <c r="I89" i="34" s="1"/>
  <c r="I49" i="15"/>
  <c r="J52" i="34" s="1"/>
  <c r="I34" i="15"/>
  <c r="I20" i="15"/>
  <c r="I15" i="15"/>
  <c r="I28" i="15"/>
  <c r="H65" i="15"/>
  <c r="G22" i="15"/>
  <c r="G25" i="15" s="1"/>
  <c r="G31" i="15" s="1"/>
  <c r="G33" i="15" s="1"/>
  <c r="G35" i="15" s="1"/>
  <c r="H48" i="15"/>
  <c r="H21" i="15"/>
  <c r="H54" i="15"/>
  <c r="H79" i="15"/>
  <c r="I128" i="34" s="1"/>
  <c r="H16" i="15"/>
  <c r="J78" i="7"/>
  <c r="J74" i="7"/>
  <c r="J69" i="7"/>
  <c r="J64" i="7"/>
  <c r="J60" i="7"/>
  <c r="J53" i="7"/>
  <c r="J49" i="7"/>
  <c r="J44" i="7"/>
  <c r="J34" i="7"/>
  <c r="J28" i="7"/>
  <c r="J17" i="7"/>
  <c r="J51" i="7"/>
  <c r="J46" i="7"/>
  <c r="J30" i="7"/>
  <c r="J26" i="7"/>
  <c r="J19" i="7"/>
  <c r="J63" i="7"/>
  <c r="J75" i="7"/>
  <c r="J70" i="7"/>
  <c r="J66" i="7"/>
  <c r="J61" i="7"/>
  <c r="J57" i="7"/>
  <c r="J50" i="7"/>
  <c r="J45" i="7"/>
  <c r="J29" i="7"/>
  <c r="J18" i="7"/>
  <c r="J76" i="7"/>
  <c r="J72" i="7"/>
  <c r="J67" i="7"/>
  <c r="J62" i="7"/>
  <c r="J14" i="7"/>
  <c r="J77" i="7"/>
  <c r="J73" i="7"/>
  <c r="J59" i="7"/>
  <c r="J52" i="7"/>
  <c r="J47" i="7"/>
  <c r="J43" i="7"/>
  <c r="J32" i="7"/>
  <c r="J27" i="7"/>
  <c r="J20" i="7"/>
  <c r="J15" i="7"/>
  <c r="I75" i="7"/>
  <c r="I70" i="7"/>
  <c r="I66" i="7"/>
  <c r="I61" i="7"/>
  <c r="I57" i="7"/>
  <c r="I50" i="7"/>
  <c r="I45" i="7"/>
  <c r="I29" i="7"/>
  <c r="I18" i="7"/>
  <c r="I77" i="7"/>
  <c r="I52" i="7"/>
  <c r="I47" i="7"/>
  <c r="I43" i="7"/>
  <c r="I32" i="7"/>
  <c r="I27" i="7"/>
  <c r="I20" i="7"/>
  <c r="I69" i="7"/>
  <c r="I60" i="7"/>
  <c r="I53" i="7"/>
  <c r="I76" i="7"/>
  <c r="I72" i="7"/>
  <c r="I67" i="7"/>
  <c r="I62" i="7"/>
  <c r="I51" i="7"/>
  <c r="I46" i="7"/>
  <c r="I30" i="7"/>
  <c r="I26" i="7"/>
  <c r="I19" i="7"/>
  <c r="I14" i="7"/>
  <c r="I73" i="7"/>
  <c r="I63" i="7"/>
  <c r="I59" i="7"/>
  <c r="I15" i="7"/>
  <c r="I78" i="7"/>
  <c r="I74" i="7"/>
  <c r="I64" i="7"/>
  <c r="I49" i="7"/>
  <c r="I44" i="7"/>
  <c r="I34" i="7"/>
  <c r="I28" i="7"/>
  <c r="I17" i="7"/>
  <c r="J5" i="5"/>
  <c r="J11" i="5" s="1"/>
  <c r="I14" i="5"/>
  <c r="I19" i="5"/>
  <c r="I26" i="5"/>
  <c r="I30" i="5"/>
  <c r="I43" i="5"/>
  <c r="I47" i="5"/>
  <c r="I52" i="5"/>
  <c r="I59" i="5"/>
  <c r="I63" i="5"/>
  <c r="I69" i="5"/>
  <c r="I74" i="5"/>
  <c r="I78" i="5"/>
  <c r="I17" i="5"/>
  <c r="I28" i="5"/>
  <c r="I34" i="5"/>
  <c r="I45" i="5"/>
  <c r="I50" i="5"/>
  <c r="I57" i="5"/>
  <c r="I61" i="5"/>
  <c r="I66" i="5"/>
  <c r="I72" i="5"/>
  <c r="H48" i="5"/>
  <c r="H21" i="5"/>
  <c r="H65" i="5"/>
  <c r="G55" i="5"/>
  <c r="H54" i="5"/>
  <c r="H16" i="5"/>
  <c r="H68" i="5"/>
  <c r="H79" i="5"/>
  <c r="I11" i="14"/>
  <c r="P7" i="5"/>
  <c r="P6" i="5"/>
  <c r="J11" i="14"/>
  <c r="K11" i="6"/>
  <c r="L5" i="6"/>
  <c r="J11" i="15"/>
  <c r="O7" i="6"/>
  <c r="O6" i="6"/>
  <c r="E5" i="25"/>
  <c r="E10" i="25" s="1"/>
  <c r="F4" i="25"/>
  <c r="D2" i="25"/>
  <c r="L1" i="25"/>
  <c r="I1" i="25"/>
  <c r="D1" i="25"/>
  <c r="J18" i="46" l="1"/>
  <c r="J85" i="46"/>
  <c r="H22" i="6"/>
  <c r="H25" i="6" s="1"/>
  <c r="H31" i="6" s="1"/>
  <c r="H33" i="6" s="1"/>
  <c r="H35" i="6" s="1"/>
  <c r="J116" i="46"/>
  <c r="K116" i="46" s="1"/>
  <c r="L116" i="46" s="1"/>
  <c r="M116" i="46" s="1"/>
  <c r="N116" i="46" s="1"/>
  <c r="O116" i="46" s="1"/>
  <c r="P116" i="46" s="1"/>
  <c r="S116" i="46" s="1"/>
  <c r="G40" i="6"/>
  <c r="L108" i="46"/>
  <c r="O108" i="46"/>
  <c r="F108" i="46"/>
  <c r="F106" i="46" s="1"/>
  <c r="F107" i="46" s="1"/>
  <c r="H35" i="46"/>
  <c r="I27" i="46"/>
  <c r="F91" i="46"/>
  <c r="F214" i="46" s="1"/>
  <c r="F54" i="49" s="1"/>
  <c r="J67" i="46"/>
  <c r="M108" i="46"/>
  <c r="N108" i="46"/>
  <c r="P108" i="46"/>
  <c r="P106" i="46" s="1"/>
  <c r="P216" i="46" s="1"/>
  <c r="Q108" i="46"/>
  <c r="Q106" i="46" s="1"/>
  <c r="Q216" i="46" s="1"/>
  <c r="E91" i="46"/>
  <c r="E214" i="46" s="1"/>
  <c r="E54" i="49" s="1"/>
  <c r="G108" i="46"/>
  <c r="G106" i="46" s="1"/>
  <c r="G107" i="46" s="1"/>
  <c r="M27" i="46"/>
  <c r="M107" i="46"/>
  <c r="P43" i="46"/>
  <c r="K107" i="46"/>
  <c r="N107" i="46"/>
  <c r="P67" i="46"/>
  <c r="K67" i="46"/>
  <c r="L107" i="46"/>
  <c r="O107" i="46"/>
  <c r="I159" i="46"/>
  <c r="I193" i="46"/>
  <c r="N67" i="46"/>
  <c r="L75" i="46"/>
  <c r="I67" i="46"/>
  <c r="M67" i="46"/>
  <c r="L67" i="46"/>
  <c r="O67" i="46"/>
  <c r="L35" i="46"/>
  <c r="H75" i="46"/>
  <c r="H27" i="46"/>
  <c r="K27" i="46"/>
  <c r="H18" i="46"/>
  <c r="H43" i="46" s="1"/>
  <c r="H114" i="46"/>
  <c r="H217" i="46" s="1"/>
  <c r="N15" i="54"/>
  <c r="N14" i="54"/>
  <c r="N19" i="54"/>
  <c r="N11" i="54"/>
  <c r="N17" i="54"/>
  <c r="N18" i="54"/>
  <c r="N10" i="54"/>
  <c r="N12" i="54"/>
  <c r="N13" i="54"/>
  <c r="P4" i="54"/>
  <c r="O7" i="54"/>
  <c r="O5" i="54"/>
  <c r="O6" i="54"/>
  <c r="I114" i="46"/>
  <c r="I217" i="46" s="1"/>
  <c r="I86" i="46"/>
  <c r="I46" i="8"/>
  <c r="M88" i="46"/>
  <c r="M48" i="8"/>
  <c r="N45" i="8"/>
  <c r="N86" i="46"/>
  <c r="N46" i="8"/>
  <c r="O18" i="46"/>
  <c r="O130" i="46" s="1"/>
  <c r="O47" i="8"/>
  <c r="O88" i="46"/>
  <c r="O48" i="8"/>
  <c r="J88" i="46"/>
  <c r="J48" i="8"/>
  <c r="J130" i="46"/>
  <c r="J47" i="8"/>
  <c r="L88" i="46"/>
  <c r="L48" i="8"/>
  <c r="O45" i="8"/>
  <c r="J45" i="8"/>
  <c r="J86" i="46"/>
  <c r="J46" i="8"/>
  <c r="M86" i="46"/>
  <c r="M46" i="8"/>
  <c r="L18" i="46"/>
  <c r="L130" i="46" s="1"/>
  <c r="L47" i="8"/>
  <c r="L86" i="46"/>
  <c r="L46" i="8"/>
  <c r="K45" i="8"/>
  <c r="K86" i="46"/>
  <c r="K46" i="8"/>
  <c r="O86" i="46"/>
  <c r="O46" i="8"/>
  <c r="I45" i="8"/>
  <c r="M45" i="8"/>
  <c r="N18" i="46"/>
  <c r="N130" i="46" s="1"/>
  <c r="N47" i="8"/>
  <c r="N88" i="46"/>
  <c r="N48" i="8"/>
  <c r="L45" i="8"/>
  <c r="K88" i="46"/>
  <c r="K48" i="8"/>
  <c r="O216" i="46"/>
  <c r="L27" i="46"/>
  <c r="O27" i="46"/>
  <c r="Q75" i="46"/>
  <c r="Q59" i="46"/>
  <c r="F51" i="46"/>
  <c r="I35" i="46"/>
  <c r="Q51" i="46"/>
  <c r="Q43" i="46"/>
  <c r="F67" i="46"/>
  <c r="I75" i="46"/>
  <c r="N75" i="46"/>
  <c r="N35" i="46"/>
  <c r="J75" i="46"/>
  <c r="K35" i="46"/>
  <c r="F75" i="46"/>
  <c r="K75" i="46"/>
  <c r="I219" i="46"/>
  <c r="F184" i="46"/>
  <c r="F225" i="46"/>
  <c r="F47" i="49" s="1"/>
  <c r="F167" i="46"/>
  <c r="F223" i="46"/>
  <c r="F80" i="49" s="1"/>
  <c r="F215" i="46"/>
  <c r="N219" i="46"/>
  <c r="H215" i="46"/>
  <c r="L219" i="46"/>
  <c r="L216" i="46"/>
  <c r="P224" i="46"/>
  <c r="P175" i="46"/>
  <c r="H10" i="49"/>
  <c r="H10" i="48" s="1"/>
  <c r="H17" i="49"/>
  <c r="H21" i="49" s="1"/>
  <c r="I5" i="49"/>
  <c r="H5" i="48"/>
  <c r="H18" i="49"/>
  <c r="G226" i="46"/>
  <c r="G93" i="49" s="1"/>
  <c r="G193" i="46"/>
  <c r="R192" i="46"/>
  <c r="R158" i="46"/>
  <c r="G159" i="46"/>
  <c r="G222" i="46"/>
  <c r="K216" i="46"/>
  <c r="O218" i="46"/>
  <c r="J219" i="46"/>
  <c r="E130" i="46"/>
  <c r="E219" i="46"/>
  <c r="E218" i="46"/>
  <c r="E122" i="46"/>
  <c r="E223" i="46"/>
  <c r="E80" i="49" s="1"/>
  <c r="E167" i="46"/>
  <c r="I222" i="46"/>
  <c r="I88" i="46"/>
  <c r="I218" i="46"/>
  <c r="M216" i="46"/>
  <c r="L218" i="46"/>
  <c r="P75" i="46"/>
  <c r="S74" i="46"/>
  <c r="P218" i="46"/>
  <c r="S121" i="46"/>
  <c r="G18" i="48"/>
  <c r="G17" i="48"/>
  <c r="G24" i="48" s="1"/>
  <c r="G82" i="46"/>
  <c r="G19" i="46"/>
  <c r="F42" i="52"/>
  <c r="F51" i="52"/>
  <c r="F5" i="52"/>
  <c r="F60" i="52"/>
  <c r="F7" i="52"/>
  <c r="F6" i="52"/>
  <c r="G4" i="52"/>
  <c r="E67" i="46"/>
  <c r="M218" i="46"/>
  <c r="Q122" i="46"/>
  <c r="Q218" i="46"/>
  <c r="Q159" i="46"/>
  <c r="Q222" i="46"/>
  <c r="Q167" i="46"/>
  <c r="Q223" i="46"/>
  <c r="F226" i="46"/>
  <c r="F93" i="49" s="1"/>
  <c r="F193" i="46"/>
  <c r="N218" i="46"/>
  <c r="N216" i="46"/>
  <c r="H208" i="46"/>
  <c r="H175" i="46"/>
  <c r="H224" i="46"/>
  <c r="H226" i="46"/>
  <c r="H222" i="46"/>
  <c r="P18" i="46"/>
  <c r="S23" i="46"/>
  <c r="F7" i="51"/>
  <c r="G51" i="51" s="1"/>
  <c r="F6" i="51"/>
  <c r="F5" i="51"/>
  <c r="F8" i="51"/>
  <c r="G4" i="51"/>
  <c r="F12" i="51"/>
  <c r="F32" i="51" s="1"/>
  <c r="R34" i="46"/>
  <c r="G35" i="46"/>
  <c r="R66" i="46"/>
  <c r="G67" i="46"/>
  <c r="G51" i="46"/>
  <c r="G214" i="46"/>
  <c r="G54" i="49" s="1"/>
  <c r="G59" i="46"/>
  <c r="G167" i="46"/>
  <c r="G223" i="46"/>
  <c r="G80" i="49" s="1"/>
  <c r="K219" i="46"/>
  <c r="O219" i="46"/>
  <c r="O75" i="46"/>
  <c r="J118" i="46"/>
  <c r="F35" i="46"/>
  <c r="M35" i="46"/>
  <c r="Q35" i="46"/>
  <c r="Q67" i="46"/>
  <c r="F59" i="46"/>
  <c r="F27" i="46"/>
  <c r="J35" i="46"/>
  <c r="E82" i="46"/>
  <c r="E19" i="46"/>
  <c r="E59" i="46"/>
  <c r="E216" i="46"/>
  <c r="E107" i="46"/>
  <c r="E222" i="46"/>
  <c r="E159" i="46"/>
  <c r="I226" i="46"/>
  <c r="Q219" i="46"/>
  <c r="Q130" i="46"/>
  <c r="Q224" i="46"/>
  <c r="Q175" i="46"/>
  <c r="F208" i="46"/>
  <c r="F201" i="46"/>
  <c r="H219" i="46"/>
  <c r="H225" i="46"/>
  <c r="P88" i="46"/>
  <c r="S24" i="46"/>
  <c r="S66" i="46"/>
  <c r="P27" i="46"/>
  <c r="S26" i="46"/>
  <c r="P35" i="46"/>
  <c r="S34" i="46"/>
  <c r="F6" i="53"/>
  <c r="F7" i="53"/>
  <c r="O5" i="47"/>
  <c r="F5" i="53"/>
  <c r="O6" i="47" s="1"/>
  <c r="G4" i="53"/>
  <c r="G217" i="46"/>
  <c r="G66" i="49" s="1"/>
  <c r="G43" i="46"/>
  <c r="E215" i="46"/>
  <c r="M18" i="46"/>
  <c r="M58" i="46"/>
  <c r="M59" i="46" s="1"/>
  <c r="M50" i="46"/>
  <c r="M51" i="46" s="1"/>
  <c r="M192" i="46"/>
  <c r="M193" i="46" s="1"/>
  <c r="Q226" i="46"/>
  <c r="Q193" i="46"/>
  <c r="I5" i="50"/>
  <c r="H10" i="50"/>
  <c r="H18" i="50"/>
  <c r="H17" i="50"/>
  <c r="F122" i="46"/>
  <c r="F218" i="46"/>
  <c r="G201" i="46"/>
  <c r="G208" i="46"/>
  <c r="G224" i="46"/>
  <c r="G40" i="49" s="1"/>
  <c r="G175" i="46"/>
  <c r="G218" i="46"/>
  <c r="G122" i="46"/>
  <c r="R121" i="46"/>
  <c r="K218" i="46"/>
  <c r="J192" i="46"/>
  <c r="J193" i="46" s="1"/>
  <c r="J50" i="46"/>
  <c r="J51" i="46" s="1"/>
  <c r="J58" i="46"/>
  <c r="J59" i="46" s="1"/>
  <c r="E75" i="46"/>
  <c r="E226" i="46"/>
  <c r="E93" i="49" s="1"/>
  <c r="E193" i="46"/>
  <c r="E184" i="46"/>
  <c r="E225" i="46"/>
  <c r="E47" i="49" s="1"/>
  <c r="E51" i="46"/>
  <c r="E224" i="46"/>
  <c r="E40" i="49" s="1"/>
  <c r="E175" i="46"/>
  <c r="I18" i="46"/>
  <c r="I58" i="46"/>
  <c r="I59" i="46" s="1"/>
  <c r="I50" i="46"/>
  <c r="I51" i="46" s="1"/>
  <c r="M219" i="46"/>
  <c r="Q201" i="46"/>
  <c r="Q99" i="46"/>
  <c r="Q215" i="46"/>
  <c r="Q82" i="46"/>
  <c r="Q225" i="46"/>
  <c r="Q184" i="46"/>
  <c r="F219" i="46"/>
  <c r="F130" i="46"/>
  <c r="F175" i="46"/>
  <c r="F224" i="46"/>
  <c r="F40" i="49" s="1"/>
  <c r="F19" i="46"/>
  <c r="F82" i="46"/>
  <c r="F222" i="46"/>
  <c r="F159" i="46"/>
  <c r="N58" i="46"/>
  <c r="N59" i="46" s="1"/>
  <c r="N192" i="46"/>
  <c r="N193" i="46" s="1"/>
  <c r="N50" i="46"/>
  <c r="N51" i="46" s="1"/>
  <c r="H218" i="46"/>
  <c r="H223" i="46"/>
  <c r="H80" i="49" s="1"/>
  <c r="H167" i="46"/>
  <c r="L50" i="46"/>
  <c r="L51" i="46" s="1"/>
  <c r="L58" i="46"/>
  <c r="L59" i="46" s="1"/>
  <c r="L192" i="46"/>
  <c r="L193" i="46" s="1"/>
  <c r="P167" i="46"/>
  <c r="P223" i="46"/>
  <c r="P85" i="46"/>
  <c r="S21" i="46"/>
  <c r="P86" i="46"/>
  <c r="S22" i="46"/>
  <c r="P219" i="46"/>
  <c r="S129" i="46"/>
  <c r="G219" i="46"/>
  <c r="G130" i="46"/>
  <c r="R129" i="46"/>
  <c r="G75" i="46"/>
  <c r="R74" i="46"/>
  <c r="G27" i="46"/>
  <c r="R26" i="46"/>
  <c r="G184" i="46"/>
  <c r="G225" i="46"/>
  <c r="G47" i="49" s="1"/>
  <c r="G215" i="46"/>
  <c r="G99" i="46"/>
  <c r="K18" i="46"/>
  <c r="K130" i="46" s="1"/>
  <c r="K58" i="46"/>
  <c r="K59" i="46" s="1"/>
  <c r="K50" i="46"/>
  <c r="K51" i="46" s="1"/>
  <c r="K192" i="46"/>
  <c r="K193" i="46" s="1"/>
  <c r="O192" i="46"/>
  <c r="O193" i="46" s="1"/>
  <c r="O50" i="46"/>
  <c r="O51" i="46" s="1"/>
  <c r="O58" i="46"/>
  <c r="O59" i="46" s="1"/>
  <c r="J218" i="46"/>
  <c r="E43" i="46"/>
  <c r="Q27" i="46"/>
  <c r="N27" i="46"/>
  <c r="E201" i="46"/>
  <c r="M75" i="46"/>
  <c r="F43" i="46"/>
  <c r="O35" i="46"/>
  <c r="J27" i="46"/>
  <c r="J34" i="30"/>
  <c r="J112" i="30"/>
  <c r="J56" i="30"/>
  <c r="K56" i="30"/>
  <c r="K52" i="30"/>
  <c r="J68" i="30"/>
  <c r="J38" i="30"/>
  <c r="K45" i="30"/>
  <c r="K108" i="30"/>
  <c r="K60" i="30"/>
  <c r="K103" i="30"/>
  <c r="J103" i="30"/>
  <c r="J85" i="30"/>
  <c r="J60" i="30"/>
  <c r="J45" i="30"/>
  <c r="J91" i="30"/>
  <c r="K30" i="30"/>
  <c r="K112" i="30"/>
  <c r="K91" i="30"/>
  <c r="K99" i="30"/>
  <c r="K42" i="30"/>
  <c r="K88" i="30"/>
  <c r="K25" i="30"/>
  <c r="J25" i="30"/>
  <c r="Z8" i="50"/>
  <c r="Z9" i="50"/>
  <c r="AA4" i="50"/>
  <c r="Z7" i="50"/>
  <c r="Z6" i="50"/>
  <c r="J88" i="30"/>
  <c r="J120" i="30"/>
  <c r="K64" i="30"/>
  <c r="K120" i="30"/>
  <c r="K116" i="30"/>
  <c r="Y19" i="50"/>
  <c r="Z8" i="49"/>
  <c r="Z9" i="49"/>
  <c r="AA4" i="49"/>
  <c r="Z6" i="49"/>
  <c r="Z7" i="49"/>
  <c r="J99" i="30"/>
  <c r="J95" i="30"/>
  <c r="J64" i="30"/>
  <c r="J108" i="30"/>
  <c r="K38" i="30"/>
  <c r="K34" i="30"/>
  <c r="K82" i="30"/>
  <c r="Z24" i="50"/>
  <c r="Z27" i="50" s="1"/>
  <c r="Y43" i="50"/>
  <c r="Y19" i="49"/>
  <c r="J52" i="30"/>
  <c r="J42" i="30"/>
  <c r="J116" i="30"/>
  <c r="J30" i="30"/>
  <c r="J78" i="30"/>
  <c r="K85" i="30"/>
  <c r="K95" i="30"/>
  <c r="K78" i="30"/>
  <c r="K68" i="30"/>
  <c r="J82" i="30"/>
  <c r="M14" i="36"/>
  <c r="K42" i="7"/>
  <c r="K58" i="7"/>
  <c r="L82" i="30" s="1"/>
  <c r="Q6" i="33"/>
  <c r="Q19" i="34"/>
  <c r="Q7" i="33"/>
  <c r="Q76" i="34"/>
  <c r="Q9" i="33"/>
  <c r="O4" i="36"/>
  <c r="O7" i="36" s="1"/>
  <c r="F24" i="33"/>
  <c r="N8" i="36"/>
  <c r="N5" i="36"/>
  <c r="N6" i="36"/>
  <c r="N13" i="36" s="1"/>
  <c r="M11" i="36"/>
  <c r="M12" i="36"/>
  <c r="K24" i="6"/>
  <c r="K23" i="6"/>
  <c r="J24" i="15"/>
  <c r="J23" i="15"/>
  <c r="J76" i="5"/>
  <c r="J24" i="5"/>
  <c r="J23" i="5"/>
  <c r="I62" i="6"/>
  <c r="J95" i="49" s="1"/>
  <c r="I24" i="6"/>
  <c r="I23" i="6"/>
  <c r="K24" i="7"/>
  <c r="K23" i="7"/>
  <c r="J75" i="6"/>
  <c r="J24" i="6"/>
  <c r="J23" i="6"/>
  <c r="M15" i="36"/>
  <c r="M16" i="36"/>
  <c r="F60" i="43"/>
  <c r="G4" i="43"/>
  <c r="F51" i="43"/>
  <c r="F5" i="43"/>
  <c r="F42" i="43"/>
  <c r="F7" i="43"/>
  <c r="F6" i="43"/>
  <c r="J51" i="6"/>
  <c r="K60" i="49" s="1"/>
  <c r="G40" i="7"/>
  <c r="G4" i="37"/>
  <c r="F5" i="37"/>
  <c r="F6" i="37"/>
  <c r="F7" i="37"/>
  <c r="G4" i="39"/>
  <c r="D12" i="39" s="1"/>
  <c r="F5" i="39"/>
  <c r="F51" i="39"/>
  <c r="F60" i="39"/>
  <c r="F7" i="39"/>
  <c r="F42" i="39"/>
  <c r="F6" i="39"/>
  <c r="H18" i="35"/>
  <c r="H17" i="35"/>
  <c r="I5" i="35"/>
  <c r="H10" i="35"/>
  <c r="H17" i="34"/>
  <c r="H21" i="34" s="1"/>
  <c r="I5" i="34"/>
  <c r="H10" i="34"/>
  <c r="H10" i="33" s="1"/>
  <c r="H5" i="33"/>
  <c r="H18" i="34"/>
  <c r="F7" i="40"/>
  <c r="F5" i="40"/>
  <c r="F6" i="40"/>
  <c r="F12" i="40"/>
  <c r="F32" i="40" s="1"/>
  <c r="F8" i="40"/>
  <c r="G4" i="40"/>
  <c r="J69" i="6"/>
  <c r="K116" i="49" s="1"/>
  <c r="J49" i="6"/>
  <c r="K52" i="49" s="1"/>
  <c r="J73" i="6"/>
  <c r="J61" i="6"/>
  <c r="K91" i="49" s="1"/>
  <c r="J28" i="6"/>
  <c r="J47" i="6"/>
  <c r="K45" i="49" s="1"/>
  <c r="J29" i="6"/>
  <c r="J17" i="6"/>
  <c r="J20" i="6"/>
  <c r="J72" i="6"/>
  <c r="J30" i="6"/>
  <c r="J78" i="6"/>
  <c r="J59" i="6"/>
  <c r="K85" i="49" s="1"/>
  <c r="J62" i="6"/>
  <c r="K95" i="49" s="1"/>
  <c r="J50" i="6"/>
  <c r="K56" i="49" s="1"/>
  <c r="J60" i="6"/>
  <c r="K88" i="49" s="1"/>
  <c r="J32" i="6"/>
  <c r="J42" i="6"/>
  <c r="K25" i="49" s="1"/>
  <c r="J18" i="6"/>
  <c r="J70" i="6"/>
  <c r="K120" i="49" s="1"/>
  <c r="J26" i="6"/>
  <c r="J14" i="6"/>
  <c r="J53" i="6"/>
  <c r="K68" i="49" s="1"/>
  <c r="J74" i="6"/>
  <c r="J27" i="6"/>
  <c r="J52" i="6"/>
  <c r="K64" i="49" s="1"/>
  <c r="J77" i="6"/>
  <c r="J58" i="6"/>
  <c r="K82" i="49" s="1"/>
  <c r="J76" i="6"/>
  <c r="J45" i="6"/>
  <c r="K38" i="49" s="1"/>
  <c r="J66" i="6"/>
  <c r="K108" i="49" s="1"/>
  <c r="F40" i="14"/>
  <c r="J19" i="6"/>
  <c r="J34" i="6"/>
  <c r="J44" i="6"/>
  <c r="K34" i="49" s="1"/>
  <c r="J64" i="6"/>
  <c r="K103" i="49" s="1"/>
  <c r="J15" i="6"/>
  <c r="J43" i="6"/>
  <c r="K30" i="49" s="1"/>
  <c r="J63" i="6"/>
  <c r="K99" i="49" s="1"/>
  <c r="J46" i="6"/>
  <c r="K42" i="49" s="1"/>
  <c r="J67" i="6"/>
  <c r="K112" i="49" s="1"/>
  <c r="J57" i="6"/>
  <c r="K78" i="49" s="1"/>
  <c r="I17" i="6"/>
  <c r="G16" i="32"/>
  <c r="I64" i="6"/>
  <c r="J103" i="49" s="1"/>
  <c r="I68" i="15"/>
  <c r="J113" i="34"/>
  <c r="G17" i="33"/>
  <c r="G24" i="33" s="1"/>
  <c r="G18" i="33"/>
  <c r="R6" i="34"/>
  <c r="S4" i="34"/>
  <c r="S4" i="33" s="1"/>
  <c r="R9" i="34"/>
  <c r="R8" i="34"/>
  <c r="R8" i="33" s="1"/>
  <c r="R7" i="34"/>
  <c r="G10" i="29"/>
  <c r="P8" i="29"/>
  <c r="P19" i="35"/>
  <c r="I68" i="5"/>
  <c r="Q6" i="35"/>
  <c r="Q7" i="35"/>
  <c r="Q9" i="35"/>
  <c r="Q8" i="35"/>
  <c r="R4" i="35"/>
  <c r="G17" i="29"/>
  <c r="G24" i="29" s="1"/>
  <c r="G18" i="29"/>
  <c r="H17" i="30"/>
  <c r="H21" i="30" s="1"/>
  <c r="I5" i="30"/>
  <c r="H10" i="30"/>
  <c r="H18" i="30"/>
  <c r="H5" i="29"/>
  <c r="H18" i="31"/>
  <c r="H17" i="31"/>
  <c r="H10" i="31"/>
  <c r="I5" i="31"/>
  <c r="K16" i="32"/>
  <c r="M16" i="32"/>
  <c r="R15" i="32"/>
  <c r="I16" i="32"/>
  <c r="I27" i="6"/>
  <c r="I46" i="6"/>
  <c r="J42" i="49" s="1"/>
  <c r="I63" i="6"/>
  <c r="J99" i="49" s="1"/>
  <c r="P7" i="32"/>
  <c r="P6" i="32"/>
  <c r="P10" i="32"/>
  <c r="P5" i="32"/>
  <c r="Q4" i="32"/>
  <c r="Q17" i="32" s="1"/>
  <c r="I15" i="6"/>
  <c r="I70" i="6"/>
  <c r="J120" i="49" s="1"/>
  <c r="I53" i="6"/>
  <c r="J68" i="49" s="1"/>
  <c r="I52" i="6"/>
  <c r="J64" i="49" s="1"/>
  <c r="I30" i="6"/>
  <c r="I76" i="6"/>
  <c r="I29" i="6"/>
  <c r="I61" i="6"/>
  <c r="J91" i="49" s="1"/>
  <c r="I44" i="6"/>
  <c r="J34" i="49" s="1"/>
  <c r="I43" i="6"/>
  <c r="J30" i="49" s="1"/>
  <c r="I19" i="6"/>
  <c r="I67" i="6"/>
  <c r="J112" i="49" s="1"/>
  <c r="O11" i="32"/>
  <c r="O15" i="32"/>
  <c r="O16" i="32" s="1"/>
  <c r="I32" i="6"/>
  <c r="I50" i="6"/>
  <c r="J56" i="49" s="1"/>
  <c r="I28" i="6"/>
  <c r="I74" i="6"/>
  <c r="I77" i="6"/>
  <c r="I58" i="6"/>
  <c r="J82" i="49" s="1"/>
  <c r="P7" i="29"/>
  <c r="Q6" i="31"/>
  <c r="Q8" i="31"/>
  <c r="R4" i="31"/>
  <c r="Q9" i="31"/>
  <c r="Q7" i="31"/>
  <c r="Q8" i="30"/>
  <c r="Q6" i="30"/>
  <c r="Q7" i="30"/>
  <c r="R4" i="30"/>
  <c r="Q9" i="30"/>
  <c r="Q4" i="29"/>
  <c r="O19" i="29"/>
  <c r="P19" i="31"/>
  <c r="P19" i="30"/>
  <c r="P6" i="29"/>
  <c r="P9" i="29"/>
  <c r="I45" i="6"/>
  <c r="J38" i="49" s="1"/>
  <c r="I66" i="6"/>
  <c r="J108" i="49" s="1"/>
  <c r="I49" i="6"/>
  <c r="J52" i="49" s="1"/>
  <c r="I69" i="6"/>
  <c r="J116" i="49" s="1"/>
  <c r="I47" i="6"/>
  <c r="J45" i="49" s="1"/>
  <c r="I73" i="6"/>
  <c r="I26" i="6"/>
  <c r="I51" i="6"/>
  <c r="J60" i="49" s="1"/>
  <c r="I72" i="6"/>
  <c r="I20" i="6"/>
  <c r="I18" i="6"/>
  <c r="I57" i="6"/>
  <c r="J78" i="49" s="1"/>
  <c r="I75" i="6"/>
  <c r="I34" i="6"/>
  <c r="I60" i="6"/>
  <c r="J88" i="49" s="1"/>
  <c r="I78" i="6"/>
  <c r="I59" i="6"/>
  <c r="J85" i="49" s="1"/>
  <c r="I14" i="6"/>
  <c r="I42" i="6"/>
  <c r="J25" i="49" s="1"/>
  <c r="H71" i="6"/>
  <c r="H80" i="6" s="1"/>
  <c r="L5" i="7"/>
  <c r="L11" i="7" s="1"/>
  <c r="M6" i="15"/>
  <c r="N4" i="15"/>
  <c r="M7" i="15"/>
  <c r="N4" i="7"/>
  <c r="M7" i="7"/>
  <c r="M6" i="7"/>
  <c r="M5" i="13"/>
  <c r="M11" i="13" s="1"/>
  <c r="L5" i="15"/>
  <c r="O4" i="13"/>
  <c r="N6" i="13"/>
  <c r="N7" i="13"/>
  <c r="I16" i="5"/>
  <c r="H40" i="7"/>
  <c r="H71" i="15"/>
  <c r="H80" i="15" s="1"/>
  <c r="H55" i="6"/>
  <c r="F40" i="7"/>
  <c r="J60" i="5"/>
  <c r="J26" i="5"/>
  <c r="J34" i="5"/>
  <c r="G40" i="14"/>
  <c r="J63" i="5"/>
  <c r="J49" i="5"/>
  <c r="J75" i="5"/>
  <c r="J18" i="5"/>
  <c r="J44" i="5"/>
  <c r="J64" i="5"/>
  <c r="J14" i="5"/>
  <c r="J52" i="5"/>
  <c r="J74" i="5"/>
  <c r="I21" i="7"/>
  <c r="G40" i="5"/>
  <c r="I21" i="5"/>
  <c r="J15" i="5"/>
  <c r="J43" i="5"/>
  <c r="J53" i="5"/>
  <c r="J70" i="5"/>
  <c r="I48" i="5"/>
  <c r="I79" i="5"/>
  <c r="J32" i="5"/>
  <c r="J47" i="5"/>
  <c r="J59" i="5"/>
  <c r="J69" i="5"/>
  <c r="J78" i="5"/>
  <c r="I65" i="5"/>
  <c r="I54" i="5"/>
  <c r="J16" i="7"/>
  <c r="J79" i="7"/>
  <c r="J21" i="7"/>
  <c r="I16" i="15"/>
  <c r="N5" i="14"/>
  <c r="G40" i="15"/>
  <c r="I68" i="7"/>
  <c r="H22" i="15"/>
  <c r="H25" i="15" s="1"/>
  <c r="H31" i="15" s="1"/>
  <c r="H33" i="15" s="1"/>
  <c r="H35" i="15" s="1"/>
  <c r="H55" i="15"/>
  <c r="O6" i="14"/>
  <c r="P4" i="14"/>
  <c r="O7" i="14"/>
  <c r="H22" i="14"/>
  <c r="H25" i="14" s="1"/>
  <c r="H31" i="14" s="1"/>
  <c r="H33" i="14" s="1"/>
  <c r="H35" i="14" s="1"/>
  <c r="H55" i="14"/>
  <c r="J75" i="14"/>
  <c r="J70" i="14"/>
  <c r="J66" i="14"/>
  <c r="J61" i="14"/>
  <c r="J57" i="14"/>
  <c r="J50" i="14"/>
  <c r="J45" i="14"/>
  <c r="J29" i="14"/>
  <c r="J24" i="14"/>
  <c r="J18" i="14"/>
  <c r="J73" i="14"/>
  <c r="J76" i="14"/>
  <c r="J72" i="14"/>
  <c r="J67" i="14"/>
  <c r="J62" i="14"/>
  <c r="J58" i="14"/>
  <c r="J51" i="14"/>
  <c r="J46" i="14"/>
  <c r="J42" i="14"/>
  <c r="J30" i="14"/>
  <c r="J26" i="14"/>
  <c r="J19" i="14"/>
  <c r="J14" i="14"/>
  <c r="J77" i="14"/>
  <c r="J63" i="14"/>
  <c r="J59" i="14"/>
  <c r="J52" i="14"/>
  <c r="J47" i="14"/>
  <c r="J43" i="14"/>
  <c r="J17" i="14"/>
  <c r="J32" i="14"/>
  <c r="J27" i="14"/>
  <c r="J20" i="14"/>
  <c r="J15" i="14"/>
  <c r="J78" i="14"/>
  <c r="J74" i="14"/>
  <c r="J69" i="14"/>
  <c r="J28" i="14"/>
  <c r="J23" i="14"/>
  <c r="J64" i="14"/>
  <c r="J60" i="14"/>
  <c r="J53" i="14"/>
  <c r="J49" i="14"/>
  <c r="J44" i="14"/>
  <c r="J34" i="14"/>
  <c r="I76" i="14"/>
  <c r="I72" i="14"/>
  <c r="I67" i="14"/>
  <c r="I62" i="14"/>
  <c r="I58" i="14"/>
  <c r="I51" i="14"/>
  <c r="I46" i="14"/>
  <c r="I42" i="14"/>
  <c r="I30" i="14"/>
  <c r="I26" i="14"/>
  <c r="I19" i="14"/>
  <c r="I14" i="14"/>
  <c r="I74" i="14"/>
  <c r="I69" i="14"/>
  <c r="I53" i="14"/>
  <c r="I34" i="14"/>
  <c r="I77" i="14"/>
  <c r="I73" i="14"/>
  <c r="I63" i="14"/>
  <c r="I59" i="14"/>
  <c r="I52" i="14"/>
  <c r="I47" i="14"/>
  <c r="I43" i="14"/>
  <c r="I32" i="14"/>
  <c r="I27" i="14"/>
  <c r="I20" i="14"/>
  <c r="I15" i="14"/>
  <c r="I78" i="14"/>
  <c r="I64" i="14"/>
  <c r="I60" i="14"/>
  <c r="I49" i="14"/>
  <c r="I44" i="14"/>
  <c r="I75" i="14"/>
  <c r="I70" i="14"/>
  <c r="I66" i="14"/>
  <c r="I68" i="14" s="1"/>
  <c r="I61" i="14"/>
  <c r="I57" i="14"/>
  <c r="I50" i="14"/>
  <c r="I45" i="14"/>
  <c r="I28" i="14"/>
  <c r="I23" i="14"/>
  <c r="I17" i="14"/>
  <c r="I29" i="14"/>
  <c r="I24" i="14"/>
  <c r="I18" i="14"/>
  <c r="H71" i="14"/>
  <c r="H80" i="14" s="1"/>
  <c r="I65" i="15"/>
  <c r="I21" i="15"/>
  <c r="I48" i="15"/>
  <c r="I54" i="15"/>
  <c r="I79" i="15"/>
  <c r="J128" i="34" s="1"/>
  <c r="J76" i="15"/>
  <c r="J72" i="15"/>
  <c r="J64" i="15"/>
  <c r="K104" i="34" s="1"/>
  <c r="J60" i="15"/>
  <c r="J89" i="34" s="1"/>
  <c r="J53" i="15"/>
  <c r="K69" i="34" s="1"/>
  <c r="J49" i="15"/>
  <c r="K52" i="34" s="1"/>
  <c r="J44" i="15"/>
  <c r="K34" i="34" s="1"/>
  <c r="J34" i="15"/>
  <c r="J28" i="15"/>
  <c r="J18" i="15"/>
  <c r="J77" i="15"/>
  <c r="J73" i="15"/>
  <c r="J66" i="15"/>
  <c r="K109" i="34" s="1"/>
  <c r="J78" i="15"/>
  <c r="J74" i="15"/>
  <c r="J69" i="15"/>
  <c r="K117" i="34" s="1"/>
  <c r="J67" i="15"/>
  <c r="K113" i="34" s="1"/>
  <c r="J62" i="15"/>
  <c r="K96" i="34" s="1"/>
  <c r="J58" i="15"/>
  <c r="J83" i="34" s="1"/>
  <c r="J51" i="15"/>
  <c r="K60" i="34" s="1"/>
  <c r="J46" i="15"/>
  <c r="K42" i="34" s="1"/>
  <c r="J42" i="15"/>
  <c r="K25" i="34" s="1"/>
  <c r="J30" i="15"/>
  <c r="J26" i="15"/>
  <c r="J20" i="15"/>
  <c r="J15" i="15"/>
  <c r="J75" i="15"/>
  <c r="J70" i="15"/>
  <c r="K121" i="34" s="1"/>
  <c r="J63" i="15"/>
  <c r="K100" i="34" s="1"/>
  <c r="J52" i="15"/>
  <c r="K65" i="34" s="1"/>
  <c r="J43" i="15"/>
  <c r="K30" i="34" s="1"/>
  <c r="J27" i="15"/>
  <c r="J50" i="15"/>
  <c r="K56" i="34" s="1"/>
  <c r="J59" i="15"/>
  <c r="K86" i="34" s="1"/>
  <c r="J47" i="15"/>
  <c r="K45" i="34" s="1"/>
  <c r="J32" i="15"/>
  <c r="J19" i="15"/>
  <c r="J14" i="15"/>
  <c r="J57" i="15"/>
  <c r="K79" i="34" s="1"/>
  <c r="J45" i="15"/>
  <c r="K38" i="34" s="1"/>
  <c r="J29" i="15"/>
  <c r="J17" i="15"/>
  <c r="J61" i="15"/>
  <c r="K92" i="34" s="1"/>
  <c r="K77" i="7"/>
  <c r="K73" i="7"/>
  <c r="K63" i="7"/>
  <c r="K59" i="7"/>
  <c r="K52" i="7"/>
  <c r="K47" i="7"/>
  <c r="K43" i="7"/>
  <c r="K32" i="7"/>
  <c r="K27" i="7"/>
  <c r="K20" i="7"/>
  <c r="K15" i="7"/>
  <c r="K75" i="7"/>
  <c r="K66" i="7"/>
  <c r="K61" i="7"/>
  <c r="K18" i="7"/>
  <c r="K72" i="7"/>
  <c r="K67" i="7"/>
  <c r="K78" i="7"/>
  <c r="K74" i="7"/>
  <c r="K69" i="7"/>
  <c r="K64" i="7"/>
  <c r="K60" i="7"/>
  <c r="K53" i="7"/>
  <c r="K49" i="7"/>
  <c r="K44" i="7"/>
  <c r="K34" i="7"/>
  <c r="K28" i="7"/>
  <c r="K17" i="7"/>
  <c r="K70" i="7"/>
  <c r="K57" i="7"/>
  <c r="K50" i="7"/>
  <c r="K45" i="7"/>
  <c r="K29" i="7"/>
  <c r="K76" i="7"/>
  <c r="K62" i="7"/>
  <c r="K51" i="7"/>
  <c r="K46" i="7"/>
  <c r="K30" i="7"/>
  <c r="K26" i="7"/>
  <c r="K19" i="7"/>
  <c r="K14" i="7"/>
  <c r="J54" i="7"/>
  <c r="I16" i="7"/>
  <c r="I48" i="7"/>
  <c r="I65" i="7"/>
  <c r="I79" i="7"/>
  <c r="J68" i="7"/>
  <c r="I54" i="7"/>
  <c r="J65" i="7"/>
  <c r="J48" i="7"/>
  <c r="K78" i="6"/>
  <c r="K74" i="6"/>
  <c r="K69" i="6"/>
  <c r="L116" i="49" s="1"/>
  <c r="K64" i="6"/>
  <c r="L103" i="49" s="1"/>
  <c r="K60" i="6"/>
  <c r="L88" i="49" s="1"/>
  <c r="K53" i="6"/>
  <c r="L68" i="49" s="1"/>
  <c r="K49" i="6"/>
  <c r="L52" i="49" s="1"/>
  <c r="K44" i="6"/>
  <c r="L34" i="49" s="1"/>
  <c r="K34" i="6"/>
  <c r="K28" i="6"/>
  <c r="K17" i="6"/>
  <c r="K75" i="6"/>
  <c r="K70" i="6"/>
  <c r="L120" i="49" s="1"/>
  <c r="K66" i="6"/>
  <c r="L108" i="49" s="1"/>
  <c r="K61" i="6"/>
  <c r="L91" i="49" s="1"/>
  <c r="K57" i="6"/>
  <c r="L78" i="49" s="1"/>
  <c r="K50" i="6"/>
  <c r="L56" i="49" s="1"/>
  <c r="K45" i="6"/>
  <c r="L38" i="49" s="1"/>
  <c r="K76" i="6"/>
  <c r="K72" i="6"/>
  <c r="K67" i="6"/>
  <c r="L112" i="49" s="1"/>
  <c r="K62" i="6"/>
  <c r="L95" i="49" s="1"/>
  <c r="K58" i="6"/>
  <c r="L82" i="49" s="1"/>
  <c r="K51" i="6"/>
  <c r="L60" i="49" s="1"/>
  <c r="K46" i="6"/>
  <c r="L42" i="49" s="1"/>
  <c r="K42" i="6"/>
  <c r="L25" i="49" s="1"/>
  <c r="K30" i="6"/>
  <c r="K26" i="6"/>
  <c r="K19" i="6"/>
  <c r="K14" i="6"/>
  <c r="K77" i="6"/>
  <c r="K73" i="6"/>
  <c r="K63" i="6"/>
  <c r="L99" i="49" s="1"/>
  <c r="K59" i="6"/>
  <c r="L85" i="49" s="1"/>
  <c r="K52" i="6"/>
  <c r="L64" i="49" s="1"/>
  <c r="K47" i="6"/>
  <c r="L45" i="49" s="1"/>
  <c r="K43" i="6"/>
  <c r="L30" i="49" s="1"/>
  <c r="K15" i="6"/>
  <c r="K27" i="6"/>
  <c r="K18" i="6"/>
  <c r="K29" i="6"/>
  <c r="K20" i="6"/>
  <c r="K32" i="6"/>
  <c r="J27" i="5"/>
  <c r="J28" i="5"/>
  <c r="J19" i="5"/>
  <c r="J42" i="5"/>
  <c r="J46" i="5"/>
  <c r="J51" i="5"/>
  <c r="J58" i="5"/>
  <c r="J62" i="5"/>
  <c r="J67" i="5"/>
  <c r="J73" i="5"/>
  <c r="J77" i="5"/>
  <c r="K5" i="5"/>
  <c r="K11" i="5" s="1"/>
  <c r="J29" i="5"/>
  <c r="J20" i="5"/>
  <c r="J17" i="5"/>
  <c r="J30" i="5"/>
  <c r="J45" i="5"/>
  <c r="J50" i="5"/>
  <c r="J57" i="5"/>
  <c r="J61" i="5"/>
  <c r="J66" i="5"/>
  <c r="J68" i="5" s="1"/>
  <c r="J72" i="5"/>
  <c r="H55" i="5"/>
  <c r="H71" i="5"/>
  <c r="H80" i="5" s="1"/>
  <c r="H22" i="5"/>
  <c r="H25" i="5" s="1"/>
  <c r="H31" i="5" s="1"/>
  <c r="H33" i="5" s="1"/>
  <c r="H35" i="5" s="1"/>
  <c r="Q7" i="5"/>
  <c r="Q6" i="5"/>
  <c r="K11" i="14"/>
  <c r="L11" i="6"/>
  <c r="M5" i="6"/>
  <c r="K11" i="15"/>
  <c r="P7" i="6"/>
  <c r="P6" i="6"/>
  <c r="E18" i="25"/>
  <c r="G4" i="25"/>
  <c r="S86" i="46" l="1"/>
  <c r="F216" i="46"/>
  <c r="H47" i="49"/>
  <c r="R50" i="46"/>
  <c r="H40" i="49"/>
  <c r="H93" i="49"/>
  <c r="R58" i="46"/>
  <c r="H66" i="49"/>
  <c r="H201" i="46"/>
  <c r="R18" i="46"/>
  <c r="H19" i="46"/>
  <c r="H159" i="46"/>
  <c r="H51" i="46"/>
  <c r="H82" i="46"/>
  <c r="H184" i="46"/>
  <c r="H193" i="46"/>
  <c r="E99" i="46"/>
  <c r="H130" i="46"/>
  <c r="H59" i="46"/>
  <c r="G216" i="46"/>
  <c r="Q107" i="46"/>
  <c r="R114" i="46"/>
  <c r="P107" i="46"/>
  <c r="F99" i="46"/>
  <c r="H122" i="46"/>
  <c r="H67" i="46"/>
  <c r="S88" i="46"/>
  <c r="I122" i="46"/>
  <c r="Q4" i="54"/>
  <c r="P7" i="54"/>
  <c r="P5" i="54"/>
  <c r="P6" i="54"/>
  <c r="O15" i="54"/>
  <c r="O10" i="54"/>
  <c r="O17" i="54"/>
  <c r="O11" i="54"/>
  <c r="O18" i="54"/>
  <c r="O19" i="54"/>
  <c r="O13" i="54"/>
  <c r="O14" i="54"/>
  <c r="O12" i="54"/>
  <c r="O19" i="46"/>
  <c r="N19" i="46"/>
  <c r="P87" i="46"/>
  <c r="L87" i="46"/>
  <c r="O87" i="46"/>
  <c r="K87" i="46"/>
  <c r="I87" i="46"/>
  <c r="J87" i="46"/>
  <c r="O226" i="46"/>
  <c r="Q83" i="46"/>
  <c r="Q138" i="46"/>
  <c r="J226" i="46"/>
  <c r="E83" i="46"/>
  <c r="E138" i="46"/>
  <c r="J114" i="46"/>
  <c r="K118" i="46"/>
  <c r="P50" i="46"/>
  <c r="P51" i="46" s="1"/>
  <c r="S55" i="46"/>
  <c r="H18" i="48"/>
  <c r="H17" i="48"/>
  <c r="H24" i="48" s="1"/>
  <c r="I19" i="46"/>
  <c r="S18" i="46"/>
  <c r="P19" i="46"/>
  <c r="G5" i="52"/>
  <c r="D12" i="52"/>
  <c r="G60" i="52"/>
  <c r="G7" i="52"/>
  <c r="H4" i="52"/>
  <c r="G42" i="52"/>
  <c r="G51" i="52"/>
  <c r="G6" i="52"/>
  <c r="G83" i="46"/>
  <c r="G138" i="46"/>
  <c r="K226" i="46"/>
  <c r="K19" i="46"/>
  <c r="N205" i="46"/>
  <c r="N158" i="46"/>
  <c r="N159" i="46" s="1"/>
  <c r="J5" i="50"/>
  <c r="I10" i="50"/>
  <c r="I18" i="50"/>
  <c r="I17" i="50"/>
  <c r="M226" i="46"/>
  <c r="P58" i="46"/>
  <c r="P59" i="46" s="1"/>
  <c r="S63" i="46"/>
  <c r="P192" i="46"/>
  <c r="P193" i="46" s="1"/>
  <c r="S197" i="46"/>
  <c r="H36" i="49"/>
  <c r="H227" i="46"/>
  <c r="P130" i="46"/>
  <c r="N87" i="46"/>
  <c r="M130" i="46"/>
  <c r="L19" i="46"/>
  <c r="J19" i="46"/>
  <c r="Q227" i="46"/>
  <c r="F138" i="46"/>
  <c r="F83" i="46"/>
  <c r="M205" i="46"/>
  <c r="M158" i="46"/>
  <c r="M159" i="46" s="1"/>
  <c r="K205" i="46"/>
  <c r="K158" i="46"/>
  <c r="K159" i="46" s="1"/>
  <c r="F36" i="49"/>
  <c r="F227" i="46"/>
  <c r="M19" i="46"/>
  <c r="G5" i="51"/>
  <c r="G8" i="51"/>
  <c r="G6" i="51"/>
  <c r="G12" i="51"/>
  <c r="G32" i="51" s="1"/>
  <c r="G7" i="51"/>
  <c r="H51" i="51" s="1"/>
  <c r="H4" i="51"/>
  <c r="O205" i="46"/>
  <c r="O158" i="46"/>
  <c r="O159" i="46" s="1"/>
  <c r="L226" i="46"/>
  <c r="L205" i="46"/>
  <c r="L158" i="46"/>
  <c r="L159" i="46" s="1"/>
  <c r="N226" i="46"/>
  <c r="J205" i="46"/>
  <c r="J158" i="46"/>
  <c r="J159" i="46" s="1"/>
  <c r="P5" i="47"/>
  <c r="H4" i="53"/>
  <c r="G5" i="53"/>
  <c r="P6" i="47" s="1"/>
  <c r="G6" i="53"/>
  <c r="G7" i="53"/>
  <c r="E36" i="49"/>
  <c r="E227" i="46"/>
  <c r="P205" i="46"/>
  <c r="S163" i="46"/>
  <c r="P158" i="46"/>
  <c r="P159" i="46" s="1"/>
  <c r="P183" i="46"/>
  <c r="P184" i="46" s="1"/>
  <c r="S188" i="46"/>
  <c r="G36" i="49"/>
  <c r="G227" i="46"/>
  <c r="I93" i="49"/>
  <c r="I66" i="49"/>
  <c r="I36" i="49"/>
  <c r="I18" i="49"/>
  <c r="I5" i="48"/>
  <c r="J5" i="49"/>
  <c r="J93" i="49" s="1"/>
  <c r="I17" i="49"/>
  <c r="I21" i="49" s="1"/>
  <c r="I10" i="49"/>
  <c r="I10" i="48" s="1"/>
  <c r="Q19" i="46"/>
  <c r="M87" i="46"/>
  <c r="I130" i="46"/>
  <c r="L120" i="30"/>
  <c r="L91" i="30"/>
  <c r="L25" i="30"/>
  <c r="AA24" i="50"/>
  <c r="AA27" i="50" s="1"/>
  <c r="Z43" i="50"/>
  <c r="J127" i="30"/>
  <c r="L78" i="30"/>
  <c r="L30" i="30"/>
  <c r="Z19" i="49"/>
  <c r="L103" i="30"/>
  <c r="AA7" i="49"/>
  <c r="AA8" i="49"/>
  <c r="AA6" i="49"/>
  <c r="AA9" i="49"/>
  <c r="AB4" i="49"/>
  <c r="Z19" i="50"/>
  <c r="L88" i="30"/>
  <c r="L99" i="30"/>
  <c r="L95" i="30"/>
  <c r="L56" i="30"/>
  <c r="L68" i="30"/>
  <c r="L85" i="30"/>
  <c r="AA7" i="50"/>
  <c r="AA8" i="50"/>
  <c r="AA6" i="50"/>
  <c r="AA9" i="50"/>
  <c r="AB4" i="50"/>
  <c r="L42" i="30"/>
  <c r="L34" i="30"/>
  <c r="L45" i="30"/>
  <c r="L60" i="30"/>
  <c r="L38" i="30"/>
  <c r="L52" i="30"/>
  <c r="L116" i="30"/>
  <c r="L112" i="30"/>
  <c r="L108" i="30"/>
  <c r="L64" i="30"/>
  <c r="K127" i="30"/>
  <c r="O6" i="36"/>
  <c r="O11" i="36" s="1"/>
  <c r="O8" i="36"/>
  <c r="O5" i="36"/>
  <c r="R7" i="33"/>
  <c r="R76" i="34"/>
  <c r="R6" i="33"/>
  <c r="R19" i="34"/>
  <c r="P4" i="36"/>
  <c r="P7" i="36" s="1"/>
  <c r="R9" i="33"/>
  <c r="R62" i="34"/>
  <c r="L42" i="7"/>
  <c r="L58" i="7"/>
  <c r="N11" i="36"/>
  <c r="N15" i="36"/>
  <c r="N14" i="36"/>
  <c r="N12" i="36"/>
  <c r="N16" i="36"/>
  <c r="L24" i="7"/>
  <c r="L23" i="7"/>
  <c r="K24" i="15"/>
  <c r="K23" i="15"/>
  <c r="I16" i="6"/>
  <c r="K75" i="5"/>
  <c r="K24" i="5"/>
  <c r="K23" i="5"/>
  <c r="L24" i="6"/>
  <c r="L23" i="6"/>
  <c r="H4" i="43"/>
  <c r="G60" i="43"/>
  <c r="G5" i="43"/>
  <c r="G6" i="43"/>
  <c r="G51" i="43"/>
  <c r="D12" i="43"/>
  <c r="G42" i="43"/>
  <c r="G7" i="43"/>
  <c r="J55" i="7"/>
  <c r="I71" i="5"/>
  <c r="I80" i="5" s="1"/>
  <c r="J16" i="6"/>
  <c r="I5" i="33"/>
  <c r="I10" i="34"/>
  <c r="I10" i="33" s="1"/>
  <c r="I17" i="34"/>
  <c r="I21" i="34" s="1"/>
  <c r="J5" i="34"/>
  <c r="I18" i="34"/>
  <c r="G51" i="39"/>
  <c r="H4" i="39"/>
  <c r="G60" i="39"/>
  <c r="G5" i="39"/>
  <c r="G7" i="39"/>
  <c r="G6" i="39"/>
  <c r="G42" i="39"/>
  <c r="G7" i="37"/>
  <c r="G5" i="37"/>
  <c r="G6" i="37"/>
  <c r="H4" i="37"/>
  <c r="G7" i="40"/>
  <c r="H4" i="40"/>
  <c r="G8" i="40"/>
  <c r="G12" i="40"/>
  <c r="G32" i="40" s="1"/>
  <c r="G6" i="40"/>
  <c r="G5" i="40"/>
  <c r="I10" i="35"/>
  <c r="I17" i="35"/>
  <c r="I18" i="35"/>
  <c r="J5" i="35"/>
  <c r="J48" i="6"/>
  <c r="J68" i="6"/>
  <c r="J79" i="6"/>
  <c r="K127" i="49" s="1"/>
  <c r="J65" i="6"/>
  <c r="I71" i="15"/>
  <c r="I80" i="15" s="1"/>
  <c r="J54" i="6"/>
  <c r="J21" i="6"/>
  <c r="Q7" i="29"/>
  <c r="H10" i="29"/>
  <c r="S9" i="34"/>
  <c r="T4" i="34"/>
  <c r="T4" i="33" s="1"/>
  <c r="S7" i="34"/>
  <c r="S6" i="34"/>
  <c r="S8" i="34"/>
  <c r="S8" i="33" s="1"/>
  <c r="H18" i="33"/>
  <c r="H17" i="33"/>
  <c r="P19" i="33"/>
  <c r="Q9" i="29"/>
  <c r="Q8" i="29"/>
  <c r="R9" i="35"/>
  <c r="S4" i="35"/>
  <c r="R6" i="35"/>
  <c r="R8" i="35"/>
  <c r="R7" i="35"/>
  <c r="Q19" i="35"/>
  <c r="I17" i="31"/>
  <c r="J5" i="31"/>
  <c r="I18" i="31"/>
  <c r="I10" i="31"/>
  <c r="H17" i="29"/>
  <c r="H24" i="29" s="1"/>
  <c r="H18" i="29"/>
  <c r="I18" i="30"/>
  <c r="J5" i="30"/>
  <c r="I17" i="30"/>
  <c r="I21" i="30" s="1"/>
  <c r="I10" i="30"/>
  <c r="I5" i="29"/>
  <c r="I68" i="6"/>
  <c r="Q5" i="32"/>
  <c r="Q7" i="32"/>
  <c r="Q6" i="32"/>
  <c r="Q10" i="32"/>
  <c r="H16" i="32" s="1"/>
  <c r="P15" i="32"/>
  <c r="P16" i="32" s="1"/>
  <c r="P11" i="32"/>
  <c r="R7" i="30"/>
  <c r="R9" i="30"/>
  <c r="S4" i="30"/>
  <c r="R6" i="30"/>
  <c r="R4" i="29"/>
  <c r="R8" i="30"/>
  <c r="R9" i="31"/>
  <c r="S4" i="31"/>
  <c r="R7" i="31"/>
  <c r="R8" i="31"/>
  <c r="R6" i="31"/>
  <c r="Q19" i="30"/>
  <c r="Q6" i="29"/>
  <c r="I54" i="6"/>
  <c r="I21" i="6"/>
  <c r="P19" i="29"/>
  <c r="Q19" i="31"/>
  <c r="I22" i="5"/>
  <c r="I25" i="5" s="1"/>
  <c r="I31" i="5" s="1"/>
  <c r="I33" i="5" s="1"/>
  <c r="I35" i="5" s="1"/>
  <c r="I48" i="6"/>
  <c r="I65" i="6"/>
  <c r="I79" i="6"/>
  <c r="J127" i="49" s="1"/>
  <c r="K51" i="5"/>
  <c r="H40" i="6"/>
  <c r="M5" i="15"/>
  <c r="M5" i="7"/>
  <c r="M11" i="7" s="1"/>
  <c r="O4" i="7"/>
  <c r="N7" i="7"/>
  <c r="N6" i="7"/>
  <c r="K46" i="5"/>
  <c r="P4" i="13"/>
  <c r="O6" i="13"/>
  <c r="O7" i="13"/>
  <c r="N7" i="15"/>
  <c r="O4" i="15"/>
  <c r="N6" i="15"/>
  <c r="N5" i="13"/>
  <c r="N11" i="13" s="1"/>
  <c r="K73" i="5"/>
  <c r="I71" i="7"/>
  <c r="I80" i="7" s="1"/>
  <c r="J21" i="5"/>
  <c r="K18" i="5"/>
  <c r="K78" i="5"/>
  <c r="J54" i="5"/>
  <c r="I22" i="7"/>
  <c r="I25" i="7" s="1"/>
  <c r="I31" i="7" s="1"/>
  <c r="I33" i="7" s="1"/>
  <c r="I35" i="7" s="1"/>
  <c r="K30" i="5"/>
  <c r="K67" i="5"/>
  <c r="H40" i="15"/>
  <c r="I55" i="5"/>
  <c r="J16" i="5"/>
  <c r="K68" i="6"/>
  <c r="K59" i="5"/>
  <c r="K19" i="5"/>
  <c r="K42" i="5"/>
  <c r="K58" i="5"/>
  <c r="K69" i="5"/>
  <c r="H40" i="14"/>
  <c r="J22" i="7"/>
  <c r="J25" i="7" s="1"/>
  <c r="J31" i="7" s="1"/>
  <c r="J33" i="7" s="1"/>
  <c r="J35" i="7" s="1"/>
  <c r="K29" i="5"/>
  <c r="K47" i="5"/>
  <c r="K62" i="5"/>
  <c r="K77" i="5"/>
  <c r="I22" i="15"/>
  <c r="I25" i="15" s="1"/>
  <c r="I31" i="15" s="1"/>
  <c r="I33" i="15" s="1"/>
  <c r="I35" i="15" s="1"/>
  <c r="K14" i="5"/>
  <c r="K26" i="5"/>
  <c r="K43" i="5"/>
  <c r="K52" i="5"/>
  <c r="K63" i="5"/>
  <c r="K74" i="5"/>
  <c r="J65" i="5"/>
  <c r="J71" i="5" s="1"/>
  <c r="J79" i="5"/>
  <c r="J48" i="5"/>
  <c r="K16" i="6"/>
  <c r="K54" i="6"/>
  <c r="J48" i="15"/>
  <c r="Q4" i="14"/>
  <c r="P7" i="14"/>
  <c r="P6" i="14"/>
  <c r="O5" i="14"/>
  <c r="I54" i="14"/>
  <c r="J54" i="14"/>
  <c r="J21" i="14"/>
  <c r="J16" i="14"/>
  <c r="J68" i="14"/>
  <c r="I16" i="14"/>
  <c r="K78" i="14"/>
  <c r="K74" i="14"/>
  <c r="K69" i="14"/>
  <c r="K64" i="14"/>
  <c r="K60" i="14"/>
  <c r="K53" i="14"/>
  <c r="K49" i="14"/>
  <c r="K44" i="14"/>
  <c r="K34" i="14"/>
  <c r="K28" i="14"/>
  <c r="K23" i="14"/>
  <c r="K17" i="14"/>
  <c r="K72" i="14"/>
  <c r="K67" i="14"/>
  <c r="K75" i="14"/>
  <c r="K70" i="14"/>
  <c r="K66" i="14"/>
  <c r="K61" i="14"/>
  <c r="K57" i="14"/>
  <c r="K50" i="14"/>
  <c r="K45" i="14"/>
  <c r="K29" i="14"/>
  <c r="K24" i="14"/>
  <c r="K18" i="14"/>
  <c r="K76" i="14"/>
  <c r="K62" i="14"/>
  <c r="K58" i="14"/>
  <c r="K51" i="14"/>
  <c r="K46" i="14"/>
  <c r="K42" i="14"/>
  <c r="K63" i="14"/>
  <c r="K59" i="14"/>
  <c r="K52" i="14"/>
  <c r="K47" i="14"/>
  <c r="K43" i="14"/>
  <c r="K77" i="14"/>
  <c r="K73" i="14"/>
  <c r="K32" i="14"/>
  <c r="K27" i="14"/>
  <c r="K20" i="14"/>
  <c r="K15" i="14"/>
  <c r="K30" i="14"/>
  <c r="K26" i="14"/>
  <c r="K19" i="14"/>
  <c r="K14" i="14"/>
  <c r="I48" i="14"/>
  <c r="J79" i="14"/>
  <c r="J65" i="14"/>
  <c r="I21" i="14"/>
  <c r="I65" i="14"/>
  <c r="I71" i="14" s="1"/>
  <c r="I79" i="14"/>
  <c r="J48" i="14"/>
  <c r="J55" i="14" s="1"/>
  <c r="K75" i="15"/>
  <c r="K70" i="15"/>
  <c r="L121" i="34" s="1"/>
  <c r="K63" i="15"/>
  <c r="L100" i="34" s="1"/>
  <c r="K59" i="15"/>
  <c r="L86" i="34" s="1"/>
  <c r="K52" i="15"/>
  <c r="L65" i="34" s="1"/>
  <c r="K47" i="15"/>
  <c r="L45" i="34" s="1"/>
  <c r="K43" i="15"/>
  <c r="L30" i="34" s="1"/>
  <c r="K32" i="15"/>
  <c r="K27" i="15"/>
  <c r="K17" i="15"/>
  <c r="K76" i="15"/>
  <c r="K72" i="15"/>
  <c r="K77" i="15"/>
  <c r="K73" i="15"/>
  <c r="K66" i="15"/>
  <c r="L109" i="34" s="1"/>
  <c r="K61" i="15"/>
  <c r="L92" i="34" s="1"/>
  <c r="K57" i="15"/>
  <c r="L79" i="34" s="1"/>
  <c r="K50" i="15"/>
  <c r="L56" i="34" s="1"/>
  <c r="K45" i="15"/>
  <c r="L38" i="34" s="1"/>
  <c r="K29" i="15"/>
  <c r="K19" i="15"/>
  <c r="K14" i="15"/>
  <c r="K78" i="15"/>
  <c r="K74" i="15"/>
  <c r="K69" i="15"/>
  <c r="L117" i="34" s="1"/>
  <c r="K67" i="15"/>
  <c r="L113" i="34" s="1"/>
  <c r="K60" i="15"/>
  <c r="K89" i="34" s="1"/>
  <c r="K49" i="15"/>
  <c r="L52" i="34" s="1"/>
  <c r="K34" i="15"/>
  <c r="K20" i="15"/>
  <c r="K15" i="15"/>
  <c r="K58" i="15"/>
  <c r="K83" i="34" s="1"/>
  <c r="K46" i="15"/>
  <c r="L42" i="34" s="1"/>
  <c r="K18" i="15"/>
  <c r="K53" i="15"/>
  <c r="L69" i="34" s="1"/>
  <c r="K44" i="15"/>
  <c r="L34" i="34" s="1"/>
  <c r="K28" i="15"/>
  <c r="K62" i="15"/>
  <c r="L96" i="34" s="1"/>
  <c r="K51" i="15"/>
  <c r="L60" i="34" s="1"/>
  <c r="K42" i="15"/>
  <c r="L25" i="34" s="1"/>
  <c r="K26" i="15"/>
  <c r="K64" i="15"/>
  <c r="L104" i="34" s="1"/>
  <c r="K30" i="15"/>
  <c r="J16" i="15"/>
  <c r="J65" i="15"/>
  <c r="J68" i="15"/>
  <c r="J21" i="15"/>
  <c r="J54" i="15"/>
  <c r="J79" i="15"/>
  <c r="K128" i="34" s="1"/>
  <c r="I55" i="15"/>
  <c r="L76" i="7"/>
  <c r="L72" i="7"/>
  <c r="L67" i="7"/>
  <c r="L62" i="7"/>
  <c r="L51" i="7"/>
  <c r="L46" i="7"/>
  <c r="L30" i="7"/>
  <c r="L26" i="7"/>
  <c r="L19" i="7"/>
  <c r="L14" i="7"/>
  <c r="L69" i="7"/>
  <c r="L53" i="7"/>
  <c r="L49" i="7"/>
  <c r="L44" i="7"/>
  <c r="L34" i="7"/>
  <c r="L28" i="7"/>
  <c r="L75" i="7"/>
  <c r="L61" i="7"/>
  <c r="L77" i="7"/>
  <c r="L73" i="7"/>
  <c r="L63" i="7"/>
  <c r="L59" i="7"/>
  <c r="L52" i="7"/>
  <c r="L47" i="7"/>
  <c r="L43" i="7"/>
  <c r="L32" i="7"/>
  <c r="L27" i="7"/>
  <c r="L20" i="7"/>
  <c r="L15" i="7"/>
  <c r="L78" i="7"/>
  <c r="L74" i="7"/>
  <c r="L64" i="7"/>
  <c r="L60" i="7"/>
  <c r="L17" i="7"/>
  <c r="L70" i="7"/>
  <c r="L66" i="7"/>
  <c r="L57" i="7"/>
  <c r="L50" i="7"/>
  <c r="L45" i="7"/>
  <c r="L29" i="7"/>
  <c r="L18" i="7"/>
  <c r="K65" i="7"/>
  <c r="K79" i="7"/>
  <c r="I55" i="7"/>
  <c r="K16" i="7"/>
  <c r="K54" i="7"/>
  <c r="K21" i="7"/>
  <c r="K68" i="7"/>
  <c r="J71" i="7"/>
  <c r="J80" i="7" s="1"/>
  <c r="K48" i="7"/>
  <c r="L77" i="6"/>
  <c r="L73" i="6"/>
  <c r="L63" i="6"/>
  <c r="M99" i="49" s="1"/>
  <c r="L59" i="6"/>
  <c r="M85" i="49" s="1"/>
  <c r="L52" i="6"/>
  <c r="M64" i="49" s="1"/>
  <c r="L47" i="6"/>
  <c r="M45" i="49" s="1"/>
  <c r="L43" i="6"/>
  <c r="M30" i="49" s="1"/>
  <c r="L32" i="6"/>
  <c r="L27" i="6"/>
  <c r="L20" i="6"/>
  <c r="L15" i="6"/>
  <c r="L78" i="6"/>
  <c r="L74" i="6"/>
  <c r="L69" i="6"/>
  <c r="M116" i="49" s="1"/>
  <c r="L64" i="6"/>
  <c r="M103" i="49" s="1"/>
  <c r="L60" i="6"/>
  <c r="M88" i="49" s="1"/>
  <c r="L53" i="6"/>
  <c r="M68" i="49" s="1"/>
  <c r="L49" i="6"/>
  <c r="M52" i="49" s="1"/>
  <c r="L44" i="6"/>
  <c r="M34" i="49" s="1"/>
  <c r="L75" i="6"/>
  <c r="L70" i="6"/>
  <c r="M120" i="49" s="1"/>
  <c r="L66" i="6"/>
  <c r="M108" i="49" s="1"/>
  <c r="L61" i="6"/>
  <c r="M91" i="49" s="1"/>
  <c r="L57" i="6"/>
  <c r="M78" i="49" s="1"/>
  <c r="L50" i="6"/>
  <c r="M56" i="49" s="1"/>
  <c r="L45" i="6"/>
  <c r="M38" i="49" s="1"/>
  <c r="L29" i="6"/>
  <c r="L18" i="6"/>
  <c r="L76" i="6"/>
  <c r="L72" i="6"/>
  <c r="L67" i="6"/>
  <c r="M112" i="49" s="1"/>
  <c r="L62" i="6"/>
  <c r="M95" i="49" s="1"/>
  <c r="L58" i="6"/>
  <c r="M82" i="49" s="1"/>
  <c r="L51" i="6"/>
  <c r="M60" i="49" s="1"/>
  <c r="L46" i="6"/>
  <c r="M42" i="49" s="1"/>
  <c r="L28" i="6"/>
  <c r="L19" i="6"/>
  <c r="L17" i="6"/>
  <c r="L42" i="6"/>
  <c r="M25" i="49" s="1"/>
  <c r="L30" i="6"/>
  <c r="L14" i="6"/>
  <c r="L34" i="6"/>
  <c r="L26" i="6"/>
  <c r="K21" i="6"/>
  <c r="K48" i="6"/>
  <c r="K79" i="6"/>
  <c r="L127" i="49" s="1"/>
  <c r="K65" i="6"/>
  <c r="K17" i="5"/>
  <c r="K28" i="5"/>
  <c r="K34" i="5"/>
  <c r="K45" i="5"/>
  <c r="K50" i="5"/>
  <c r="K57" i="5"/>
  <c r="K61" i="5"/>
  <c r="K66" i="5"/>
  <c r="K72" i="5"/>
  <c r="K76" i="5"/>
  <c r="L5" i="5"/>
  <c r="L11" i="5" s="1"/>
  <c r="K15" i="5"/>
  <c r="K20" i="5"/>
  <c r="K27" i="5"/>
  <c r="K32" i="5"/>
  <c r="K44" i="5"/>
  <c r="K49" i="5"/>
  <c r="K53" i="5"/>
  <c r="K60" i="5"/>
  <c r="K64" i="5"/>
  <c r="K70" i="5"/>
  <c r="H40" i="5"/>
  <c r="L11" i="14"/>
  <c r="M11" i="6"/>
  <c r="N5" i="6"/>
  <c r="L11" i="15"/>
  <c r="Q6" i="6"/>
  <c r="Q7" i="6"/>
  <c r="H4" i="25"/>
  <c r="D41" i="23"/>
  <c r="D50" i="23" s="1"/>
  <c r="D61" i="23" s="1"/>
  <c r="D70" i="23" s="1"/>
  <c r="D112" i="23" s="1"/>
  <c r="D39" i="23"/>
  <c r="D48" i="23" s="1"/>
  <c r="D59" i="23" s="1"/>
  <c r="D68" i="23" s="1"/>
  <c r="D37" i="23"/>
  <c r="D46" i="23" s="1"/>
  <c r="D57" i="23" s="1"/>
  <c r="D66" i="23" s="1"/>
  <c r="D99" i="23" s="1"/>
  <c r="D121" i="23" s="1"/>
  <c r="E4" i="23"/>
  <c r="E6" i="3"/>
  <c r="C47" i="20"/>
  <c r="C92" i="20" s="1"/>
  <c r="D257" i="20"/>
  <c r="D260" i="20" s="1"/>
  <c r="F4" i="24"/>
  <c r="E5" i="23"/>
  <c r="D2" i="23"/>
  <c r="E2" i="23" s="1"/>
  <c r="M1" i="23"/>
  <c r="J1" i="23"/>
  <c r="G1" i="23"/>
  <c r="D1" i="23"/>
  <c r="D2" i="24"/>
  <c r="L1" i="24"/>
  <c r="I1" i="24"/>
  <c r="D1" i="24"/>
  <c r="H83" i="46" l="1"/>
  <c r="H138" i="46"/>
  <c r="S87" i="46"/>
  <c r="P14" i="54"/>
  <c r="P15" i="54"/>
  <c r="P17" i="54"/>
  <c r="P10" i="54"/>
  <c r="P12" i="54"/>
  <c r="P18" i="54"/>
  <c r="P11" i="54"/>
  <c r="P19" i="54"/>
  <c r="P13" i="54"/>
  <c r="R4" i="54"/>
  <c r="Q7" i="54"/>
  <c r="Q5" i="54"/>
  <c r="Q6" i="54"/>
  <c r="G228" i="46"/>
  <c r="S205" i="46"/>
  <c r="P200" i="46"/>
  <c r="J222" i="46"/>
  <c r="G146" i="46"/>
  <c r="G139" i="46"/>
  <c r="E65" i="52"/>
  <c r="E67" i="52" s="1"/>
  <c r="D65" i="52"/>
  <c r="D67" i="52" s="1"/>
  <c r="D43" i="52"/>
  <c r="F56" i="52"/>
  <c r="F58" i="52" s="1"/>
  <c r="E77" i="52"/>
  <c r="E79" i="52" s="1"/>
  <c r="E52" i="52"/>
  <c r="E54" i="52" s="1"/>
  <c r="F81" i="52"/>
  <c r="F83" i="52" s="1"/>
  <c r="E61" i="52"/>
  <c r="E63" i="52" s="1"/>
  <c r="E73" i="52"/>
  <c r="E75" i="52" s="1"/>
  <c r="E69" i="52"/>
  <c r="E71" i="52" s="1"/>
  <c r="F47" i="52"/>
  <c r="F65" i="52"/>
  <c r="F67" i="52" s="1"/>
  <c r="F85" i="52"/>
  <c r="F87" i="52" s="1"/>
  <c r="D61" i="52"/>
  <c r="D63" i="52" s="1"/>
  <c r="E85" i="52"/>
  <c r="E87" i="52" s="1"/>
  <c r="D77" i="52"/>
  <c r="D79" i="52" s="1"/>
  <c r="E81" i="52"/>
  <c r="E83" i="52" s="1"/>
  <c r="F73" i="52"/>
  <c r="F75" i="52" s="1"/>
  <c r="E56" i="52"/>
  <c r="E58" i="52" s="1"/>
  <c r="F69" i="52"/>
  <c r="F71" i="52" s="1"/>
  <c r="E43" i="52"/>
  <c r="D81" i="52"/>
  <c r="D83" i="52" s="1"/>
  <c r="F43" i="52"/>
  <c r="E47" i="52"/>
  <c r="F52" i="52"/>
  <c r="F54" i="52" s="1"/>
  <c r="F77" i="52"/>
  <c r="F79" i="52" s="1"/>
  <c r="F61" i="52"/>
  <c r="F63" i="52" s="1"/>
  <c r="D85" i="52"/>
  <c r="D87" i="52" s="1"/>
  <c r="D52" i="52"/>
  <c r="D54" i="52" s="1"/>
  <c r="D69" i="52"/>
  <c r="D71" i="52" s="1"/>
  <c r="D47" i="52"/>
  <c r="D56" i="52"/>
  <c r="D58" i="52" s="1"/>
  <c r="D73" i="52"/>
  <c r="D75" i="52" s="1"/>
  <c r="S50" i="46"/>
  <c r="M222" i="46"/>
  <c r="S58" i="46"/>
  <c r="J18" i="50"/>
  <c r="J10" i="50"/>
  <c r="K5" i="50"/>
  <c r="J17" i="50"/>
  <c r="E139" i="46"/>
  <c r="E146" i="46"/>
  <c r="E149" i="46" s="1"/>
  <c r="E148" i="46" s="1"/>
  <c r="E155" i="46" s="1"/>
  <c r="J5" i="48"/>
  <c r="J10" i="49"/>
  <c r="J10" i="48" s="1"/>
  <c r="K5" i="49"/>
  <c r="J18" i="49"/>
  <c r="J17" i="49"/>
  <c r="J21" i="49" s="1"/>
  <c r="J36" i="49"/>
  <c r="J66" i="49"/>
  <c r="S158" i="46"/>
  <c r="P222" i="46"/>
  <c r="H5" i="53"/>
  <c r="Q6" i="47" s="1"/>
  <c r="Q5" i="47"/>
  <c r="H7" i="53"/>
  <c r="I4" i="53"/>
  <c r="H6" i="53"/>
  <c r="L222" i="46"/>
  <c r="H12" i="51"/>
  <c r="H32" i="51" s="1"/>
  <c r="H5" i="51"/>
  <c r="H7" i="51"/>
  <c r="I51" i="51" s="1"/>
  <c r="H6" i="51"/>
  <c r="I4" i="51"/>
  <c r="H8" i="51"/>
  <c r="F139" i="46"/>
  <c r="F146" i="46"/>
  <c r="F149" i="46" s="1"/>
  <c r="F148" i="46" s="1"/>
  <c r="F155" i="46" s="1"/>
  <c r="N222" i="46"/>
  <c r="J217" i="46"/>
  <c r="J122" i="46"/>
  <c r="H228" i="46"/>
  <c r="P82" i="46"/>
  <c r="P83" i="46" s="1"/>
  <c r="O222" i="46"/>
  <c r="I18" i="48"/>
  <c r="I17" i="48"/>
  <c r="I24" i="48" s="1"/>
  <c r="P225" i="46"/>
  <c r="K222" i="46"/>
  <c r="S192" i="46"/>
  <c r="P226" i="46"/>
  <c r="I4" i="52"/>
  <c r="H42" i="52"/>
  <c r="H6" i="52"/>
  <c r="H60" i="52"/>
  <c r="H5" i="52"/>
  <c r="H51" i="52"/>
  <c r="H7" i="52"/>
  <c r="K114" i="46"/>
  <c r="L118" i="46"/>
  <c r="Q146" i="46"/>
  <c r="Q149" i="46" s="1"/>
  <c r="Q148" i="46" s="1"/>
  <c r="Q155" i="46" s="1"/>
  <c r="Q139" i="46"/>
  <c r="F228" i="46"/>
  <c r="M88" i="30"/>
  <c r="M60" i="30"/>
  <c r="AA19" i="50"/>
  <c r="M56" i="30"/>
  <c r="M34" i="30"/>
  <c r="M25" i="30"/>
  <c r="AB6" i="49"/>
  <c r="AB7" i="49"/>
  <c r="AC4" i="49"/>
  <c r="AB8" i="49"/>
  <c r="AB9" i="49"/>
  <c r="M30" i="30"/>
  <c r="M52" i="30"/>
  <c r="M85" i="30"/>
  <c r="M91" i="30"/>
  <c r="M42" i="30"/>
  <c r="L127" i="30"/>
  <c r="M38" i="30"/>
  <c r="M120" i="30"/>
  <c r="M64" i="30"/>
  <c r="M116" i="30"/>
  <c r="M112" i="30"/>
  <c r="M82" i="30"/>
  <c r="AB6" i="50"/>
  <c r="AB7" i="50"/>
  <c r="AB8" i="50"/>
  <c r="AB9" i="50"/>
  <c r="AC4" i="50"/>
  <c r="M78" i="30"/>
  <c r="M99" i="30"/>
  <c r="M108" i="30"/>
  <c r="M103" i="30"/>
  <c r="M45" i="30"/>
  <c r="M68" i="30"/>
  <c r="M95" i="30"/>
  <c r="AA43" i="50"/>
  <c r="AB24" i="50"/>
  <c r="AB27" i="50" s="1"/>
  <c r="AA19" i="49"/>
  <c r="I22" i="6"/>
  <c r="I25" i="6" s="1"/>
  <c r="I31" i="6" s="1"/>
  <c r="I33" i="6" s="1"/>
  <c r="I35" i="6" s="1"/>
  <c r="O13" i="36"/>
  <c r="P8" i="36"/>
  <c r="Q4" i="36"/>
  <c r="Q7" i="36" s="1"/>
  <c r="O15" i="36"/>
  <c r="P5" i="36"/>
  <c r="O12" i="36"/>
  <c r="O14" i="36"/>
  <c r="P6" i="36"/>
  <c r="P12" i="36" s="1"/>
  <c r="O16" i="36"/>
  <c r="I71" i="6"/>
  <c r="I80" i="6" s="1"/>
  <c r="M58" i="7"/>
  <c r="M42" i="7"/>
  <c r="S7" i="33"/>
  <c r="S76" i="34"/>
  <c r="S6" i="33"/>
  <c r="S19" i="34"/>
  <c r="S9" i="33"/>
  <c r="S62" i="34"/>
  <c r="H24" i="33"/>
  <c r="L21" i="6"/>
  <c r="L78" i="5"/>
  <c r="L24" i="5"/>
  <c r="L23" i="5"/>
  <c r="M24" i="7"/>
  <c r="M23" i="7"/>
  <c r="L24" i="15"/>
  <c r="L23" i="15"/>
  <c r="M24" i="6"/>
  <c r="M23" i="6"/>
  <c r="E81" i="43"/>
  <c r="E83" i="43" s="1"/>
  <c r="D52" i="43"/>
  <c r="D54" i="43" s="1"/>
  <c r="D77" i="43"/>
  <c r="D79" i="43" s="1"/>
  <c r="D61" i="43"/>
  <c r="D63" i="43" s="1"/>
  <c r="E85" i="43"/>
  <c r="E87" i="43" s="1"/>
  <c r="D56" i="43"/>
  <c r="D58" i="43" s="1"/>
  <c r="D43" i="43"/>
  <c r="F69" i="43"/>
  <c r="F71" i="43" s="1"/>
  <c r="E56" i="43"/>
  <c r="E58" i="43" s="1"/>
  <c r="F56" i="43"/>
  <c r="F58" i="43" s="1"/>
  <c r="F81" i="43"/>
  <c r="F83" i="43" s="1"/>
  <c r="F65" i="43"/>
  <c r="F67" i="43" s="1"/>
  <c r="F43" i="43"/>
  <c r="E61" i="43"/>
  <c r="E63" i="43" s="1"/>
  <c r="F85" i="43"/>
  <c r="F87" i="43" s="1"/>
  <c r="D73" i="43"/>
  <c r="D75" i="43" s="1"/>
  <c r="F47" i="43"/>
  <c r="E65" i="43"/>
  <c r="E67" i="43" s="1"/>
  <c r="D85" i="43"/>
  <c r="D87" i="43" s="1"/>
  <c r="D69" i="43"/>
  <c r="D71" i="43" s="1"/>
  <c r="D47" i="43"/>
  <c r="E69" i="43"/>
  <c r="E71" i="43" s="1"/>
  <c r="E47" i="43"/>
  <c r="F61" i="43"/>
  <c r="F63" i="43" s="1"/>
  <c r="F77" i="43"/>
  <c r="F79" i="43" s="1"/>
  <c r="E73" i="43"/>
  <c r="E75" i="43" s="1"/>
  <c r="E43" i="43"/>
  <c r="F73" i="43"/>
  <c r="F75" i="43" s="1"/>
  <c r="E52" i="43"/>
  <c r="E54" i="43" s="1"/>
  <c r="E77" i="43"/>
  <c r="E79" i="43" s="1"/>
  <c r="F52" i="43"/>
  <c r="F54" i="43" s="1"/>
  <c r="D65" i="43"/>
  <c r="D81" i="43"/>
  <c r="D83" i="43" s="1"/>
  <c r="H5" i="43"/>
  <c r="H51" i="43"/>
  <c r="H6" i="43"/>
  <c r="H42" i="43"/>
  <c r="H7" i="43"/>
  <c r="H60" i="43"/>
  <c r="I4" i="43"/>
  <c r="J40" i="7"/>
  <c r="J55" i="6"/>
  <c r="P15" i="36"/>
  <c r="J22" i="6"/>
  <c r="J25" i="6" s="1"/>
  <c r="J31" i="6" s="1"/>
  <c r="J33" i="6" s="1"/>
  <c r="J35" i="6" s="1"/>
  <c r="J18" i="35"/>
  <c r="J17" i="35"/>
  <c r="K5" i="35"/>
  <c r="J10" i="35"/>
  <c r="H7" i="40"/>
  <c r="H5" i="40"/>
  <c r="H6" i="40"/>
  <c r="H12" i="40"/>
  <c r="H32" i="40" s="1"/>
  <c r="H8" i="40"/>
  <c r="I4" i="40"/>
  <c r="H7" i="39"/>
  <c r="H42" i="39"/>
  <c r="I4" i="39"/>
  <c r="H60" i="39"/>
  <c r="H5" i="39"/>
  <c r="H51" i="39"/>
  <c r="H6" i="39"/>
  <c r="J17" i="34"/>
  <c r="J21" i="34" s="1"/>
  <c r="J5" i="33"/>
  <c r="K5" i="34"/>
  <c r="J18" i="34"/>
  <c r="J10" i="34"/>
  <c r="J10" i="33" s="1"/>
  <c r="H5" i="37"/>
  <c r="H7" i="37"/>
  <c r="I4" i="37"/>
  <c r="H6" i="37"/>
  <c r="D73" i="39"/>
  <c r="D75" i="39" s="1"/>
  <c r="E56" i="39"/>
  <c r="E58" i="39" s="1"/>
  <c r="E73" i="39"/>
  <c r="E75" i="39" s="1"/>
  <c r="E43" i="39"/>
  <c r="E45" i="39" s="1"/>
  <c r="E61" i="39"/>
  <c r="E63" i="39" s="1"/>
  <c r="D61" i="39"/>
  <c r="D63" i="39" s="1"/>
  <c r="E52" i="39"/>
  <c r="E54" i="39" s="1"/>
  <c r="F43" i="39"/>
  <c r="F45" i="39" s="1"/>
  <c r="F77" i="39"/>
  <c r="F79" i="39" s="1"/>
  <c r="F61" i="39"/>
  <c r="F63" i="39" s="1"/>
  <c r="E81" i="39"/>
  <c r="E83" i="39" s="1"/>
  <c r="D52" i="39"/>
  <c r="D54" i="39" s="1"/>
  <c r="E69" i="39"/>
  <c r="E71" i="39" s="1"/>
  <c r="E47" i="39"/>
  <c r="F65" i="39"/>
  <c r="F67" i="39" s="1"/>
  <c r="D47" i="39"/>
  <c r="D81" i="39"/>
  <c r="D83" i="39" s="1"/>
  <c r="D65" i="39"/>
  <c r="D67" i="39" s="1"/>
  <c r="D43" i="39"/>
  <c r="D45" i="39" s="1"/>
  <c r="F56" i="39"/>
  <c r="F58" i="39" s="1"/>
  <c r="E77" i="39"/>
  <c r="E79" i="39" s="1"/>
  <c r="F52" i="39"/>
  <c r="F54" i="39" s="1"/>
  <c r="D69" i="39"/>
  <c r="D71" i="39" s="1"/>
  <c r="F73" i="39"/>
  <c r="F75" i="39" s="1"/>
  <c r="F85" i="39"/>
  <c r="F87" i="39" s="1"/>
  <c r="F69" i="39"/>
  <c r="F71" i="39" s="1"/>
  <c r="F47" i="39"/>
  <c r="E65" i="39"/>
  <c r="E67" i="39" s="1"/>
  <c r="E85" i="39"/>
  <c r="E87" i="39" s="1"/>
  <c r="D56" i="39"/>
  <c r="D58" i="39" s="1"/>
  <c r="F81" i="39"/>
  <c r="F83" i="39" s="1"/>
  <c r="D77" i="39"/>
  <c r="D79" i="39" s="1"/>
  <c r="D85" i="39"/>
  <c r="D87" i="39" s="1"/>
  <c r="J71" i="6"/>
  <c r="J80" i="6" s="1"/>
  <c r="I55" i="6"/>
  <c r="R19" i="35"/>
  <c r="L68" i="7"/>
  <c r="R7" i="29"/>
  <c r="I17" i="33"/>
  <c r="I18" i="33"/>
  <c r="T8" i="34"/>
  <c r="T8" i="33" s="1"/>
  <c r="T7" i="34"/>
  <c r="U4" i="34"/>
  <c r="U4" i="33" s="1"/>
  <c r="T9" i="34"/>
  <c r="T6" i="34"/>
  <c r="R8" i="29"/>
  <c r="R9" i="29"/>
  <c r="Q19" i="33"/>
  <c r="I10" i="29"/>
  <c r="S8" i="35"/>
  <c r="S9" i="35"/>
  <c r="T4" i="35"/>
  <c r="S7" i="35"/>
  <c r="S6" i="35"/>
  <c r="I18" i="29"/>
  <c r="I17" i="29"/>
  <c r="I24" i="29" s="1"/>
  <c r="J18" i="31"/>
  <c r="J17" i="31"/>
  <c r="K5" i="31"/>
  <c r="J10" i="31"/>
  <c r="J10" i="30"/>
  <c r="K5" i="30"/>
  <c r="J17" i="30"/>
  <c r="J21" i="30" s="1"/>
  <c r="J5" i="29"/>
  <c r="J18" i="30"/>
  <c r="S15" i="32"/>
  <c r="E16" i="32"/>
  <c r="S20" i="32"/>
  <c r="S21" i="32"/>
  <c r="S18" i="32"/>
  <c r="S19" i="32"/>
  <c r="J16" i="32"/>
  <c r="Q11" i="32"/>
  <c r="Q15" i="32"/>
  <c r="Q16" i="32" s="1"/>
  <c r="K68" i="5"/>
  <c r="S8" i="31"/>
  <c r="S6" i="31"/>
  <c r="S7" i="31"/>
  <c r="S9" i="31"/>
  <c r="T4" i="31"/>
  <c r="S6" i="30"/>
  <c r="S8" i="30"/>
  <c r="T4" i="30"/>
  <c r="S9" i="30"/>
  <c r="S7" i="30"/>
  <c r="S4" i="29"/>
  <c r="Q19" i="29"/>
  <c r="R19" i="31"/>
  <c r="S24" i="31"/>
  <c r="R19" i="30"/>
  <c r="R6" i="29"/>
  <c r="I40" i="5"/>
  <c r="N5" i="15"/>
  <c r="N5" i="7"/>
  <c r="N11" i="7" s="1"/>
  <c r="O7" i="15"/>
  <c r="P4" i="15"/>
  <c r="O6" i="15"/>
  <c r="Q4" i="13"/>
  <c r="P6" i="13"/>
  <c r="P7" i="13"/>
  <c r="P4" i="7"/>
  <c r="O6" i="7"/>
  <c r="O7" i="7"/>
  <c r="O5" i="13"/>
  <c r="O11" i="13" s="1"/>
  <c r="K16" i="14"/>
  <c r="K16" i="5"/>
  <c r="K71" i="6"/>
  <c r="K80" i="6" s="1"/>
  <c r="J22" i="5"/>
  <c r="J25" i="5" s="1"/>
  <c r="J31" i="5" s="1"/>
  <c r="J33" i="5" s="1"/>
  <c r="J35" i="5" s="1"/>
  <c r="L58" i="5"/>
  <c r="K22" i="6"/>
  <c r="K25" i="6" s="1"/>
  <c r="K31" i="6" s="1"/>
  <c r="K33" i="6" s="1"/>
  <c r="K35" i="6" s="1"/>
  <c r="K21" i="5"/>
  <c r="J55" i="15"/>
  <c r="J55" i="5"/>
  <c r="L17" i="5"/>
  <c r="L46" i="5"/>
  <c r="L77" i="5"/>
  <c r="L42" i="5"/>
  <c r="L67" i="5"/>
  <c r="K79" i="5"/>
  <c r="J71" i="15"/>
  <c r="J80" i="15" s="1"/>
  <c r="L29" i="5"/>
  <c r="L62" i="5"/>
  <c r="K16" i="15"/>
  <c r="L51" i="5"/>
  <c r="L73" i="5"/>
  <c r="I40" i="15"/>
  <c r="K65" i="5"/>
  <c r="K48" i="5"/>
  <c r="K55" i="6"/>
  <c r="L79" i="6"/>
  <c r="M127" i="49" s="1"/>
  <c r="J22" i="15"/>
  <c r="J25" i="15" s="1"/>
  <c r="J31" i="15" s="1"/>
  <c r="J33" i="15" s="1"/>
  <c r="J35" i="15" s="1"/>
  <c r="I80" i="14"/>
  <c r="I55" i="14"/>
  <c r="L28" i="5"/>
  <c r="L50" i="5"/>
  <c r="L66" i="5"/>
  <c r="L20" i="5"/>
  <c r="L27" i="5"/>
  <c r="L32" i="5"/>
  <c r="L44" i="5"/>
  <c r="L49" i="5"/>
  <c r="L53" i="5"/>
  <c r="L60" i="5"/>
  <c r="L64" i="5"/>
  <c r="L70" i="5"/>
  <c r="L75" i="5"/>
  <c r="J80" i="5"/>
  <c r="L14" i="5"/>
  <c r="L15" i="5"/>
  <c r="L34" i="5"/>
  <c r="L45" i="5"/>
  <c r="L57" i="5"/>
  <c r="L61" i="5"/>
  <c r="L72" i="5"/>
  <c r="L76" i="5"/>
  <c r="K54" i="5"/>
  <c r="M5" i="5"/>
  <c r="M11" i="5" s="1"/>
  <c r="L18" i="5"/>
  <c r="L19" i="5"/>
  <c r="L26" i="5"/>
  <c r="L30" i="5"/>
  <c r="L43" i="5"/>
  <c r="L47" i="5"/>
  <c r="L52" i="5"/>
  <c r="L59" i="5"/>
  <c r="L63" i="5"/>
  <c r="L69" i="5"/>
  <c r="L74" i="5"/>
  <c r="J22" i="14"/>
  <c r="J25" i="14" s="1"/>
  <c r="J31" i="14" s="1"/>
  <c r="J33" i="14" s="1"/>
  <c r="J35" i="14" s="1"/>
  <c r="P5" i="14"/>
  <c r="Q6" i="14"/>
  <c r="R4" i="14"/>
  <c r="Q7" i="14"/>
  <c r="J71" i="14"/>
  <c r="J80" i="14" s="1"/>
  <c r="J40" i="14" s="1"/>
  <c r="I22" i="14"/>
  <c r="I25" i="14" s="1"/>
  <c r="I31" i="14" s="1"/>
  <c r="I33" i="14" s="1"/>
  <c r="I35" i="14" s="1"/>
  <c r="K68" i="14"/>
  <c r="K54" i="14"/>
  <c r="K79" i="14"/>
  <c r="L77" i="14"/>
  <c r="L73" i="14"/>
  <c r="L63" i="14"/>
  <c r="L59" i="14"/>
  <c r="L52" i="14"/>
  <c r="L47" i="14"/>
  <c r="L43" i="14"/>
  <c r="L32" i="14"/>
  <c r="L27" i="14"/>
  <c r="L20" i="14"/>
  <c r="L15" i="14"/>
  <c r="L70" i="14"/>
  <c r="L66" i="14"/>
  <c r="L78" i="14"/>
  <c r="L74" i="14"/>
  <c r="L69" i="14"/>
  <c r="L64" i="14"/>
  <c r="L60" i="14"/>
  <c r="L53" i="14"/>
  <c r="L49" i="14"/>
  <c r="L44" i="14"/>
  <c r="L34" i="14"/>
  <c r="L28" i="14"/>
  <c r="L23" i="14"/>
  <c r="L17" i="14"/>
  <c r="L75" i="14"/>
  <c r="L61" i="14"/>
  <c r="L57" i="14"/>
  <c r="L50" i="14"/>
  <c r="L45" i="14"/>
  <c r="L24" i="14"/>
  <c r="L30" i="14"/>
  <c r="L26" i="14"/>
  <c r="L19" i="14"/>
  <c r="L14" i="14"/>
  <c r="L16" i="14" s="1"/>
  <c r="L67" i="14"/>
  <c r="L62" i="14"/>
  <c r="L58" i="14"/>
  <c r="L51" i="14"/>
  <c r="L46" i="14"/>
  <c r="L42" i="14"/>
  <c r="L76" i="14"/>
  <c r="L72" i="14"/>
  <c r="L29" i="14"/>
  <c r="L18" i="14"/>
  <c r="K65" i="14"/>
  <c r="K21" i="14"/>
  <c r="K48" i="14"/>
  <c r="L78" i="15"/>
  <c r="L74" i="15"/>
  <c r="L69" i="15"/>
  <c r="M117" i="34" s="1"/>
  <c r="L67" i="15"/>
  <c r="M113" i="34" s="1"/>
  <c r="L62" i="15"/>
  <c r="M96" i="34" s="1"/>
  <c r="L58" i="15"/>
  <c r="L83" i="34" s="1"/>
  <c r="L51" i="15"/>
  <c r="M60" i="34" s="1"/>
  <c r="L46" i="15"/>
  <c r="M42" i="34" s="1"/>
  <c r="L42" i="15"/>
  <c r="M25" i="34" s="1"/>
  <c r="L30" i="15"/>
  <c r="L26" i="15"/>
  <c r="L20" i="15"/>
  <c r="L15" i="15"/>
  <c r="L75" i="15"/>
  <c r="L70" i="15"/>
  <c r="M121" i="34" s="1"/>
  <c r="L76" i="15"/>
  <c r="L72" i="15"/>
  <c r="L64" i="15"/>
  <c r="M104" i="34" s="1"/>
  <c r="L60" i="15"/>
  <c r="L89" i="34" s="1"/>
  <c r="L53" i="15"/>
  <c r="M69" i="34" s="1"/>
  <c r="L49" i="15"/>
  <c r="M52" i="34" s="1"/>
  <c r="L44" i="15"/>
  <c r="M34" i="34" s="1"/>
  <c r="L34" i="15"/>
  <c r="L28" i="15"/>
  <c r="L18" i="15"/>
  <c r="L77" i="15"/>
  <c r="L73" i="15"/>
  <c r="L66" i="15"/>
  <c r="M109" i="34" s="1"/>
  <c r="L57" i="15"/>
  <c r="M79" i="34" s="1"/>
  <c r="L45" i="15"/>
  <c r="M38" i="34" s="1"/>
  <c r="L29" i="15"/>
  <c r="L17" i="15"/>
  <c r="L52" i="15"/>
  <c r="M65" i="34" s="1"/>
  <c r="L43" i="15"/>
  <c r="M30" i="34" s="1"/>
  <c r="L61" i="15"/>
  <c r="M92" i="34" s="1"/>
  <c r="L50" i="15"/>
  <c r="M56" i="34" s="1"/>
  <c r="L63" i="15"/>
  <c r="M100" i="34" s="1"/>
  <c r="L59" i="15"/>
  <c r="M86" i="34" s="1"/>
  <c r="L47" i="15"/>
  <c r="M45" i="34" s="1"/>
  <c r="L32" i="15"/>
  <c r="L19" i="15"/>
  <c r="L14" i="15"/>
  <c r="L27" i="15"/>
  <c r="K68" i="15"/>
  <c r="K21" i="15"/>
  <c r="K65" i="15"/>
  <c r="K79" i="15"/>
  <c r="L128" i="34" s="1"/>
  <c r="K48" i="15"/>
  <c r="K54" i="15"/>
  <c r="K71" i="7"/>
  <c r="K80" i="7" s="1"/>
  <c r="M75" i="7"/>
  <c r="M70" i="7"/>
  <c r="M66" i="7"/>
  <c r="M61" i="7"/>
  <c r="M57" i="7"/>
  <c r="M50" i="7"/>
  <c r="M45" i="7"/>
  <c r="M29" i="7"/>
  <c r="M18" i="7"/>
  <c r="M73" i="7"/>
  <c r="M63" i="7"/>
  <c r="M59" i="7"/>
  <c r="M27" i="7"/>
  <c r="M15" i="7"/>
  <c r="M78" i="7"/>
  <c r="M74" i="7"/>
  <c r="M64" i="7"/>
  <c r="M76" i="7"/>
  <c r="M72" i="7"/>
  <c r="M67" i="7"/>
  <c r="M62" i="7"/>
  <c r="M51" i="7"/>
  <c r="M46" i="7"/>
  <c r="M30" i="7"/>
  <c r="M26" i="7"/>
  <c r="M19" i="7"/>
  <c r="M14" i="7"/>
  <c r="M77" i="7"/>
  <c r="M52" i="7"/>
  <c r="M47" i="7"/>
  <c r="M43" i="7"/>
  <c r="M32" i="7"/>
  <c r="M20" i="7"/>
  <c r="M69" i="7"/>
  <c r="M60" i="7"/>
  <c r="M53" i="7"/>
  <c r="M49" i="7"/>
  <c r="M44" i="7"/>
  <c r="M34" i="7"/>
  <c r="M28" i="7"/>
  <c r="M17" i="7"/>
  <c r="K55" i="7"/>
  <c r="L65" i="7"/>
  <c r="L16" i="7"/>
  <c r="L48" i="7"/>
  <c r="I40" i="7"/>
  <c r="L54" i="7"/>
  <c r="K22" i="7"/>
  <c r="K25" i="7" s="1"/>
  <c r="K31" i="7" s="1"/>
  <c r="K33" i="7" s="1"/>
  <c r="K35" i="7" s="1"/>
  <c r="L79" i="7"/>
  <c r="L21" i="7"/>
  <c r="M76" i="6"/>
  <c r="M72" i="6"/>
  <c r="M67" i="6"/>
  <c r="N112" i="49" s="1"/>
  <c r="M62" i="6"/>
  <c r="N95" i="49" s="1"/>
  <c r="M58" i="6"/>
  <c r="N82" i="49" s="1"/>
  <c r="M51" i="6"/>
  <c r="N60" i="49" s="1"/>
  <c r="M46" i="6"/>
  <c r="N42" i="49" s="1"/>
  <c r="M42" i="6"/>
  <c r="N25" i="49" s="1"/>
  <c r="M30" i="6"/>
  <c r="M26" i="6"/>
  <c r="M19" i="6"/>
  <c r="M14" i="6"/>
  <c r="M77" i="6"/>
  <c r="M73" i="6"/>
  <c r="M63" i="6"/>
  <c r="N99" i="49" s="1"/>
  <c r="M59" i="6"/>
  <c r="N85" i="49" s="1"/>
  <c r="M52" i="6"/>
  <c r="N64" i="49" s="1"/>
  <c r="M47" i="6"/>
  <c r="N45" i="49" s="1"/>
  <c r="M43" i="6"/>
  <c r="N30" i="49" s="1"/>
  <c r="M78" i="6"/>
  <c r="M74" i="6"/>
  <c r="M69" i="6"/>
  <c r="N116" i="49" s="1"/>
  <c r="M64" i="6"/>
  <c r="N103" i="49" s="1"/>
  <c r="M60" i="6"/>
  <c r="N88" i="49" s="1"/>
  <c r="M53" i="6"/>
  <c r="N68" i="49" s="1"/>
  <c r="M49" i="6"/>
  <c r="N52" i="49" s="1"/>
  <c r="M44" i="6"/>
  <c r="N34" i="49" s="1"/>
  <c r="M34" i="6"/>
  <c r="M28" i="6"/>
  <c r="M17" i="6"/>
  <c r="M75" i="6"/>
  <c r="M70" i="6"/>
  <c r="N120" i="49" s="1"/>
  <c r="M66" i="6"/>
  <c r="N108" i="49" s="1"/>
  <c r="M61" i="6"/>
  <c r="N91" i="49" s="1"/>
  <c r="M57" i="6"/>
  <c r="N78" i="49" s="1"/>
  <c r="M50" i="6"/>
  <c r="N56" i="49" s="1"/>
  <c r="M45" i="6"/>
  <c r="N38" i="49" s="1"/>
  <c r="M32" i="6"/>
  <c r="M15" i="6"/>
  <c r="M18" i="6"/>
  <c r="M27" i="6"/>
  <c r="M29" i="6"/>
  <c r="M20" i="6"/>
  <c r="L65" i="6"/>
  <c r="L54" i="6"/>
  <c r="L16" i="6"/>
  <c r="L68" i="6"/>
  <c r="L48" i="6"/>
  <c r="M11" i="14"/>
  <c r="G4" i="24"/>
  <c r="N11" i="6"/>
  <c r="O5" i="6"/>
  <c r="M11" i="15"/>
  <c r="D108" i="23"/>
  <c r="D103" i="23"/>
  <c r="D79" i="23"/>
  <c r="D94" i="23" s="1"/>
  <c r="F4" i="23"/>
  <c r="I4" i="25"/>
  <c r="E18" i="23"/>
  <c r="D110" i="23"/>
  <c r="D101" i="23"/>
  <c r="D122" i="23" s="1"/>
  <c r="D77" i="23"/>
  <c r="D92" i="23" s="1"/>
  <c r="D75" i="23"/>
  <c r="D90" i="23" s="1"/>
  <c r="E18" i="24"/>
  <c r="E10" i="24"/>
  <c r="E10" i="23" s="1"/>
  <c r="H139" i="46" l="1"/>
  <c r="H146" i="46"/>
  <c r="H149" i="46" s="1"/>
  <c r="H148" i="46" s="1"/>
  <c r="H155" i="46" s="1"/>
  <c r="R5" i="54"/>
  <c r="S4" i="54"/>
  <c r="R6" i="54"/>
  <c r="R7" i="54"/>
  <c r="Q19" i="54"/>
  <c r="Q11" i="54"/>
  <c r="Q18" i="54"/>
  <c r="Q15" i="54"/>
  <c r="Q14" i="54"/>
  <c r="Q17" i="54"/>
  <c r="Q12" i="54"/>
  <c r="Q13" i="54"/>
  <c r="Q10" i="54"/>
  <c r="K217" i="46"/>
  <c r="K122" i="46"/>
  <c r="I6" i="53"/>
  <c r="I5" i="53"/>
  <c r="R6" i="47" s="1"/>
  <c r="I7" i="53"/>
  <c r="J4" i="53"/>
  <c r="R5" i="47"/>
  <c r="K18" i="49"/>
  <c r="K17" i="49"/>
  <c r="K21" i="49" s="1"/>
  <c r="K5" i="48"/>
  <c r="K10" i="49"/>
  <c r="K10" i="48" s="1"/>
  <c r="L5" i="49"/>
  <c r="K18" i="50"/>
  <c r="K17" i="50"/>
  <c r="L5" i="50"/>
  <c r="K10" i="50"/>
  <c r="E27" i="51"/>
  <c r="E28" i="51" s="1"/>
  <c r="N26" i="47"/>
  <c r="O27" i="47" s="1"/>
  <c r="F29" i="53" s="1"/>
  <c r="F30" i="53" s="1"/>
  <c r="N35" i="47"/>
  <c r="O36" i="47" s="1"/>
  <c r="F42" i="53" s="1"/>
  <c r="F43" i="53" s="1"/>
  <c r="E49" i="52"/>
  <c r="N44" i="47"/>
  <c r="O45" i="47" s="1"/>
  <c r="F57" i="53" s="1"/>
  <c r="F58" i="53" s="1"/>
  <c r="N51" i="47"/>
  <c r="O52" i="47" s="1"/>
  <c r="F74" i="53" s="1"/>
  <c r="P201" i="46"/>
  <c r="Q208" i="46"/>
  <c r="I51" i="52"/>
  <c r="J4" i="52"/>
  <c r="I42" i="52"/>
  <c r="I60" i="52"/>
  <c r="I6" i="52"/>
  <c r="I7" i="52"/>
  <c r="I5" i="52"/>
  <c r="J17" i="48"/>
  <c r="J24" i="48" s="1"/>
  <c r="J18" i="48"/>
  <c r="K36" i="49"/>
  <c r="Q6" i="36"/>
  <c r="Q16" i="36" s="1"/>
  <c r="I8" i="51"/>
  <c r="I12" i="51"/>
  <c r="I32" i="51" s="1"/>
  <c r="I6" i="51"/>
  <c r="J4" i="51"/>
  <c r="I5" i="51"/>
  <c r="I7" i="51"/>
  <c r="J51" i="51" s="1"/>
  <c r="L114" i="46"/>
  <c r="M118" i="46"/>
  <c r="E45" i="52"/>
  <c r="N17" i="47"/>
  <c r="O18" i="47" s="1"/>
  <c r="F16" i="53" s="1"/>
  <c r="F17" i="53" s="1"/>
  <c r="P227" i="46"/>
  <c r="D27" i="51"/>
  <c r="D28" i="51" s="1"/>
  <c r="M26" i="47"/>
  <c r="N27" i="47" s="1"/>
  <c r="E29" i="53" s="1"/>
  <c r="E30" i="53" s="1"/>
  <c r="D49" i="52"/>
  <c r="M35" i="47"/>
  <c r="N36" i="47" s="1"/>
  <c r="E42" i="53" s="1"/>
  <c r="E43" i="53" s="1"/>
  <c r="M44" i="47"/>
  <c r="N45" i="47" s="1"/>
  <c r="E57" i="53" s="1"/>
  <c r="E58" i="53" s="1"/>
  <c r="M51" i="47"/>
  <c r="N52" i="47" s="1"/>
  <c r="E74" i="53" s="1"/>
  <c r="E79" i="53" s="1"/>
  <c r="O17" i="47"/>
  <c r="P18" i="47" s="1"/>
  <c r="G16" i="53" s="1"/>
  <c r="G17" i="53" s="1"/>
  <c r="F45" i="52"/>
  <c r="F27" i="51"/>
  <c r="F28" i="51" s="1"/>
  <c r="O44" i="47"/>
  <c r="P45" i="47" s="1"/>
  <c r="G57" i="53" s="1"/>
  <c r="G58" i="53" s="1"/>
  <c r="F49" i="52"/>
  <c r="O51" i="47"/>
  <c r="P52" i="47" s="1"/>
  <c r="G74" i="53" s="1"/>
  <c r="O26" i="47"/>
  <c r="P27" i="47" s="1"/>
  <c r="G29" i="53" s="1"/>
  <c r="G30" i="53" s="1"/>
  <c r="O35" i="47"/>
  <c r="P36" i="47" s="1"/>
  <c r="G42" i="53" s="1"/>
  <c r="G43" i="53" s="1"/>
  <c r="M17" i="47"/>
  <c r="N18" i="47" s="1"/>
  <c r="E16" i="53" s="1"/>
  <c r="E17" i="53" s="1"/>
  <c r="D45" i="52"/>
  <c r="G149" i="46"/>
  <c r="G148" i="46" s="1"/>
  <c r="G155" i="46" s="1"/>
  <c r="K66" i="49"/>
  <c r="K93" i="49"/>
  <c r="N85" i="30"/>
  <c r="N52" i="30"/>
  <c r="AC9" i="50"/>
  <c r="AC6" i="50"/>
  <c r="AC7" i="50"/>
  <c r="AC8" i="50"/>
  <c r="AB19" i="50"/>
  <c r="AC9" i="49"/>
  <c r="AC6" i="49"/>
  <c r="AC7" i="49"/>
  <c r="AC8" i="49"/>
  <c r="N68" i="30"/>
  <c r="N91" i="30"/>
  <c r="M127" i="30"/>
  <c r="N64" i="30"/>
  <c r="N45" i="30"/>
  <c r="N56" i="30"/>
  <c r="N82" i="30"/>
  <c r="N112" i="30"/>
  <c r="N95" i="30"/>
  <c r="N103" i="30"/>
  <c r="N78" i="30"/>
  <c r="N34" i="30"/>
  <c r="N116" i="30"/>
  <c r="N60" i="30"/>
  <c r="N120" i="30"/>
  <c r="N88" i="30"/>
  <c r="N30" i="30"/>
  <c r="N42" i="30"/>
  <c r="N99" i="30"/>
  <c r="N38" i="30"/>
  <c r="N108" i="30"/>
  <c r="N25" i="30"/>
  <c r="AB43" i="50"/>
  <c r="AC24" i="50"/>
  <c r="AB19" i="49"/>
  <c r="P14" i="36"/>
  <c r="P16" i="36"/>
  <c r="Q8" i="36"/>
  <c r="R4" i="36"/>
  <c r="R7" i="36" s="1"/>
  <c r="P11" i="36"/>
  <c r="P13" i="36"/>
  <c r="Q5" i="36"/>
  <c r="T9" i="33"/>
  <c r="T62" i="34"/>
  <c r="N58" i="7"/>
  <c r="N42" i="7"/>
  <c r="O25" i="30" s="1"/>
  <c r="T6" i="33"/>
  <c r="T19" i="34"/>
  <c r="T7" i="33"/>
  <c r="T76" i="34"/>
  <c r="D67" i="43"/>
  <c r="E49" i="40"/>
  <c r="E50" i="40" s="1"/>
  <c r="E27" i="40"/>
  <c r="E28" i="40" s="1"/>
  <c r="D49" i="40"/>
  <c r="D50" i="40" s="1"/>
  <c r="D27" i="40"/>
  <c r="F49" i="40"/>
  <c r="F50" i="40" s="1"/>
  <c r="F27" i="40"/>
  <c r="F28" i="40" s="1"/>
  <c r="I24" i="33"/>
  <c r="L22" i="6"/>
  <c r="L25" i="6" s="1"/>
  <c r="L31" i="6" s="1"/>
  <c r="L33" i="6" s="1"/>
  <c r="L35" i="6" s="1"/>
  <c r="N24" i="6"/>
  <c r="N23" i="6"/>
  <c r="M24" i="15"/>
  <c r="M23" i="15"/>
  <c r="M77" i="5"/>
  <c r="M24" i="5"/>
  <c r="M23" i="5"/>
  <c r="N24" i="7"/>
  <c r="N23" i="7"/>
  <c r="M47" i="38"/>
  <c r="M38" i="38"/>
  <c r="M54" i="38"/>
  <c r="D49" i="43"/>
  <c r="O54" i="38"/>
  <c r="O38" i="38"/>
  <c r="O47" i="38"/>
  <c r="F49" i="43"/>
  <c r="O29" i="38"/>
  <c r="O17" i="38"/>
  <c r="F45" i="43"/>
  <c r="N17" i="38"/>
  <c r="E45" i="43"/>
  <c r="N29" i="38"/>
  <c r="E49" i="43"/>
  <c r="N38" i="38"/>
  <c r="N54" i="38"/>
  <c r="N47" i="38"/>
  <c r="M29" i="38"/>
  <c r="D45" i="43"/>
  <c r="M17" i="38"/>
  <c r="I5" i="43"/>
  <c r="I7" i="43"/>
  <c r="J4" i="43"/>
  <c r="I60" i="43"/>
  <c r="I6" i="43"/>
  <c r="I51" i="43"/>
  <c r="I42" i="43"/>
  <c r="K40" i="6"/>
  <c r="L55" i="6"/>
  <c r="J40" i="6"/>
  <c r="E49" i="39"/>
  <c r="K5" i="33"/>
  <c r="K10" i="34"/>
  <c r="K10" i="33" s="1"/>
  <c r="L5" i="34"/>
  <c r="K18" i="34"/>
  <c r="K17" i="34"/>
  <c r="K21" i="34" s="1"/>
  <c r="I7" i="40"/>
  <c r="I6" i="40"/>
  <c r="I12" i="40"/>
  <c r="I32" i="40" s="1"/>
  <c r="J4" i="40"/>
  <c r="I5" i="40"/>
  <c r="I8" i="40"/>
  <c r="F49" i="39"/>
  <c r="J4" i="37"/>
  <c r="I7" i="37"/>
  <c r="I6" i="37"/>
  <c r="I5" i="37"/>
  <c r="K17" i="35"/>
  <c r="K10" i="35"/>
  <c r="L5" i="35"/>
  <c r="K18" i="35"/>
  <c r="I51" i="39"/>
  <c r="I60" i="39"/>
  <c r="I5" i="39"/>
  <c r="I6" i="39"/>
  <c r="J4" i="39"/>
  <c r="I42" i="39"/>
  <c r="I7" i="39"/>
  <c r="D49" i="39"/>
  <c r="I40" i="6"/>
  <c r="L71" i="7"/>
  <c r="L80" i="7" s="1"/>
  <c r="S7" i="29"/>
  <c r="J10" i="29"/>
  <c r="J17" i="33"/>
  <c r="J18" i="33"/>
  <c r="S8" i="29"/>
  <c r="T7" i="35"/>
  <c r="T8" i="35"/>
  <c r="T6" i="35"/>
  <c r="U4" i="35"/>
  <c r="T9" i="35"/>
  <c r="U7" i="34"/>
  <c r="U8" i="34"/>
  <c r="U8" i="33" s="1"/>
  <c r="V4" i="34"/>
  <c r="U9" i="34"/>
  <c r="U6" i="34"/>
  <c r="R19" i="33"/>
  <c r="S9" i="29"/>
  <c r="S19" i="35"/>
  <c r="L5" i="31"/>
  <c r="K17" i="31"/>
  <c r="K10" i="31"/>
  <c r="K18" i="31"/>
  <c r="J18" i="29"/>
  <c r="J17" i="29"/>
  <c r="J24" i="29" s="1"/>
  <c r="K71" i="5"/>
  <c r="K80" i="5" s="1"/>
  <c r="K5" i="29"/>
  <c r="K17" i="30"/>
  <c r="K21" i="30" s="1"/>
  <c r="K10" i="30"/>
  <c r="L5" i="30"/>
  <c r="K18" i="30"/>
  <c r="M34" i="5"/>
  <c r="T9" i="30"/>
  <c r="U4" i="30"/>
  <c r="T7" i="30"/>
  <c r="T8" i="30"/>
  <c r="T6" i="30"/>
  <c r="T4" i="29"/>
  <c r="T7" i="31"/>
  <c r="T9" i="31"/>
  <c r="U4" i="31"/>
  <c r="T6" i="31"/>
  <c r="T8" i="31"/>
  <c r="T24" i="31"/>
  <c r="R19" i="29"/>
  <c r="S19" i="31"/>
  <c r="S43" i="31"/>
  <c r="S19" i="30"/>
  <c r="S6" i="29"/>
  <c r="M49" i="5"/>
  <c r="O5" i="15"/>
  <c r="L68" i="5"/>
  <c r="O5" i="7"/>
  <c r="O11" i="7" s="1"/>
  <c r="Q6" i="13"/>
  <c r="Q7" i="13"/>
  <c r="R4" i="13"/>
  <c r="K22" i="5"/>
  <c r="K25" i="5" s="1"/>
  <c r="K31" i="5" s="1"/>
  <c r="K33" i="5" s="1"/>
  <c r="K35" i="5" s="1"/>
  <c r="P5" i="13"/>
  <c r="P11" i="13" s="1"/>
  <c r="P7" i="15"/>
  <c r="Q4" i="15"/>
  <c r="P6" i="15"/>
  <c r="Q4" i="7"/>
  <c r="P7" i="7"/>
  <c r="P6" i="7"/>
  <c r="K22" i="14"/>
  <c r="K25" i="14" s="1"/>
  <c r="K31" i="14" s="1"/>
  <c r="K33" i="14" s="1"/>
  <c r="K35" i="14" s="1"/>
  <c r="K55" i="5"/>
  <c r="J40" i="15"/>
  <c r="M20" i="5"/>
  <c r="M70" i="5"/>
  <c r="M68" i="6"/>
  <c r="M21" i="7"/>
  <c r="M61" i="5"/>
  <c r="M60" i="5"/>
  <c r="J40" i="5"/>
  <c r="N5" i="5"/>
  <c r="N11" i="5" s="1"/>
  <c r="M32" i="5"/>
  <c r="M50" i="5"/>
  <c r="M72" i="5"/>
  <c r="I40" i="14"/>
  <c r="L68" i="15"/>
  <c r="L21" i="15"/>
  <c r="L79" i="5"/>
  <c r="L21" i="5"/>
  <c r="M17" i="5"/>
  <c r="M28" i="5"/>
  <c r="M45" i="5"/>
  <c r="M57" i="5"/>
  <c r="M66" i="5"/>
  <c r="M76" i="5"/>
  <c r="M15" i="5"/>
  <c r="M27" i="5"/>
  <c r="M44" i="5"/>
  <c r="M53" i="5"/>
  <c r="M64" i="5"/>
  <c r="M75" i="5"/>
  <c r="L54" i="5"/>
  <c r="M14" i="5"/>
  <c r="M19" i="5"/>
  <c r="M26" i="5"/>
  <c r="M30" i="5"/>
  <c r="M43" i="5"/>
  <c r="M47" i="5"/>
  <c r="M52" i="5"/>
  <c r="M59" i="5"/>
  <c r="M63" i="5"/>
  <c r="M69" i="5"/>
  <c r="M74" i="5"/>
  <c r="M78" i="5"/>
  <c r="M65" i="6"/>
  <c r="M79" i="6"/>
  <c r="N127" i="49" s="1"/>
  <c r="M48" i="6"/>
  <c r="K40" i="7"/>
  <c r="L48" i="15"/>
  <c r="L48" i="5"/>
  <c r="L65" i="5"/>
  <c r="M18" i="5"/>
  <c r="M29" i="5"/>
  <c r="M42" i="5"/>
  <c r="M46" i="5"/>
  <c r="M51" i="5"/>
  <c r="M58" i="5"/>
  <c r="M62" i="5"/>
  <c r="M67" i="5"/>
  <c r="M73" i="5"/>
  <c r="M68" i="7"/>
  <c r="K22" i="15"/>
  <c r="K25" i="15" s="1"/>
  <c r="K31" i="15" s="1"/>
  <c r="K33" i="15" s="1"/>
  <c r="K35" i="15" s="1"/>
  <c r="M54" i="6"/>
  <c r="K55" i="15"/>
  <c r="L16" i="5"/>
  <c r="R6" i="14"/>
  <c r="S4" i="14"/>
  <c r="R7" i="14"/>
  <c r="K71" i="14"/>
  <c r="K80" i="14" s="1"/>
  <c r="Q5" i="14"/>
  <c r="K55" i="14"/>
  <c r="L65" i="14"/>
  <c r="L21" i="14"/>
  <c r="L22" i="14" s="1"/>
  <c r="L25" i="14" s="1"/>
  <c r="L31" i="14" s="1"/>
  <c r="L33" i="14" s="1"/>
  <c r="L35" i="14" s="1"/>
  <c r="M76" i="14"/>
  <c r="M72" i="14"/>
  <c r="M67" i="14"/>
  <c r="M62" i="14"/>
  <c r="M58" i="14"/>
  <c r="M51" i="14"/>
  <c r="M46" i="14"/>
  <c r="M42" i="14"/>
  <c r="M30" i="14"/>
  <c r="M26" i="14"/>
  <c r="M19" i="14"/>
  <c r="M14" i="14"/>
  <c r="M78" i="14"/>
  <c r="M60" i="14"/>
  <c r="M49" i="14"/>
  <c r="M44" i="14"/>
  <c r="M77" i="14"/>
  <c r="M73" i="14"/>
  <c r="M63" i="14"/>
  <c r="M59" i="14"/>
  <c r="M52" i="14"/>
  <c r="M47" i="14"/>
  <c r="M43" i="14"/>
  <c r="M32" i="14"/>
  <c r="M27" i="14"/>
  <c r="M20" i="14"/>
  <c r="M15" i="14"/>
  <c r="M74" i="14"/>
  <c r="M69" i="14"/>
  <c r="M64" i="14"/>
  <c r="M53" i="14"/>
  <c r="M34" i="14"/>
  <c r="M29" i="14"/>
  <c r="M24" i="14"/>
  <c r="M18" i="14"/>
  <c r="M66" i="14"/>
  <c r="M61" i="14"/>
  <c r="M57" i="14"/>
  <c r="M50" i="14"/>
  <c r="M45" i="14"/>
  <c r="M75" i="14"/>
  <c r="M70" i="14"/>
  <c r="M28" i="14"/>
  <c r="M23" i="14"/>
  <c r="M17" i="14"/>
  <c r="L79" i="14"/>
  <c r="L48" i="14"/>
  <c r="L54" i="14"/>
  <c r="L68" i="14"/>
  <c r="M77" i="15"/>
  <c r="M73" i="15"/>
  <c r="M66" i="15"/>
  <c r="N109" i="34" s="1"/>
  <c r="M61" i="15"/>
  <c r="N92" i="34" s="1"/>
  <c r="M57" i="15"/>
  <c r="N79" i="34" s="1"/>
  <c r="M50" i="15"/>
  <c r="N56" i="34" s="1"/>
  <c r="M45" i="15"/>
  <c r="N38" i="34" s="1"/>
  <c r="M29" i="15"/>
  <c r="M19" i="15"/>
  <c r="M14" i="15"/>
  <c r="M78" i="15"/>
  <c r="M74" i="15"/>
  <c r="M69" i="15"/>
  <c r="N117" i="34" s="1"/>
  <c r="M67" i="15"/>
  <c r="M75" i="15"/>
  <c r="M70" i="15"/>
  <c r="N121" i="34" s="1"/>
  <c r="M63" i="15"/>
  <c r="N100" i="34" s="1"/>
  <c r="M59" i="15"/>
  <c r="N86" i="34" s="1"/>
  <c r="M52" i="15"/>
  <c r="N65" i="34" s="1"/>
  <c r="M47" i="15"/>
  <c r="N45" i="34" s="1"/>
  <c r="M43" i="15"/>
  <c r="N30" i="34" s="1"/>
  <c r="M32" i="15"/>
  <c r="M27" i="15"/>
  <c r="M17" i="15"/>
  <c r="M76" i="15"/>
  <c r="M72" i="15"/>
  <c r="M64" i="15"/>
  <c r="N104" i="34" s="1"/>
  <c r="M62" i="15"/>
  <c r="N96" i="34" s="1"/>
  <c r="M51" i="15"/>
  <c r="N60" i="34" s="1"/>
  <c r="M42" i="15"/>
  <c r="N25" i="34" s="1"/>
  <c r="M26" i="15"/>
  <c r="M49" i="15"/>
  <c r="N52" i="34" s="1"/>
  <c r="M20" i="15"/>
  <c r="M15" i="15"/>
  <c r="M58" i="15"/>
  <c r="M83" i="34" s="1"/>
  <c r="M46" i="15"/>
  <c r="N42" i="34" s="1"/>
  <c r="M30" i="15"/>
  <c r="M18" i="15"/>
  <c r="M53" i="15"/>
  <c r="N69" i="34" s="1"/>
  <c r="M44" i="15"/>
  <c r="N34" i="34" s="1"/>
  <c r="M28" i="15"/>
  <c r="M60" i="15"/>
  <c r="M89" i="34" s="1"/>
  <c r="M34" i="15"/>
  <c r="L54" i="15"/>
  <c r="L79" i="15"/>
  <c r="M128" i="34" s="1"/>
  <c r="L16" i="15"/>
  <c r="K71" i="15"/>
  <c r="K80" i="15" s="1"/>
  <c r="L65" i="15"/>
  <c r="L22" i="7"/>
  <c r="L25" i="7" s="1"/>
  <c r="L31" i="7" s="1"/>
  <c r="L33" i="7" s="1"/>
  <c r="L35" i="7" s="1"/>
  <c r="N78" i="7"/>
  <c r="N74" i="7"/>
  <c r="N69" i="7"/>
  <c r="N64" i="7"/>
  <c r="N60" i="7"/>
  <c r="N53" i="7"/>
  <c r="N49" i="7"/>
  <c r="N44" i="7"/>
  <c r="N34" i="7"/>
  <c r="N28" i="7"/>
  <c r="N17" i="7"/>
  <c r="N76" i="7"/>
  <c r="N72" i="7"/>
  <c r="N67" i="7"/>
  <c r="N62" i="7"/>
  <c r="N14" i="7"/>
  <c r="N77" i="7"/>
  <c r="N73" i="7"/>
  <c r="N59" i="7"/>
  <c r="N52" i="7"/>
  <c r="N75" i="7"/>
  <c r="N70" i="7"/>
  <c r="N66" i="7"/>
  <c r="N61" i="7"/>
  <c r="N57" i="7"/>
  <c r="N50" i="7"/>
  <c r="N45" i="7"/>
  <c r="N29" i="7"/>
  <c r="N18" i="7"/>
  <c r="N51" i="7"/>
  <c r="N46" i="7"/>
  <c r="N30" i="7"/>
  <c r="N26" i="7"/>
  <c r="N19" i="7"/>
  <c r="N63" i="7"/>
  <c r="N15" i="7"/>
  <c r="N47" i="7"/>
  <c r="N43" i="7"/>
  <c r="N32" i="7"/>
  <c r="N27" i="7"/>
  <c r="N20" i="7"/>
  <c r="L55" i="7"/>
  <c r="M65" i="7"/>
  <c r="M79" i="7"/>
  <c r="M16" i="7"/>
  <c r="M48" i="7"/>
  <c r="M54" i="7"/>
  <c r="M21" i="6"/>
  <c r="L71" i="6"/>
  <c r="L80" i="6" s="1"/>
  <c r="N75" i="6"/>
  <c r="N70" i="6"/>
  <c r="O120" i="49" s="1"/>
  <c r="N66" i="6"/>
  <c r="O108" i="49" s="1"/>
  <c r="N61" i="6"/>
  <c r="O91" i="49" s="1"/>
  <c r="N57" i="6"/>
  <c r="O78" i="49" s="1"/>
  <c r="N50" i="6"/>
  <c r="O56" i="49" s="1"/>
  <c r="N45" i="6"/>
  <c r="O38" i="49" s="1"/>
  <c r="N29" i="6"/>
  <c r="N18" i="6"/>
  <c r="N76" i="6"/>
  <c r="N72" i="6"/>
  <c r="N67" i="6"/>
  <c r="O112" i="49" s="1"/>
  <c r="N62" i="6"/>
  <c r="O95" i="49" s="1"/>
  <c r="N58" i="6"/>
  <c r="O82" i="49" s="1"/>
  <c r="N51" i="6"/>
  <c r="O60" i="49" s="1"/>
  <c r="N46" i="6"/>
  <c r="O42" i="49" s="1"/>
  <c r="N42" i="6"/>
  <c r="O25" i="49" s="1"/>
  <c r="N77" i="6"/>
  <c r="N73" i="6"/>
  <c r="N63" i="6"/>
  <c r="O99" i="49" s="1"/>
  <c r="N59" i="6"/>
  <c r="O85" i="49" s="1"/>
  <c r="N52" i="6"/>
  <c r="O64" i="49" s="1"/>
  <c r="N47" i="6"/>
  <c r="O45" i="49" s="1"/>
  <c r="N43" i="6"/>
  <c r="O30" i="49" s="1"/>
  <c r="N32" i="6"/>
  <c r="N27" i="6"/>
  <c r="N20" i="6"/>
  <c r="N15" i="6"/>
  <c r="N78" i="6"/>
  <c r="N74" i="6"/>
  <c r="N69" i="6"/>
  <c r="O116" i="49" s="1"/>
  <c r="N64" i="6"/>
  <c r="O103" i="49" s="1"/>
  <c r="N60" i="6"/>
  <c r="O88" i="49" s="1"/>
  <c r="N53" i="6"/>
  <c r="O68" i="49" s="1"/>
  <c r="N49" i="6"/>
  <c r="O52" i="49" s="1"/>
  <c r="N44" i="6"/>
  <c r="O34" i="49" s="1"/>
  <c r="N26" i="6"/>
  <c r="N17" i="6"/>
  <c r="N34" i="6"/>
  <c r="N28" i="6"/>
  <c r="N19" i="6"/>
  <c r="N30" i="6"/>
  <c r="N14" i="6"/>
  <c r="M16" i="6"/>
  <c r="H4" i="24"/>
  <c r="H4" i="23" s="1"/>
  <c r="N11" i="14"/>
  <c r="G4" i="23"/>
  <c r="O11" i="6"/>
  <c r="P5" i="6"/>
  <c r="N11" i="15"/>
  <c r="E12" i="1"/>
  <c r="E88" i="1" s="1"/>
  <c r="J4" i="25"/>
  <c r="Q14" i="36" l="1"/>
  <c r="R19" i="54"/>
  <c r="R15" i="54"/>
  <c r="R13" i="54"/>
  <c r="R14" i="54"/>
  <c r="R10" i="54"/>
  <c r="R17" i="54"/>
  <c r="R11" i="54"/>
  <c r="R18" i="54"/>
  <c r="R12" i="54"/>
  <c r="S7" i="54"/>
  <c r="S5" i="54"/>
  <c r="T4" i="54"/>
  <c r="S6" i="54"/>
  <c r="L36" i="49"/>
  <c r="Q13" i="36"/>
  <c r="Q12" i="36"/>
  <c r="Q15" i="36"/>
  <c r="Q11" i="36"/>
  <c r="L66" i="49"/>
  <c r="K17" i="48"/>
  <c r="K24" i="48" s="1"/>
  <c r="K18" i="48"/>
  <c r="J5" i="53"/>
  <c r="S6" i="47" s="1"/>
  <c r="K4" i="53"/>
  <c r="J6" i="53"/>
  <c r="J7" i="53"/>
  <c r="S5" i="47"/>
  <c r="M114" i="46"/>
  <c r="N118" i="46"/>
  <c r="Q228" i="46"/>
  <c r="M5" i="50"/>
  <c r="L18" i="50"/>
  <c r="L17" i="50"/>
  <c r="L10" i="50"/>
  <c r="L17" i="49"/>
  <c r="L21" i="49" s="1"/>
  <c r="L10" i="49"/>
  <c r="L10" i="48" s="1"/>
  <c r="L18" i="49"/>
  <c r="L5" i="48"/>
  <c r="M5" i="49"/>
  <c r="L93" i="49"/>
  <c r="S4" i="36"/>
  <c r="S7" i="36" s="1"/>
  <c r="L217" i="46"/>
  <c r="L122" i="46"/>
  <c r="J5" i="52"/>
  <c r="J7" i="52"/>
  <c r="J6" i="52"/>
  <c r="K4" i="52"/>
  <c r="J42" i="52"/>
  <c r="J60" i="52"/>
  <c r="J51" i="52"/>
  <c r="J5" i="51"/>
  <c r="J8" i="51"/>
  <c r="J12" i="51"/>
  <c r="J32" i="51" s="1"/>
  <c r="J6" i="51"/>
  <c r="K4" i="51"/>
  <c r="J7" i="51"/>
  <c r="K51" i="51" s="1"/>
  <c r="O99" i="30"/>
  <c r="O108" i="30"/>
  <c r="O34" i="30"/>
  <c r="O91" i="30"/>
  <c r="AC27" i="50"/>
  <c r="R8" i="36"/>
  <c r="O38" i="30"/>
  <c r="O103" i="30"/>
  <c r="AC43" i="50"/>
  <c r="O64" i="30"/>
  <c r="O88" i="30"/>
  <c r="O78" i="30"/>
  <c r="O112" i="30"/>
  <c r="O68" i="30"/>
  <c r="O82" i="30"/>
  <c r="AC19" i="49"/>
  <c r="AC19" i="50"/>
  <c r="R5" i="36"/>
  <c r="O42" i="30"/>
  <c r="O85" i="30"/>
  <c r="N127" i="30"/>
  <c r="O45" i="30"/>
  <c r="O30" i="30"/>
  <c r="O60" i="30"/>
  <c r="O56" i="30"/>
  <c r="O120" i="30"/>
  <c r="O95" i="30"/>
  <c r="O52" i="30"/>
  <c r="O116" i="30"/>
  <c r="R6" i="36"/>
  <c r="R12" i="36" s="1"/>
  <c r="U6" i="33"/>
  <c r="U19" i="34"/>
  <c r="U89" i="34"/>
  <c r="U83" i="34"/>
  <c r="U7" i="33"/>
  <c r="U76" i="34"/>
  <c r="O58" i="7"/>
  <c r="P82" i="30" s="1"/>
  <c r="O42" i="7"/>
  <c r="U9" i="33"/>
  <c r="U62" i="34"/>
  <c r="D28" i="40"/>
  <c r="J24" i="33"/>
  <c r="N16" i="6"/>
  <c r="N21" i="6"/>
  <c r="O24" i="7"/>
  <c r="O23" i="7"/>
  <c r="N24" i="15"/>
  <c r="N23" i="15"/>
  <c r="O24" i="6"/>
  <c r="O23" i="6"/>
  <c r="N77" i="5"/>
  <c r="N24" i="5"/>
  <c r="N23" i="5"/>
  <c r="J6" i="43"/>
  <c r="J60" i="43"/>
  <c r="K4" i="43"/>
  <c r="J51" i="43"/>
  <c r="J5" i="43"/>
  <c r="J42" i="43"/>
  <c r="J7" i="43"/>
  <c r="L40" i="6"/>
  <c r="R14" i="36"/>
  <c r="L18" i="35"/>
  <c r="L17" i="35"/>
  <c r="M5" i="35"/>
  <c r="L10" i="35"/>
  <c r="J7" i="40"/>
  <c r="J6" i="40"/>
  <c r="K4" i="40"/>
  <c r="J5" i="40"/>
  <c r="J12" i="40"/>
  <c r="J32" i="40" s="1"/>
  <c r="J8" i="40"/>
  <c r="L18" i="34"/>
  <c r="L10" i="34"/>
  <c r="L10" i="33" s="1"/>
  <c r="M5" i="34"/>
  <c r="L17" i="34"/>
  <c r="L21" i="34" s="1"/>
  <c r="L5" i="33"/>
  <c r="L17" i="33" s="1"/>
  <c r="L24" i="33" s="1"/>
  <c r="J60" i="39"/>
  <c r="J6" i="39"/>
  <c r="J5" i="39"/>
  <c r="J42" i="39"/>
  <c r="K4" i="39"/>
  <c r="J51" i="39"/>
  <c r="J7" i="39"/>
  <c r="J6" i="37"/>
  <c r="J5" i="37"/>
  <c r="J7" i="37"/>
  <c r="K4" i="37"/>
  <c r="M68" i="15"/>
  <c r="N113" i="34"/>
  <c r="T8" i="29"/>
  <c r="T9" i="29"/>
  <c r="K10" i="29"/>
  <c r="T19" i="35"/>
  <c r="V6" i="34"/>
  <c r="V9" i="34"/>
  <c r="V8" i="34"/>
  <c r="V7" i="34"/>
  <c r="W4" i="34"/>
  <c r="U6" i="35"/>
  <c r="U7" i="35"/>
  <c r="V4" i="35"/>
  <c r="U9" i="35"/>
  <c r="U8" i="35"/>
  <c r="K17" i="33"/>
  <c r="K18" i="33"/>
  <c r="T7" i="29"/>
  <c r="T19" i="33"/>
  <c r="S19" i="33"/>
  <c r="L10" i="31"/>
  <c r="L17" i="31"/>
  <c r="M5" i="31"/>
  <c r="L18" i="31"/>
  <c r="M5" i="30"/>
  <c r="L10" i="30"/>
  <c r="L5" i="29"/>
  <c r="L18" i="30"/>
  <c r="L17" i="30"/>
  <c r="L21" i="30" s="1"/>
  <c r="K18" i="29"/>
  <c r="K17" i="29"/>
  <c r="K24" i="29" s="1"/>
  <c r="U8" i="30"/>
  <c r="U6" i="30"/>
  <c r="U7" i="30"/>
  <c r="V4" i="30"/>
  <c r="U9" i="30"/>
  <c r="U4" i="29"/>
  <c r="T43" i="31"/>
  <c r="T19" i="31"/>
  <c r="U24" i="31"/>
  <c r="S19" i="29"/>
  <c r="U6" i="31"/>
  <c r="U8" i="31"/>
  <c r="U9" i="31"/>
  <c r="V4" i="31"/>
  <c r="U7" i="31"/>
  <c r="T19" i="30"/>
  <c r="T6" i="29"/>
  <c r="N61" i="5"/>
  <c r="N32" i="5"/>
  <c r="M71" i="7"/>
  <c r="M80" i="7" s="1"/>
  <c r="L71" i="5"/>
  <c r="L80" i="5" s="1"/>
  <c r="P5" i="7"/>
  <c r="P11" i="7" s="1"/>
  <c r="M68" i="5"/>
  <c r="P5" i="15"/>
  <c r="R4" i="7"/>
  <c r="Q7" i="7"/>
  <c r="Q6" i="7"/>
  <c r="Q5" i="13"/>
  <c r="Q11" i="13" s="1"/>
  <c r="Q7" i="15"/>
  <c r="R4" i="15"/>
  <c r="Q6" i="15"/>
  <c r="R7" i="13"/>
  <c r="S4" i="13"/>
  <c r="R6" i="13"/>
  <c r="K40" i="15"/>
  <c r="M55" i="6"/>
  <c r="M54" i="5"/>
  <c r="M21" i="5"/>
  <c r="M71" i="6"/>
  <c r="M80" i="6" s="1"/>
  <c r="K40" i="5"/>
  <c r="N18" i="5"/>
  <c r="N14" i="5"/>
  <c r="N50" i="5"/>
  <c r="N72" i="5"/>
  <c r="N57" i="5"/>
  <c r="N76" i="5"/>
  <c r="N29" i="5"/>
  <c r="N45" i="5"/>
  <c r="N66" i="5"/>
  <c r="O5" i="5"/>
  <c r="O11" i="5" s="1"/>
  <c r="O73" i="5" s="1"/>
  <c r="N28" i="5"/>
  <c r="N27" i="5"/>
  <c r="N49" i="5"/>
  <c r="N60" i="5"/>
  <c r="N70" i="5"/>
  <c r="N75" i="5"/>
  <c r="N34" i="5"/>
  <c r="N30" i="5"/>
  <c r="N19" i="5"/>
  <c r="N43" i="5"/>
  <c r="N47" i="5"/>
  <c r="N52" i="5"/>
  <c r="N59" i="5"/>
  <c r="N63" i="5"/>
  <c r="N69" i="5"/>
  <c r="N74" i="5"/>
  <c r="N78" i="5"/>
  <c r="M22" i="7"/>
  <c r="M25" i="7" s="1"/>
  <c r="M31" i="7" s="1"/>
  <c r="M33" i="7" s="1"/>
  <c r="M35" i="7" s="1"/>
  <c r="N15" i="5"/>
  <c r="N44" i="5"/>
  <c r="N53" i="5"/>
  <c r="N64" i="5"/>
  <c r="N26" i="5"/>
  <c r="N17" i="5"/>
  <c r="N20" i="5"/>
  <c r="N42" i="5"/>
  <c r="N46" i="5"/>
  <c r="N51" i="5"/>
  <c r="N58" i="5"/>
  <c r="N62" i="5"/>
  <c r="N67" i="5"/>
  <c r="N73" i="5"/>
  <c r="L40" i="7"/>
  <c r="M22" i="6"/>
  <c r="M25" i="6" s="1"/>
  <c r="M31" i="6" s="1"/>
  <c r="M33" i="6" s="1"/>
  <c r="M35" i="6" s="1"/>
  <c r="L22" i="15"/>
  <c r="L25" i="15" s="1"/>
  <c r="L31" i="15" s="1"/>
  <c r="L33" i="15" s="1"/>
  <c r="L35" i="15" s="1"/>
  <c r="L55" i="5"/>
  <c r="M65" i="5"/>
  <c r="M16" i="5"/>
  <c r="L55" i="15"/>
  <c r="L71" i="15"/>
  <c r="L80" i="15" s="1"/>
  <c r="L22" i="5"/>
  <c r="L25" i="5" s="1"/>
  <c r="L31" i="5" s="1"/>
  <c r="L33" i="5" s="1"/>
  <c r="L35" i="5" s="1"/>
  <c r="M21" i="14"/>
  <c r="M48" i="5"/>
  <c r="M79" i="5"/>
  <c r="L71" i="14"/>
  <c r="L80" i="14" s="1"/>
  <c r="L55" i="14"/>
  <c r="K40" i="14"/>
  <c r="M16" i="15"/>
  <c r="N48" i="6"/>
  <c r="S6" i="14"/>
  <c r="T4" i="14"/>
  <c r="S7" i="14"/>
  <c r="R5" i="14"/>
  <c r="R11" i="14" s="1"/>
  <c r="M79" i="14"/>
  <c r="M54" i="14"/>
  <c r="M65" i="14"/>
  <c r="N75" i="14"/>
  <c r="N70" i="14"/>
  <c r="N66" i="14"/>
  <c r="N61" i="14"/>
  <c r="N57" i="14"/>
  <c r="N50" i="14"/>
  <c r="N45" i="14"/>
  <c r="N29" i="14"/>
  <c r="N24" i="14"/>
  <c r="N18" i="14"/>
  <c r="N77" i="14"/>
  <c r="N63" i="14"/>
  <c r="N59" i="14"/>
  <c r="N52" i="14"/>
  <c r="N47" i="14"/>
  <c r="N43" i="14"/>
  <c r="N76" i="14"/>
  <c r="N72" i="14"/>
  <c r="N67" i="14"/>
  <c r="N62" i="14"/>
  <c r="N58" i="14"/>
  <c r="N51" i="14"/>
  <c r="N46" i="14"/>
  <c r="N42" i="14"/>
  <c r="N30" i="14"/>
  <c r="N26" i="14"/>
  <c r="N19" i="14"/>
  <c r="N14" i="14"/>
  <c r="N73" i="14"/>
  <c r="N78" i="14"/>
  <c r="N74" i="14"/>
  <c r="N69" i="14"/>
  <c r="N32" i="14"/>
  <c r="N64" i="14"/>
  <c r="N60" i="14"/>
  <c r="N53" i="14"/>
  <c r="N49" i="14"/>
  <c r="N44" i="14"/>
  <c r="N34" i="14"/>
  <c r="N28" i="14"/>
  <c r="N23" i="14"/>
  <c r="N21" i="14" s="1"/>
  <c r="N17" i="14"/>
  <c r="N27" i="14"/>
  <c r="N20" i="14"/>
  <c r="N15" i="14"/>
  <c r="M68" i="14"/>
  <c r="M16" i="14"/>
  <c r="M48" i="14"/>
  <c r="N76" i="15"/>
  <c r="N72" i="15"/>
  <c r="N64" i="15"/>
  <c r="O104" i="34" s="1"/>
  <c r="N60" i="15"/>
  <c r="N89" i="34" s="1"/>
  <c r="N53" i="15"/>
  <c r="O69" i="34" s="1"/>
  <c r="N49" i="15"/>
  <c r="O52" i="34" s="1"/>
  <c r="N44" i="15"/>
  <c r="O34" i="34" s="1"/>
  <c r="N34" i="15"/>
  <c r="N28" i="15"/>
  <c r="N18" i="15"/>
  <c r="N77" i="15"/>
  <c r="N73" i="15"/>
  <c r="N66" i="15"/>
  <c r="O109" i="34" s="1"/>
  <c r="N78" i="15"/>
  <c r="N74" i="15"/>
  <c r="N69" i="15"/>
  <c r="O117" i="34" s="1"/>
  <c r="N67" i="15"/>
  <c r="O113" i="34" s="1"/>
  <c r="N62" i="15"/>
  <c r="O96" i="34" s="1"/>
  <c r="N58" i="15"/>
  <c r="N83" i="34" s="1"/>
  <c r="N51" i="15"/>
  <c r="O60" i="34" s="1"/>
  <c r="N46" i="15"/>
  <c r="O42" i="34" s="1"/>
  <c r="N42" i="15"/>
  <c r="O25" i="34" s="1"/>
  <c r="N30" i="15"/>
  <c r="N26" i="15"/>
  <c r="N20" i="15"/>
  <c r="N15" i="15"/>
  <c r="N75" i="15"/>
  <c r="N70" i="15"/>
  <c r="O121" i="34" s="1"/>
  <c r="N63" i="15"/>
  <c r="O100" i="34" s="1"/>
  <c r="N59" i="15"/>
  <c r="O86" i="34" s="1"/>
  <c r="N47" i="15"/>
  <c r="O45" i="34" s="1"/>
  <c r="N32" i="15"/>
  <c r="N19" i="15"/>
  <c r="N14" i="15"/>
  <c r="N16" i="15" s="1"/>
  <c r="N29" i="15"/>
  <c r="N52" i="15"/>
  <c r="O65" i="34" s="1"/>
  <c r="N43" i="15"/>
  <c r="O30" i="34" s="1"/>
  <c r="N27" i="15"/>
  <c r="N61" i="15"/>
  <c r="O92" i="34" s="1"/>
  <c r="N50" i="15"/>
  <c r="O56" i="34" s="1"/>
  <c r="N57" i="15"/>
  <c r="O79" i="34" s="1"/>
  <c r="N45" i="15"/>
  <c r="O38" i="34" s="1"/>
  <c r="N17" i="15"/>
  <c r="M65" i="15"/>
  <c r="M48" i="15"/>
  <c r="M21" i="15"/>
  <c r="M54" i="15"/>
  <c r="M79" i="15"/>
  <c r="N128" i="34" s="1"/>
  <c r="N54" i="7"/>
  <c r="O77" i="7"/>
  <c r="O73" i="7"/>
  <c r="O63" i="7"/>
  <c r="O59" i="7"/>
  <c r="O52" i="7"/>
  <c r="O47" i="7"/>
  <c r="O43" i="7"/>
  <c r="O32" i="7"/>
  <c r="O27" i="7"/>
  <c r="O20" i="7"/>
  <c r="O15" i="7"/>
  <c r="O70" i="7"/>
  <c r="O57" i="7"/>
  <c r="O50" i="7"/>
  <c r="O45" i="7"/>
  <c r="O29" i="7"/>
  <c r="O76" i="7"/>
  <c r="O62" i="7"/>
  <c r="O51" i="7"/>
  <c r="O78" i="7"/>
  <c r="O74" i="7"/>
  <c r="O69" i="7"/>
  <c r="O64" i="7"/>
  <c r="O60" i="7"/>
  <c r="O53" i="7"/>
  <c r="O49" i="7"/>
  <c r="O44" i="7"/>
  <c r="O34" i="7"/>
  <c r="O28" i="7"/>
  <c r="O17" i="7"/>
  <c r="O75" i="7"/>
  <c r="O66" i="7"/>
  <c r="O61" i="7"/>
  <c r="O18" i="7"/>
  <c r="O72" i="7"/>
  <c r="O67" i="7"/>
  <c r="O46" i="7"/>
  <c r="O30" i="7"/>
  <c r="O26" i="7"/>
  <c r="O19" i="7"/>
  <c r="O14" i="7"/>
  <c r="N21" i="7"/>
  <c r="N68" i="7"/>
  <c r="M55" i="7"/>
  <c r="N16" i="7"/>
  <c r="N79" i="7"/>
  <c r="N65" i="7"/>
  <c r="N48" i="7"/>
  <c r="O78" i="6"/>
  <c r="O74" i="6"/>
  <c r="O69" i="6"/>
  <c r="P116" i="49" s="1"/>
  <c r="O64" i="6"/>
  <c r="P103" i="49" s="1"/>
  <c r="O60" i="6"/>
  <c r="P88" i="49" s="1"/>
  <c r="O53" i="6"/>
  <c r="P68" i="49" s="1"/>
  <c r="O49" i="6"/>
  <c r="P52" i="49" s="1"/>
  <c r="O44" i="6"/>
  <c r="P34" i="49" s="1"/>
  <c r="O34" i="6"/>
  <c r="O28" i="6"/>
  <c r="O17" i="6"/>
  <c r="O75" i="6"/>
  <c r="O70" i="6"/>
  <c r="P120" i="49" s="1"/>
  <c r="O66" i="6"/>
  <c r="P108" i="49" s="1"/>
  <c r="O61" i="6"/>
  <c r="P91" i="49" s="1"/>
  <c r="O57" i="6"/>
  <c r="P78" i="49" s="1"/>
  <c r="O50" i="6"/>
  <c r="P56" i="49" s="1"/>
  <c r="O45" i="6"/>
  <c r="P38" i="49" s="1"/>
  <c r="O76" i="6"/>
  <c r="O72" i="6"/>
  <c r="O67" i="6"/>
  <c r="P112" i="49" s="1"/>
  <c r="O62" i="6"/>
  <c r="P95" i="49" s="1"/>
  <c r="O58" i="6"/>
  <c r="P82" i="49" s="1"/>
  <c r="O51" i="6"/>
  <c r="P60" i="49" s="1"/>
  <c r="O46" i="6"/>
  <c r="P42" i="49" s="1"/>
  <c r="O42" i="6"/>
  <c r="P25" i="49" s="1"/>
  <c r="O30" i="6"/>
  <c r="O26" i="6"/>
  <c r="O19" i="6"/>
  <c r="O14" i="6"/>
  <c r="O77" i="6"/>
  <c r="O73" i="6"/>
  <c r="O63" i="6"/>
  <c r="P99" i="49" s="1"/>
  <c r="O59" i="6"/>
  <c r="P85" i="49" s="1"/>
  <c r="O52" i="6"/>
  <c r="P64" i="49" s="1"/>
  <c r="O47" i="6"/>
  <c r="P45" i="49" s="1"/>
  <c r="O29" i="6"/>
  <c r="O20" i="6"/>
  <c r="O43" i="6"/>
  <c r="P30" i="49" s="1"/>
  <c r="O32" i="6"/>
  <c r="O15" i="6"/>
  <c r="O27" i="6"/>
  <c r="O18" i="6"/>
  <c r="N68" i="6"/>
  <c r="N54" i="6"/>
  <c r="N79" i="6"/>
  <c r="O127" i="49" s="1"/>
  <c r="N65" i="6"/>
  <c r="I4" i="24"/>
  <c r="O11" i="14"/>
  <c r="P11" i="6"/>
  <c r="Q5" i="6"/>
  <c r="O11" i="15"/>
  <c r="K4" i="25"/>
  <c r="T7" i="54" l="1"/>
  <c r="T6" i="54"/>
  <c r="T5" i="54"/>
  <c r="U4" i="54"/>
  <c r="S11" i="54"/>
  <c r="S17" i="54"/>
  <c r="S19" i="54"/>
  <c r="S13" i="54"/>
  <c r="S14" i="54"/>
  <c r="S12" i="54"/>
  <c r="S15" i="54"/>
  <c r="S18" i="54"/>
  <c r="S10" i="54"/>
  <c r="S5" i="36"/>
  <c r="S6" i="36"/>
  <c r="S14" i="36" s="1"/>
  <c r="M66" i="49"/>
  <c r="S8" i="36"/>
  <c r="T4" i="36"/>
  <c r="T7" i="36" s="1"/>
  <c r="N114" i="46"/>
  <c r="O118" i="46"/>
  <c r="L17" i="48"/>
  <c r="L24" i="48" s="1"/>
  <c r="L18" i="48"/>
  <c r="M5" i="48"/>
  <c r="M10" i="49"/>
  <c r="M10" i="48" s="1"/>
  <c r="M18" i="49"/>
  <c r="N5" i="49"/>
  <c r="M17" i="49"/>
  <c r="M93" i="49"/>
  <c r="M36" i="49"/>
  <c r="M18" i="50"/>
  <c r="M10" i="50"/>
  <c r="N5" i="50"/>
  <c r="M17" i="50"/>
  <c r="R11" i="36"/>
  <c r="K8" i="51"/>
  <c r="K7" i="51"/>
  <c r="L51" i="51" s="1"/>
  <c r="K12" i="51"/>
  <c r="K32" i="51" s="1"/>
  <c r="K6" i="51"/>
  <c r="L4" i="51"/>
  <c r="K5" i="51"/>
  <c r="K5" i="52"/>
  <c r="K51" i="52"/>
  <c r="K60" i="52"/>
  <c r="K6" i="52"/>
  <c r="K42" i="52"/>
  <c r="L4" i="52"/>
  <c r="K7" i="52"/>
  <c r="M217" i="46"/>
  <c r="M122" i="46"/>
  <c r="K6" i="53"/>
  <c r="T5" i="47"/>
  <c r="K5" i="53"/>
  <c r="T6" i="47" s="1"/>
  <c r="L4" i="53"/>
  <c r="K7" i="53"/>
  <c r="R13" i="36"/>
  <c r="R15" i="36"/>
  <c r="P42" i="30"/>
  <c r="P52" i="30"/>
  <c r="P95" i="30"/>
  <c r="P25" i="30"/>
  <c r="O127" i="30"/>
  <c r="P34" i="30"/>
  <c r="P103" i="30"/>
  <c r="P60" i="30"/>
  <c r="P38" i="30"/>
  <c r="P30" i="30"/>
  <c r="P99" i="30"/>
  <c r="R16" i="36"/>
  <c r="P116" i="30"/>
  <c r="P45" i="30"/>
  <c r="P112" i="30"/>
  <c r="P108" i="30"/>
  <c r="P88" i="30"/>
  <c r="P120" i="30"/>
  <c r="P85" i="30"/>
  <c r="P56" i="30"/>
  <c r="P91" i="30"/>
  <c r="P68" i="30"/>
  <c r="P78" i="30"/>
  <c r="P64" i="30"/>
  <c r="N22" i="6"/>
  <c r="N25" i="6" s="1"/>
  <c r="N31" i="6" s="1"/>
  <c r="N33" i="6" s="1"/>
  <c r="N35" i="6" s="1"/>
  <c r="V62" i="34"/>
  <c r="V76" i="34"/>
  <c r="P42" i="7"/>
  <c r="P58" i="7"/>
  <c r="V56" i="34"/>
  <c r="V65" i="34"/>
  <c r="V69" i="34"/>
  <c r="V92" i="34"/>
  <c r="V100" i="34"/>
  <c r="V19" i="34"/>
  <c r="V25" i="34"/>
  <c r="V60" i="34"/>
  <c r="V89" i="34"/>
  <c r="V109" i="34"/>
  <c r="V117" i="34"/>
  <c r="V30" i="34"/>
  <c r="V45" i="34"/>
  <c r="V52" i="34"/>
  <c r="V79" i="34"/>
  <c r="V83" i="34"/>
  <c r="V86" i="34"/>
  <c r="V96" i="34"/>
  <c r="V113" i="34"/>
  <c r="V121" i="34"/>
  <c r="V34" i="34"/>
  <c r="V38" i="34"/>
  <c r="V42" i="34"/>
  <c r="V104" i="34"/>
  <c r="V128" i="34"/>
  <c r="K24" i="33"/>
  <c r="O78" i="5"/>
  <c r="O24" i="5"/>
  <c r="O23" i="5"/>
  <c r="P24" i="7"/>
  <c r="P23" i="7"/>
  <c r="O24" i="15"/>
  <c r="O23" i="15"/>
  <c r="P24" i="6"/>
  <c r="P23" i="6"/>
  <c r="N55" i="7"/>
  <c r="N71" i="7"/>
  <c r="N80" i="7" s="1"/>
  <c r="K5" i="43"/>
  <c r="K60" i="43"/>
  <c r="K7" i="43"/>
  <c r="K51" i="43"/>
  <c r="K6" i="43"/>
  <c r="K42" i="43"/>
  <c r="L4" i="43"/>
  <c r="L18" i="33"/>
  <c r="S13" i="36"/>
  <c r="L4" i="37"/>
  <c r="K6" i="37"/>
  <c r="K7" i="37"/>
  <c r="K5" i="37"/>
  <c r="K7" i="40"/>
  <c r="K6" i="40"/>
  <c r="L4" i="40"/>
  <c r="K5" i="40"/>
  <c r="K8" i="40"/>
  <c r="K12" i="40"/>
  <c r="K32" i="40" s="1"/>
  <c r="M10" i="35"/>
  <c r="M18" i="35"/>
  <c r="N5" i="35"/>
  <c r="M17" i="35"/>
  <c r="K42" i="39"/>
  <c r="K7" i="39"/>
  <c r="K51" i="39"/>
  <c r="K6" i="39"/>
  <c r="K60" i="39"/>
  <c r="L4" i="39"/>
  <c r="K5" i="39"/>
  <c r="M17" i="34"/>
  <c r="N5" i="34"/>
  <c r="M18" i="34"/>
  <c r="M5" i="33"/>
  <c r="M10" i="34"/>
  <c r="M10" i="33" s="1"/>
  <c r="P5" i="5"/>
  <c r="Q5" i="5" s="1"/>
  <c r="R5" i="5" s="1"/>
  <c r="O51" i="5"/>
  <c r="M71" i="15"/>
  <c r="M80" i="15" s="1"/>
  <c r="O46" i="5"/>
  <c r="V9" i="35"/>
  <c r="W4" i="35"/>
  <c r="V6" i="35"/>
  <c r="V7" i="35"/>
  <c r="V8" i="35"/>
  <c r="U9" i="29"/>
  <c r="U8" i="29"/>
  <c r="W9" i="34"/>
  <c r="X4" i="34"/>
  <c r="W6" i="34"/>
  <c r="W8" i="34"/>
  <c r="W7" i="34"/>
  <c r="U19" i="35"/>
  <c r="U7" i="29"/>
  <c r="L10" i="29"/>
  <c r="M10" i="30"/>
  <c r="M18" i="30"/>
  <c r="M5" i="29"/>
  <c r="N5" i="30"/>
  <c r="M17" i="30"/>
  <c r="L17" i="29"/>
  <c r="L24" i="29" s="1"/>
  <c r="L18" i="29"/>
  <c r="M18" i="31"/>
  <c r="N5" i="31"/>
  <c r="M17" i="31"/>
  <c r="M10" i="31"/>
  <c r="V24" i="31"/>
  <c r="V27" i="31" s="1"/>
  <c r="U19" i="30"/>
  <c r="U6" i="29"/>
  <c r="L40" i="15"/>
  <c r="M71" i="5"/>
  <c r="M80" i="5" s="1"/>
  <c r="T19" i="29"/>
  <c r="U43" i="31"/>
  <c r="U19" i="31"/>
  <c r="V9" i="31"/>
  <c r="W4" i="31"/>
  <c r="V7" i="31"/>
  <c r="V8" i="31"/>
  <c r="V6" i="31"/>
  <c r="V7" i="30"/>
  <c r="V9" i="30"/>
  <c r="W4" i="30"/>
  <c r="V6" i="30"/>
  <c r="V8" i="30"/>
  <c r="O18" i="5"/>
  <c r="O67" i="5"/>
  <c r="N21" i="5"/>
  <c r="M40" i="6"/>
  <c r="Q5" i="15"/>
  <c r="Q11" i="15" s="1"/>
  <c r="Q5" i="7"/>
  <c r="Q11" i="7" s="1"/>
  <c r="O42" i="5"/>
  <c r="O62" i="5"/>
  <c r="O29" i="5"/>
  <c r="O58" i="5"/>
  <c r="O77" i="5"/>
  <c r="R7" i="15"/>
  <c r="S4" i="15"/>
  <c r="R6" i="15"/>
  <c r="R5" i="13"/>
  <c r="R11" i="13" s="1"/>
  <c r="T4" i="13"/>
  <c r="S6" i="13"/>
  <c r="S7" i="13"/>
  <c r="S4" i="7"/>
  <c r="R7" i="7"/>
  <c r="R6" i="7"/>
  <c r="N65" i="5"/>
  <c r="M55" i="5"/>
  <c r="L40" i="5"/>
  <c r="N68" i="5"/>
  <c r="N16" i="5"/>
  <c r="M22" i="5"/>
  <c r="M25" i="5" s="1"/>
  <c r="M31" i="5" s="1"/>
  <c r="M33" i="5" s="1"/>
  <c r="M35" i="5" s="1"/>
  <c r="N48" i="5"/>
  <c r="M22" i="15"/>
  <c r="M25" i="15" s="1"/>
  <c r="M31" i="15" s="1"/>
  <c r="M33" i="15" s="1"/>
  <c r="M35" i="15" s="1"/>
  <c r="N79" i="5"/>
  <c r="N54" i="5"/>
  <c r="O34" i="5"/>
  <c r="O50" i="5"/>
  <c r="O66" i="5"/>
  <c r="O15" i="5"/>
  <c r="O20" i="5"/>
  <c r="O27" i="5"/>
  <c r="O32" i="5"/>
  <c r="O44" i="5"/>
  <c r="O49" i="5"/>
  <c r="O53" i="5"/>
  <c r="O60" i="5"/>
  <c r="O64" i="5"/>
  <c r="O70" i="5"/>
  <c r="O75" i="5"/>
  <c r="O17" i="5"/>
  <c r="O28" i="5"/>
  <c r="O45" i="5"/>
  <c r="O57" i="5"/>
  <c r="O61" i="5"/>
  <c r="O72" i="5"/>
  <c r="O76" i="5"/>
  <c r="O14" i="5"/>
  <c r="O19" i="5"/>
  <c r="O26" i="5"/>
  <c r="O30" i="5"/>
  <c r="O43" i="5"/>
  <c r="O47" i="5"/>
  <c r="O52" i="5"/>
  <c r="O59" i="5"/>
  <c r="O63" i="5"/>
  <c r="O69" i="5"/>
  <c r="O74" i="5"/>
  <c r="N55" i="6"/>
  <c r="M40" i="7"/>
  <c r="M22" i="14"/>
  <c r="M25" i="14" s="1"/>
  <c r="M31" i="14" s="1"/>
  <c r="M33" i="14" s="1"/>
  <c r="M35" i="14" s="1"/>
  <c r="M55" i="15"/>
  <c r="S5" i="14"/>
  <c r="S11" i="14" s="1"/>
  <c r="S60" i="14" s="1"/>
  <c r="L40" i="14"/>
  <c r="Q11" i="6"/>
  <c r="R5" i="6"/>
  <c r="O48" i="6"/>
  <c r="O21" i="7"/>
  <c r="N71" i="6"/>
  <c r="N80" i="6" s="1"/>
  <c r="N65" i="15"/>
  <c r="N48" i="15"/>
  <c r="T7" i="14"/>
  <c r="T6" i="14"/>
  <c r="M55" i="14"/>
  <c r="N16" i="14"/>
  <c r="N22" i="14" s="1"/>
  <c r="N25" i="14" s="1"/>
  <c r="N31" i="14" s="1"/>
  <c r="N33" i="14" s="1"/>
  <c r="N35" i="14" s="1"/>
  <c r="R61" i="14"/>
  <c r="R29" i="14"/>
  <c r="R76" i="14"/>
  <c r="R58" i="14"/>
  <c r="R30" i="14"/>
  <c r="R77" i="14"/>
  <c r="R47" i="14"/>
  <c r="R23" i="14"/>
  <c r="R64" i="14"/>
  <c r="R44" i="14"/>
  <c r="R74" i="14"/>
  <c r="R70" i="14"/>
  <c r="R50" i="14"/>
  <c r="R67" i="14"/>
  <c r="R59" i="14"/>
  <c r="R20" i="14"/>
  <c r="R17" i="14"/>
  <c r="R57" i="14"/>
  <c r="R72" i="14"/>
  <c r="R26" i="14"/>
  <c r="R43" i="14"/>
  <c r="R60" i="14"/>
  <c r="R34" i="14"/>
  <c r="R66" i="14"/>
  <c r="R45" i="14"/>
  <c r="R73" i="14"/>
  <c r="R62" i="14"/>
  <c r="R42" i="14"/>
  <c r="R14" i="14"/>
  <c r="R52" i="14"/>
  <c r="R28" i="14"/>
  <c r="R15" i="14"/>
  <c r="R49" i="14"/>
  <c r="R78" i="14"/>
  <c r="R18" i="14"/>
  <c r="R46" i="14"/>
  <c r="R19" i="14"/>
  <c r="R32" i="14"/>
  <c r="R53" i="14"/>
  <c r="R75" i="14"/>
  <c r="R24" i="14"/>
  <c r="R51" i="14"/>
  <c r="R63" i="14"/>
  <c r="R27" i="14"/>
  <c r="R69" i="14"/>
  <c r="N48" i="14"/>
  <c r="M71" i="14"/>
  <c r="M80" i="14" s="1"/>
  <c r="M40" i="14" s="1"/>
  <c r="N54" i="14"/>
  <c r="N65" i="14"/>
  <c r="O78" i="14"/>
  <c r="O74" i="14"/>
  <c r="O69" i="14"/>
  <c r="O64" i="14"/>
  <c r="O60" i="14"/>
  <c r="O53" i="14"/>
  <c r="O49" i="14"/>
  <c r="O44" i="14"/>
  <c r="O34" i="14"/>
  <c r="O28" i="14"/>
  <c r="O23" i="14"/>
  <c r="O17" i="14"/>
  <c r="O76" i="14"/>
  <c r="O62" i="14"/>
  <c r="O58" i="14"/>
  <c r="O51" i="14"/>
  <c r="O46" i="14"/>
  <c r="O42" i="14"/>
  <c r="O75" i="14"/>
  <c r="O70" i="14"/>
  <c r="O66" i="14"/>
  <c r="O61" i="14"/>
  <c r="O57" i="14"/>
  <c r="O50" i="14"/>
  <c r="O45" i="14"/>
  <c r="O29" i="14"/>
  <c r="O24" i="14"/>
  <c r="O18" i="14"/>
  <c r="O72" i="14"/>
  <c r="O67" i="14"/>
  <c r="O43" i="14"/>
  <c r="O77" i="14"/>
  <c r="O73" i="14"/>
  <c r="O30" i="14"/>
  <c r="O26" i="14"/>
  <c r="O19" i="14"/>
  <c r="O14" i="14"/>
  <c r="O63" i="14"/>
  <c r="O59" i="14"/>
  <c r="O52" i="14"/>
  <c r="O47" i="14"/>
  <c r="O32" i="14"/>
  <c r="O27" i="14"/>
  <c r="O20" i="14"/>
  <c r="O15" i="14"/>
  <c r="N79" i="14"/>
  <c r="N68" i="14"/>
  <c r="N68" i="15"/>
  <c r="N21" i="15"/>
  <c r="N22" i="15" s="1"/>
  <c r="N25" i="15" s="1"/>
  <c r="N31" i="15" s="1"/>
  <c r="N33" i="15" s="1"/>
  <c r="N35" i="15" s="1"/>
  <c r="N54" i="15"/>
  <c r="N79" i="15"/>
  <c r="O128" i="34" s="1"/>
  <c r="O75" i="15"/>
  <c r="O70" i="15"/>
  <c r="P121" i="34" s="1"/>
  <c r="O63" i="15"/>
  <c r="P100" i="34" s="1"/>
  <c r="O59" i="15"/>
  <c r="P86" i="34" s="1"/>
  <c r="O52" i="15"/>
  <c r="P65" i="34" s="1"/>
  <c r="O47" i="15"/>
  <c r="P45" i="34" s="1"/>
  <c r="O43" i="15"/>
  <c r="P30" i="34" s="1"/>
  <c r="O32" i="15"/>
  <c r="O27" i="15"/>
  <c r="O17" i="15"/>
  <c r="O76" i="15"/>
  <c r="O72" i="15"/>
  <c r="O77" i="15"/>
  <c r="O73" i="15"/>
  <c r="O66" i="15"/>
  <c r="P109" i="34" s="1"/>
  <c r="O61" i="15"/>
  <c r="P92" i="34" s="1"/>
  <c r="O57" i="15"/>
  <c r="P79" i="34" s="1"/>
  <c r="O50" i="15"/>
  <c r="P56" i="34" s="1"/>
  <c r="O45" i="15"/>
  <c r="P38" i="34" s="1"/>
  <c r="O29" i="15"/>
  <c r="O19" i="15"/>
  <c r="O14" i="15"/>
  <c r="O78" i="15"/>
  <c r="O74" i="15"/>
  <c r="O69" i="15"/>
  <c r="P117" i="34" s="1"/>
  <c r="O67" i="15"/>
  <c r="P113" i="34" s="1"/>
  <c r="O53" i="15"/>
  <c r="P69" i="34" s="1"/>
  <c r="O44" i="15"/>
  <c r="P34" i="34" s="1"/>
  <c r="O28" i="15"/>
  <c r="O42" i="15"/>
  <c r="P25" i="34" s="1"/>
  <c r="O64" i="15"/>
  <c r="P104" i="34" s="1"/>
  <c r="O60" i="15"/>
  <c r="O89" i="34" s="1"/>
  <c r="O49" i="15"/>
  <c r="P52" i="34" s="1"/>
  <c r="O34" i="15"/>
  <c r="O20" i="15"/>
  <c r="O15" i="15"/>
  <c r="O58" i="15"/>
  <c r="O83" i="34" s="1"/>
  <c r="O46" i="15"/>
  <c r="P42" i="34" s="1"/>
  <c r="O30" i="15"/>
  <c r="O18" i="15"/>
  <c r="O62" i="15"/>
  <c r="P96" i="34" s="1"/>
  <c r="O51" i="15"/>
  <c r="P60" i="34" s="1"/>
  <c r="O26" i="15"/>
  <c r="N22" i="7"/>
  <c r="N25" i="7" s="1"/>
  <c r="N31" i="7" s="1"/>
  <c r="N33" i="7" s="1"/>
  <c r="N35" i="7" s="1"/>
  <c r="O79" i="7"/>
  <c r="P76" i="7"/>
  <c r="P72" i="7"/>
  <c r="P67" i="7"/>
  <c r="P62" i="7"/>
  <c r="P51" i="7"/>
  <c r="P46" i="7"/>
  <c r="P30" i="7"/>
  <c r="P26" i="7"/>
  <c r="P19" i="7"/>
  <c r="P14" i="7"/>
  <c r="P78" i="7"/>
  <c r="P74" i="7"/>
  <c r="P64" i="7"/>
  <c r="P60" i="7"/>
  <c r="P17" i="7"/>
  <c r="P70" i="7"/>
  <c r="P66" i="7"/>
  <c r="P57" i="7"/>
  <c r="P77" i="7"/>
  <c r="P73" i="7"/>
  <c r="P63" i="7"/>
  <c r="P59" i="7"/>
  <c r="P52" i="7"/>
  <c r="P47" i="7"/>
  <c r="P43" i="7"/>
  <c r="P32" i="7"/>
  <c r="P27" i="7"/>
  <c r="P20" i="7"/>
  <c r="P15" i="7"/>
  <c r="P69" i="7"/>
  <c r="P53" i="7"/>
  <c r="P49" i="7"/>
  <c r="P44" i="7"/>
  <c r="P34" i="7"/>
  <c r="P28" i="7"/>
  <c r="P75" i="7"/>
  <c r="P61" i="7"/>
  <c r="P50" i="7"/>
  <c r="P18" i="7"/>
  <c r="P45" i="7"/>
  <c r="P29" i="7"/>
  <c r="O16" i="7"/>
  <c r="O65" i="7"/>
  <c r="O68" i="7"/>
  <c r="O54" i="7"/>
  <c r="O48" i="7"/>
  <c r="P77" i="6"/>
  <c r="P73" i="6"/>
  <c r="P63" i="6"/>
  <c r="Q99" i="49" s="1"/>
  <c r="P59" i="6"/>
  <c r="Q85" i="49" s="1"/>
  <c r="P52" i="6"/>
  <c r="Q64" i="49" s="1"/>
  <c r="P47" i="6"/>
  <c r="Q45" i="49" s="1"/>
  <c r="P43" i="6"/>
  <c r="Q30" i="49" s="1"/>
  <c r="P32" i="6"/>
  <c r="P27" i="6"/>
  <c r="P20" i="6"/>
  <c r="P15" i="6"/>
  <c r="P78" i="6"/>
  <c r="P74" i="6"/>
  <c r="P69" i="6"/>
  <c r="Q116" i="49" s="1"/>
  <c r="P64" i="6"/>
  <c r="Q103" i="49" s="1"/>
  <c r="P60" i="6"/>
  <c r="Q88" i="49" s="1"/>
  <c r="P53" i="6"/>
  <c r="Q68" i="49" s="1"/>
  <c r="P49" i="6"/>
  <c r="Q52" i="49" s="1"/>
  <c r="P44" i="6"/>
  <c r="Q34" i="49" s="1"/>
  <c r="P75" i="6"/>
  <c r="P70" i="6"/>
  <c r="Q120" i="49" s="1"/>
  <c r="P66" i="6"/>
  <c r="Q108" i="49" s="1"/>
  <c r="P61" i="6"/>
  <c r="Q91" i="49" s="1"/>
  <c r="P57" i="6"/>
  <c r="Q78" i="49" s="1"/>
  <c r="P50" i="6"/>
  <c r="Q56" i="49" s="1"/>
  <c r="P45" i="6"/>
  <c r="Q38" i="49" s="1"/>
  <c r="P29" i="6"/>
  <c r="P18" i="6"/>
  <c r="P76" i="6"/>
  <c r="P72" i="6"/>
  <c r="P67" i="6"/>
  <c r="Q112" i="49" s="1"/>
  <c r="P62" i="6"/>
  <c r="Q95" i="49" s="1"/>
  <c r="P58" i="6"/>
  <c r="Q82" i="49" s="1"/>
  <c r="P51" i="6"/>
  <c r="Q60" i="49" s="1"/>
  <c r="P46" i="6"/>
  <c r="Q42" i="49" s="1"/>
  <c r="P34" i="6"/>
  <c r="P19" i="6"/>
  <c r="P30" i="6"/>
  <c r="P14" i="6"/>
  <c r="P26" i="6"/>
  <c r="P17" i="6"/>
  <c r="P42" i="6"/>
  <c r="Q25" i="49" s="1"/>
  <c r="P28" i="6"/>
  <c r="O79" i="6"/>
  <c r="P127" i="49" s="1"/>
  <c r="O65" i="6"/>
  <c r="O16" i="6"/>
  <c r="O68" i="6"/>
  <c r="O21" i="6"/>
  <c r="O54" i="6"/>
  <c r="J4" i="24"/>
  <c r="I4" i="23"/>
  <c r="P11" i="14"/>
  <c r="Q11" i="14"/>
  <c r="P11" i="15"/>
  <c r="L4" i="25"/>
  <c r="S15" i="36" l="1"/>
  <c r="S12" i="36"/>
  <c r="T6" i="36"/>
  <c r="T11" i="36" s="1"/>
  <c r="V4" i="54"/>
  <c r="U6" i="54"/>
  <c r="U5" i="54"/>
  <c r="U7" i="54"/>
  <c r="T19" i="54"/>
  <c r="T11" i="54"/>
  <c r="T15" i="54"/>
  <c r="T14" i="54"/>
  <c r="T17" i="54"/>
  <c r="T10" i="54"/>
  <c r="T13" i="54"/>
  <c r="T18" i="54"/>
  <c r="T12" i="54"/>
  <c r="N66" i="49"/>
  <c r="T5" i="36"/>
  <c r="S11" i="36"/>
  <c r="S16" i="36"/>
  <c r="T8" i="36"/>
  <c r="U4" i="36"/>
  <c r="U7" i="36" s="1"/>
  <c r="L51" i="52"/>
  <c r="L5" i="52"/>
  <c r="L7" i="52"/>
  <c r="M4" i="52"/>
  <c r="L60" i="52"/>
  <c r="L42" i="52"/>
  <c r="L6" i="52"/>
  <c r="O114" i="46"/>
  <c r="P118" i="46"/>
  <c r="M4" i="53"/>
  <c r="L7" i="53"/>
  <c r="L5" i="53"/>
  <c r="U6" i="47" s="1"/>
  <c r="U5" i="47"/>
  <c r="L6" i="53"/>
  <c r="L6" i="51"/>
  <c r="L8" i="51"/>
  <c r="L12" i="51"/>
  <c r="L32" i="51" s="1"/>
  <c r="M4" i="51"/>
  <c r="L7" i="51"/>
  <c r="M51" i="51" s="1"/>
  <c r="L5" i="51"/>
  <c r="N17" i="49"/>
  <c r="N18" i="49"/>
  <c r="N10" i="49"/>
  <c r="N10" i="48" s="1"/>
  <c r="N5" i="48"/>
  <c r="O5" i="49"/>
  <c r="N93" i="49"/>
  <c r="N36" i="49"/>
  <c r="N10" i="50"/>
  <c r="O5" i="50"/>
  <c r="N18" i="50"/>
  <c r="N17" i="50"/>
  <c r="M17" i="48"/>
  <c r="M24" i="48" s="1"/>
  <c r="M18" i="48"/>
  <c r="N217" i="46"/>
  <c r="N122" i="46"/>
  <c r="Q38" i="30"/>
  <c r="Q45" i="30"/>
  <c r="Q52" i="30"/>
  <c r="Q120" i="30"/>
  <c r="Q91" i="30"/>
  <c r="Q30" i="30"/>
  <c r="Q103" i="30"/>
  <c r="Q25" i="30"/>
  <c r="Q68" i="30"/>
  <c r="Q64" i="30"/>
  <c r="Q112" i="30"/>
  <c r="Q95" i="30"/>
  <c r="P127" i="30"/>
  <c r="Q34" i="30"/>
  <c r="Q99" i="30"/>
  <c r="Q108" i="30"/>
  <c r="Q60" i="30"/>
  <c r="Q56" i="30"/>
  <c r="Q116" i="30"/>
  <c r="Q85" i="30"/>
  <c r="Q78" i="30"/>
  <c r="Q88" i="30"/>
  <c r="Q42" i="30"/>
  <c r="Q82" i="30"/>
  <c r="W76" i="34"/>
  <c r="W62" i="34"/>
  <c r="Q42" i="7"/>
  <c r="Q58" i="7"/>
  <c r="W19" i="34"/>
  <c r="W25" i="34"/>
  <c r="W60" i="34"/>
  <c r="W89" i="34"/>
  <c r="W109" i="34"/>
  <c r="W117" i="34"/>
  <c r="W30" i="34"/>
  <c r="W45" i="34"/>
  <c r="W52" i="34"/>
  <c r="W79" i="34"/>
  <c r="W83" i="34"/>
  <c r="W86" i="34"/>
  <c r="W96" i="34"/>
  <c r="W113" i="34"/>
  <c r="W121" i="34"/>
  <c r="W34" i="34"/>
  <c r="W38" i="34"/>
  <c r="W42" i="34"/>
  <c r="W104" i="34"/>
  <c r="W56" i="34"/>
  <c r="W65" i="34"/>
  <c r="W69" i="34"/>
  <c r="W92" i="34"/>
  <c r="W100" i="34"/>
  <c r="W128" i="34"/>
  <c r="M40" i="5"/>
  <c r="Q72" i="6"/>
  <c r="Q24" i="6"/>
  <c r="Q23" i="6"/>
  <c r="P24" i="15"/>
  <c r="P23" i="15"/>
  <c r="Q24" i="15"/>
  <c r="Q23" i="15"/>
  <c r="Q24" i="7"/>
  <c r="Q23" i="7"/>
  <c r="N40" i="7"/>
  <c r="L6" i="43"/>
  <c r="L7" i="43"/>
  <c r="L42" i="43"/>
  <c r="M4" i="43"/>
  <c r="L60" i="43"/>
  <c r="L5" i="43"/>
  <c r="L51" i="43"/>
  <c r="O21" i="5"/>
  <c r="M17" i="33"/>
  <c r="M24" i="33" s="1"/>
  <c r="N71" i="5"/>
  <c r="N80" i="5" s="1"/>
  <c r="N17" i="35"/>
  <c r="N10" i="35"/>
  <c r="N18" i="35"/>
  <c r="O5" i="35"/>
  <c r="M4" i="37"/>
  <c r="L5" i="37"/>
  <c r="L6" i="37"/>
  <c r="L7" i="37"/>
  <c r="L7" i="40"/>
  <c r="L6" i="40"/>
  <c r="L12" i="40"/>
  <c r="L32" i="40" s="1"/>
  <c r="M4" i="40"/>
  <c r="L5" i="40"/>
  <c r="L8" i="40"/>
  <c r="M18" i="33"/>
  <c r="L51" i="39"/>
  <c r="L6" i="39"/>
  <c r="L7" i="39"/>
  <c r="L42" i="39"/>
  <c r="M4" i="39"/>
  <c r="L60" i="39"/>
  <c r="L5" i="39"/>
  <c r="N5" i="33"/>
  <c r="N10" i="34"/>
  <c r="N10" i="33" s="1"/>
  <c r="O5" i="34"/>
  <c r="N18" i="34"/>
  <c r="N17" i="34"/>
  <c r="P11" i="5"/>
  <c r="Q11" i="5"/>
  <c r="V19" i="35"/>
  <c r="M10" i="29"/>
  <c r="U19" i="33"/>
  <c r="X8" i="34"/>
  <c r="X7" i="34"/>
  <c r="Y4" i="34"/>
  <c r="X9" i="34"/>
  <c r="X6" i="34"/>
  <c r="W8" i="35"/>
  <c r="W9" i="35"/>
  <c r="X4" i="35"/>
  <c r="W6" i="35"/>
  <c r="W7" i="35"/>
  <c r="N18" i="31"/>
  <c r="O5" i="31"/>
  <c r="N10" i="31"/>
  <c r="N17" i="31"/>
  <c r="M17" i="29"/>
  <c r="M24" i="29" s="1"/>
  <c r="M18" i="29"/>
  <c r="N18" i="30"/>
  <c r="N17" i="30"/>
  <c r="O5" i="30"/>
  <c r="N5" i="29"/>
  <c r="N10" i="30"/>
  <c r="W8" i="31"/>
  <c r="W6" i="31"/>
  <c r="W7" i="31"/>
  <c r="W9" i="31"/>
  <c r="X4" i="31"/>
  <c r="W6" i="30"/>
  <c r="W8" i="30"/>
  <c r="W9" i="30"/>
  <c r="X4" i="30"/>
  <c r="W7" i="30"/>
  <c r="V19" i="30"/>
  <c r="W24" i="31"/>
  <c r="W27" i="31" s="1"/>
  <c r="O68" i="5"/>
  <c r="V43" i="31"/>
  <c r="V19" i="31"/>
  <c r="U19" i="29"/>
  <c r="N22" i="5"/>
  <c r="N25" i="5" s="1"/>
  <c r="N31" i="5" s="1"/>
  <c r="N33" i="5" s="1"/>
  <c r="N35" i="5" s="1"/>
  <c r="Q74" i="6"/>
  <c r="Q44" i="6"/>
  <c r="R5" i="7"/>
  <c r="R11" i="7" s="1"/>
  <c r="S5" i="13"/>
  <c r="S11" i="13" s="1"/>
  <c r="Q75" i="6"/>
  <c r="Q58" i="6"/>
  <c r="Q20" i="6"/>
  <c r="Q19" i="6"/>
  <c r="O16" i="5"/>
  <c r="Q70" i="7"/>
  <c r="Q50" i="7"/>
  <c r="Q18" i="7"/>
  <c r="Q43" i="7"/>
  <c r="Q53" i="7"/>
  <c r="Q62" i="7"/>
  <c r="Q14" i="7"/>
  <c r="Q27" i="7"/>
  <c r="Q74" i="7"/>
  <c r="Q17" i="7"/>
  <c r="Q32" i="7"/>
  <c r="Q30" i="7"/>
  <c r="Q64" i="7"/>
  <c r="Q75" i="7"/>
  <c r="Q57" i="7"/>
  <c r="Q47" i="7"/>
  <c r="Q60" i="7"/>
  <c r="Q67" i="7"/>
  <c r="Q46" i="7"/>
  <c r="Q19" i="7"/>
  <c r="Q59" i="7"/>
  <c r="Q78" i="7"/>
  <c r="Q34" i="7"/>
  <c r="Q61" i="7"/>
  <c r="Q29" i="7"/>
  <c r="Q52" i="7"/>
  <c r="Q69" i="7"/>
  <c r="Q72" i="7"/>
  <c r="Q51" i="7"/>
  <c r="Q26" i="7"/>
  <c r="Q63" i="7"/>
  <c r="Q28" i="7"/>
  <c r="Q44" i="7"/>
  <c r="Q66" i="7"/>
  <c r="Q45" i="7"/>
  <c r="Q76" i="7"/>
  <c r="Q73" i="7"/>
  <c r="Q20" i="7"/>
  <c r="Q15" i="7"/>
  <c r="Q77" i="7"/>
  <c r="Q49" i="7"/>
  <c r="N55" i="5"/>
  <c r="R5" i="15"/>
  <c r="R11" i="15" s="1"/>
  <c r="T4" i="7"/>
  <c r="S6" i="7"/>
  <c r="S7" i="7"/>
  <c r="S46" i="14"/>
  <c r="U4" i="13"/>
  <c r="T6" i="13"/>
  <c r="T7" i="13"/>
  <c r="T4" i="15"/>
  <c r="S6" i="15"/>
  <c r="S7" i="15"/>
  <c r="O55" i="6"/>
  <c r="O65" i="5"/>
  <c r="O54" i="5"/>
  <c r="O48" i="5"/>
  <c r="S75" i="14"/>
  <c r="S50" i="14"/>
  <c r="O79" i="5"/>
  <c r="S74" i="14"/>
  <c r="Q50" i="6"/>
  <c r="Q59" i="6"/>
  <c r="S29" i="14"/>
  <c r="N40" i="6"/>
  <c r="S61" i="14"/>
  <c r="S73" i="14"/>
  <c r="S30" i="14"/>
  <c r="S58" i="14"/>
  <c r="S15" i="14"/>
  <c r="S34" i="14"/>
  <c r="S42" i="14"/>
  <c r="S47" i="14"/>
  <c r="S64" i="14"/>
  <c r="S77" i="14"/>
  <c r="S14" i="14"/>
  <c r="S72" i="14"/>
  <c r="S26" i="14"/>
  <c r="S70" i="14"/>
  <c r="S28" i="14"/>
  <c r="S23" i="14"/>
  <c r="S76" i="14"/>
  <c r="O71" i="7"/>
  <c r="O80" i="7" s="1"/>
  <c r="S32" i="14"/>
  <c r="S53" i="14"/>
  <c r="S20" i="14"/>
  <c r="S18" i="14"/>
  <c r="S44" i="14"/>
  <c r="S62" i="14"/>
  <c r="S52" i="14"/>
  <c r="S57" i="14"/>
  <c r="S69" i="14"/>
  <c r="S63" i="14"/>
  <c r="S66" i="14"/>
  <c r="S78" i="14"/>
  <c r="S67" i="14"/>
  <c r="S19" i="14"/>
  <c r="S51" i="14"/>
  <c r="S17" i="14"/>
  <c r="S59" i="14"/>
  <c r="S27" i="14"/>
  <c r="S24" i="14"/>
  <c r="S49" i="14"/>
  <c r="S43" i="14"/>
  <c r="S45" i="14"/>
  <c r="Q27" i="6"/>
  <c r="Q34" i="6"/>
  <c r="Q52" i="6"/>
  <c r="Q46" i="6"/>
  <c r="Q76" i="6"/>
  <c r="Q18" i="6"/>
  <c r="Q61" i="6"/>
  <c r="Q28" i="6"/>
  <c r="Q60" i="6"/>
  <c r="Q43" i="6"/>
  <c r="Q77" i="6"/>
  <c r="Q42" i="6"/>
  <c r="Q67" i="6"/>
  <c r="Q32" i="6"/>
  <c r="Q70" i="6"/>
  <c r="Q64" i="6"/>
  <c r="Q14" i="6"/>
  <c r="Q15" i="6"/>
  <c r="Q57" i="6"/>
  <c r="Q17" i="6"/>
  <c r="Q53" i="6"/>
  <c r="Q78" i="6"/>
  <c r="Q63" i="6"/>
  <c r="Q30" i="6"/>
  <c r="Q62" i="6"/>
  <c r="O22" i="7"/>
  <c r="O25" i="7" s="1"/>
  <c r="O31" i="7" s="1"/>
  <c r="O33" i="7" s="1"/>
  <c r="O35" i="7" s="1"/>
  <c r="N71" i="15"/>
  <c r="N80" i="15" s="1"/>
  <c r="O71" i="6"/>
  <c r="O80" i="6" s="1"/>
  <c r="P16" i="6"/>
  <c r="P48" i="6"/>
  <c r="P65" i="6"/>
  <c r="M40" i="15"/>
  <c r="R21" i="14"/>
  <c r="R11" i="6"/>
  <c r="S5" i="6"/>
  <c r="N55" i="14"/>
  <c r="R68" i="14"/>
  <c r="Q29" i="6"/>
  <c r="Q45" i="6"/>
  <c r="Q66" i="6"/>
  <c r="Q49" i="6"/>
  <c r="Q69" i="6"/>
  <c r="Q47" i="6"/>
  <c r="Q73" i="6"/>
  <c r="Q26" i="6"/>
  <c r="Q51" i="6"/>
  <c r="O55" i="7"/>
  <c r="R54" i="14"/>
  <c r="S5" i="5"/>
  <c r="R11" i="5"/>
  <c r="N55" i="15"/>
  <c r="R16" i="14"/>
  <c r="R65" i="14"/>
  <c r="T5" i="14"/>
  <c r="T11" i="14" s="1"/>
  <c r="R48" i="14"/>
  <c r="O54" i="14"/>
  <c r="O68" i="14"/>
  <c r="R79" i="14"/>
  <c r="P77" i="14"/>
  <c r="P73" i="14"/>
  <c r="P63" i="14"/>
  <c r="P59" i="14"/>
  <c r="P52" i="14"/>
  <c r="P47" i="14"/>
  <c r="P43" i="14"/>
  <c r="P32" i="14"/>
  <c r="P27" i="14"/>
  <c r="P20" i="14"/>
  <c r="P15" i="14"/>
  <c r="P75" i="14"/>
  <c r="P61" i="14"/>
  <c r="P57" i="14"/>
  <c r="P50" i="14"/>
  <c r="P45" i="14"/>
  <c r="P78" i="14"/>
  <c r="P74" i="14"/>
  <c r="P69" i="14"/>
  <c r="P64" i="14"/>
  <c r="P60" i="14"/>
  <c r="P53" i="14"/>
  <c r="P49" i="14"/>
  <c r="P44" i="14"/>
  <c r="P34" i="14"/>
  <c r="P28" i="14"/>
  <c r="P23" i="14"/>
  <c r="P17" i="14"/>
  <c r="P70" i="14"/>
  <c r="P66" i="14"/>
  <c r="P67" i="14"/>
  <c r="P62" i="14"/>
  <c r="P58" i="14"/>
  <c r="P51" i="14"/>
  <c r="P46" i="14"/>
  <c r="P42" i="14"/>
  <c r="P76" i="14"/>
  <c r="P72" i="14"/>
  <c r="P29" i="14"/>
  <c r="P24" i="14"/>
  <c r="P18" i="14"/>
  <c r="P30" i="14"/>
  <c r="P26" i="14"/>
  <c r="P19" i="14"/>
  <c r="P14" i="14"/>
  <c r="O48" i="14"/>
  <c r="O16" i="14"/>
  <c r="O79" i="14"/>
  <c r="Q76" i="14"/>
  <c r="Q72" i="14"/>
  <c r="Q67" i="14"/>
  <c r="Q62" i="14"/>
  <c r="Q58" i="14"/>
  <c r="Q51" i="14"/>
  <c r="Q46" i="14"/>
  <c r="Q42" i="14"/>
  <c r="Q30" i="14"/>
  <c r="Q26" i="14"/>
  <c r="Q19" i="14"/>
  <c r="Q14" i="14"/>
  <c r="Q74" i="14"/>
  <c r="Q69" i="14"/>
  <c r="Q64" i="14"/>
  <c r="Q53" i="14"/>
  <c r="Q34" i="14"/>
  <c r="Q77" i="14"/>
  <c r="Q73" i="14"/>
  <c r="Q63" i="14"/>
  <c r="Q59" i="14"/>
  <c r="Q52" i="14"/>
  <c r="Q47" i="14"/>
  <c r="Q43" i="14"/>
  <c r="Q32" i="14"/>
  <c r="Q27" i="14"/>
  <c r="Q20" i="14"/>
  <c r="Q15" i="14"/>
  <c r="Q78" i="14"/>
  <c r="Q60" i="14"/>
  <c r="Q49" i="14"/>
  <c r="Q44" i="14"/>
  <c r="Q66" i="14"/>
  <c r="Q61" i="14"/>
  <c r="Q57" i="14"/>
  <c r="Q50" i="14"/>
  <c r="Q75" i="14"/>
  <c r="Q70" i="14"/>
  <c r="Q28" i="14"/>
  <c r="Q23" i="14"/>
  <c r="Q17" i="14"/>
  <c r="Q45" i="14"/>
  <c r="Q29" i="14"/>
  <c r="Q24" i="14"/>
  <c r="Q18" i="14"/>
  <c r="O65" i="14"/>
  <c r="O21" i="14"/>
  <c r="N71" i="14"/>
  <c r="N80" i="14" s="1"/>
  <c r="Q77" i="15"/>
  <c r="Q73" i="15"/>
  <c r="Q66" i="15"/>
  <c r="R109" i="34" s="1"/>
  <c r="Q61" i="15"/>
  <c r="R92" i="34" s="1"/>
  <c r="Q57" i="15"/>
  <c r="R79" i="34" s="1"/>
  <c r="Q50" i="15"/>
  <c r="R56" i="34" s="1"/>
  <c r="Q45" i="15"/>
  <c r="R38" i="34" s="1"/>
  <c r="Q29" i="15"/>
  <c r="Q19" i="15"/>
  <c r="Q14" i="15"/>
  <c r="Q78" i="15"/>
  <c r="Q74" i="15"/>
  <c r="Q69" i="15"/>
  <c r="R117" i="34" s="1"/>
  <c r="Q67" i="15"/>
  <c r="R113" i="34" s="1"/>
  <c r="Q75" i="15"/>
  <c r="Q70" i="15"/>
  <c r="R121" i="34" s="1"/>
  <c r="Q63" i="15"/>
  <c r="R100" i="34" s="1"/>
  <c r="Q59" i="15"/>
  <c r="R86" i="34" s="1"/>
  <c r="Q52" i="15"/>
  <c r="R65" i="34" s="1"/>
  <c r="Q47" i="15"/>
  <c r="R45" i="34" s="1"/>
  <c r="Q43" i="15"/>
  <c r="R30" i="34" s="1"/>
  <c r="Q32" i="15"/>
  <c r="Q27" i="15"/>
  <c r="Q17" i="15"/>
  <c r="Q76" i="15"/>
  <c r="Q72" i="15"/>
  <c r="Q64" i="15"/>
  <c r="R104" i="34" s="1"/>
  <c r="Q58" i="15"/>
  <c r="Q83" i="34" s="1"/>
  <c r="Q46" i="15"/>
  <c r="R42" i="34" s="1"/>
  <c r="Q30" i="15"/>
  <c r="Q18" i="15"/>
  <c r="Q28" i="15"/>
  <c r="Q62" i="15"/>
  <c r="R96" i="34" s="1"/>
  <c r="Q51" i="15"/>
  <c r="R60" i="34" s="1"/>
  <c r="Q42" i="15"/>
  <c r="R25" i="34" s="1"/>
  <c r="Q26" i="15"/>
  <c r="Q60" i="15"/>
  <c r="Q89" i="34" s="1"/>
  <c r="Q49" i="15"/>
  <c r="R52" i="34" s="1"/>
  <c r="Q34" i="15"/>
  <c r="Q20" i="15"/>
  <c r="Q15" i="15"/>
  <c r="Q53" i="15"/>
  <c r="R69" i="34" s="1"/>
  <c r="Q44" i="15"/>
  <c r="R34" i="34" s="1"/>
  <c r="P78" i="15"/>
  <c r="P74" i="15"/>
  <c r="P69" i="15"/>
  <c r="Q117" i="34" s="1"/>
  <c r="P67" i="15"/>
  <c r="Q113" i="34" s="1"/>
  <c r="P62" i="15"/>
  <c r="Q96" i="34" s="1"/>
  <c r="P58" i="15"/>
  <c r="P83" i="34" s="1"/>
  <c r="P51" i="15"/>
  <c r="Q60" i="34" s="1"/>
  <c r="P46" i="15"/>
  <c r="Q42" i="34" s="1"/>
  <c r="P42" i="15"/>
  <c r="Q25" i="34" s="1"/>
  <c r="P30" i="15"/>
  <c r="P26" i="15"/>
  <c r="P20" i="15"/>
  <c r="P15" i="15"/>
  <c r="P75" i="15"/>
  <c r="P70" i="15"/>
  <c r="Q121" i="34" s="1"/>
  <c r="P76" i="15"/>
  <c r="P72" i="15"/>
  <c r="P64" i="15"/>
  <c r="Q104" i="34" s="1"/>
  <c r="P60" i="15"/>
  <c r="P89" i="34" s="1"/>
  <c r="P53" i="15"/>
  <c r="Q69" i="34" s="1"/>
  <c r="P49" i="15"/>
  <c r="Q52" i="34" s="1"/>
  <c r="P44" i="15"/>
  <c r="Q34" i="34" s="1"/>
  <c r="P34" i="15"/>
  <c r="P28" i="15"/>
  <c r="P18" i="15"/>
  <c r="P77" i="15"/>
  <c r="P73" i="15"/>
  <c r="P66" i="15"/>
  <c r="Q109" i="34" s="1"/>
  <c r="P63" i="15"/>
  <c r="Q100" i="34" s="1"/>
  <c r="P61" i="15"/>
  <c r="Q92" i="34" s="1"/>
  <c r="P50" i="15"/>
  <c r="Q56" i="34" s="1"/>
  <c r="P32" i="15"/>
  <c r="P57" i="15"/>
  <c r="Q79" i="34" s="1"/>
  <c r="P45" i="15"/>
  <c r="Q38" i="34" s="1"/>
  <c r="P29" i="15"/>
  <c r="P17" i="15"/>
  <c r="P52" i="15"/>
  <c r="Q65" i="34" s="1"/>
  <c r="P43" i="15"/>
  <c r="Q30" i="34" s="1"/>
  <c r="P27" i="15"/>
  <c r="P59" i="15"/>
  <c r="Q86" i="34" s="1"/>
  <c r="P47" i="15"/>
  <c r="Q45" i="34" s="1"/>
  <c r="P19" i="15"/>
  <c r="P14" i="15"/>
  <c r="O54" i="15"/>
  <c r="O21" i="15"/>
  <c r="O65" i="15"/>
  <c r="O79" i="15"/>
  <c r="P128" i="34" s="1"/>
  <c r="O48" i="15"/>
  <c r="O16" i="15"/>
  <c r="O68" i="15"/>
  <c r="P21" i="7"/>
  <c r="P54" i="7"/>
  <c r="P65" i="7"/>
  <c r="P79" i="7"/>
  <c r="P68" i="7"/>
  <c r="P16" i="7"/>
  <c r="P48" i="7"/>
  <c r="P54" i="6"/>
  <c r="O22" i="6"/>
  <c r="O25" i="6" s="1"/>
  <c r="O31" i="6" s="1"/>
  <c r="O33" i="6" s="1"/>
  <c r="O35" i="6" s="1"/>
  <c r="P21" i="6"/>
  <c r="P68" i="6"/>
  <c r="P79" i="6"/>
  <c r="Q127" i="49" s="1"/>
  <c r="K4" i="24"/>
  <c r="L4" i="24" s="1"/>
  <c r="J4" i="23"/>
  <c r="M4" i="25"/>
  <c r="U8" i="36" l="1"/>
  <c r="T16" i="36"/>
  <c r="T15" i="36"/>
  <c r="T13" i="36"/>
  <c r="T12" i="36"/>
  <c r="V4" i="36"/>
  <c r="V7" i="36" s="1"/>
  <c r="T14" i="36"/>
  <c r="U13" i="54"/>
  <c r="U12" i="54"/>
  <c r="U17" i="54"/>
  <c r="U10" i="54"/>
  <c r="U15" i="54"/>
  <c r="U19" i="54"/>
  <c r="U18" i="54"/>
  <c r="U14" i="54"/>
  <c r="U11" i="54"/>
  <c r="V7" i="54"/>
  <c r="V6" i="54"/>
  <c r="V5" i="54"/>
  <c r="W4" i="54"/>
  <c r="O66" i="49"/>
  <c r="U6" i="36"/>
  <c r="U16" i="36" s="1"/>
  <c r="U5" i="36"/>
  <c r="O18" i="50"/>
  <c r="O10" i="50"/>
  <c r="P5" i="50"/>
  <c r="O17" i="50"/>
  <c r="P114" i="46"/>
  <c r="S118" i="46"/>
  <c r="N18" i="48"/>
  <c r="N17" i="48"/>
  <c r="N24" i="48" s="1"/>
  <c r="M12" i="51"/>
  <c r="M32" i="51" s="1"/>
  <c r="M7" i="51"/>
  <c r="N51" i="51" s="1"/>
  <c r="M5" i="51"/>
  <c r="M6" i="51"/>
  <c r="M8" i="51"/>
  <c r="N4" i="51"/>
  <c r="M5" i="53"/>
  <c r="V6" i="47" s="1"/>
  <c r="N4" i="53"/>
  <c r="M7" i="53"/>
  <c r="V5" i="47"/>
  <c r="M6" i="53"/>
  <c r="M42" i="52"/>
  <c r="M5" i="52"/>
  <c r="N4" i="52"/>
  <c r="M7" i="52"/>
  <c r="M60" i="52"/>
  <c r="M51" i="52"/>
  <c r="M6" i="52"/>
  <c r="O217" i="46"/>
  <c r="O122" i="46"/>
  <c r="P5" i="49"/>
  <c r="O5" i="48"/>
  <c r="O18" i="49"/>
  <c r="O17" i="49"/>
  <c r="O10" i="49"/>
  <c r="O10" i="48" s="1"/>
  <c r="O93" i="49"/>
  <c r="O36" i="49"/>
  <c r="Q127" i="30"/>
  <c r="R58" i="7"/>
  <c r="R42" i="7"/>
  <c r="X30" i="34"/>
  <c r="X45" i="34"/>
  <c r="X52" i="34"/>
  <c r="X79" i="34"/>
  <c r="X83" i="34"/>
  <c r="X86" i="34"/>
  <c r="X96" i="34"/>
  <c r="X113" i="34"/>
  <c r="X121" i="34"/>
  <c r="X34" i="34"/>
  <c r="X38" i="34"/>
  <c r="X42" i="34"/>
  <c r="X104" i="34"/>
  <c r="X56" i="34"/>
  <c r="X65" i="34"/>
  <c r="X69" i="34"/>
  <c r="X92" i="34"/>
  <c r="X100" i="34"/>
  <c r="X19" i="34"/>
  <c r="X25" i="34"/>
  <c r="X60" i="34"/>
  <c r="X89" i="34"/>
  <c r="X109" i="34"/>
  <c r="X117" i="34"/>
  <c r="X128" i="34"/>
  <c r="X76" i="34"/>
  <c r="X62" i="34"/>
  <c r="Q21" i="7"/>
  <c r="Q21" i="15"/>
  <c r="R69" i="7"/>
  <c r="R24" i="7"/>
  <c r="R23" i="7"/>
  <c r="R24" i="5"/>
  <c r="S64" i="13" s="1"/>
  <c r="R23" i="5"/>
  <c r="R24" i="6"/>
  <c r="S63" i="13" s="1"/>
  <c r="R23" i="6"/>
  <c r="R24" i="15"/>
  <c r="S61" i="13" s="1"/>
  <c r="R23" i="15"/>
  <c r="P78" i="5"/>
  <c r="P24" i="5"/>
  <c r="P23" i="5"/>
  <c r="Q77" i="5"/>
  <c r="Q24" i="5"/>
  <c r="Q23" i="5"/>
  <c r="R77" i="7"/>
  <c r="P42" i="5"/>
  <c r="P73" i="5"/>
  <c r="N4" i="43"/>
  <c r="M7" i="43"/>
  <c r="M5" i="43"/>
  <c r="M60" i="43"/>
  <c r="M6" i="43"/>
  <c r="M51" i="43"/>
  <c r="M42" i="43"/>
  <c r="P62" i="5"/>
  <c r="Q51" i="5"/>
  <c r="P51" i="5"/>
  <c r="Q69" i="5"/>
  <c r="Q28" i="5"/>
  <c r="P20" i="5"/>
  <c r="P46" i="5"/>
  <c r="P67" i="5"/>
  <c r="P29" i="5"/>
  <c r="P58" i="5"/>
  <c r="P77" i="5"/>
  <c r="Q53" i="5"/>
  <c r="Q26" i="5"/>
  <c r="O22" i="5"/>
  <c r="O25" i="5" s="1"/>
  <c r="O31" i="5" s="1"/>
  <c r="O33" i="5" s="1"/>
  <c r="O35" i="5" s="1"/>
  <c r="Q67" i="5"/>
  <c r="Q18" i="5"/>
  <c r="Q70" i="5"/>
  <c r="Q20" i="5"/>
  <c r="Q72" i="5"/>
  <c r="Q66" i="5"/>
  <c r="Q52" i="5"/>
  <c r="Q73" i="5"/>
  <c r="Q75" i="5"/>
  <c r="Q27" i="5"/>
  <c r="Q19" i="5"/>
  <c r="Q57" i="5"/>
  <c r="Q46" i="5"/>
  <c r="Q49" i="5"/>
  <c r="Q59" i="5"/>
  <c r="N18" i="33"/>
  <c r="V6" i="36"/>
  <c r="P18" i="5"/>
  <c r="P28" i="5"/>
  <c r="P45" i="5"/>
  <c r="P57" i="5"/>
  <c r="P72" i="5"/>
  <c r="P15" i="5"/>
  <c r="P17" i="5"/>
  <c r="P27" i="5"/>
  <c r="P32" i="5"/>
  <c r="P44" i="5"/>
  <c r="P49" i="5"/>
  <c r="P53" i="5"/>
  <c r="P60" i="5"/>
  <c r="P64" i="5"/>
  <c r="P70" i="5"/>
  <c r="P75" i="5"/>
  <c r="Q58" i="5"/>
  <c r="Q29" i="5"/>
  <c r="Q60" i="5"/>
  <c r="Q32" i="5"/>
  <c r="Q78" i="5"/>
  <c r="Q30" i="5"/>
  <c r="Q34" i="5"/>
  <c r="Q17" i="5"/>
  <c r="Q74" i="5"/>
  <c r="Q76" i="5"/>
  <c r="Q14" i="5"/>
  <c r="Q43" i="5"/>
  <c r="P19" i="5"/>
  <c r="P34" i="5"/>
  <c r="P50" i="5"/>
  <c r="P61" i="5"/>
  <c r="P66" i="5"/>
  <c r="P76" i="5"/>
  <c r="P14" i="5"/>
  <c r="P26" i="5"/>
  <c r="P30" i="5"/>
  <c r="P43" i="5"/>
  <c r="P47" i="5"/>
  <c r="P52" i="5"/>
  <c r="P59" i="5"/>
  <c r="P63" i="5"/>
  <c r="P69" i="5"/>
  <c r="P74" i="5"/>
  <c r="Q62" i="5"/>
  <c r="Q42" i="5"/>
  <c r="Q64" i="5"/>
  <c r="Q44" i="5"/>
  <c r="Q15" i="5"/>
  <c r="Q47" i="5"/>
  <c r="Q50" i="5"/>
  <c r="Q61" i="5"/>
  <c r="Q45" i="5"/>
  <c r="M5" i="37"/>
  <c r="M6" i="37"/>
  <c r="M7" i="37"/>
  <c r="N4" i="37"/>
  <c r="M6" i="39"/>
  <c r="M60" i="39"/>
  <c r="M5" i="39"/>
  <c r="M51" i="39"/>
  <c r="M7" i="39"/>
  <c r="M42" i="39"/>
  <c r="N4" i="39"/>
  <c r="M7" i="40"/>
  <c r="M12" i="40"/>
  <c r="M32" i="40" s="1"/>
  <c r="N4" i="40"/>
  <c r="M5" i="40"/>
  <c r="M6" i="40"/>
  <c r="M8" i="40"/>
  <c r="O5" i="33"/>
  <c r="O18" i="33" s="1"/>
  <c r="O18" i="34"/>
  <c r="O10" i="34"/>
  <c r="O10" i="33" s="1"/>
  <c r="P5" i="34"/>
  <c r="O17" i="34"/>
  <c r="Q63" i="5"/>
  <c r="N17" i="33"/>
  <c r="N24" i="33" s="1"/>
  <c r="O10" i="35"/>
  <c r="O18" i="35"/>
  <c r="P5" i="35"/>
  <c r="O17" i="35"/>
  <c r="R20" i="7"/>
  <c r="R63" i="7"/>
  <c r="R30" i="7"/>
  <c r="R72" i="7"/>
  <c r="X7" i="35"/>
  <c r="X8" i="35"/>
  <c r="X9" i="35"/>
  <c r="X6" i="35"/>
  <c r="Y4" i="35"/>
  <c r="Y7" i="34"/>
  <c r="Z4" i="34"/>
  <c r="Y9" i="34"/>
  <c r="Y6" i="34"/>
  <c r="Y8" i="34"/>
  <c r="W19" i="35"/>
  <c r="N10" i="29"/>
  <c r="O5" i="29"/>
  <c r="P5" i="30"/>
  <c r="O17" i="30"/>
  <c r="O10" i="30"/>
  <c r="O18" i="30"/>
  <c r="O18" i="31"/>
  <c r="P5" i="31"/>
  <c r="O17" i="31"/>
  <c r="O10" i="31"/>
  <c r="N18" i="29"/>
  <c r="N17" i="29"/>
  <c r="N24" i="29" s="1"/>
  <c r="R45" i="7"/>
  <c r="R51" i="7"/>
  <c r="O71" i="5"/>
  <c r="O80" i="5" s="1"/>
  <c r="R53" i="7"/>
  <c r="R18" i="7"/>
  <c r="T5" i="13"/>
  <c r="T11" i="13" s="1"/>
  <c r="S5" i="7"/>
  <c r="S11" i="7" s="1"/>
  <c r="R34" i="7"/>
  <c r="R14" i="7"/>
  <c r="R61" i="7"/>
  <c r="X9" i="30"/>
  <c r="Y4" i="30"/>
  <c r="X7" i="30"/>
  <c r="X8" i="30"/>
  <c r="X6" i="30"/>
  <c r="X24" i="31"/>
  <c r="X27" i="31" s="1"/>
  <c r="W19" i="30"/>
  <c r="W43" i="31"/>
  <c r="W19" i="31"/>
  <c r="Q16" i="7"/>
  <c r="X7" i="31"/>
  <c r="X9" i="31"/>
  <c r="Y4" i="31"/>
  <c r="X6" i="31"/>
  <c r="X8" i="31"/>
  <c r="Q79" i="7"/>
  <c r="Q65" i="7"/>
  <c r="Q48" i="7"/>
  <c r="Q68" i="7"/>
  <c r="R43" i="7"/>
  <c r="R67" i="7"/>
  <c r="R59" i="7"/>
  <c r="R78" i="7"/>
  <c r="R75" i="7"/>
  <c r="R64" i="7"/>
  <c r="R26" i="7"/>
  <c r="R57" i="7"/>
  <c r="R15" i="7"/>
  <c r="R73" i="7"/>
  <c r="R32" i="7"/>
  <c r="R52" i="7"/>
  <c r="R74" i="7"/>
  <c r="R44" i="7"/>
  <c r="R70" i="7"/>
  <c r="R28" i="7"/>
  <c r="R49" i="7"/>
  <c r="R29" i="7"/>
  <c r="R46" i="7"/>
  <c r="R62" i="7"/>
  <c r="R60" i="7"/>
  <c r="R17" i="7"/>
  <c r="R50" i="7"/>
  <c r="R76" i="7"/>
  <c r="R66" i="7"/>
  <c r="R27" i="7"/>
  <c r="R19" i="7"/>
  <c r="R47" i="7"/>
  <c r="Q54" i="7"/>
  <c r="N40" i="5"/>
  <c r="O55" i="5"/>
  <c r="T7" i="15"/>
  <c r="T6" i="15"/>
  <c r="R76" i="15"/>
  <c r="R46" i="15"/>
  <c r="S42" i="34" s="1"/>
  <c r="R14" i="15"/>
  <c r="R42" i="15"/>
  <c r="S25" i="34" s="1"/>
  <c r="R44" i="15"/>
  <c r="S34" i="34" s="1"/>
  <c r="R50" i="15"/>
  <c r="S56" i="34" s="1"/>
  <c r="R75" i="15"/>
  <c r="R77" i="15"/>
  <c r="R70" i="15"/>
  <c r="S121" i="34" s="1"/>
  <c r="R73" i="15"/>
  <c r="R72" i="15"/>
  <c r="R17" i="15"/>
  <c r="S29" i="13" s="1"/>
  <c r="R15" i="15"/>
  <c r="S22" i="13" s="1"/>
  <c r="R18" i="15"/>
  <c r="S35" i="13" s="1"/>
  <c r="R43" i="15"/>
  <c r="S30" i="34" s="1"/>
  <c r="R74" i="15"/>
  <c r="R27" i="15"/>
  <c r="S74" i="13" s="1"/>
  <c r="R69" i="15"/>
  <c r="S117" i="34" s="1"/>
  <c r="R49" i="15"/>
  <c r="S52" i="34" s="1"/>
  <c r="R20" i="15"/>
  <c r="S47" i="13" s="1"/>
  <c r="R66" i="15"/>
  <c r="S109" i="34" s="1"/>
  <c r="R67" i="15"/>
  <c r="S113" i="34" s="1"/>
  <c r="R52" i="15"/>
  <c r="S65" i="34" s="1"/>
  <c r="R78" i="15"/>
  <c r="R47" i="15"/>
  <c r="S45" i="34" s="1"/>
  <c r="R58" i="15"/>
  <c r="R83" i="34" s="1"/>
  <c r="R60" i="15"/>
  <c r="R89" i="34" s="1"/>
  <c r="R32" i="15"/>
  <c r="S99" i="13" s="1"/>
  <c r="R51" i="15"/>
  <c r="S60" i="34" s="1"/>
  <c r="R53" i="15"/>
  <c r="S69" i="34" s="1"/>
  <c r="R19" i="15"/>
  <c r="S41" i="13" s="1"/>
  <c r="R63" i="15"/>
  <c r="S100" i="34" s="1"/>
  <c r="R29" i="15"/>
  <c r="S86" i="13" s="1"/>
  <c r="R61" i="15"/>
  <c r="S92" i="34" s="1"/>
  <c r="R59" i="15"/>
  <c r="S86" i="34" s="1"/>
  <c r="R62" i="15"/>
  <c r="S96" i="34" s="1"/>
  <c r="R64" i="15"/>
  <c r="S104" i="34" s="1"/>
  <c r="R57" i="15"/>
  <c r="S79" i="34" s="1"/>
  <c r="R30" i="15"/>
  <c r="S92" i="13" s="1"/>
  <c r="R34" i="15"/>
  <c r="S106" i="13" s="1"/>
  <c r="R45" i="15"/>
  <c r="S38" i="34" s="1"/>
  <c r="R26" i="15"/>
  <c r="S68" i="13" s="1"/>
  <c r="R28" i="15"/>
  <c r="S21" i="14"/>
  <c r="U6" i="13"/>
  <c r="U7" i="13"/>
  <c r="T7" i="7"/>
  <c r="T6" i="7"/>
  <c r="S5" i="15"/>
  <c r="S11" i="15" s="1"/>
  <c r="O40" i="6"/>
  <c r="Q68" i="6"/>
  <c r="O22" i="15"/>
  <c r="O25" i="15" s="1"/>
  <c r="O31" i="15" s="1"/>
  <c r="O33" i="15" s="1"/>
  <c r="O35" i="15" s="1"/>
  <c r="S16" i="14"/>
  <c r="S48" i="14"/>
  <c r="P22" i="6"/>
  <c r="P25" i="6" s="1"/>
  <c r="P31" i="6" s="1"/>
  <c r="P33" i="6" s="1"/>
  <c r="P35" i="6" s="1"/>
  <c r="Q48" i="6"/>
  <c r="P71" i="6"/>
  <c r="P80" i="6" s="1"/>
  <c r="Q21" i="6"/>
  <c r="S54" i="14"/>
  <c r="S68" i="14"/>
  <c r="S79" i="14"/>
  <c r="N40" i="14"/>
  <c r="S65" i="14"/>
  <c r="Q68" i="15"/>
  <c r="O40" i="7"/>
  <c r="Q65" i="6"/>
  <c r="Q16" i="6"/>
  <c r="Q79" i="6"/>
  <c r="N40" i="15"/>
  <c r="P22" i="7"/>
  <c r="P25" i="7" s="1"/>
  <c r="P31" i="7" s="1"/>
  <c r="P33" i="7" s="1"/>
  <c r="P35" i="7" s="1"/>
  <c r="O55" i="14"/>
  <c r="R22" i="14"/>
  <c r="R25" i="14" s="1"/>
  <c r="R31" i="14" s="1"/>
  <c r="R33" i="14" s="1"/>
  <c r="R35" i="14" s="1"/>
  <c r="Q54" i="6"/>
  <c r="P55" i="6"/>
  <c r="P71" i="7"/>
  <c r="P80" i="7" s="1"/>
  <c r="R55" i="14"/>
  <c r="R74" i="5"/>
  <c r="R66" i="5"/>
  <c r="R58" i="5"/>
  <c r="R75" i="5"/>
  <c r="R49" i="5"/>
  <c r="R28" i="5"/>
  <c r="S83" i="13" s="1"/>
  <c r="R76" i="5"/>
  <c r="R69" i="5"/>
  <c r="R60" i="5"/>
  <c r="R50" i="5"/>
  <c r="R27" i="5"/>
  <c r="S77" i="13" s="1"/>
  <c r="R77" i="5"/>
  <c r="R64" i="5"/>
  <c r="R51" i="5"/>
  <c r="R43" i="5"/>
  <c r="R29" i="5"/>
  <c r="S89" i="13" s="1"/>
  <c r="R20" i="5"/>
  <c r="S50" i="13" s="1"/>
  <c r="R78" i="5"/>
  <c r="R70" i="5"/>
  <c r="R61" i="5"/>
  <c r="R52" i="5"/>
  <c r="R30" i="5"/>
  <c r="S95" i="13" s="1"/>
  <c r="R14" i="5"/>
  <c r="R67" i="5"/>
  <c r="R53" i="5"/>
  <c r="R45" i="5"/>
  <c r="R32" i="5"/>
  <c r="S102" i="13" s="1"/>
  <c r="R15" i="5"/>
  <c r="S25" i="13" s="1"/>
  <c r="R73" i="5"/>
  <c r="R63" i="5"/>
  <c r="R57" i="5"/>
  <c r="R44" i="5"/>
  <c r="R18" i="5"/>
  <c r="S38" i="13" s="1"/>
  <c r="R72" i="5"/>
  <c r="R59" i="5"/>
  <c r="R47" i="5"/>
  <c r="R34" i="5"/>
  <c r="S109" i="13" s="1"/>
  <c r="R26" i="5"/>
  <c r="S71" i="13" s="1"/>
  <c r="R17" i="5"/>
  <c r="S32" i="13" s="1"/>
  <c r="R46" i="5"/>
  <c r="R62" i="5"/>
  <c r="R42" i="5"/>
  <c r="R19" i="5"/>
  <c r="S44" i="13" s="1"/>
  <c r="S11" i="6"/>
  <c r="T5" i="6"/>
  <c r="T11" i="6" s="1"/>
  <c r="R71" i="14"/>
  <c r="R80" i="14" s="1"/>
  <c r="R66" i="6"/>
  <c r="R53" i="6"/>
  <c r="R45" i="6"/>
  <c r="R27" i="6"/>
  <c r="S76" i="13" s="1"/>
  <c r="R76" i="6"/>
  <c r="R72" i="6"/>
  <c r="R19" i="6"/>
  <c r="S43" i="13" s="1"/>
  <c r="R64" i="6"/>
  <c r="R57" i="6"/>
  <c r="R44" i="6"/>
  <c r="R28" i="6"/>
  <c r="S82" i="13" s="1"/>
  <c r="R14" i="6"/>
  <c r="R58" i="6"/>
  <c r="R46" i="6"/>
  <c r="R29" i="6"/>
  <c r="S88" i="13" s="1"/>
  <c r="R77" i="6"/>
  <c r="R73" i="6"/>
  <c r="R20" i="6"/>
  <c r="S49" i="13" s="1"/>
  <c r="R67" i="6"/>
  <c r="R59" i="6"/>
  <c r="R47" i="6"/>
  <c r="R30" i="6"/>
  <c r="S94" i="13" s="1"/>
  <c r="R15" i="6"/>
  <c r="S24" i="13" s="1"/>
  <c r="R60" i="6"/>
  <c r="R49" i="6"/>
  <c r="R32" i="6"/>
  <c r="S101" i="13" s="1"/>
  <c r="R78" i="6"/>
  <c r="R74" i="6"/>
  <c r="R69" i="6"/>
  <c r="R17" i="6"/>
  <c r="S31" i="13" s="1"/>
  <c r="R61" i="6"/>
  <c r="R50" i="6"/>
  <c r="R34" i="6"/>
  <c r="S108" i="13" s="1"/>
  <c r="R63" i="6"/>
  <c r="R51" i="6"/>
  <c r="R43" i="6"/>
  <c r="R75" i="6"/>
  <c r="R70" i="6"/>
  <c r="R18" i="6"/>
  <c r="S37" i="13" s="1"/>
  <c r="R62" i="6"/>
  <c r="R52" i="6"/>
  <c r="R42" i="6"/>
  <c r="R26" i="6"/>
  <c r="S70" i="13" s="1"/>
  <c r="T5" i="5"/>
  <c r="T11" i="5" s="1"/>
  <c r="S11" i="5"/>
  <c r="T63" i="14"/>
  <c r="T43" i="14"/>
  <c r="T15" i="14"/>
  <c r="T74" i="14"/>
  <c r="T53" i="14"/>
  <c r="T28" i="14"/>
  <c r="T61" i="14"/>
  <c r="T30" i="14"/>
  <c r="T76" i="14"/>
  <c r="T58" i="14"/>
  <c r="T29" i="14"/>
  <c r="T77" i="14"/>
  <c r="T27" i="14"/>
  <c r="T64" i="14"/>
  <c r="T17" i="14"/>
  <c r="T50" i="14"/>
  <c r="T67" i="14"/>
  <c r="T18" i="14"/>
  <c r="T59" i="14"/>
  <c r="T70" i="14"/>
  <c r="T49" i="14"/>
  <c r="T57" i="14"/>
  <c r="T72" i="14"/>
  <c r="T24" i="14"/>
  <c r="T73" i="14"/>
  <c r="T47" i="14"/>
  <c r="T20" i="14"/>
  <c r="T78" i="14"/>
  <c r="T60" i="14"/>
  <c r="T34" i="14"/>
  <c r="T75" i="14"/>
  <c r="T45" i="14"/>
  <c r="T14" i="14"/>
  <c r="T62" i="14"/>
  <c r="T42" i="14"/>
  <c r="T52" i="14"/>
  <c r="T66" i="14"/>
  <c r="T68" i="14" s="1"/>
  <c r="T44" i="14"/>
  <c r="T19" i="14"/>
  <c r="T46" i="14"/>
  <c r="T32" i="14"/>
  <c r="T69" i="14"/>
  <c r="T23" i="14"/>
  <c r="T26" i="14"/>
  <c r="T51" i="14"/>
  <c r="O71" i="14"/>
  <c r="O80" i="14" s="1"/>
  <c r="P79" i="14"/>
  <c r="P68" i="14"/>
  <c r="P65" i="14"/>
  <c r="Q21" i="14"/>
  <c r="Q54" i="14"/>
  <c r="Q16" i="14"/>
  <c r="Q48" i="14"/>
  <c r="P48" i="14"/>
  <c r="Q79" i="14"/>
  <c r="Q68" i="14"/>
  <c r="P16" i="14"/>
  <c r="Q65" i="14"/>
  <c r="O22" i="14"/>
  <c r="O25" i="14" s="1"/>
  <c r="O31" i="14" s="1"/>
  <c r="O33" i="14" s="1"/>
  <c r="O35" i="14" s="1"/>
  <c r="P21" i="14"/>
  <c r="P54" i="14"/>
  <c r="P65" i="15"/>
  <c r="P48" i="15"/>
  <c r="Q48" i="15"/>
  <c r="Q65" i="15"/>
  <c r="O55" i="15"/>
  <c r="O71" i="15"/>
  <c r="O80" i="15" s="1"/>
  <c r="P68" i="15"/>
  <c r="P21" i="15"/>
  <c r="P54" i="15"/>
  <c r="P79" i="15"/>
  <c r="Q128" i="34" s="1"/>
  <c r="P16" i="15"/>
  <c r="Q54" i="15"/>
  <c r="Q79" i="15"/>
  <c r="R128" i="34" s="1"/>
  <c r="Q16" i="15"/>
  <c r="P55" i="7"/>
  <c r="K4" i="23"/>
  <c r="L4" i="23"/>
  <c r="N4" i="25"/>
  <c r="M4" i="24"/>
  <c r="U12" i="36" l="1"/>
  <c r="V8" i="36"/>
  <c r="U13" i="36"/>
  <c r="W4" i="36"/>
  <c r="W7" i="36" s="1"/>
  <c r="U11" i="36"/>
  <c r="V5" i="36"/>
  <c r="V17" i="54"/>
  <c r="V10" i="54"/>
  <c r="V12" i="54"/>
  <c r="V14" i="54"/>
  <c r="V15" i="54"/>
  <c r="V13" i="54"/>
  <c r="V19" i="54"/>
  <c r="V11" i="54"/>
  <c r="V18" i="54"/>
  <c r="X4" i="54"/>
  <c r="W7" i="54"/>
  <c r="W6" i="54"/>
  <c r="W5" i="54"/>
  <c r="U14" i="36"/>
  <c r="U15" i="36"/>
  <c r="P66" i="49"/>
  <c r="P18" i="50"/>
  <c r="P17" i="50"/>
  <c r="P10" i="50"/>
  <c r="Q5" i="50"/>
  <c r="O18" i="48"/>
  <c r="O17" i="48"/>
  <c r="O24" i="48" s="1"/>
  <c r="N7" i="53"/>
  <c r="W5" i="47"/>
  <c r="N6" i="53"/>
  <c r="N5" i="53"/>
  <c r="W6" i="47" s="1"/>
  <c r="O4" i="53"/>
  <c r="P17" i="49"/>
  <c r="P5" i="48"/>
  <c r="P10" i="49"/>
  <c r="P10" i="48" s="1"/>
  <c r="Q5" i="49"/>
  <c r="P18" i="49"/>
  <c r="P93" i="49"/>
  <c r="P36" i="49"/>
  <c r="N7" i="52"/>
  <c r="N6" i="52"/>
  <c r="N5" i="52"/>
  <c r="N60" i="52"/>
  <c r="N51" i="52"/>
  <c r="N42" i="52"/>
  <c r="O4" i="52"/>
  <c r="N6" i="51"/>
  <c r="N5" i="51"/>
  <c r="O4" i="51"/>
  <c r="N8" i="51"/>
  <c r="N12" i="51"/>
  <c r="N32" i="51" s="1"/>
  <c r="N7" i="51"/>
  <c r="O51" i="51" s="1"/>
  <c r="P217" i="46"/>
  <c r="S114" i="46"/>
  <c r="P122" i="46"/>
  <c r="Q22" i="15"/>
  <c r="Q25" i="15" s="1"/>
  <c r="Q31" i="15" s="1"/>
  <c r="Q33" i="15" s="1"/>
  <c r="Q35" i="15" s="1"/>
  <c r="P68" i="5"/>
  <c r="Y34" i="34"/>
  <c r="Y38" i="34"/>
  <c r="Y42" i="34"/>
  <c r="Y104" i="34"/>
  <c r="Y56" i="34"/>
  <c r="Y65" i="34"/>
  <c r="Y69" i="34"/>
  <c r="Y92" i="34"/>
  <c r="Y100" i="34"/>
  <c r="Y19" i="34"/>
  <c r="Y25" i="34"/>
  <c r="Y60" i="34"/>
  <c r="Y89" i="34"/>
  <c r="Y109" i="34"/>
  <c r="Y117" i="34"/>
  <c r="Y30" i="34"/>
  <c r="Y45" i="34"/>
  <c r="Y52" i="34"/>
  <c r="Y79" i="34"/>
  <c r="Y83" i="34"/>
  <c r="Y86" i="34"/>
  <c r="Y96" i="34"/>
  <c r="Y113" i="34"/>
  <c r="Y121" i="34"/>
  <c r="Y128" i="34"/>
  <c r="S58" i="7"/>
  <c r="S42" i="7"/>
  <c r="Y76" i="34"/>
  <c r="Y62" i="34"/>
  <c r="P21" i="5"/>
  <c r="Q22" i="7"/>
  <c r="Q25" i="7" s="1"/>
  <c r="Q31" i="7" s="1"/>
  <c r="Q33" i="7" s="1"/>
  <c r="Q35" i="7" s="1"/>
  <c r="T24" i="5"/>
  <c r="U64" i="13" s="1"/>
  <c r="T23" i="5"/>
  <c r="S24" i="6"/>
  <c r="T63" i="13" s="1"/>
  <c r="S23" i="6"/>
  <c r="S24" i="15"/>
  <c r="T61" i="13" s="1"/>
  <c r="S23" i="15"/>
  <c r="S53" i="7"/>
  <c r="S24" i="7"/>
  <c r="S23" i="7"/>
  <c r="S24" i="5"/>
  <c r="T64" i="13" s="1"/>
  <c r="S23" i="5"/>
  <c r="T24" i="6"/>
  <c r="U63" i="13" s="1"/>
  <c r="T23" i="6"/>
  <c r="N42" i="43"/>
  <c r="N7" i="43"/>
  <c r="N6" i="43"/>
  <c r="N60" i="43"/>
  <c r="O4" i="43"/>
  <c r="N51" i="43"/>
  <c r="N5" i="43"/>
  <c r="S29" i="7"/>
  <c r="S17" i="7"/>
  <c r="S15" i="7"/>
  <c r="Q68" i="5"/>
  <c r="S45" i="7"/>
  <c r="S18" i="7"/>
  <c r="S52" i="7"/>
  <c r="S76" i="7"/>
  <c r="S59" i="7"/>
  <c r="S26" i="7"/>
  <c r="S67" i="7"/>
  <c r="Q54" i="5"/>
  <c r="P79" i="5"/>
  <c r="Q21" i="5"/>
  <c r="P54" i="5"/>
  <c r="P16" i="5"/>
  <c r="P48" i="5"/>
  <c r="Q16" i="5"/>
  <c r="W5" i="36"/>
  <c r="V14" i="36"/>
  <c r="V16" i="36"/>
  <c r="V11" i="36"/>
  <c r="V15" i="36"/>
  <c r="V12" i="36"/>
  <c r="V13" i="36"/>
  <c r="P65" i="5"/>
  <c r="S44" i="7"/>
  <c r="S49" i="7"/>
  <c r="S77" i="7"/>
  <c r="S73" i="7"/>
  <c r="Q65" i="5"/>
  <c r="Q48" i="5"/>
  <c r="Q79" i="5"/>
  <c r="O17" i="33"/>
  <c r="O24" i="33" s="1"/>
  <c r="N7" i="40"/>
  <c r="N8" i="40"/>
  <c r="N5" i="40"/>
  <c r="N6" i="40"/>
  <c r="N12" i="40"/>
  <c r="N32" i="40" s="1"/>
  <c r="O4" i="40"/>
  <c r="P5" i="33"/>
  <c r="P17" i="34"/>
  <c r="P10" i="34"/>
  <c r="P10" i="33" s="1"/>
  <c r="P18" i="34"/>
  <c r="Q5" i="34"/>
  <c r="O4" i="39"/>
  <c r="N60" i="39"/>
  <c r="N6" i="39"/>
  <c r="N42" i="39"/>
  <c r="N51" i="39"/>
  <c r="N5" i="39"/>
  <c r="N7" i="39"/>
  <c r="P18" i="35"/>
  <c r="P10" i="35"/>
  <c r="Q5" i="35"/>
  <c r="P17" i="35"/>
  <c r="N6" i="37"/>
  <c r="N7" i="37"/>
  <c r="O4" i="37"/>
  <c r="N5" i="37"/>
  <c r="S27" i="7"/>
  <c r="S74" i="7"/>
  <c r="S64" i="7"/>
  <c r="S78" i="7"/>
  <c r="S72" i="7"/>
  <c r="S51" i="7"/>
  <c r="S60" i="7"/>
  <c r="S46" i="7"/>
  <c r="S28" i="7"/>
  <c r="S75" i="7"/>
  <c r="S19" i="7"/>
  <c r="S14" i="7"/>
  <c r="S66" i="7"/>
  <c r="S70" i="7"/>
  <c r="S57" i="7"/>
  <c r="S43" i="7"/>
  <c r="S50" i="7"/>
  <c r="S30" i="7"/>
  <c r="S61" i="7"/>
  <c r="S32" i="7"/>
  <c r="S62" i="7"/>
  <c r="S47" i="7"/>
  <c r="S69" i="7"/>
  <c r="S34" i="7"/>
  <c r="S63" i="7"/>
  <c r="S20" i="7"/>
  <c r="S80" i="13"/>
  <c r="O10" i="29"/>
  <c r="Y6" i="35"/>
  <c r="Y7" i="35"/>
  <c r="Y9" i="35"/>
  <c r="Y8" i="35"/>
  <c r="Z4" i="35"/>
  <c r="Z6" i="34"/>
  <c r="Z8" i="34"/>
  <c r="Z7" i="34"/>
  <c r="AA4" i="34"/>
  <c r="Z9" i="34"/>
  <c r="X19" i="35"/>
  <c r="O18" i="29"/>
  <c r="O17" i="29"/>
  <c r="O24" i="29" s="1"/>
  <c r="P18" i="30"/>
  <c r="Q5" i="30"/>
  <c r="P17" i="30"/>
  <c r="P5" i="29"/>
  <c r="P10" i="30"/>
  <c r="P18" i="31"/>
  <c r="P10" i="31"/>
  <c r="P17" i="31"/>
  <c r="Q5" i="31"/>
  <c r="R16" i="7"/>
  <c r="R68" i="7"/>
  <c r="Q71" i="7"/>
  <c r="Q80" i="7" s="1"/>
  <c r="Q55" i="7"/>
  <c r="Y8" i="30"/>
  <c r="Y6" i="30"/>
  <c r="Y7" i="30"/>
  <c r="Y9" i="30"/>
  <c r="Z4" i="30"/>
  <c r="Y6" i="31"/>
  <c r="Y8" i="31"/>
  <c r="Z4" i="31"/>
  <c r="Y9" i="31"/>
  <c r="Y7" i="31"/>
  <c r="R48" i="7"/>
  <c r="Y24" i="31"/>
  <c r="Y27" i="31" s="1"/>
  <c r="X43" i="31"/>
  <c r="X19" i="31"/>
  <c r="X19" i="30"/>
  <c r="R79" i="7"/>
  <c r="R54" i="7"/>
  <c r="R65" i="7"/>
  <c r="R21" i="7"/>
  <c r="T5" i="7"/>
  <c r="T11" i="7" s="1"/>
  <c r="O40" i="5"/>
  <c r="S22" i="14"/>
  <c r="S25" i="14" s="1"/>
  <c r="S31" i="14" s="1"/>
  <c r="S33" i="14" s="1"/>
  <c r="S35" i="14" s="1"/>
  <c r="U5" i="13"/>
  <c r="U11" i="13" s="1"/>
  <c r="R68" i="15"/>
  <c r="R54" i="15"/>
  <c r="R79" i="15"/>
  <c r="S128" i="34" s="1"/>
  <c r="S59" i="15"/>
  <c r="T86" i="34" s="1"/>
  <c r="S32" i="15"/>
  <c r="T99" i="13" s="1"/>
  <c r="S72" i="15"/>
  <c r="S61" i="15"/>
  <c r="T92" i="34" s="1"/>
  <c r="S29" i="15"/>
  <c r="T86" i="13" s="1"/>
  <c r="S78" i="15"/>
  <c r="S60" i="15"/>
  <c r="S89" i="34" s="1"/>
  <c r="S20" i="15"/>
  <c r="T47" i="13" s="1"/>
  <c r="S44" i="15"/>
  <c r="T34" i="34" s="1"/>
  <c r="S51" i="15"/>
  <c r="T60" i="34" s="1"/>
  <c r="S46" i="15"/>
  <c r="T42" i="34" s="1"/>
  <c r="S63" i="15"/>
  <c r="T100" i="34" s="1"/>
  <c r="S43" i="15"/>
  <c r="T30" i="34" s="1"/>
  <c r="S76" i="15"/>
  <c r="S66" i="15"/>
  <c r="T109" i="34" s="1"/>
  <c r="S45" i="15"/>
  <c r="T38" i="34" s="1"/>
  <c r="S14" i="15"/>
  <c r="S67" i="15"/>
  <c r="T113" i="34" s="1"/>
  <c r="S53" i="15"/>
  <c r="T69" i="34" s="1"/>
  <c r="S62" i="15"/>
  <c r="T96" i="34" s="1"/>
  <c r="S58" i="15"/>
  <c r="S83" i="34" s="1"/>
  <c r="S70" i="15"/>
  <c r="T121" i="34" s="1"/>
  <c r="S47" i="15"/>
  <c r="T45" i="34" s="1"/>
  <c r="S17" i="15"/>
  <c r="T29" i="13" s="1"/>
  <c r="S73" i="15"/>
  <c r="S50" i="15"/>
  <c r="T56" i="34" s="1"/>
  <c r="S19" i="15"/>
  <c r="T41" i="13" s="1"/>
  <c r="S69" i="15"/>
  <c r="T117" i="34" s="1"/>
  <c r="S34" i="15"/>
  <c r="T106" i="13" s="1"/>
  <c r="S30" i="15"/>
  <c r="T92" i="13" s="1"/>
  <c r="S64" i="15"/>
  <c r="T104" i="34" s="1"/>
  <c r="S26" i="15"/>
  <c r="T68" i="13" s="1"/>
  <c r="S75" i="15"/>
  <c r="S52" i="15"/>
  <c r="T65" i="34" s="1"/>
  <c r="S27" i="15"/>
  <c r="T74" i="13" s="1"/>
  <c r="S77" i="15"/>
  <c r="S57" i="15"/>
  <c r="T79" i="34" s="1"/>
  <c r="S74" i="15"/>
  <c r="S49" i="15"/>
  <c r="T52" i="34" s="1"/>
  <c r="S15" i="15"/>
  <c r="T22" i="13" s="1"/>
  <c r="S28" i="15"/>
  <c r="S42" i="15"/>
  <c r="T25" i="34" s="1"/>
  <c r="S18" i="15"/>
  <c r="T35" i="13" s="1"/>
  <c r="S16" i="13"/>
  <c r="R16" i="15"/>
  <c r="S55" i="13"/>
  <c r="R21" i="15"/>
  <c r="R65" i="15"/>
  <c r="R48" i="15"/>
  <c r="T5" i="15"/>
  <c r="T11" i="15" s="1"/>
  <c r="S55" i="14"/>
  <c r="O40" i="14"/>
  <c r="Q22" i="6"/>
  <c r="Q25" i="6" s="1"/>
  <c r="Q31" i="6" s="1"/>
  <c r="Q33" i="6" s="1"/>
  <c r="Q35" i="6" s="1"/>
  <c r="Q71" i="6"/>
  <c r="Q80" i="6" s="1"/>
  <c r="P40" i="6"/>
  <c r="Q55" i="6"/>
  <c r="Q71" i="15"/>
  <c r="Q80" i="15" s="1"/>
  <c r="S71" i="14"/>
  <c r="S80" i="14" s="1"/>
  <c r="T16" i="14"/>
  <c r="R40" i="14"/>
  <c r="P71" i="14"/>
  <c r="P80" i="14" s="1"/>
  <c r="Q55" i="14"/>
  <c r="R16" i="6"/>
  <c r="S18" i="13"/>
  <c r="S77" i="6"/>
  <c r="S20" i="6"/>
  <c r="T49" i="13" s="1"/>
  <c r="S63" i="6"/>
  <c r="S52" i="6"/>
  <c r="S43" i="6"/>
  <c r="S72" i="6"/>
  <c r="S66" i="6"/>
  <c r="S53" i="6"/>
  <c r="S44" i="6"/>
  <c r="S28" i="6"/>
  <c r="T82" i="13" s="1"/>
  <c r="S15" i="6"/>
  <c r="T24" i="13" s="1"/>
  <c r="S67" i="6"/>
  <c r="S47" i="6"/>
  <c r="S76" i="6"/>
  <c r="S60" i="6"/>
  <c r="S34" i="6"/>
  <c r="T108" i="13" s="1"/>
  <c r="S75" i="6"/>
  <c r="S61" i="6"/>
  <c r="S32" i="6"/>
  <c r="T101" i="13" s="1"/>
  <c r="S69" i="6"/>
  <c r="S51" i="6"/>
  <c r="S26" i="6"/>
  <c r="T70" i="13" s="1"/>
  <c r="S14" i="6"/>
  <c r="S70" i="6"/>
  <c r="S64" i="6"/>
  <c r="S57" i="6"/>
  <c r="S45" i="6"/>
  <c r="S27" i="6"/>
  <c r="T76" i="13" s="1"/>
  <c r="S74" i="6"/>
  <c r="S17" i="6"/>
  <c r="T31" i="13" s="1"/>
  <c r="S58" i="6"/>
  <c r="S46" i="6"/>
  <c r="S30" i="6"/>
  <c r="T94" i="13" s="1"/>
  <c r="S73" i="6"/>
  <c r="S59" i="6"/>
  <c r="S29" i="6"/>
  <c r="T88" i="13" s="1"/>
  <c r="S19" i="6"/>
  <c r="T43" i="13" s="1"/>
  <c r="S49" i="6"/>
  <c r="S18" i="6"/>
  <c r="T37" i="13" s="1"/>
  <c r="S50" i="6"/>
  <c r="S78" i="6"/>
  <c r="S62" i="6"/>
  <c r="S42" i="6"/>
  <c r="T63" i="6"/>
  <c r="T59" i="6"/>
  <c r="T52" i="6"/>
  <c r="T47" i="6"/>
  <c r="T43" i="6"/>
  <c r="T30" i="6"/>
  <c r="U94" i="13" s="1"/>
  <c r="T26" i="6"/>
  <c r="U70" i="13" s="1"/>
  <c r="T75" i="6"/>
  <c r="T20" i="6"/>
  <c r="U49" i="13" s="1"/>
  <c r="T78" i="6"/>
  <c r="T19" i="6"/>
  <c r="U43" i="13" s="1"/>
  <c r="T61" i="6"/>
  <c r="T50" i="6"/>
  <c r="T34" i="6"/>
  <c r="U108" i="13" s="1"/>
  <c r="T15" i="6"/>
  <c r="U24" i="13" s="1"/>
  <c r="T67" i="6"/>
  <c r="T62" i="6"/>
  <c r="T58" i="6"/>
  <c r="T46" i="6"/>
  <c r="T42" i="6"/>
  <c r="T73" i="6"/>
  <c r="T76" i="6"/>
  <c r="T64" i="6"/>
  <c r="T60" i="6"/>
  <c r="T53" i="6"/>
  <c r="T49" i="6"/>
  <c r="T44" i="6"/>
  <c r="T32" i="6"/>
  <c r="U101" i="13" s="1"/>
  <c r="T27" i="6"/>
  <c r="U76" i="13" s="1"/>
  <c r="T77" i="6"/>
  <c r="T69" i="6"/>
  <c r="T14" i="6"/>
  <c r="T72" i="6"/>
  <c r="T66" i="6"/>
  <c r="T57" i="6"/>
  <c r="T45" i="6"/>
  <c r="T28" i="6"/>
  <c r="U82" i="13" s="1"/>
  <c r="T70" i="6"/>
  <c r="T74" i="6"/>
  <c r="T51" i="6"/>
  <c r="T29" i="6"/>
  <c r="U88" i="13" s="1"/>
  <c r="T18" i="6"/>
  <c r="U37" i="13" s="1"/>
  <c r="T17" i="6"/>
  <c r="U31" i="13" s="1"/>
  <c r="P22" i="14"/>
  <c r="P25" i="14" s="1"/>
  <c r="P31" i="14" s="1"/>
  <c r="P33" i="14" s="1"/>
  <c r="P35" i="14" s="1"/>
  <c r="R65" i="5"/>
  <c r="R54" i="5"/>
  <c r="R68" i="5"/>
  <c r="Q71" i="14"/>
  <c r="Q80" i="14" s="1"/>
  <c r="R54" i="6"/>
  <c r="R65" i="6"/>
  <c r="R68" i="6"/>
  <c r="S69" i="5"/>
  <c r="S58" i="5"/>
  <c r="S45" i="5"/>
  <c r="S29" i="5"/>
  <c r="T89" i="13" s="1"/>
  <c r="S14" i="5"/>
  <c r="S73" i="5"/>
  <c r="S63" i="5"/>
  <c r="S53" i="5"/>
  <c r="S44" i="5"/>
  <c r="S26" i="5"/>
  <c r="T71" i="13" s="1"/>
  <c r="S18" i="5"/>
  <c r="T38" i="13" s="1"/>
  <c r="S72" i="5"/>
  <c r="S60" i="5"/>
  <c r="S47" i="5"/>
  <c r="S32" i="5"/>
  <c r="T102" i="13" s="1"/>
  <c r="S17" i="5"/>
  <c r="T32" i="13" s="1"/>
  <c r="S74" i="5"/>
  <c r="S64" i="5"/>
  <c r="S57" i="5"/>
  <c r="S46" i="5"/>
  <c r="S28" i="5"/>
  <c r="T83" i="13" s="1"/>
  <c r="S19" i="5"/>
  <c r="T44" i="13" s="1"/>
  <c r="S75" i="5"/>
  <c r="S62" i="5"/>
  <c r="S50" i="5"/>
  <c r="S34" i="5"/>
  <c r="T109" i="13" s="1"/>
  <c r="S76" i="5"/>
  <c r="S67" i="5"/>
  <c r="S59" i="5"/>
  <c r="S49" i="5"/>
  <c r="S30" i="5"/>
  <c r="T95" i="13" s="1"/>
  <c r="S20" i="5"/>
  <c r="T50" i="13" s="1"/>
  <c r="S78" i="5"/>
  <c r="S66" i="5"/>
  <c r="S52" i="5"/>
  <c r="S43" i="5"/>
  <c r="S27" i="5"/>
  <c r="T77" i="13" s="1"/>
  <c r="S77" i="5"/>
  <c r="S70" i="5"/>
  <c r="S61" i="5"/>
  <c r="S51" i="5"/>
  <c r="S42" i="5"/>
  <c r="S15" i="5"/>
  <c r="T25" i="13" s="1"/>
  <c r="R21" i="5"/>
  <c r="S58" i="13"/>
  <c r="T78" i="5"/>
  <c r="T74" i="5"/>
  <c r="T69" i="5"/>
  <c r="T63" i="5"/>
  <c r="T59" i="5"/>
  <c r="T52" i="5"/>
  <c r="T47" i="5"/>
  <c r="T43" i="5"/>
  <c r="T30" i="5"/>
  <c r="U95" i="13" s="1"/>
  <c r="T26" i="5"/>
  <c r="U71" i="13" s="1"/>
  <c r="T19" i="5"/>
  <c r="U44" i="13" s="1"/>
  <c r="T14" i="5"/>
  <c r="T75" i="5"/>
  <c r="T70" i="5"/>
  <c r="T64" i="5"/>
  <c r="T60" i="5"/>
  <c r="T53" i="5"/>
  <c r="T49" i="5"/>
  <c r="T44" i="5"/>
  <c r="T32" i="5"/>
  <c r="U102" i="13" s="1"/>
  <c r="T27" i="5"/>
  <c r="U77" i="13" s="1"/>
  <c r="T20" i="5"/>
  <c r="U50" i="13" s="1"/>
  <c r="T15" i="5"/>
  <c r="U25" i="13" s="1"/>
  <c r="T76" i="5"/>
  <c r="T72" i="5"/>
  <c r="T66" i="5"/>
  <c r="T61" i="5"/>
  <c r="T57" i="5"/>
  <c r="T50" i="5"/>
  <c r="T45" i="5"/>
  <c r="T34" i="5"/>
  <c r="U109" i="13" s="1"/>
  <c r="T28" i="5"/>
  <c r="U83" i="13" s="1"/>
  <c r="T17" i="5"/>
  <c r="U32" i="13" s="1"/>
  <c r="T77" i="5"/>
  <c r="T73" i="5"/>
  <c r="T67" i="5"/>
  <c r="T62" i="5"/>
  <c r="T58" i="5"/>
  <c r="T51" i="5"/>
  <c r="T46" i="5"/>
  <c r="T42" i="5"/>
  <c r="T29" i="5"/>
  <c r="U89" i="13" s="1"/>
  <c r="T18" i="5"/>
  <c r="U38" i="13" s="1"/>
  <c r="R21" i="6"/>
  <c r="S57" i="13"/>
  <c r="R16" i="5"/>
  <c r="S19" i="13"/>
  <c r="P40" i="7"/>
  <c r="O40" i="15"/>
  <c r="R48" i="6"/>
  <c r="R79" i="6"/>
  <c r="R48" i="5"/>
  <c r="R79" i="5"/>
  <c r="P55" i="14"/>
  <c r="T54" i="14"/>
  <c r="T65" i="14"/>
  <c r="T71" i="14" s="1"/>
  <c r="Q22" i="14"/>
  <c r="Q25" i="14" s="1"/>
  <c r="Q31" i="14" s="1"/>
  <c r="Q33" i="14" s="1"/>
  <c r="Q35" i="14" s="1"/>
  <c r="T21" i="14"/>
  <c r="T48" i="14"/>
  <c r="T79" i="14"/>
  <c r="P55" i="15"/>
  <c r="Q55" i="15"/>
  <c r="P22" i="15"/>
  <c r="P25" i="15" s="1"/>
  <c r="P31" i="15" s="1"/>
  <c r="P33" i="15" s="1"/>
  <c r="P35" i="15" s="1"/>
  <c r="P71" i="15"/>
  <c r="P80" i="15" s="1"/>
  <c r="M4" i="23"/>
  <c r="O4" i="25"/>
  <c r="N4" i="24"/>
  <c r="X4" i="36" l="1"/>
  <c r="X7" i="36" s="1"/>
  <c r="W8" i="36"/>
  <c r="W6" i="36"/>
  <c r="W14" i="36" s="1"/>
  <c r="W19" i="54"/>
  <c r="W10" i="54"/>
  <c r="W14" i="54"/>
  <c r="W13" i="54"/>
  <c r="W15" i="54"/>
  <c r="W18" i="54"/>
  <c r="W17" i="54"/>
  <c r="W11" i="54"/>
  <c r="W12" i="54"/>
  <c r="X5" i="54"/>
  <c r="Y4" i="54"/>
  <c r="X7" i="54"/>
  <c r="X6" i="54"/>
  <c r="Q66" i="49"/>
  <c r="R5" i="50"/>
  <c r="Q10" i="50"/>
  <c r="Q18" i="50"/>
  <c r="Q17" i="50"/>
  <c r="O51" i="52"/>
  <c r="O5" i="52"/>
  <c r="O60" i="52"/>
  <c r="P4" i="52"/>
  <c r="O42" i="52"/>
  <c r="O7" i="52"/>
  <c r="O6" i="52"/>
  <c r="P18" i="48"/>
  <c r="P17" i="48"/>
  <c r="P24" i="48" s="1"/>
  <c r="O8" i="51"/>
  <c r="O6" i="51"/>
  <c r="O12" i="51"/>
  <c r="O32" i="51" s="1"/>
  <c r="O7" i="51"/>
  <c r="P51" i="51" s="1"/>
  <c r="P4" i="51"/>
  <c r="O5" i="51"/>
  <c r="Q17" i="49"/>
  <c r="R5" i="49"/>
  <c r="Q10" i="49"/>
  <c r="Q10" i="48" s="1"/>
  <c r="Q18" i="49"/>
  <c r="Q5" i="48"/>
  <c r="Q40" i="49"/>
  <c r="Q80" i="49"/>
  <c r="Q93" i="49"/>
  <c r="Q47" i="49"/>
  <c r="Q36" i="49"/>
  <c r="O7" i="53"/>
  <c r="O5" i="53"/>
  <c r="X6" i="47" s="1"/>
  <c r="P4" i="53"/>
  <c r="O6" i="53"/>
  <c r="X5" i="47"/>
  <c r="Q55" i="5"/>
  <c r="P22" i="5"/>
  <c r="P25" i="5" s="1"/>
  <c r="P31" i="5" s="1"/>
  <c r="P33" i="5" s="1"/>
  <c r="P35" i="5" s="1"/>
  <c r="P71" i="5"/>
  <c r="P80" i="5" s="1"/>
  <c r="Q17" i="34"/>
  <c r="Q18" i="34"/>
  <c r="T42" i="7"/>
  <c r="T58" i="7"/>
  <c r="Z62" i="34"/>
  <c r="Z56" i="34"/>
  <c r="Z65" i="34"/>
  <c r="Z69" i="34"/>
  <c r="Z92" i="34"/>
  <c r="Z100" i="34"/>
  <c r="Z19" i="34"/>
  <c r="Z25" i="34"/>
  <c r="Z60" i="34"/>
  <c r="Z89" i="34"/>
  <c r="Z109" i="34"/>
  <c r="Z117" i="34"/>
  <c r="Z30" i="34"/>
  <c r="Z45" i="34"/>
  <c r="Z52" i="34"/>
  <c r="Z79" i="34"/>
  <c r="Z83" i="34"/>
  <c r="Z86" i="34"/>
  <c r="Z96" i="34"/>
  <c r="Z113" i="34"/>
  <c r="Z121" i="34"/>
  <c r="Z34" i="34"/>
  <c r="Z38" i="34"/>
  <c r="Z42" i="34"/>
  <c r="Z104" i="34"/>
  <c r="Z128" i="34"/>
  <c r="Z76" i="34"/>
  <c r="T24" i="15"/>
  <c r="U61" i="13" s="1"/>
  <c r="T23" i="15"/>
  <c r="T18" i="7"/>
  <c r="T24" i="7"/>
  <c r="T23" i="7"/>
  <c r="Q22" i="5"/>
  <c r="Q25" i="5" s="1"/>
  <c r="Q31" i="5" s="1"/>
  <c r="Q33" i="5" s="1"/>
  <c r="Q35" i="5" s="1"/>
  <c r="O42" i="43"/>
  <c r="O7" i="43"/>
  <c r="O5" i="43"/>
  <c r="O6" i="43"/>
  <c r="O51" i="43"/>
  <c r="O60" i="43"/>
  <c r="P4" i="43"/>
  <c r="S68" i="7"/>
  <c r="S16" i="7"/>
  <c r="Q71" i="5"/>
  <c r="Q80" i="5" s="1"/>
  <c r="S21" i="7"/>
  <c r="P55" i="5"/>
  <c r="S54" i="7"/>
  <c r="X6" i="36"/>
  <c r="Q5" i="33"/>
  <c r="Q18" i="33" s="1"/>
  <c r="R5" i="34"/>
  <c r="Q10" i="34"/>
  <c r="Q10" i="33" s="1"/>
  <c r="O5" i="39"/>
  <c r="O7" i="39"/>
  <c r="O6" i="39"/>
  <c r="O51" i="39"/>
  <c r="O42" i="39"/>
  <c r="O60" i="39"/>
  <c r="P4" i="39"/>
  <c r="O7" i="40"/>
  <c r="O12" i="40"/>
  <c r="O32" i="40" s="1"/>
  <c r="O6" i="40"/>
  <c r="P4" i="40"/>
  <c r="O5" i="40"/>
  <c r="O8" i="40"/>
  <c r="O5" i="37"/>
  <c r="O6" i="37"/>
  <c r="P4" i="37"/>
  <c r="O7" i="37"/>
  <c r="Q18" i="35"/>
  <c r="Q17" i="35"/>
  <c r="R5" i="35"/>
  <c r="Q10" i="35"/>
  <c r="S48" i="7"/>
  <c r="S79" i="7"/>
  <c r="R22" i="7"/>
  <c r="R25" i="7" s="1"/>
  <c r="R31" i="7" s="1"/>
  <c r="R33" i="7" s="1"/>
  <c r="R35" i="7" s="1"/>
  <c r="Q40" i="7"/>
  <c r="S65" i="7"/>
  <c r="T80" i="13"/>
  <c r="P18" i="33"/>
  <c r="P17" i="33"/>
  <c r="P24" i="33" s="1"/>
  <c r="Z9" i="35"/>
  <c r="AA4" i="35"/>
  <c r="Z6" i="35"/>
  <c r="Z8" i="35"/>
  <c r="Z7" i="35"/>
  <c r="Y19" i="35"/>
  <c r="P10" i="29"/>
  <c r="AA9" i="34"/>
  <c r="AB4" i="34"/>
  <c r="AA8" i="34"/>
  <c r="AA7" i="34"/>
  <c r="AA6" i="34"/>
  <c r="Q5" i="29"/>
  <c r="Q17" i="30"/>
  <c r="R5" i="30"/>
  <c r="Q10" i="30"/>
  <c r="Q18" i="30"/>
  <c r="Q17" i="31"/>
  <c r="Q10" i="31"/>
  <c r="Q18" i="31"/>
  <c r="R5" i="31"/>
  <c r="P17" i="29"/>
  <c r="P24" i="29" s="1"/>
  <c r="P18" i="29"/>
  <c r="R71" i="15"/>
  <c r="R80" i="15" s="1"/>
  <c r="R71" i="7"/>
  <c r="R80" i="7" s="1"/>
  <c r="Z7" i="30"/>
  <c r="Z9" i="30"/>
  <c r="AA4" i="30"/>
  <c r="Z6" i="30"/>
  <c r="Z8" i="30"/>
  <c r="Y43" i="31"/>
  <c r="Y19" i="31"/>
  <c r="Y19" i="30"/>
  <c r="Z24" i="31"/>
  <c r="Z27" i="31" s="1"/>
  <c r="Z9" i="31"/>
  <c r="AA4" i="31"/>
  <c r="Z7" i="31"/>
  <c r="Z8" i="31"/>
  <c r="Z6" i="31"/>
  <c r="R55" i="7"/>
  <c r="T46" i="7"/>
  <c r="T78" i="7"/>
  <c r="T34" i="7"/>
  <c r="T64" i="7"/>
  <c r="T69" i="7"/>
  <c r="T75" i="7"/>
  <c r="T32" i="7"/>
  <c r="T49" i="7"/>
  <c r="S40" i="14"/>
  <c r="T73" i="7"/>
  <c r="T63" i="7"/>
  <c r="T29" i="7"/>
  <c r="T17" i="7"/>
  <c r="T50" i="7"/>
  <c r="T76" i="7"/>
  <c r="T51" i="7"/>
  <c r="T77" i="7"/>
  <c r="T43" i="7"/>
  <c r="T62" i="7"/>
  <c r="T52" i="7"/>
  <c r="T74" i="7"/>
  <c r="T44" i="7"/>
  <c r="T70" i="7"/>
  <c r="T20" i="7"/>
  <c r="T53" i="7"/>
  <c r="T26" i="7"/>
  <c r="T57" i="7"/>
  <c r="T15" i="7"/>
  <c r="T66" i="7"/>
  <c r="T27" i="7"/>
  <c r="T19" i="7"/>
  <c r="T47" i="7"/>
  <c r="T67" i="7"/>
  <c r="T28" i="7"/>
  <c r="T59" i="7"/>
  <c r="T60" i="7"/>
  <c r="T14" i="7"/>
  <c r="T45" i="7"/>
  <c r="T72" i="7"/>
  <c r="T30" i="7"/>
  <c r="T61" i="7"/>
  <c r="R55" i="15"/>
  <c r="T55" i="14"/>
  <c r="S65" i="15"/>
  <c r="S48" i="15"/>
  <c r="S16" i="15"/>
  <c r="T16" i="13"/>
  <c r="S54" i="15"/>
  <c r="T69" i="15"/>
  <c r="U117" i="34" s="1"/>
  <c r="T29" i="15"/>
  <c r="U86" i="13" s="1"/>
  <c r="T46" i="15"/>
  <c r="U42" i="34" s="1"/>
  <c r="T76" i="15"/>
  <c r="T52" i="15"/>
  <c r="U65" i="34" s="1"/>
  <c r="T20" i="15"/>
  <c r="U47" i="13" s="1"/>
  <c r="T30" i="15"/>
  <c r="U92" i="13" s="1"/>
  <c r="T57" i="15"/>
  <c r="U79" i="34" s="1"/>
  <c r="T19" i="15"/>
  <c r="U41" i="13" s="1"/>
  <c r="T42" i="15"/>
  <c r="U25" i="34" s="1"/>
  <c r="T61" i="15"/>
  <c r="U92" i="34" s="1"/>
  <c r="T60" i="15"/>
  <c r="T89" i="34" s="1"/>
  <c r="T28" i="15"/>
  <c r="T53" i="15"/>
  <c r="U69" i="34" s="1"/>
  <c r="T18" i="15"/>
  <c r="U35" i="13" s="1"/>
  <c r="T59" i="15"/>
  <c r="U86" i="34" s="1"/>
  <c r="T58" i="15"/>
  <c r="T83" i="34" s="1"/>
  <c r="T43" i="15"/>
  <c r="U30" i="34" s="1"/>
  <c r="T66" i="15"/>
  <c r="U109" i="34" s="1"/>
  <c r="T15" i="15"/>
  <c r="U22" i="13" s="1"/>
  <c r="T47" i="15"/>
  <c r="U45" i="34" s="1"/>
  <c r="T34" i="15"/>
  <c r="U106" i="13" s="1"/>
  <c r="T51" i="15"/>
  <c r="U60" i="34" s="1"/>
  <c r="T64" i="15"/>
  <c r="U104" i="34" s="1"/>
  <c r="T73" i="15"/>
  <c r="T27" i="15"/>
  <c r="U74" i="13" s="1"/>
  <c r="T75" i="15"/>
  <c r="T17" i="15"/>
  <c r="U29" i="13" s="1"/>
  <c r="T72" i="15"/>
  <c r="T78" i="15"/>
  <c r="T63" i="15"/>
  <c r="U100" i="34" s="1"/>
  <c r="T77" i="15"/>
  <c r="T26" i="15"/>
  <c r="U68" i="13" s="1"/>
  <c r="T32" i="15"/>
  <c r="U99" i="13" s="1"/>
  <c r="T14" i="15"/>
  <c r="T50" i="15"/>
  <c r="U56" i="34" s="1"/>
  <c r="T67" i="15"/>
  <c r="U113" i="34" s="1"/>
  <c r="T74" i="15"/>
  <c r="T44" i="15"/>
  <c r="U34" i="34" s="1"/>
  <c r="T49" i="15"/>
  <c r="U52" i="34" s="1"/>
  <c r="T62" i="15"/>
  <c r="U96" i="34" s="1"/>
  <c r="T45" i="15"/>
  <c r="U38" i="34" s="1"/>
  <c r="T70" i="15"/>
  <c r="U121" i="34" s="1"/>
  <c r="T55" i="13"/>
  <c r="S21" i="15"/>
  <c r="R22" i="15"/>
  <c r="R25" i="15" s="1"/>
  <c r="R31" i="15" s="1"/>
  <c r="R33" i="15" s="1"/>
  <c r="R35" i="15" s="1"/>
  <c r="S68" i="15"/>
  <c r="S79" i="15"/>
  <c r="T128" i="34" s="1"/>
  <c r="Q40" i="6"/>
  <c r="T22" i="14"/>
  <c r="T25" i="14" s="1"/>
  <c r="T31" i="14" s="1"/>
  <c r="T33" i="14" s="1"/>
  <c r="T35" i="14" s="1"/>
  <c r="P40" i="14"/>
  <c r="Q40" i="14"/>
  <c r="R55" i="5"/>
  <c r="T48" i="5"/>
  <c r="T68" i="5"/>
  <c r="T54" i="5"/>
  <c r="S68" i="6"/>
  <c r="S16" i="5"/>
  <c r="T19" i="13"/>
  <c r="U57" i="13"/>
  <c r="T21" i="6"/>
  <c r="T16" i="5"/>
  <c r="U19" i="13"/>
  <c r="T18" i="13"/>
  <c r="S16" i="6"/>
  <c r="S79" i="6"/>
  <c r="R22" i="6"/>
  <c r="R25" i="6" s="1"/>
  <c r="R31" i="6" s="1"/>
  <c r="R33" i="6" s="1"/>
  <c r="R35" i="6" s="1"/>
  <c r="R71" i="5"/>
  <c r="R80" i="5" s="1"/>
  <c r="T79" i="6"/>
  <c r="S54" i="6"/>
  <c r="S65" i="6"/>
  <c r="R55" i="6"/>
  <c r="R22" i="5"/>
  <c r="R25" i="5" s="1"/>
  <c r="R31" i="5" s="1"/>
  <c r="R33" i="5" s="1"/>
  <c r="R35" i="5" s="1"/>
  <c r="T65" i="5"/>
  <c r="S48" i="5"/>
  <c r="S68" i="5"/>
  <c r="S54" i="5"/>
  <c r="S65" i="5"/>
  <c r="R71" i="6"/>
  <c r="R80" i="6" s="1"/>
  <c r="T68" i="6"/>
  <c r="T54" i="6"/>
  <c r="U18" i="13"/>
  <c r="T16" i="6"/>
  <c r="U58" i="13"/>
  <c r="T21" i="5"/>
  <c r="S21" i="5"/>
  <c r="T58" i="13"/>
  <c r="T57" i="13"/>
  <c r="S21" i="6"/>
  <c r="T79" i="5"/>
  <c r="S79" i="5"/>
  <c r="T65" i="6"/>
  <c r="T48" i="6"/>
  <c r="S48" i="6"/>
  <c r="T80" i="14"/>
  <c r="P40" i="15"/>
  <c r="Q40" i="15"/>
  <c r="N4" i="23"/>
  <c r="P4" i="25"/>
  <c r="O4" i="24"/>
  <c r="W13" i="36" l="1"/>
  <c r="W16" i="36"/>
  <c r="W11" i="36"/>
  <c r="W15" i="36"/>
  <c r="W12" i="36"/>
  <c r="Y4" i="36"/>
  <c r="Y7" i="36" s="1"/>
  <c r="X8" i="36"/>
  <c r="X5" i="36"/>
  <c r="Y7" i="54"/>
  <c r="Y5" i="54"/>
  <c r="Z4" i="54"/>
  <c r="Y6" i="54"/>
  <c r="X19" i="54"/>
  <c r="X13" i="54"/>
  <c r="X12" i="54"/>
  <c r="X14" i="54"/>
  <c r="X17" i="54"/>
  <c r="X10" i="54"/>
  <c r="X15" i="54"/>
  <c r="X18" i="54"/>
  <c r="X11" i="54"/>
  <c r="P6" i="53"/>
  <c r="Q4" i="53"/>
  <c r="P5" i="53"/>
  <c r="Y6" i="47" s="1"/>
  <c r="Y5" i="47"/>
  <c r="P7" i="53"/>
  <c r="Q18" i="48"/>
  <c r="Q17" i="48"/>
  <c r="Q24" i="48" s="1"/>
  <c r="R18" i="49"/>
  <c r="S5" i="49"/>
  <c r="R10" i="49"/>
  <c r="R10" i="48" s="1"/>
  <c r="R5" i="48"/>
  <c r="R17" i="49"/>
  <c r="R17" i="50"/>
  <c r="S5" i="50"/>
  <c r="R18" i="50"/>
  <c r="R10" i="50"/>
  <c r="P7" i="51"/>
  <c r="Q51" i="51" s="1"/>
  <c r="P5" i="51"/>
  <c r="P8" i="51"/>
  <c r="P6" i="51"/>
  <c r="Q4" i="51"/>
  <c r="P12" i="51"/>
  <c r="P32" i="51" s="1"/>
  <c r="P42" i="52"/>
  <c r="P5" i="52"/>
  <c r="P7" i="52"/>
  <c r="P60" i="52"/>
  <c r="Q4" i="52"/>
  <c r="P51" i="52"/>
  <c r="P6" i="52"/>
  <c r="Q40" i="5"/>
  <c r="AA19" i="34"/>
  <c r="AA25" i="34"/>
  <c r="AA60" i="34"/>
  <c r="AA89" i="34"/>
  <c r="AA109" i="34"/>
  <c r="AA117" i="34"/>
  <c r="AA30" i="34"/>
  <c r="AA45" i="34"/>
  <c r="AA52" i="34"/>
  <c r="AA79" i="34"/>
  <c r="AA83" i="34"/>
  <c r="AA86" i="34"/>
  <c r="AA96" i="34"/>
  <c r="AA113" i="34"/>
  <c r="AA121" i="34"/>
  <c r="AA34" i="34"/>
  <c r="AA38" i="34"/>
  <c r="AA42" i="34"/>
  <c r="AA104" i="34"/>
  <c r="AA56" i="34"/>
  <c r="AA65" i="34"/>
  <c r="AA69" i="34"/>
  <c r="AA92" i="34"/>
  <c r="AA100" i="34"/>
  <c r="AA128" i="34"/>
  <c r="AA62" i="34"/>
  <c r="R17" i="34"/>
  <c r="R18" i="34"/>
  <c r="AA76" i="34"/>
  <c r="S71" i="7"/>
  <c r="S80" i="7" s="1"/>
  <c r="T16" i="7"/>
  <c r="P51" i="43"/>
  <c r="P7" i="43"/>
  <c r="P42" i="43"/>
  <c r="P6" i="43"/>
  <c r="P60" i="43"/>
  <c r="Q4" i="43"/>
  <c r="P5" i="43"/>
  <c r="P40" i="5"/>
  <c r="S22" i="7"/>
  <c r="S25" i="7" s="1"/>
  <c r="S31" i="7" s="1"/>
  <c r="S33" i="7" s="1"/>
  <c r="S35" i="7" s="1"/>
  <c r="S55" i="7"/>
  <c r="X15" i="36"/>
  <c r="X12" i="36"/>
  <c r="X14" i="36"/>
  <c r="X13" i="36"/>
  <c r="X16" i="36"/>
  <c r="X11" i="36"/>
  <c r="T21" i="7"/>
  <c r="Q17" i="33"/>
  <c r="Q24" i="33" s="1"/>
  <c r="R17" i="35"/>
  <c r="S5" i="35"/>
  <c r="R10" i="35"/>
  <c r="R18" i="35"/>
  <c r="P7" i="40"/>
  <c r="Q4" i="40"/>
  <c r="P5" i="40"/>
  <c r="P12" i="40"/>
  <c r="P32" i="40" s="1"/>
  <c r="P6" i="40"/>
  <c r="P8" i="40"/>
  <c r="P42" i="39"/>
  <c r="P6" i="39"/>
  <c r="P51" i="39"/>
  <c r="P60" i="39"/>
  <c r="Q4" i="39"/>
  <c r="P5" i="39"/>
  <c r="P7" i="39"/>
  <c r="P5" i="37"/>
  <c r="P6" i="37"/>
  <c r="Q4" i="37"/>
  <c r="P7" i="37"/>
  <c r="R5" i="33"/>
  <c r="R10" i="34"/>
  <c r="R10" i="33" s="1"/>
  <c r="S5" i="34"/>
  <c r="R40" i="15"/>
  <c r="U80" i="13"/>
  <c r="T68" i="7"/>
  <c r="AA8" i="35"/>
  <c r="AA9" i="35"/>
  <c r="AB4" i="35"/>
  <c r="AA7" i="35"/>
  <c r="AA6" i="35"/>
  <c r="Z19" i="35"/>
  <c r="Q10" i="29"/>
  <c r="AB8" i="34"/>
  <c r="AB9" i="34"/>
  <c r="AB6" i="34"/>
  <c r="AB7" i="34"/>
  <c r="AC4" i="34"/>
  <c r="R40" i="7"/>
  <c r="R18" i="31"/>
  <c r="R10" i="31"/>
  <c r="R17" i="31"/>
  <c r="S5" i="31"/>
  <c r="R18" i="30"/>
  <c r="R10" i="30"/>
  <c r="R17" i="30"/>
  <c r="S5" i="30"/>
  <c r="R5" i="29"/>
  <c r="Q18" i="29"/>
  <c r="Q17" i="29"/>
  <c r="Q24" i="29" s="1"/>
  <c r="AA24" i="31"/>
  <c r="AA27" i="31" s="1"/>
  <c r="AA8" i="31"/>
  <c r="AA6" i="31"/>
  <c r="AA7" i="31"/>
  <c r="AA9" i="31"/>
  <c r="AB4" i="31"/>
  <c r="AA6" i="30"/>
  <c r="AA8" i="30"/>
  <c r="AB4" i="30"/>
  <c r="AA9" i="30"/>
  <c r="AA7" i="30"/>
  <c r="Z19" i="30"/>
  <c r="Z43" i="31"/>
  <c r="Z19" i="31"/>
  <c r="T65" i="7"/>
  <c r="T79" i="7"/>
  <c r="T48" i="7"/>
  <c r="T54" i="7"/>
  <c r="T40" i="14"/>
  <c r="S71" i="15"/>
  <c r="S80" i="15" s="1"/>
  <c r="T54" i="15"/>
  <c r="T48" i="15"/>
  <c r="U16" i="13"/>
  <c r="T16" i="15"/>
  <c r="T68" i="15"/>
  <c r="T65" i="15"/>
  <c r="S22" i="15"/>
  <c r="S25" i="15" s="1"/>
  <c r="S31" i="15" s="1"/>
  <c r="S33" i="15" s="1"/>
  <c r="S35" i="15" s="1"/>
  <c r="S55" i="15"/>
  <c r="U55" i="13"/>
  <c r="T21" i="15"/>
  <c r="T79" i="15"/>
  <c r="U128" i="34" s="1"/>
  <c r="T71" i="5"/>
  <c r="T80" i="5" s="1"/>
  <c r="T55" i="5"/>
  <c r="R40" i="5"/>
  <c r="S71" i="6"/>
  <c r="S80" i="6" s="1"/>
  <c r="S22" i="6"/>
  <c r="S25" i="6" s="1"/>
  <c r="S31" i="6" s="1"/>
  <c r="S33" i="6" s="1"/>
  <c r="S35" i="6" s="1"/>
  <c r="S22" i="5"/>
  <c r="S25" i="5" s="1"/>
  <c r="S31" i="5" s="1"/>
  <c r="S33" i="5" s="1"/>
  <c r="S35" i="5" s="1"/>
  <c r="T71" i="6"/>
  <c r="T80" i="6" s="1"/>
  <c r="T22" i="5"/>
  <c r="T25" i="5" s="1"/>
  <c r="T31" i="5" s="1"/>
  <c r="T33" i="5" s="1"/>
  <c r="T35" i="5" s="1"/>
  <c r="T55" i="6"/>
  <c r="S71" i="5"/>
  <c r="S80" i="5" s="1"/>
  <c r="S55" i="6"/>
  <c r="T22" i="6"/>
  <c r="T25" i="6" s="1"/>
  <c r="T31" i="6" s="1"/>
  <c r="T33" i="6" s="1"/>
  <c r="T35" i="6" s="1"/>
  <c r="R40" i="6"/>
  <c r="S55" i="5"/>
  <c r="O4" i="23"/>
  <c r="Q4" i="25"/>
  <c r="P4" i="24"/>
  <c r="Y6" i="36" l="1"/>
  <c r="Y12" i="36" s="1"/>
  <c r="Y5" i="36"/>
  <c r="Z4" i="36"/>
  <c r="Z7" i="36" s="1"/>
  <c r="Y8" i="36"/>
  <c r="Y13" i="54"/>
  <c r="Y12" i="54"/>
  <c r="Y17" i="54"/>
  <c r="Y11" i="54"/>
  <c r="Y19" i="54"/>
  <c r="Y10" i="54"/>
  <c r="Y18" i="54"/>
  <c r="Y15" i="54"/>
  <c r="Y14" i="54"/>
  <c r="AA4" i="54"/>
  <c r="Z7" i="54"/>
  <c r="Z6" i="54"/>
  <c r="Z5" i="54"/>
  <c r="Q7" i="52"/>
  <c r="Q6" i="52"/>
  <c r="Q42" i="52"/>
  <c r="Q60" i="52"/>
  <c r="Q5" i="52"/>
  <c r="Q51" i="52"/>
  <c r="R4" i="52"/>
  <c r="S18" i="50"/>
  <c r="S10" i="50"/>
  <c r="T5" i="50"/>
  <c r="S17" i="50"/>
  <c r="R18" i="48"/>
  <c r="R17" i="48"/>
  <c r="R24" i="48" s="1"/>
  <c r="Q8" i="51"/>
  <c r="Q7" i="51"/>
  <c r="R51" i="51" s="1"/>
  <c r="R4" i="51"/>
  <c r="Q6" i="51"/>
  <c r="Q12" i="51"/>
  <c r="Q32" i="51" s="1"/>
  <c r="Q5" i="51"/>
  <c r="S5" i="48"/>
  <c r="S18" i="49"/>
  <c r="S17" i="49"/>
  <c r="T5" i="49"/>
  <c r="S10" i="49"/>
  <c r="S10" i="48" s="1"/>
  <c r="Q7" i="53"/>
  <c r="R4" i="53"/>
  <c r="Q5" i="53"/>
  <c r="Z6" i="47" s="1"/>
  <c r="Q6" i="53"/>
  <c r="Z5" i="47"/>
  <c r="AB62" i="34"/>
  <c r="S18" i="34"/>
  <c r="S17" i="34"/>
  <c r="AB30" i="34"/>
  <c r="AB45" i="34"/>
  <c r="AB52" i="34"/>
  <c r="AB79" i="34"/>
  <c r="AB83" i="34"/>
  <c r="AB86" i="34"/>
  <c r="AB96" i="34"/>
  <c r="AB113" i="34"/>
  <c r="AB121" i="34"/>
  <c r="AB34" i="34"/>
  <c r="AB38" i="34"/>
  <c r="AB42" i="34"/>
  <c r="AB104" i="34"/>
  <c r="AB56" i="34"/>
  <c r="AB65" i="34"/>
  <c r="AB69" i="34"/>
  <c r="AB92" i="34"/>
  <c r="AB100" i="34"/>
  <c r="AB19" i="34"/>
  <c r="AB25" i="34"/>
  <c r="AB60" i="34"/>
  <c r="AB89" i="34"/>
  <c r="AB109" i="34"/>
  <c r="AB117" i="34"/>
  <c r="AB128" i="34"/>
  <c r="AB76" i="34"/>
  <c r="T22" i="7"/>
  <c r="T25" i="7" s="1"/>
  <c r="T31" i="7" s="1"/>
  <c r="T33" i="7" s="1"/>
  <c r="T35" i="7" s="1"/>
  <c r="Q60" i="43"/>
  <c r="Q42" i="43"/>
  <c r="Q51" i="43"/>
  <c r="R4" i="43"/>
  <c r="Q5" i="43"/>
  <c r="Q7" i="43"/>
  <c r="Q6" i="43"/>
  <c r="R18" i="33"/>
  <c r="S40" i="7"/>
  <c r="Q5" i="37"/>
  <c r="Q7" i="37"/>
  <c r="R4" i="37"/>
  <c r="Q6" i="37"/>
  <c r="Q7" i="40"/>
  <c r="Q8" i="40"/>
  <c r="Q12" i="40"/>
  <c r="Q32" i="40" s="1"/>
  <c r="R4" i="40"/>
  <c r="Q5" i="40"/>
  <c r="Q6" i="40"/>
  <c r="S5" i="33"/>
  <c r="S17" i="33" s="1"/>
  <c r="S24" i="33" s="1"/>
  <c r="S10" i="34"/>
  <c r="S10" i="33" s="1"/>
  <c r="T5" i="34"/>
  <c r="Q42" i="39"/>
  <c r="Q60" i="39"/>
  <c r="Q5" i="39"/>
  <c r="Q6" i="39"/>
  <c r="R4" i="39"/>
  <c r="Q51" i="39"/>
  <c r="Q7" i="39"/>
  <c r="R17" i="33"/>
  <c r="R24" i="33" s="1"/>
  <c r="S17" i="35"/>
  <c r="T5" i="35"/>
  <c r="S10" i="35"/>
  <c r="S18" i="35"/>
  <c r="T71" i="7"/>
  <c r="T80" i="7" s="1"/>
  <c r="AB7" i="35"/>
  <c r="AB8" i="35"/>
  <c r="AB6" i="35"/>
  <c r="AB9" i="35"/>
  <c r="AC4" i="35"/>
  <c r="AC7" i="34"/>
  <c r="AC9" i="34"/>
  <c r="AC6" i="34"/>
  <c r="AC8" i="34"/>
  <c r="R10" i="29"/>
  <c r="AA19" i="35"/>
  <c r="R18" i="29"/>
  <c r="R17" i="29"/>
  <c r="R24" i="29" s="1"/>
  <c r="S10" i="30"/>
  <c r="S17" i="30"/>
  <c r="T5" i="30"/>
  <c r="S18" i="30"/>
  <c r="S5" i="29"/>
  <c r="S18" i="31"/>
  <c r="S17" i="31"/>
  <c r="S10" i="31"/>
  <c r="T5" i="31"/>
  <c r="AB7" i="31"/>
  <c r="AB9" i="31"/>
  <c r="AC4" i="31"/>
  <c r="AB6" i="31"/>
  <c r="AB8" i="31"/>
  <c r="AB24" i="31"/>
  <c r="AB27" i="31" s="1"/>
  <c r="AA19" i="30"/>
  <c r="AA43" i="31"/>
  <c r="AA19" i="31"/>
  <c r="T55" i="7"/>
  <c r="AB9" i="30"/>
  <c r="AC4" i="30"/>
  <c r="AB7" i="30"/>
  <c r="AB8" i="30"/>
  <c r="AB6" i="30"/>
  <c r="S40" i="15"/>
  <c r="T22" i="15"/>
  <c r="T25" i="15" s="1"/>
  <c r="T31" i="15" s="1"/>
  <c r="T33" i="15" s="1"/>
  <c r="T35" i="15" s="1"/>
  <c r="T40" i="5"/>
  <c r="T55" i="15"/>
  <c r="T71" i="15"/>
  <c r="T80" i="15" s="1"/>
  <c r="S40" i="5"/>
  <c r="S40" i="6"/>
  <c r="T40" i="6"/>
  <c r="P4" i="23"/>
  <c r="R4" i="25"/>
  <c r="Q4" i="24"/>
  <c r="Y14" i="36" l="1"/>
  <c r="Y13" i="36"/>
  <c r="Y15" i="36"/>
  <c r="Z6" i="36"/>
  <c r="Z15" i="36" s="1"/>
  <c r="Y11" i="36"/>
  <c r="Z5" i="36"/>
  <c r="Y16" i="36"/>
  <c r="Z8" i="36"/>
  <c r="AA4" i="36"/>
  <c r="AA7" i="36" s="1"/>
  <c r="Z17" i="54"/>
  <c r="Z13" i="54"/>
  <c r="Z18" i="54"/>
  <c r="Z12" i="54"/>
  <c r="Z10" i="54"/>
  <c r="Z15" i="54"/>
  <c r="Z11" i="54"/>
  <c r="Z14" i="54"/>
  <c r="Z19" i="54"/>
  <c r="AB4" i="54"/>
  <c r="AA7" i="54"/>
  <c r="AA5" i="54"/>
  <c r="AA6" i="54"/>
  <c r="S17" i="48"/>
  <c r="S24" i="48" s="1"/>
  <c r="S18" i="48"/>
  <c r="R5" i="53"/>
  <c r="AA6" i="47" s="1"/>
  <c r="S4" i="53"/>
  <c r="R6" i="53"/>
  <c r="R7" i="53"/>
  <c r="AA5" i="47"/>
  <c r="T17" i="50"/>
  <c r="U5" i="50"/>
  <c r="T10" i="50"/>
  <c r="T18" i="50"/>
  <c r="T5" i="48"/>
  <c r="T17" i="49"/>
  <c r="U5" i="49"/>
  <c r="T10" i="49"/>
  <c r="T10" i="48" s="1"/>
  <c r="T18" i="49"/>
  <c r="R7" i="52"/>
  <c r="R60" i="52"/>
  <c r="R6" i="52"/>
  <c r="R5" i="52"/>
  <c r="R42" i="52"/>
  <c r="R51" i="52"/>
  <c r="S4" i="52"/>
  <c r="R5" i="51"/>
  <c r="R8" i="51"/>
  <c r="R12" i="51"/>
  <c r="R32" i="51" s="1"/>
  <c r="R6" i="51"/>
  <c r="S4" i="51"/>
  <c r="R7" i="51"/>
  <c r="S51" i="51" s="1"/>
  <c r="AC76" i="34"/>
  <c r="T18" i="34"/>
  <c r="T17" i="34"/>
  <c r="AC62" i="34"/>
  <c r="AC34" i="34"/>
  <c r="AC38" i="34"/>
  <c r="AC42" i="34"/>
  <c r="AC104" i="34"/>
  <c r="AC56" i="34"/>
  <c r="AC65" i="34"/>
  <c r="AC69" i="34"/>
  <c r="AC92" i="34"/>
  <c r="AC100" i="34"/>
  <c r="AC19" i="34"/>
  <c r="AC25" i="34"/>
  <c r="AC60" i="34"/>
  <c r="AC89" i="34"/>
  <c r="AC109" i="34"/>
  <c r="AC117" i="34"/>
  <c r="AC30" i="34"/>
  <c r="AC45" i="34"/>
  <c r="AC52" i="34"/>
  <c r="AC79" i="34"/>
  <c r="AC83" i="34"/>
  <c r="AC86" i="34"/>
  <c r="AC96" i="34"/>
  <c r="AC113" i="34"/>
  <c r="AC121" i="34"/>
  <c r="AC128" i="34"/>
  <c r="R60" i="43"/>
  <c r="S4" i="43"/>
  <c r="R51" i="43"/>
  <c r="R5" i="43"/>
  <c r="R42" i="43"/>
  <c r="R7" i="43"/>
  <c r="R6" i="43"/>
  <c r="S18" i="33"/>
  <c r="T5" i="33"/>
  <c r="T18" i="33" s="1"/>
  <c r="U5" i="34"/>
  <c r="T10" i="34"/>
  <c r="T10" i="33" s="1"/>
  <c r="S4" i="37"/>
  <c r="R5" i="37"/>
  <c r="R6" i="37"/>
  <c r="R7" i="37"/>
  <c r="T10" i="35"/>
  <c r="T17" i="35"/>
  <c r="U5" i="35"/>
  <c r="T18" i="35"/>
  <c r="R5" i="39"/>
  <c r="R7" i="39"/>
  <c r="R60" i="39"/>
  <c r="R51" i="39"/>
  <c r="R42" i="39"/>
  <c r="R6" i="39"/>
  <c r="S4" i="39"/>
  <c r="R7" i="40"/>
  <c r="R6" i="40"/>
  <c r="R8" i="40"/>
  <c r="R12" i="40"/>
  <c r="R32" i="40" s="1"/>
  <c r="S4" i="40"/>
  <c r="R5" i="40"/>
  <c r="AC6" i="35"/>
  <c r="AC7" i="35"/>
  <c r="AC8" i="35"/>
  <c r="AC9" i="35"/>
  <c r="S10" i="29"/>
  <c r="AB19" i="35"/>
  <c r="T17" i="31"/>
  <c r="T18" i="31"/>
  <c r="T10" i="31"/>
  <c r="U5" i="31"/>
  <c r="S18" i="29"/>
  <c r="S17" i="29"/>
  <c r="S24" i="29" s="1"/>
  <c r="T40" i="7"/>
  <c r="U5" i="30"/>
  <c r="T18" i="30"/>
  <c r="T5" i="29"/>
  <c r="T17" i="30"/>
  <c r="T10" i="30"/>
  <c r="AB19" i="30"/>
  <c r="AC8" i="30"/>
  <c r="AC6" i="30"/>
  <c r="AC7" i="30"/>
  <c r="AC9" i="30"/>
  <c r="AC24" i="31"/>
  <c r="AC27" i="31" s="1"/>
  <c r="AC6" i="31"/>
  <c r="AC8" i="31"/>
  <c r="AC9" i="31"/>
  <c r="AC7" i="31"/>
  <c r="AB43" i="31"/>
  <c r="AB19" i="31"/>
  <c r="T40" i="15"/>
  <c r="Q4" i="23"/>
  <c r="S4" i="25"/>
  <c r="R4" i="24"/>
  <c r="Z11" i="36" l="1"/>
  <c r="Z14" i="36"/>
  <c r="Z16" i="36"/>
  <c r="Z12" i="36"/>
  <c r="Z13" i="36"/>
  <c r="AA8" i="36"/>
  <c r="AA6" i="36"/>
  <c r="AA12" i="36" s="1"/>
  <c r="AB4" i="36"/>
  <c r="AB7" i="36" s="1"/>
  <c r="AA5" i="36"/>
  <c r="AB7" i="54"/>
  <c r="AC4" i="54"/>
  <c r="AB5" i="54"/>
  <c r="AB6" i="54"/>
  <c r="AA19" i="54"/>
  <c r="AA12" i="54"/>
  <c r="AA14" i="54"/>
  <c r="AA13" i="54"/>
  <c r="AA15" i="54"/>
  <c r="AA18" i="54"/>
  <c r="AA10" i="54"/>
  <c r="AA11" i="54"/>
  <c r="AA17" i="54"/>
  <c r="V5" i="50"/>
  <c r="U10" i="50"/>
  <c r="U18" i="50"/>
  <c r="U17" i="50"/>
  <c r="S6" i="53"/>
  <c r="AB5" i="47"/>
  <c r="T4" i="53"/>
  <c r="S5" i="53"/>
  <c r="AB6" i="47" s="1"/>
  <c r="S7" i="53"/>
  <c r="S5" i="51"/>
  <c r="S12" i="51"/>
  <c r="S32" i="51" s="1"/>
  <c r="S7" i="51"/>
  <c r="T51" i="51" s="1"/>
  <c r="T4" i="51"/>
  <c r="S8" i="51"/>
  <c r="S6" i="51"/>
  <c r="T17" i="48"/>
  <c r="T24" i="48" s="1"/>
  <c r="T18" i="48"/>
  <c r="S60" i="52"/>
  <c r="S7" i="52"/>
  <c r="S42" i="52"/>
  <c r="T4" i="52"/>
  <c r="S6" i="52"/>
  <c r="S5" i="52"/>
  <c r="S51" i="52"/>
  <c r="U17" i="49"/>
  <c r="U10" i="49"/>
  <c r="U10" i="48" s="1"/>
  <c r="V5" i="49"/>
  <c r="U18" i="49"/>
  <c r="U5" i="48"/>
  <c r="U17" i="34"/>
  <c r="U18" i="34"/>
  <c r="T4" i="43"/>
  <c r="S5" i="43"/>
  <c r="S60" i="43"/>
  <c r="S51" i="43"/>
  <c r="S7" i="43"/>
  <c r="S42" i="43"/>
  <c r="S6" i="43"/>
  <c r="L77" i="34"/>
  <c r="T17" i="33"/>
  <c r="T24" i="33" s="1"/>
  <c r="S5" i="39"/>
  <c r="S6" i="39"/>
  <c r="S51" i="39"/>
  <c r="S7" i="39"/>
  <c r="S60" i="39"/>
  <c r="S42" i="39"/>
  <c r="T4" i="39"/>
  <c r="V5" i="35"/>
  <c r="U17" i="35"/>
  <c r="U10" i="35"/>
  <c r="U18" i="35"/>
  <c r="S7" i="40"/>
  <c r="S5" i="40"/>
  <c r="T4" i="40"/>
  <c r="S8" i="40"/>
  <c r="S12" i="40"/>
  <c r="S32" i="40" s="1"/>
  <c r="S6" i="40"/>
  <c r="S7" i="37"/>
  <c r="T4" i="37"/>
  <c r="S6" i="37"/>
  <c r="S5" i="37"/>
  <c r="U5" i="33"/>
  <c r="V5" i="34"/>
  <c r="U10" i="34"/>
  <c r="U10" i="33" s="1"/>
  <c r="T10" i="29"/>
  <c r="AC19" i="35"/>
  <c r="U5" i="29"/>
  <c r="U17" i="30"/>
  <c r="U10" i="30"/>
  <c r="V5" i="30"/>
  <c r="U18" i="30"/>
  <c r="T17" i="29"/>
  <c r="T24" i="29" s="1"/>
  <c r="T18" i="29"/>
  <c r="U18" i="31"/>
  <c r="U10" i="31"/>
  <c r="V5" i="31"/>
  <c r="U17" i="31"/>
  <c r="AC43" i="31"/>
  <c r="AC19" i="31"/>
  <c r="AC19" i="30"/>
  <c r="R4" i="23"/>
  <c r="T4" i="25"/>
  <c r="S4" i="24"/>
  <c r="AA14" i="36" l="1"/>
  <c r="AA11" i="36"/>
  <c r="AA15" i="36"/>
  <c r="AA16" i="36"/>
  <c r="AA13" i="36"/>
  <c r="AB5" i="36"/>
  <c r="AB6" i="36"/>
  <c r="AB11" i="36" s="1"/>
  <c r="AB8" i="36"/>
  <c r="AC4" i="36"/>
  <c r="AC7" i="36" s="1"/>
  <c r="AB18" i="54"/>
  <c r="AB12" i="54"/>
  <c r="AB19" i="54"/>
  <c r="AB13" i="54"/>
  <c r="AB11" i="54"/>
  <c r="AB14" i="54"/>
  <c r="AB17" i="54"/>
  <c r="AB10" i="54"/>
  <c r="AB15" i="54"/>
  <c r="AC5" i="54"/>
  <c r="AD4" i="54"/>
  <c r="AC6" i="54"/>
  <c r="AC7" i="54"/>
  <c r="V10" i="49"/>
  <c r="W5" i="49"/>
  <c r="V18" i="49"/>
  <c r="V17" i="49"/>
  <c r="U17" i="48"/>
  <c r="U24" i="48" s="1"/>
  <c r="U18" i="48"/>
  <c r="T6" i="51"/>
  <c r="T12" i="51"/>
  <c r="T32" i="51" s="1"/>
  <c r="T7" i="51"/>
  <c r="U51" i="51" s="1"/>
  <c r="T5" i="51"/>
  <c r="T8" i="51"/>
  <c r="U4" i="51"/>
  <c r="U4" i="53"/>
  <c r="T7" i="53"/>
  <c r="T5" i="53"/>
  <c r="AC6" i="47" s="1"/>
  <c r="AC5" i="47"/>
  <c r="T6" i="53"/>
  <c r="U4" i="52"/>
  <c r="T51" i="52"/>
  <c r="T7" i="52"/>
  <c r="T6" i="52"/>
  <c r="T5" i="52"/>
  <c r="T60" i="52"/>
  <c r="T42" i="52"/>
  <c r="V28" i="50"/>
  <c r="V18" i="50"/>
  <c r="V10" i="50"/>
  <c r="V17" i="50"/>
  <c r="W5" i="50"/>
  <c r="V18" i="34"/>
  <c r="V17" i="34"/>
  <c r="T5" i="43"/>
  <c r="T6" i="43"/>
  <c r="T7" i="43"/>
  <c r="T42" i="43"/>
  <c r="T51" i="43"/>
  <c r="T60" i="43"/>
  <c r="U4" i="43"/>
  <c r="AD4" i="36"/>
  <c r="AD7" i="36" s="1"/>
  <c r="U18" i="33"/>
  <c r="V17" i="35"/>
  <c r="W5" i="35"/>
  <c r="V10" i="35"/>
  <c r="V18" i="35"/>
  <c r="U4" i="37"/>
  <c r="T5" i="37"/>
  <c r="T6" i="37"/>
  <c r="T7" i="37"/>
  <c r="T7" i="40"/>
  <c r="T12" i="40"/>
  <c r="T32" i="40" s="1"/>
  <c r="T8" i="40"/>
  <c r="T6" i="40"/>
  <c r="U4" i="40"/>
  <c r="T5" i="40"/>
  <c r="U17" i="33"/>
  <c r="V10" i="34"/>
  <c r="W5" i="34"/>
  <c r="T60" i="39"/>
  <c r="T5" i="39"/>
  <c r="T42" i="39"/>
  <c r="U4" i="39"/>
  <c r="T51" i="39"/>
  <c r="T6" i="39"/>
  <c r="T7" i="39"/>
  <c r="U10" i="29"/>
  <c r="U17" i="29"/>
  <c r="U24" i="29" s="1"/>
  <c r="U18" i="29"/>
  <c r="W5" i="31"/>
  <c r="V18" i="31"/>
  <c r="V10" i="31"/>
  <c r="V17" i="31"/>
  <c r="V10" i="30"/>
  <c r="V17" i="30"/>
  <c r="W5" i="30"/>
  <c r="V18" i="30"/>
  <c r="S4" i="23"/>
  <c r="U4" i="25"/>
  <c r="T4" i="24"/>
  <c r="AB14" i="36" l="1"/>
  <c r="AB12" i="36"/>
  <c r="AB16" i="36"/>
  <c r="AB15" i="36"/>
  <c r="AC6" i="36"/>
  <c r="AC13" i="36" s="1"/>
  <c r="AB13" i="36"/>
  <c r="AC5" i="36"/>
  <c r="AC8" i="36"/>
  <c r="AC17" i="54"/>
  <c r="AC12" i="54"/>
  <c r="AC15" i="54"/>
  <c r="AC10" i="54"/>
  <c r="AC18" i="54"/>
  <c r="AC14" i="54"/>
  <c r="AC19" i="54"/>
  <c r="AC13" i="54"/>
  <c r="AC11" i="54"/>
  <c r="AE4" i="54"/>
  <c r="AD6" i="54"/>
  <c r="AD7" i="54"/>
  <c r="AD5" i="54"/>
  <c r="V4" i="51"/>
  <c r="U12" i="51"/>
  <c r="U32" i="51" s="1"/>
  <c r="U7" i="51"/>
  <c r="V51" i="51" s="1"/>
  <c r="U8" i="51"/>
  <c r="U6" i="51"/>
  <c r="U5" i="51"/>
  <c r="W28" i="50"/>
  <c r="W17" i="50"/>
  <c r="W10" i="50"/>
  <c r="X5" i="50"/>
  <c r="W18" i="50"/>
  <c r="V33" i="50"/>
  <c r="V34" i="50" s="1"/>
  <c r="V31" i="50"/>
  <c r="U42" i="52"/>
  <c r="U60" i="52"/>
  <c r="U7" i="52"/>
  <c r="V4" i="52"/>
  <c r="U51" i="52"/>
  <c r="U5" i="52"/>
  <c r="U6" i="52"/>
  <c r="AD5" i="47"/>
  <c r="U5" i="53"/>
  <c r="AD6" i="47" s="1"/>
  <c r="V4" i="53"/>
  <c r="U6" i="53"/>
  <c r="U7" i="53"/>
  <c r="X5" i="49"/>
  <c r="W18" i="49"/>
  <c r="W10" i="49"/>
  <c r="W17" i="49"/>
  <c r="W18" i="34"/>
  <c r="W17" i="34"/>
  <c r="U24" i="33"/>
  <c r="U7" i="43"/>
  <c r="U60" i="43"/>
  <c r="U42" i="43"/>
  <c r="V4" i="43"/>
  <c r="U5" i="43"/>
  <c r="U51" i="43"/>
  <c r="U6" i="43"/>
  <c r="AC15" i="36"/>
  <c r="AE4" i="36"/>
  <c r="AE7" i="36" s="1"/>
  <c r="AD8" i="36"/>
  <c r="AD6" i="36"/>
  <c r="AD5" i="36"/>
  <c r="U5" i="37"/>
  <c r="V4" i="37"/>
  <c r="U6" i="37"/>
  <c r="U7" i="37"/>
  <c r="X5" i="35"/>
  <c r="W18" i="35"/>
  <c r="W17" i="35"/>
  <c r="W10" i="35"/>
  <c r="U7" i="39"/>
  <c r="U5" i="39"/>
  <c r="U6" i="39"/>
  <c r="U60" i="39"/>
  <c r="U51" i="39"/>
  <c r="V4" i="39"/>
  <c r="U42" i="39"/>
  <c r="U7" i="40"/>
  <c r="U8" i="40"/>
  <c r="U6" i="40"/>
  <c r="U12" i="40"/>
  <c r="U32" i="40" s="1"/>
  <c r="V4" i="40"/>
  <c r="U5" i="40"/>
  <c r="X5" i="34"/>
  <c r="W10" i="34"/>
  <c r="W18" i="31"/>
  <c r="X5" i="31"/>
  <c r="W17" i="31"/>
  <c r="W10" i="31"/>
  <c r="W10" i="30"/>
  <c r="W17" i="30"/>
  <c r="W18" i="30"/>
  <c r="X5" i="30"/>
  <c r="T4" i="23"/>
  <c r="V4" i="25"/>
  <c r="U4" i="24"/>
  <c r="AC12" i="36" l="1"/>
  <c r="AC16" i="36"/>
  <c r="AC14" i="36"/>
  <c r="AC11" i="36"/>
  <c r="AD15" i="54"/>
  <c r="AD11" i="54"/>
  <c r="AD19" i="54"/>
  <c r="AD10" i="54"/>
  <c r="AD17" i="54"/>
  <c r="AD18" i="54"/>
  <c r="AD13" i="54"/>
  <c r="AD12" i="54"/>
  <c r="AD14" i="54"/>
  <c r="AE5" i="54"/>
  <c r="AF4" i="54"/>
  <c r="AE7" i="54"/>
  <c r="AE6" i="54"/>
  <c r="X17" i="49"/>
  <c r="X10" i="49"/>
  <c r="X18" i="49"/>
  <c r="Y5" i="49"/>
  <c r="W31" i="50"/>
  <c r="W33" i="50"/>
  <c r="W34" i="50" s="1"/>
  <c r="V7" i="53"/>
  <c r="W4" i="53"/>
  <c r="V6" i="53"/>
  <c r="V5" i="53"/>
  <c r="AE6" i="47" s="1"/>
  <c r="AE5" i="47"/>
  <c r="W4" i="51"/>
  <c r="V12" i="51"/>
  <c r="V32" i="51" s="1"/>
  <c r="V5" i="51"/>
  <c r="V8" i="51"/>
  <c r="V7" i="51"/>
  <c r="W51" i="51" s="1"/>
  <c r="V6" i="51"/>
  <c r="V60" i="52"/>
  <c r="W4" i="52"/>
  <c r="V5" i="52"/>
  <c r="V6" i="52"/>
  <c r="V7" i="52"/>
  <c r="V42" i="52"/>
  <c r="V51" i="52"/>
  <c r="X10" i="50"/>
  <c r="X17" i="50"/>
  <c r="X18" i="50"/>
  <c r="X28" i="50"/>
  <c r="Y5" i="50"/>
  <c r="X18" i="34"/>
  <c r="X17" i="34"/>
  <c r="V51" i="43"/>
  <c r="V5" i="43"/>
  <c r="V6" i="43"/>
  <c r="V60" i="43"/>
  <c r="W4" i="43"/>
  <c r="V42" i="43"/>
  <c r="V7" i="43"/>
  <c r="AF4" i="36"/>
  <c r="AF7" i="36" s="1"/>
  <c r="AE5" i="36"/>
  <c r="AE8" i="36"/>
  <c r="AE6" i="36"/>
  <c r="AD15" i="36"/>
  <c r="AD12" i="36"/>
  <c r="AD11" i="36"/>
  <c r="AD14" i="36"/>
  <c r="AD16" i="36"/>
  <c r="AD13" i="36"/>
  <c r="V7" i="40"/>
  <c r="V12" i="40"/>
  <c r="V32" i="40" s="1"/>
  <c r="W4" i="40"/>
  <c r="V5" i="40"/>
  <c r="V6" i="40"/>
  <c r="V8" i="40"/>
  <c r="X17" i="35"/>
  <c r="X18" i="35"/>
  <c r="Y5" i="35"/>
  <c r="X10" i="35"/>
  <c r="V60" i="39"/>
  <c r="V51" i="39"/>
  <c r="V42" i="39"/>
  <c r="V6" i="39"/>
  <c r="W4" i="39"/>
  <c r="V5" i="39"/>
  <c r="V7" i="39"/>
  <c r="V5" i="37"/>
  <c r="V6" i="37"/>
  <c r="V7" i="37"/>
  <c r="W4" i="37"/>
  <c r="X10" i="34"/>
  <c r="Y5" i="34"/>
  <c r="X10" i="31"/>
  <c r="X18" i="31"/>
  <c r="X17" i="31"/>
  <c r="Y5" i="31"/>
  <c r="X17" i="30"/>
  <c r="X10" i="30"/>
  <c r="Y5" i="30"/>
  <c r="X18" i="30"/>
  <c r="U4" i="23"/>
  <c r="W4" i="25"/>
  <c r="V4" i="24"/>
  <c r="AF5" i="54" l="1"/>
  <c r="AG4" i="54"/>
  <c r="AF6" i="54"/>
  <c r="AF7" i="54"/>
  <c r="AE15" i="54"/>
  <c r="AE10" i="54"/>
  <c r="AE17" i="54"/>
  <c r="AE11" i="54"/>
  <c r="AE18" i="54"/>
  <c r="AE19" i="54"/>
  <c r="AE13" i="54"/>
  <c r="AE14" i="54"/>
  <c r="AE12" i="54"/>
  <c r="Y28" i="50"/>
  <c r="Z5" i="50"/>
  <c r="Y10" i="50"/>
  <c r="Y18" i="50"/>
  <c r="Y17" i="50"/>
  <c r="Z5" i="49"/>
  <c r="Y18" i="49"/>
  <c r="Y10" i="49"/>
  <c r="Y17" i="49"/>
  <c r="W5" i="52"/>
  <c r="W42" i="52"/>
  <c r="W60" i="52"/>
  <c r="W7" i="52"/>
  <c r="W51" i="52"/>
  <c r="X4" i="52"/>
  <c r="W6" i="52"/>
  <c r="W7" i="53"/>
  <c r="AF5" i="47"/>
  <c r="W5" i="53"/>
  <c r="AF6" i="47" s="1"/>
  <c r="W6" i="53"/>
  <c r="X4" i="53"/>
  <c r="X31" i="50"/>
  <c r="X33" i="50"/>
  <c r="X34" i="50" s="1"/>
  <c r="W12" i="51"/>
  <c r="W32" i="51" s="1"/>
  <c r="W7" i="51"/>
  <c r="X51" i="51" s="1"/>
  <c r="W8" i="51"/>
  <c r="W6" i="51"/>
  <c r="X4" i="51"/>
  <c r="W5" i="51"/>
  <c r="Y17" i="34"/>
  <c r="Y18" i="34"/>
  <c r="W5" i="43"/>
  <c r="W7" i="43"/>
  <c r="W51" i="43"/>
  <c r="W60" i="43"/>
  <c r="W42" i="43"/>
  <c r="W6" i="43"/>
  <c r="X4" i="43"/>
  <c r="AF6" i="36"/>
  <c r="AF5" i="36"/>
  <c r="AF8" i="36"/>
  <c r="AG4" i="36"/>
  <c r="AG7" i="36" s="1"/>
  <c r="AE14" i="36"/>
  <c r="AE11" i="36"/>
  <c r="AE16" i="36"/>
  <c r="AE13" i="36"/>
  <c r="AE15" i="36"/>
  <c r="AE12" i="36"/>
  <c r="W7" i="37"/>
  <c r="W5" i="37"/>
  <c r="W6" i="37"/>
  <c r="X4" i="37"/>
  <c r="Y17" i="35"/>
  <c r="Y10" i="35"/>
  <c r="Y18" i="35"/>
  <c r="Z5" i="35"/>
  <c r="Z5" i="34"/>
  <c r="Y10" i="34"/>
  <c r="W51" i="39"/>
  <c r="W6" i="39"/>
  <c r="W7" i="39"/>
  <c r="W60" i="39"/>
  <c r="X4" i="39"/>
  <c r="W5" i="39"/>
  <c r="W42" i="39"/>
  <c r="W7" i="40"/>
  <c r="W6" i="40"/>
  <c r="X4" i="40"/>
  <c r="W12" i="40"/>
  <c r="W32" i="40" s="1"/>
  <c r="W5" i="40"/>
  <c r="W8" i="40"/>
  <c r="Y10" i="30"/>
  <c r="Z5" i="30"/>
  <c r="Y17" i="30"/>
  <c r="Y18" i="30"/>
  <c r="Y18" i="31"/>
  <c r="Y17" i="31"/>
  <c r="Z5" i="31"/>
  <c r="Y10" i="31"/>
  <c r="X4" i="25"/>
  <c r="W4" i="24"/>
  <c r="AF14" i="54" l="1"/>
  <c r="AF17" i="54"/>
  <c r="AF10" i="54"/>
  <c r="AF15" i="54"/>
  <c r="AF18" i="54"/>
  <c r="AF12" i="54"/>
  <c r="AF19" i="54"/>
  <c r="AF13" i="54"/>
  <c r="AF11" i="54"/>
  <c r="AH4" i="54"/>
  <c r="AG5" i="54"/>
  <c r="AG6" i="54"/>
  <c r="AG7" i="54"/>
  <c r="Y33" i="50"/>
  <c r="Y34" i="50" s="1"/>
  <c r="Y31" i="50"/>
  <c r="X7" i="53"/>
  <c r="X5" i="53"/>
  <c r="AG6" i="47" s="1"/>
  <c r="Y4" i="53"/>
  <c r="AG5" i="47"/>
  <c r="X6" i="53"/>
  <c r="AA5" i="50"/>
  <c r="Z17" i="50"/>
  <c r="Z18" i="50"/>
  <c r="Z10" i="50"/>
  <c r="Z28" i="50"/>
  <c r="X12" i="51"/>
  <c r="X32" i="51" s="1"/>
  <c r="X5" i="51"/>
  <c r="X8" i="51"/>
  <c r="X7" i="51"/>
  <c r="Y51" i="51" s="1"/>
  <c r="X6" i="51"/>
  <c r="Y4" i="51"/>
  <c r="X42" i="52"/>
  <c r="X6" i="52"/>
  <c r="X51" i="52"/>
  <c r="X60" i="52"/>
  <c r="X5" i="52"/>
  <c r="X7" i="52"/>
  <c r="Y4" i="52"/>
  <c r="AA5" i="49"/>
  <c r="Z18" i="49"/>
  <c r="Z17" i="49"/>
  <c r="Z10" i="49"/>
  <c r="Z17" i="34"/>
  <c r="Z18" i="34"/>
  <c r="X60" i="43"/>
  <c r="Y4" i="43"/>
  <c r="X7" i="43"/>
  <c r="X5" i="43"/>
  <c r="X51" i="43"/>
  <c r="X6" i="43"/>
  <c r="X42" i="43"/>
  <c r="AH4" i="36"/>
  <c r="AH7" i="36" s="1"/>
  <c r="AG6" i="36"/>
  <c r="AG8" i="36"/>
  <c r="AG5" i="36"/>
  <c r="AF15" i="36"/>
  <c r="AF12" i="36"/>
  <c r="AF14" i="36"/>
  <c r="AF16" i="36"/>
  <c r="AF11" i="36"/>
  <c r="AF13" i="36"/>
  <c r="X51" i="39"/>
  <c r="X6" i="39"/>
  <c r="X7" i="39"/>
  <c r="X42" i="39"/>
  <c r="Y4" i="39"/>
  <c r="X60" i="39"/>
  <c r="X5" i="39"/>
  <c r="X7" i="40"/>
  <c r="Y4" i="40"/>
  <c r="X5" i="40"/>
  <c r="X6" i="40"/>
  <c r="X12" i="40"/>
  <c r="X32" i="40" s="1"/>
  <c r="X8" i="40"/>
  <c r="AA5" i="34"/>
  <c r="Z10" i="34"/>
  <c r="Y4" i="37"/>
  <c r="X5" i="37"/>
  <c r="X7" i="37"/>
  <c r="X6" i="37"/>
  <c r="AA5" i="35"/>
  <c r="Z10" i="35"/>
  <c r="Z18" i="35"/>
  <c r="Z17" i="35"/>
  <c r="Z18" i="31"/>
  <c r="Z17" i="31"/>
  <c r="AA5" i="31"/>
  <c r="Z10" i="31"/>
  <c r="Z17" i="30"/>
  <c r="Z18" i="30"/>
  <c r="Z10" i="30"/>
  <c r="AA5" i="30"/>
  <c r="Y4" i="25"/>
  <c r="X4" i="24"/>
  <c r="AG17" i="54" l="1"/>
  <c r="AG15" i="54"/>
  <c r="AG19" i="54"/>
  <c r="AG14" i="54"/>
  <c r="AG18" i="54"/>
  <c r="AG12" i="54"/>
  <c r="AG10" i="54"/>
  <c r="AG13" i="54"/>
  <c r="AG11" i="54"/>
  <c r="AH6" i="54"/>
  <c r="AH5" i="54"/>
  <c r="AI4" i="54"/>
  <c r="AH7" i="54"/>
  <c r="Y7" i="52"/>
  <c r="Y5" i="52"/>
  <c r="Y42" i="52"/>
  <c r="Y6" i="52"/>
  <c r="Y51" i="52"/>
  <c r="Z4" i="52"/>
  <c r="Y60" i="52"/>
  <c r="Y5" i="53"/>
  <c r="AH6" i="47" s="1"/>
  <c r="Z4" i="53"/>
  <c r="Y6" i="53"/>
  <c r="Y7" i="53"/>
  <c r="AH5" i="47"/>
  <c r="AB5" i="49"/>
  <c r="AA10" i="49"/>
  <c r="AA18" i="49"/>
  <c r="AA17" i="49"/>
  <c r="Y5" i="51"/>
  <c r="Y12" i="51"/>
  <c r="Y32" i="51" s="1"/>
  <c r="Y6" i="51"/>
  <c r="Z4" i="51"/>
  <c r="Y8" i="51"/>
  <c r="Y7" i="51"/>
  <c r="Z51" i="51" s="1"/>
  <c r="Z31" i="50"/>
  <c r="Z33" i="50"/>
  <c r="Z34" i="50" s="1"/>
  <c r="AA18" i="50"/>
  <c r="AA10" i="50"/>
  <c r="AA28" i="50"/>
  <c r="AA17" i="50"/>
  <c r="AB5" i="50"/>
  <c r="AA18" i="34"/>
  <c r="AA17" i="34"/>
  <c r="Y7" i="43"/>
  <c r="Y6" i="43"/>
  <c r="Y51" i="43"/>
  <c r="Z4" i="43"/>
  <c r="Y5" i="43"/>
  <c r="Y60" i="43"/>
  <c r="Y42" i="43"/>
  <c r="AH8" i="36"/>
  <c r="AH6" i="36"/>
  <c r="AI4" i="36"/>
  <c r="AI7" i="36" s="1"/>
  <c r="AH5" i="36"/>
  <c r="AG12" i="36"/>
  <c r="AG16" i="36"/>
  <c r="AG11" i="36"/>
  <c r="AG13" i="36"/>
  <c r="AG15" i="36"/>
  <c r="AG14" i="36"/>
  <c r="Z4" i="37"/>
  <c r="Y7" i="37"/>
  <c r="Y6" i="37"/>
  <c r="Y5" i="37"/>
  <c r="Y7" i="40"/>
  <c r="Y6" i="40"/>
  <c r="Y8" i="40"/>
  <c r="Y12" i="40"/>
  <c r="Y32" i="40" s="1"/>
  <c r="Z4" i="40"/>
  <c r="Y5" i="40"/>
  <c r="Y51" i="39"/>
  <c r="Z4" i="39"/>
  <c r="Y42" i="39"/>
  <c r="Y5" i="39"/>
  <c r="Y60" i="39"/>
  <c r="Y6" i="39"/>
  <c r="Y7" i="39"/>
  <c r="AA10" i="35"/>
  <c r="AA18" i="35"/>
  <c r="AA17" i="35"/>
  <c r="AB5" i="35"/>
  <c r="AA10" i="34"/>
  <c r="AB5" i="34"/>
  <c r="AB5" i="30"/>
  <c r="AA10" i="30"/>
  <c r="AA17" i="30"/>
  <c r="AA18" i="30"/>
  <c r="AA17" i="31"/>
  <c r="AB5" i="31"/>
  <c r="AA18" i="31"/>
  <c r="AA10" i="31"/>
  <c r="Z4" i="25"/>
  <c r="Y4" i="24"/>
  <c r="AI7" i="54" l="1"/>
  <c r="AI6" i="54"/>
  <c r="AI5" i="54"/>
  <c r="AJ4" i="54"/>
  <c r="AH12" i="54"/>
  <c r="AH11" i="54"/>
  <c r="AH15" i="54"/>
  <c r="AH19" i="54"/>
  <c r="AH14" i="54"/>
  <c r="AH10" i="54"/>
  <c r="AH17" i="54"/>
  <c r="AH13" i="54"/>
  <c r="AH18" i="54"/>
  <c r="AB28" i="50"/>
  <c r="AB17" i="50"/>
  <c r="AB10" i="50"/>
  <c r="AB18" i="50"/>
  <c r="AC5" i="50"/>
  <c r="AC5" i="49"/>
  <c r="AB17" i="49"/>
  <c r="AB18" i="49"/>
  <c r="AB10" i="49"/>
  <c r="Z6" i="53"/>
  <c r="Z7" i="53"/>
  <c r="AI5" i="47"/>
  <c r="Z5" i="53"/>
  <c r="AI6" i="47" s="1"/>
  <c r="AA4" i="53"/>
  <c r="Z42" i="52"/>
  <c r="Z60" i="52"/>
  <c r="Z51" i="52"/>
  <c r="Z5" i="52"/>
  <c r="Z7" i="52"/>
  <c r="AA4" i="52"/>
  <c r="Z6" i="52"/>
  <c r="AA31" i="50"/>
  <c r="AA33" i="50"/>
  <c r="AA34" i="50" s="1"/>
  <c r="AA4" i="51"/>
  <c r="Z7" i="51"/>
  <c r="AA51" i="51" s="1"/>
  <c r="Z12" i="51"/>
  <c r="Z32" i="51" s="1"/>
  <c r="Z6" i="51"/>
  <c r="Z5" i="51"/>
  <c r="Z8" i="51"/>
  <c r="AB18" i="34"/>
  <c r="AB17" i="34"/>
  <c r="Z42" i="43"/>
  <c r="Z7" i="43"/>
  <c r="Z60" i="43"/>
  <c r="AA4" i="43"/>
  <c r="Z6" i="43"/>
  <c r="Z51" i="43"/>
  <c r="Z5" i="43"/>
  <c r="AH15" i="36"/>
  <c r="AH16" i="36"/>
  <c r="AH14" i="36"/>
  <c r="AH12" i="36"/>
  <c r="AH13" i="36"/>
  <c r="AH11" i="36"/>
  <c r="AJ4" i="36"/>
  <c r="AI5" i="36"/>
  <c r="AI8" i="36"/>
  <c r="AI6" i="36"/>
  <c r="Z7" i="40"/>
  <c r="AA4" i="40"/>
  <c r="Z5" i="40"/>
  <c r="Z8" i="40"/>
  <c r="Z6" i="40"/>
  <c r="Z12" i="40"/>
  <c r="Z32" i="40" s="1"/>
  <c r="AC5" i="35"/>
  <c r="AB10" i="35"/>
  <c r="AB17" i="35"/>
  <c r="AB18" i="35"/>
  <c r="Z6" i="37"/>
  <c r="AA4" i="37"/>
  <c r="Z5" i="37"/>
  <c r="Z7" i="37"/>
  <c r="AB10" i="34"/>
  <c r="AC5" i="34"/>
  <c r="Z42" i="39"/>
  <c r="AA4" i="39"/>
  <c r="Z6" i="39"/>
  <c r="Z5" i="39"/>
  <c r="Z51" i="39"/>
  <c r="Z7" i="39"/>
  <c r="Z60" i="39"/>
  <c r="AB17" i="30"/>
  <c r="AB10" i="30"/>
  <c r="AC5" i="30"/>
  <c r="AB18" i="30"/>
  <c r="AB17" i="31"/>
  <c r="AB18" i="31"/>
  <c r="AB10" i="31"/>
  <c r="AC5" i="31"/>
  <c r="AA4" i="25"/>
  <c r="Z4" i="24"/>
  <c r="AJ7" i="54" l="1"/>
  <c r="AJ6" i="54"/>
  <c r="AJ5" i="54"/>
  <c r="AK4" i="54"/>
  <c r="AI14" i="54"/>
  <c r="AI12" i="54"/>
  <c r="AI15" i="54"/>
  <c r="AI18" i="54"/>
  <c r="AI10" i="54"/>
  <c r="AI11" i="54"/>
  <c r="AI17" i="54"/>
  <c r="AI19" i="54"/>
  <c r="AI13" i="54"/>
  <c r="AC10" i="50"/>
  <c r="AC18" i="50"/>
  <c r="AC17" i="50"/>
  <c r="AC28" i="50"/>
  <c r="AB33" i="50"/>
  <c r="AB34" i="50" s="1"/>
  <c r="AB31" i="50"/>
  <c r="AA5" i="53"/>
  <c r="AJ6" i="47" s="1"/>
  <c r="AB4" i="53"/>
  <c r="AA7" i="53"/>
  <c r="AA6" i="53"/>
  <c r="AJ5" i="47"/>
  <c r="AC10" i="49"/>
  <c r="AC17" i="49"/>
  <c r="AC18" i="49"/>
  <c r="AB4" i="52"/>
  <c r="AA7" i="52"/>
  <c r="AA60" i="52"/>
  <c r="AA42" i="52"/>
  <c r="AA5" i="52"/>
  <c r="AA51" i="52"/>
  <c r="AA6" i="52"/>
  <c r="AB4" i="51"/>
  <c r="AA5" i="51"/>
  <c r="AA8" i="51"/>
  <c r="AA7" i="51"/>
  <c r="AB51" i="51" s="1"/>
  <c r="AA12" i="51"/>
  <c r="AA32" i="51" s="1"/>
  <c r="AA6" i="51"/>
  <c r="AJ7" i="36"/>
  <c r="AK4" i="36"/>
  <c r="AC17" i="34"/>
  <c r="AC18" i="34"/>
  <c r="AA42" i="43"/>
  <c r="AB4" i="43"/>
  <c r="AC4" i="43" s="1"/>
  <c r="AA5" i="43"/>
  <c r="AA60" i="43"/>
  <c r="AA6" i="43"/>
  <c r="AA51" i="43"/>
  <c r="AA7" i="43"/>
  <c r="AI12" i="36"/>
  <c r="AI14" i="36"/>
  <c r="AI15" i="36"/>
  <c r="AI13" i="36"/>
  <c r="AI11" i="36"/>
  <c r="AI16" i="36"/>
  <c r="AJ8" i="36"/>
  <c r="AJ5" i="36"/>
  <c r="AJ6" i="36"/>
  <c r="AA42" i="39"/>
  <c r="AA60" i="39"/>
  <c r="AA7" i="39"/>
  <c r="AA6" i="39"/>
  <c r="AA51" i="39"/>
  <c r="AB4" i="39"/>
  <c r="AC4" i="39" s="1"/>
  <c r="AA5" i="39"/>
  <c r="AC10" i="34"/>
  <c r="AA7" i="40"/>
  <c r="AA6" i="40"/>
  <c r="AB4" i="40"/>
  <c r="AC4" i="40" s="1"/>
  <c r="AA5" i="40"/>
  <c r="AA8" i="40"/>
  <c r="AA12" i="40"/>
  <c r="AA32" i="40" s="1"/>
  <c r="AC18" i="35"/>
  <c r="AC17" i="35"/>
  <c r="AC10" i="35"/>
  <c r="AB4" i="37"/>
  <c r="AC4" i="37" s="1"/>
  <c r="AA7" i="37"/>
  <c r="AA6" i="37"/>
  <c r="AA5" i="37"/>
  <c r="AC18" i="30"/>
  <c r="AC17" i="30"/>
  <c r="AC10" i="30"/>
  <c r="AC10" i="31"/>
  <c r="AC17" i="31"/>
  <c r="AC18" i="31"/>
  <c r="AB4" i="25"/>
  <c r="AA4" i="24"/>
  <c r="AK7" i="54" l="1"/>
  <c r="AL4" i="54"/>
  <c r="AK6" i="54"/>
  <c r="AK5" i="54"/>
  <c r="AJ10" i="54"/>
  <c r="AJ12" i="54"/>
  <c r="AJ18" i="54"/>
  <c r="AJ15" i="54"/>
  <c r="AJ19" i="54"/>
  <c r="AJ13" i="54"/>
  <c r="AJ11" i="54"/>
  <c r="AJ14" i="54"/>
  <c r="AJ17" i="54"/>
  <c r="AB7" i="51"/>
  <c r="AC51" i="51" s="1"/>
  <c r="AB5" i="51"/>
  <c r="AB6" i="51"/>
  <c r="AB8" i="51"/>
  <c r="AB12" i="51"/>
  <c r="AB32" i="51" s="1"/>
  <c r="AC4" i="51"/>
  <c r="AB60" i="52"/>
  <c r="AB42" i="52"/>
  <c r="AB7" i="52"/>
  <c r="AB51" i="52"/>
  <c r="AC4" i="52"/>
  <c r="AB5" i="52"/>
  <c r="AB6" i="52"/>
  <c r="AB7" i="53"/>
  <c r="AB5" i="53"/>
  <c r="AK6" i="47" s="1"/>
  <c r="AB6" i="53"/>
  <c r="AC4" i="53"/>
  <c r="AK5" i="47"/>
  <c r="AC33" i="50"/>
  <c r="AC34" i="50" s="1"/>
  <c r="AC31" i="50"/>
  <c r="AC5" i="37"/>
  <c r="AC6" i="37"/>
  <c r="AC7" i="37"/>
  <c r="AD4" i="37"/>
  <c r="AD4" i="39"/>
  <c r="AC6" i="39"/>
  <c r="AC60" i="39"/>
  <c r="AC5" i="39"/>
  <c r="AC51" i="39"/>
  <c r="AC42" i="39"/>
  <c r="AC7" i="39"/>
  <c r="AC85" i="39"/>
  <c r="AC87" i="39" s="1"/>
  <c r="AL4" i="36"/>
  <c r="AK7" i="36"/>
  <c r="AK6" i="36"/>
  <c r="AK5" i="36"/>
  <c r="AK8" i="36"/>
  <c r="AD4" i="43"/>
  <c r="AC42" i="43"/>
  <c r="AC7" i="43"/>
  <c r="AC6" i="43"/>
  <c r="AC60" i="43"/>
  <c r="AC5" i="43"/>
  <c r="AC51" i="43"/>
  <c r="AD4" i="40"/>
  <c r="AC8" i="40"/>
  <c r="AC12" i="40"/>
  <c r="AC32" i="40" s="1"/>
  <c r="AC5" i="40"/>
  <c r="AC6" i="40"/>
  <c r="AC7" i="40"/>
  <c r="AB5" i="43"/>
  <c r="AB51" i="43"/>
  <c r="AB42" i="43"/>
  <c r="AB7" i="43"/>
  <c r="AB60" i="43"/>
  <c r="AB6" i="43"/>
  <c r="AJ12" i="36"/>
  <c r="AJ14" i="36"/>
  <c r="AJ16" i="36"/>
  <c r="AJ15" i="36"/>
  <c r="AJ11" i="36"/>
  <c r="AJ13" i="36"/>
  <c r="M77" i="34"/>
  <c r="N77" i="34"/>
  <c r="AB7" i="37"/>
  <c r="AB6" i="37"/>
  <c r="AB5" i="37"/>
  <c r="AB7" i="40"/>
  <c r="AB6" i="40"/>
  <c r="AB5" i="40"/>
  <c r="AB8" i="40"/>
  <c r="AB12" i="40"/>
  <c r="AB32" i="40" s="1"/>
  <c r="AB42" i="39"/>
  <c r="AB5" i="39"/>
  <c r="AB7" i="39"/>
  <c r="AB60" i="39"/>
  <c r="AB6" i="39"/>
  <c r="AB51" i="39"/>
  <c r="AC4" i="25"/>
  <c r="AB4" i="24"/>
  <c r="AK15" i="54" l="1"/>
  <c r="AK11" i="54"/>
  <c r="AK18" i="54"/>
  <c r="AK14" i="54"/>
  <c r="AK19" i="54"/>
  <c r="AK13" i="54"/>
  <c r="AK12" i="54"/>
  <c r="AK17" i="54"/>
  <c r="AK10" i="54"/>
  <c r="AM4" i="54"/>
  <c r="AL7" i="54"/>
  <c r="AL6" i="54"/>
  <c r="AL5" i="54"/>
  <c r="AD4" i="51"/>
  <c r="AC7" i="51"/>
  <c r="AC5" i="51"/>
  <c r="AC6" i="51"/>
  <c r="AC8" i="51"/>
  <c r="AC12" i="51"/>
  <c r="AC32" i="51" s="1"/>
  <c r="AC5" i="53"/>
  <c r="AL6" i="47" s="1"/>
  <c r="AL5" i="47"/>
  <c r="AC6" i="53"/>
  <c r="AC7" i="53"/>
  <c r="AD4" i="53"/>
  <c r="AC42" i="52"/>
  <c r="AC5" i="52"/>
  <c r="AC60" i="52"/>
  <c r="AD4" i="52"/>
  <c r="AC7" i="52"/>
  <c r="AC6" i="52"/>
  <c r="AC51" i="52"/>
  <c r="AK12" i="36"/>
  <c r="AK13" i="36"/>
  <c r="AK14" i="36"/>
  <c r="AK15" i="36"/>
  <c r="AK16" i="36"/>
  <c r="AK11" i="36"/>
  <c r="AD5" i="37"/>
  <c r="AE4" i="37"/>
  <c r="AD7" i="37"/>
  <c r="AD6" i="37"/>
  <c r="AE4" i="39"/>
  <c r="AD42" i="39"/>
  <c r="AD7" i="39"/>
  <c r="AD6" i="39"/>
  <c r="AD60" i="39"/>
  <c r="AD5" i="39"/>
  <c r="AD51" i="39"/>
  <c r="AD85" i="39"/>
  <c r="AD87" i="39" s="1"/>
  <c r="AM4" i="36"/>
  <c r="AL7" i="36"/>
  <c r="AL6" i="36"/>
  <c r="AL5" i="36"/>
  <c r="AL8" i="36"/>
  <c r="AD51" i="43"/>
  <c r="AD5" i="43"/>
  <c r="AD60" i="43"/>
  <c r="AD6" i="43"/>
  <c r="AE4" i="43"/>
  <c r="AD7" i="43"/>
  <c r="AD42" i="43"/>
  <c r="AD8" i="40"/>
  <c r="AD6" i="40"/>
  <c r="AD12" i="40"/>
  <c r="AD32" i="40" s="1"/>
  <c r="AD5" i="40"/>
  <c r="AE4" i="40"/>
  <c r="AD7" i="40"/>
  <c r="AC4" i="24"/>
  <c r="O77" i="34" l="1"/>
  <c r="AL15" i="54"/>
  <c r="AL13" i="54"/>
  <c r="AL19" i="54"/>
  <c r="AL10" i="54"/>
  <c r="AL17" i="54"/>
  <c r="AL18" i="54"/>
  <c r="AL11" i="54"/>
  <c r="AL12" i="54"/>
  <c r="AL14" i="54"/>
  <c r="AM7" i="54"/>
  <c r="AM6" i="54"/>
  <c r="AN4" i="54"/>
  <c r="AM5" i="54"/>
  <c r="AD51" i="51"/>
  <c r="AD6" i="52"/>
  <c r="AD51" i="52"/>
  <c r="AD42" i="52"/>
  <c r="AE4" i="52"/>
  <c r="AD7" i="52"/>
  <c r="AD60" i="52"/>
  <c r="AD5" i="52"/>
  <c r="AD6" i="53"/>
  <c r="AE4" i="53"/>
  <c r="AD5" i="53"/>
  <c r="AM6" i="47" s="1"/>
  <c r="AD7" i="53"/>
  <c r="AM5" i="47"/>
  <c r="AD5" i="51"/>
  <c r="AD12" i="51"/>
  <c r="AD32" i="51" s="1"/>
  <c r="AE4" i="51"/>
  <c r="AD7" i="51"/>
  <c r="AE51" i="51" s="1"/>
  <c r="AD6" i="51"/>
  <c r="AD8" i="51"/>
  <c r="AL11" i="36"/>
  <c r="AL15" i="36"/>
  <c r="AL14" i="36"/>
  <c r="AL13" i="36"/>
  <c r="AL12" i="36"/>
  <c r="AL16" i="36"/>
  <c r="AE5" i="37"/>
  <c r="AF4" i="37"/>
  <c r="AE7" i="37"/>
  <c r="AE6" i="37"/>
  <c r="AF4" i="39"/>
  <c r="AG4" i="39" s="1"/>
  <c r="AE6" i="39"/>
  <c r="AE60" i="39"/>
  <c r="AE5" i="39"/>
  <c r="AE51" i="39"/>
  <c r="AE42" i="39"/>
  <c r="AE7" i="39"/>
  <c r="AE85" i="39"/>
  <c r="AE87" i="39" s="1"/>
  <c r="AM5" i="36"/>
  <c r="AN4" i="36"/>
  <c r="AO4" i="36" s="1"/>
  <c r="AM8" i="36"/>
  <c r="AM7" i="36"/>
  <c r="AM6" i="36"/>
  <c r="AE7" i="43"/>
  <c r="AE5" i="43"/>
  <c r="AE60" i="43"/>
  <c r="AE42" i="43"/>
  <c r="AE51" i="43"/>
  <c r="AE6" i="43"/>
  <c r="AF4" i="43"/>
  <c r="AG4" i="43" s="1"/>
  <c r="AE6" i="40"/>
  <c r="AE5" i="40"/>
  <c r="AF4" i="40"/>
  <c r="AE12" i="40"/>
  <c r="AE32" i="40" s="1"/>
  <c r="AE8" i="40"/>
  <c r="AE7" i="40"/>
  <c r="AB47" i="22"/>
  <c r="AA47" i="22"/>
  <c r="Z47" i="22"/>
  <c r="Y47" i="22"/>
  <c r="X47" i="22"/>
  <c r="W47" i="22"/>
  <c r="V47" i="22"/>
  <c r="U47" i="22"/>
  <c r="T47" i="22"/>
  <c r="S47" i="22"/>
  <c r="R47" i="22"/>
  <c r="Q47" i="22"/>
  <c r="P47" i="22"/>
  <c r="O47" i="22"/>
  <c r="N47" i="22"/>
  <c r="M47" i="22"/>
  <c r="L47" i="22"/>
  <c r="K47" i="22"/>
  <c r="J47" i="22"/>
  <c r="I47" i="22"/>
  <c r="H47" i="22"/>
  <c r="G47" i="22"/>
  <c r="F47" i="22"/>
  <c r="E47" i="22"/>
  <c r="D47" i="22"/>
  <c r="H33" i="22"/>
  <c r="L33" i="22"/>
  <c r="P33" i="22"/>
  <c r="T33" i="22"/>
  <c r="X33" i="22"/>
  <c r="AB33" i="22"/>
  <c r="L34" i="22"/>
  <c r="T34" i="22"/>
  <c r="AB34" i="22"/>
  <c r="L35" i="22"/>
  <c r="T35" i="22"/>
  <c r="AB35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D36" i="22"/>
  <c r="D33" i="22"/>
  <c r="G35" i="22"/>
  <c r="G34" i="22"/>
  <c r="G33" i="22"/>
  <c r="E14" i="22"/>
  <c r="F14" i="22"/>
  <c r="G14" i="22"/>
  <c r="H14" i="22"/>
  <c r="I14" i="22"/>
  <c r="J14" i="22"/>
  <c r="K14" i="22"/>
  <c r="L14" i="22"/>
  <c r="M14" i="22"/>
  <c r="N14" i="22"/>
  <c r="O14" i="22"/>
  <c r="P14" i="22"/>
  <c r="Q14" i="22"/>
  <c r="R14" i="22"/>
  <c r="S14" i="22"/>
  <c r="T14" i="22"/>
  <c r="U14" i="22"/>
  <c r="V14" i="22"/>
  <c r="W14" i="22"/>
  <c r="X14" i="22"/>
  <c r="Y14" i="22"/>
  <c r="Z14" i="22"/>
  <c r="AA14" i="22"/>
  <c r="AB14" i="22"/>
  <c r="B12" i="22"/>
  <c r="D14" i="22"/>
  <c r="G43" i="2"/>
  <c r="G34" i="2"/>
  <c r="G25" i="2"/>
  <c r="G16" i="2"/>
  <c r="H56" i="2"/>
  <c r="H55" i="2"/>
  <c r="H54" i="2"/>
  <c r="H53" i="2"/>
  <c r="H52" i="2"/>
  <c r="H47" i="2"/>
  <c r="H46" i="2"/>
  <c r="H45" i="2"/>
  <c r="H44" i="2"/>
  <c r="H43" i="2"/>
  <c r="H38" i="2"/>
  <c r="H37" i="2"/>
  <c r="H36" i="2"/>
  <c r="H35" i="2"/>
  <c r="H34" i="2"/>
  <c r="H29" i="2"/>
  <c r="H28" i="2"/>
  <c r="H27" i="2"/>
  <c r="H26" i="2"/>
  <c r="H25" i="2"/>
  <c r="H68" i="2"/>
  <c r="H67" i="2"/>
  <c r="H66" i="2"/>
  <c r="H65" i="2"/>
  <c r="H20" i="2"/>
  <c r="H19" i="2"/>
  <c r="H18" i="2"/>
  <c r="H17" i="2"/>
  <c r="H16" i="2"/>
  <c r="AG11" i="2"/>
  <c r="AF11" i="2"/>
  <c r="AE11" i="2"/>
  <c r="AD11" i="2"/>
  <c r="AC11" i="2"/>
  <c r="AB11" i="2"/>
  <c r="AA11" i="2"/>
  <c r="Z11" i="2"/>
  <c r="Y11" i="2"/>
  <c r="X11" i="2"/>
  <c r="W11" i="2"/>
  <c r="V11" i="2"/>
  <c r="U11" i="2"/>
  <c r="T11" i="2"/>
  <c r="S11" i="2"/>
  <c r="R11" i="2"/>
  <c r="Q11" i="2"/>
  <c r="P11" i="2"/>
  <c r="O11" i="2"/>
  <c r="N11" i="2"/>
  <c r="M11" i="2"/>
  <c r="M52" i="2" s="1"/>
  <c r="D74" i="11" s="1"/>
  <c r="D5" i="22"/>
  <c r="D2" i="22"/>
  <c r="E2" i="22" s="1"/>
  <c r="M1" i="22"/>
  <c r="J1" i="22"/>
  <c r="G1" i="22"/>
  <c r="D1" i="22"/>
  <c r="AO4" i="54" l="1"/>
  <c r="AN7" i="54"/>
  <c r="AN6" i="54"/>
  <c r="AN5" i="54"/>
  <c r="AM15" i="54"/>
  <c r="AM18" i="54"/>
  <c r="AM10" i="54"/>
  <c r="AM11" i="54"/>
  <c r="AM17" i="54"/>
  <c r="AM19" i="54"/>
  <c r="AM13" i="54"/>
  <c r="AM14" i="54"/>
  <c r="AM12" i="54"/>
  <c r="AG42" i="43"/>
  <c r="AG60" i="43"/>
  <c r="AG6" i="43"/>
  <c r="AG7" i="43"/>
  <c r="AG51" i="43"/>
  <c r="AG5" i="43"/>
  <c r="AO7" i="36"/>
  <c r="AO6" i="36"/>
  <c r="AO8" i="36"/>
  <c r="AO5" i="36"/>
  <c r="AG4" i="37"/>
  <c r="P77" i="34" s="1"/>
  <c r="AG60" i="39"/>
  <c r="AG51" i="39"/>
  <c r="AG7" i="39"/>
  <c r="AG42" i="39"/>
  <c r="AG6" i="39"/>
  <c r="AG5" i="39"/>
  <c r="AG85" i="39"/>
  <c r="AG87" i="39" s="1"/>
  <c r="AE5" i="52"/>
  <c r="AE42" i="52"/>
  <c r="AE51" i="52"/>
  <c r="AF4" i="52"/>
  <c r="AG4" i="52" s="1"/>
  <c r="AE60" i="52"/>
  <c r="AE6" i="52"/>
  <c r="AE7" i="52"/>
  <c r="AE5" i="53"/>
  <c r="AN6" i="47" s="1"/>
  <c r="AE6" i="53"/>
  <c r="AN5" i="47"/>
  <c r="AF4" i="53"/>
  <c r="AG4" i="53" s="1"/>
  <c r="AE7" i="53"/>
  <c r="AE5" i="51"/>
  <c r="AE12" i="51"/>
  <c r="AE32" i="51" s="1"/>
  <c r="AF4" i="51"/>
  <c r="AG4" i="51" s="1"/>
  <c r="AE8" i="51"/>
  <c r="AE6" i="51"/>
  <c r="AE7" i="51"/>
  <c r="AF51" i="51" s="1"/>
  <c r="AM12" i="36"/>
  <c r="AM16" i="36"/>
  <c r="AM11" i="36"/>
  <c r="AM15" i="36"/>
  <c r="AM14" i="36"/>
  <c r="AM13" i="36"/>
  <c r="AF6" i="37"/>
  <c r="AF5" i="37"/>
  <c r="AF7" i="37"/>
  <c r="AN6" i="36"/>
  <c r="AN5" i="36"/>
  <c r="AN8" i="36"/>
  <c r="AN7" i="36"/>
  <c r="AF85" i="39"/>
  <c r="AF87" i="39" s="1"/>
  <c r="AF42" i="39"/>
  <c r="AF7" i="39"/>
  <c r="AF6" i="39"/>
  <c r="AF60" i="39"/>
  <c r="AF5" i="39"/>
  <c r="AF51" i="39"/>
  <c r="AF7" i="43"/>
  <c r="AF6" i="43"/>
  <c r="AF51" i="43"/>
  <c r="AF42" i="43"/>
  <c r="AF60" i="43"/>
  <c r="AF5" i="43"/>
  <c r="AF6" i="40"/>
  <c r="AF5" i="40"/>
  <c r="AF12" i="40"/>
  <c r="AF32" i="40" s="1"/>
  <c r="AF8" i="40"/>
  <c r="AF7" i="40"/>
  <c r="D7" i="22"/>
  <c r="E51" i="22" s="1"/>
  <c r="X35" i="22"/>
  <c r="H35" i="22"/>
  <c r="U34" i="22"/>
  <c r="M34" i="22"/>
  <c r="E34" i="22"/>
  <c r="U33" i="22"/>
  <c r="M33" i="22"/>
  <c r="E33" i="22"/>
  <c r="X34" i="22"/>
  <c r="P34" i="22"/>
  <c r="H34" i="22"/>
  <c r="P35" i="22"/>
  <c r="Y34" i="22"/>
  <c r="Q34" i="22"/>
  <c r="I34" i="22"/>
  <c r="Y33" i="22"/>
  <c r="Q33" i="22"/>
  <c r="I33" i="22"/>
  <c r="M18" i="2"/>
  <c r="D16" i="11" s="1"/>
  <c r="Y35" i="22"/>
  <c r="U35" i="22"/>
  <c r="Q35" i="22"/>
  <c r="M35" i="22"/>
  <c r="I35" i="22"/>
  <c r="E35" i="22"/>
  <c r="D35" i="22"/>
  <c r="Z35" i="22"/>
  <c r="V35" i="22"/>
  <c r="R35" i="22"/>
  <c r="N35" i="22"/>
  <c r="J35" i="22"/>
  <c r="F35" i="22"/>
  <c r="Z34" i="22"/>
  <c r="V34" i="22"/>
  <c r="R34" i="22"/>
  <c r="N34" i="22"/>
  <c r="J34" i="22"/>
  <c r="F34" i="22"/>
  <c r="Z33" i="22"/>
  <c r="V33" i="22"/>
  <c r="R33" i="22"/>
  <c r="N33" i="22"/>
  <c r="J33" i="22"/>
  <c r="F33" i="22"/>
  <c r="D34" i="22"/>
  <c r="AA35" i="22"/>
  <c r="W35" i="22"/>
  <c r="S35" i="22"/>
  <c r="O35" i="22"/>
  <c r="K35" i="22"/>
  <c r="AA34" i="22"/>
  <c r="W34" i="22"/>
  <c r="S34" i="22"/>
  <c r="O34" i="22"/>
  <c r="K34" i="22"/>
  <c r="AA33" i="22"/>
  <c r="W33" i="22"/>
  <c r="S33" i="22"/>
  <c r="O33" i="22"/>
  <c r="K33" i="22"/>
  <c r="M27" i="2"/>
  <c r="D29" i="11" s="1"/>
  <c r="M45" i="2"/>
  <c r="D57" i="11" s="1"/>
  <c r="M36" i="2"/>
  <c r="D42" i="11" s="1"/>
  <c r="D9" i="22"/>
  <c r="E9" i="22" s="1"/>
  <c r="F9" i="22" s="1"/>
  <c r="G9" i="22" s="1"/>
  <c r="H9" i="22" s="1"/>
  <c r="I9" i="22" s="1"/>
  <c r="J9" i="22" s="1"/>
  <c r="K9" i="22" s="1"/>
  <c r="L9" i="22" s="1"/>
  <c r="M9" i="22" s="1"/>
  <c r="N9" i="22" s="1"/>
  <c r="O9" i="22" s="1"/>
  <c r="P9" i="22" s="1"/>
  <c r="Q9" i="22" s="1"/>
  <c r="R9" i="22" s="1"/>
  <c r="S9" i="22" s="1"/>
  <c r="T9" i="22" s="1"/>
  <c r="U9" i="22" s="1"/>
  <c r="V9" i="22" s="1"/>
  <c r="W9" i="22" s="1"/>
  <c r="X9" i="22" s="1"/>
  <c r="Y9" i="22" s="1"/>
  <c r="Z9" i="22" s="1"/>
  <c r="AA9" i="22" s="1"/>
  <c r="AB9" i="22" s="1"/>
  <c r="AC9" i="22" s="1"/>
  <c r="AD9" i="22" s="1"/>
  <c r="AE9" i="22" s="1"/>
  <c r="AF9" i="22" s="1"/>
  <c r="AG9" i="22" s="1"/>
  <c r="D8" i="22"/>
  <c r="E4" i="22"/>
  <c r="V102" i="34" l="1"/>
  <c r="T102" i="34"/>
  <c r="AA102" i="34"/>
  <c r="AB102" i="34"/>
  <c r="X77" i="34"/>
  <c r="X75" i="34" s="1"/>
  <c r="K77" i="34"/>
  <c r="AA77" i="34"/>
  <c r="AA75" i="34" s="1"/>
  <c r="W77" i="34"/>
  <c r="W75" i="34" s="1"/>
  <c r="S77" i="34"/>
  <c r="S75" i="34" s="1"/>
  <c r="AC102" i="34"/>
  <c r="Z77" i="34"/>
  <c r="Z75" i="34" s="1"/>
  <c r="U27" i="34"/>
  <c r="E77" i="34"/>
  <c r="Z27" i="34"/>
  <c r="X102" i="34"/>
  <c r="V115" i="34"/>
  <c r="T77" i="34"/>
  <c r="T75" i="34" s="1"/>
  <c r="T41" i="35" s="1"/>
  <c r="R115" i="34"/>
  <c r="F115" i="34"/>
  <c r="F102" i="34"/>
  <c r="AC115" i="34"/>
  <c r="Y77" i="34"/>
  <c r="Y75" i="34" s="1"/>
  <c r="Y27" i="34"/>
  <c r="V27" i="34"/>
  <c r="T115" i="34"/>
  <c r="AC77" i="34"/>
  <c r="AC75" i="34" s="1"/>
  <c r="E27" i="34"/>
  <c r="AA27" i="34"/>
  <c r="Z102" i="34"/>
  <c r="Y102" i="34"/>
  <c r="X27" i="34"/>
  <c r="W115" i="34"/>
  <c r="W102" i="34"/>
  <c r="U102" i="34"/>
  <c r="U115" i="34"/>
  <c r="S27" i="34"/>
  <c r="Q77" i="34"/>
  <c r="Q75" i="34" s="1"/>
  <c r="Q94" i="24" s="1"/>
  <c r="AB77" i="34"/>
  <c r="AB75" i="34" s="1"/>
  <c r="G102" i="34"/>
  <c r="AB115" i="34"/>
  <c r="AB27" i="34"/>
  <c r="AA115" i="34"/>
  <c r="Z115" i="34"/>
  <c r="Y115" i="34"/>
  <c r="X115" i="34"/>
  <c r="W27" i="34"/>
  <c r="V77" i="34"/>
  <c r="V75" i="34" s="1"/>
  <c r="U77" i="34"/>
  <c r="U75" i="34" s="1"/>
  <c r="T27" i="34"/>
  <c r="R27" i="34"/>
  <c r="S102" i="34"/>
  <c r="R77" i="34"/>
  <c r="R75" i="34" s="1"/>
  <c r="I77" i="34"/>
  <c r="S115" i="34"/>
  <c r="R102" i="34"/>
  <c r="G115" i="34"/>
  <c r="J77" i="34"/>
  <c r="AN19" i="54"/>
  <c r="AN13" i="54"/>
  <c r="AN12" i="54"/>
  <c r="AN14" i="54"/>
  <c r="AN17" i="54"/>
  <c r="AN10" i="54"/>
  <c r="AN15" i="54"/>
  <c r="AN18" i="54"/>
  <c r="AN11" i="54"/>
  <c r="AG8" i="51"/>
  <c r="AG5" i="51"/>
  <c r="AG12" i="51"/>
  <c r="AG32" i="51" s="1"/>
  <c r="AG6" i="51"/>
  <c r="AG7" i="51"/>
  <c r="AO7" i="54"/>
  <c r="AO6" i="54"/>
  <c r="AO5" i="54"/>
  <c r="AP4" i="54"/>
  <c r="AG5" i="37"/>
  <c r="AG6" i="37"/>
  <c r="AG7" i="37"/>
  <c r="AB36" i="35" s="1"/>
  <c r="AC27" i="34"/>
  <c r="F27" i="34"/>
  <c r="F77" i="34"/>
  <c r="G77" i="34"/>
  <c r="AO14" i="36"/>
  <c r="AO16" i="36"/>
  <c r="AO15" i="36"/>
  <c r="AO12" i="36"/>
  <c r="AO11" i="36"/>
  <c r="AO13" i="36"/>
  <c r="AG7" i="52"/>
  <c r="AG60" i="52"/>
  <c r="AG5" i="52"/>
  <c r="AG42" i="52"/>
  <c r="AG6" i="52"/>
  <c r="AG51" i="52"/>
  <c r="E102" i="34"/>
  <c r="E60" i="33"/>
  <c r="F61" i="33"/>
  <c r="E61" i="33"/>
  <c r="G61" i="33"/>
  <c r="R61" i="33"/>
  <c r="S61" i="33"/>
  <c r="T61" i="33"/>
  <c r="U61" i="33"/>
  <c r="H77" i="34"/>
  <c r="G27" i="34"/>
  <c r="AG5" i="53"/>
  <c r="AG7" i="53"/>
  <c r="AG6" i="53"/>
  <c r="E115" i="34"/>
  <c r="AF60" i="52"/>
  <c r="AF7" i="52"/>
  <c r="AF51" i="52"/>
  <c r="AF5" i="52"/>
  <c r="AF6" i="52"/>
  <c r="AF42" i="52"/>
  <c r="AF12" i="51"/>
  <c r="AF32" i="51" s="1"/>
  <c r="AF7" i="51"/>
  <c r="AG51" i="51" s="1"/>
  <c r="AF6" i="51"/>
  <c r="AF5" i="51"/>
  <c r="AF8" i="51"/>
  <c r="AF7" i="53"/>
  <c r="AF5" i="53"/>
  <c r="AO6" i="47" s="1"/>
  <c r="AF6" i="53"/>
  <c r="AO5" i="47"/>
  <c r="G76" i="49"/>
  <c r="F27" i="49"/>
  <c r="E101" i="49"/>
  <c r="G114" i="49"/>
  <c r="F76" i="49"/>
  <c r="E27" i="49"/>
  <c r="E114" i="49"/>
  <c r="F114" i="49"/>
  <c r="G27" i="49"/>
  <c r="G101" i="49"/>
  <c r="E76" i="49"/>
  <c r="F101" i="49"/>
  <c r="R52" i="33"/>
  <c r="R120" i="23" s="1"/>
  <c r="AB39" i="35"/>
  <c r="T63" i="33"/>
  <c r="AC38" i="35"/>
  <c r="V36" i="35"/>
  <c r="X36" i="35"/>
  <c r="T39" i="35"/>
  <c r="V38" i="35"/>
  <c r="Z39" i="35"/>
  <c r="F60" i="33"/>
  <c r="G60" i="33"/>
  <c r="R60" i="33"/>
  <c r="S60" i="33"/>
  <c r="T60" i="33"/>
  <c r="U60" i="33"/>
  <c r="AN13" i="36"/>
  <c r="AN12" i="36"/>
  <c r="AN16" i="36"/>
  <c r="AN11" i="36"/>
  <c r="AN15" i="36"/>
  <c r="AN14" i="36"/>
  <c r="E12" i="22"/>
  <c r="E32" i="22" s="1"/>
  <c r="E6" i="22"/>
  <c r="E7" i="22"/>
  <c r="F51" i="22" s="1"/>
  <c r="F4" i="22"/>
  <c r="E5" i="22"/>
  <c r="E8" i="22"/>
  <c r="D5" i="21"/>
  <c r="D2" i="21"/>
  <c r="E2" i="21" s="1"/>
  <c r="M1" i="21"/>
  <c r="J1" i="21"/>
  <c r="G1" i="21"/>
  <c r="D1" i="2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D73" i="11"/>
  <c r="D77" i="11" s="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D75" i="11"/>
  <c r="D60" i="11"/>
  <c r="D58" i="11"/>
  <c r="AG42" i="2"/>
  <c r="AF42" i="2"/>
  <c r="AE42" i="2"/>
  <c r="AD42" i="2"/>
  <c r="AC42" i="2"/>
  <c r="AB42" i="2"/>
  <c r="AA42" i="2"/>
  <c r="Z42" i="2"/>
  <c r="Y42" i="2"/>
  <c r="X42" i="2"/>
  <c r="W42" i="2"/>
  <c r="V42" i="2"/>
  <c r="U42" i="2"/>
  <c r="T42" i="2"/>
  <c r="S42" i="2"/>
  <c r="R42" i="2"/>
  <c r="Q42" i="2"/>
  <c r="P42" i="2"/>
  <c r="O42" i="2"/>
  <c r="N42" i="2"/>
  <c r="D45" i="11"/>
  <c r="D32" i="11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O7" i="2"/>
  <c r="P7" i="2" s="1"/>
  <c r="Q7" i="2" s="1"/>
  <c r="R7" i="2" s="1"/>
  <c r="S7" i="2" s="1"/>
  <c r="T7" i="2" s="1"/>
  <c r="U7" i="2" s="1"/>
  <c r="V7" i="2" s="1"/>
  <c r="W7" i="2" s="1"/>
  <c r="X7" i="2" s="1"/>
  <c r="Y7" i="2" s="1"/>
  <c r="Z7" i="2" s="1"/>
  <c r="AA7" i="2" s="1"/>
  <c r="AB7" i="2" s="1"/>
  <c r="AC7" i="2" s="1"/>
  <c r="AD7" i="2" s="1"/>
  <c r="AE7" i="2" s="1"/>
  <c r="AF7" i="2" s="1"/>
  <c r="AG7" i="2" s="1"/>
  <c r="AH7" i="2" s="1"/>
  <c r="AI7" i="2" s="1"/>
  <c r="AJ7" i="2" s="1"/>
  <c r="AK7" i="2" s="1"/>
  <c r="AL7" i="2" s="1"/>
  <c r="AM7" i="2" s="1"/>
  <c r="AN7" i="2" s="1"/>
  <c r="AO7" i="2" s="1"/>
  <c r="AA38" i="35" l="1"/>
  <c r="S38" i="35"/>
  <c r="U63" i="33"/>
  <c r="U58" i="33" s="1"/>
  <c r="Z36" i="35"/>
  <c r="X41" i="35"/>
  <c r="Y41" i="35"/>
  <c r="AC41" i="35"/>
  <c r="AA41" i="35"/>
  <c r="W41" i="35"/>
  <c r="AB41" i="35"/>
  <c r="Z41" i="35"/>
  <c r="Z38" i="35"/>
  <c r="W39" i="35"/>
  <c r="F63" i="33"/>
  <c r="F58" i="33" s="1"/>
  <c r="F133" i="23" s="1"/>
  <c r="E52" i="33"/>
  <c r="E120" i="23" s="1"/>
  <c r="G63" i="33"/>
  <c r="G58" i="33" s="1"/>
  <c r="G133" i="23" s="1"/>
  <c r="Y36" i="35"/>
  <c r="AA39" i="35"/>
  <c r="Y38" i="35"/>
  <c r="W38" i="35"/>
  <c r="U39" i="35"/>
  <c r="U38" i="35"/>
  <c r="R38" i="35"/>
  <c r="R36" i="35"/>
  <c r="U36" i="35"/>
  <c r="S36" i="35"/>
  <c r="F38" i="35"/>
  <c r="W36" i="35"/>
  <c r="AA36" i="35"/>
  <c r="T36" i="35"/>
  <c r="S41" i="35"/>
  <c r="U41" i="35"/>
  <c r="AC39" i="35"/>
  <c r="X39" i="35"/>
  <c r="T38" i="35"/>
  <c r="R39" i="35"/>
  <c r="G36" i="35"/>
  <c r="U52" i="33"/>
  <c r="U120" i="23" s="1"/>
  <c r="S63" i="33"/>
  <c r="S58" i="33" s="1"/>
  <c r="G38" i="35"/>
  <c r="AB38" i="35"/>
  <c r="Y39" i="35"/>
  <c r="X38" i="35"/>
  <c r="V39" i="35"/>
  <c r="S39" i="35"/>
  <c r="E63" i="33"/>
  <c r="E58" i="33" s="1"/>
  <c r="G39" i="35"/>
  <c r="S52" i="33"/>
  <c r="S120" i="23" s="1"/>
  <c r="F36" i="35"/>
  <c r="G52" i="33"/>
  <c r="G120" i="23" s="1"/>
  <c r="F52" i="33"/>
  <c r="F120" i="23" s="1"/>
  <c r="F39" i="35"/>
  <c r="V41" i="35"/>
  <c r="F25" i="35"/>
  <c r="F42" i="35"/>
  <c r="H42" i="35"/>
  <c r="G42" i="35"/>
  <c r="S42" i="35"/>
  <c r="R42" i="35"/>
  <c r="T42" i="35"/>
  <c r="U42" i="35"/>
  <c r="V42" i="35"/>
  <c r="W42" i="35"/>
  <c r="X42" i="35"/>
  <c r="Y42" i="35"/>
  <c r="Z42" i="35"/>
  <c r="AA42" i="35"/>
  <c r="AB42" i="35"/>
  <c r="AC42" i="35"/>
  <c r="AA39" i="50"/>
  <c r="S25" i="35"/>
  <c r="U25" i="35"/>
  <c r="G25" i="35"/>
  <c r="Z38" i="50"/>
  <c r="AB38" i="50"/>
  <c r="AO14" i="54"/>
  <c r="AO10" i="54"/>
  <c r="AO17" i="54"/>
  <c r="AO18" i="54"/>
  <c r="AO13" i="54"/>
  <c r="AO19" i="54"/>
  <c r="AO12" i="54"/>
  <c r="AO15" i="54"/>
  <c r="AO11" i="54"/>
  <c r="AB39" i="50"/>
  <c r="AA36" i="50"/>
  <c r="AP6" i="54"/>
  <c r="AP5" i="54"/>
  <c r="AP7" i="54"/>
  <c r="T25" i="35"/>
  <c r="AC42" i="50"/>
  <c r="R63" i="33"/>
  <c r="R58" i="33" s="1"/>
  <c r="R133" i="23" s="1"/>
  <c r="AC36" i="35"/>
  <c r="T52" i="33"/>
  <c r="T120" i="23" s="1"/>
  <c r="F47" i="2"/>
  <c r="F29" i="2"/>
  <c r="F38" i="2"/>
  <c r="AC38" i="50"/>
  <c r="AA38" i="50"/>
  <c r="F38" i="50"/>
  <c r="F36" i="50"/>
  <c r="G38" i="50"/>
  <c r="G36" i="50"/>
  <c r="R25" i="35"/>
  <c r="AB36" i="50"/>
  <c r="AB42" i="50"/>
  <c r="AC36" i="50"/>
  <c r="G86" i="48"/>
  <c r="G37" i="50" s="1"/>
  <c r="R38" i="50"/>
  <c r="F39" i="50"/>
  <c r="S42" i="50"/>
  <c r="R86" i="48"/>
  <c r="R36" i="50"/>
  <c r="R39" i="50"/>
  <c r="F42" i="50"/>
  <c r="G39" i="50"/>
  <c r="F86" i="48"/>
  <c r="F37" i="50" s="1"/>
  <c r="T86" i="48"/>
  <c r="S86" i="48"/>
  <c r="G42" i="50"/>
  <c r="R42" i="50"/>
  <c r="U42" i="50"/>
  <c r="S36" i="50"/>
  <c r="S38" i="50"/>
  <c r="E86" i="48"/>
  <c r="S39" i="50"/>
  <c r="T42" i="50"/>
  <c r="T39" i="50"/>
  <c r="U86" i="48"/>
  <c r="T38" i="50"/>
  <c r="U36" i="50"/>
  <c r="T36" i="50"/>
  <c r="U38" i="50"/>
  <c r="V36" i="50"/>
  <c r="V39" i="50"/>
  <c r="X36" i="50"/>
  <c r="V42" i="50"/>
  <c r="U39" i="50"/>
  <c r="W36" i="50"/>
  <c r="V38" i="50"/>
  <c r="X42" i="50"/>
  <c r="X38" i="50"/>
  <c r="X39" i="50"/>
  <c r="W38" i="50"/>
  <c r="W39" i="50"/>
  <c r="Y39" i="50"/>
  <c r="Y38" i="50"/>
  <c r="Y36" i="50"/>
  <c r="W42" i="50"/>
  <c r="Z42" i="50"/>
  <c r="AC39" i="50"/>
  <c r="AA42" i="50"/>
  <c r="Y42" i="50"/>
  <c r="Z36" i="50"/>
  <c r="Z39" i="50"/>
  <c r="T58" i="33"/>
  <c r="F12" i="22"/>
  <c r="F32" i="22" s="1"/>
  <c r="F6" i="22"/>
  <c r="D61" i="11"/>
  <c r="D62" i="11"/>
  <c r="D28" i="43" s="1"/>
  <c r="D33" i="11"/>
  <c r="D34" i="11"/>
  <c r="D46" i="11"/>
  <c r="D47" i="11"/>
  <c r="F7" i="22"/>
  <c r="G51" i="22" s="1"/>
  <c r="D65" i="11"/>
  <c r="F8" i="22"/>
  <c r="F5" i="22"/>
  <c r="G4" i="22"/>
  <c r="E4" i="21"/>
  <c r="D8" i="21"/>
  <c r="E8" i="21" s="1"/>
  <c r="F8" i="21" s="1"/>
  <c r="G8" i="21" s="1"/>
  <c r="H8" i="21" s="1"/>
  <c r="I8" i="21" s="1"/>
  <c r="J8" i="21" s="1"/>
  <c r="K8" i="21" s="1"/>
  <c r="L8" i="21" s="1"/>
  <c r="M8" i="21" s="1"/>
  <c r="N8" i="21" s="1"/>
  <c r="O8" i="21" s="1"/>
  <c r="P8" i="21" s="1"/>
  <c r="Q8" i="21" s="1"/>
  <c r="R8" i="21" s="1"/>
  <c r="S8" i="21" s="1"/>
  <c r="T8" i="21" s="1"/>
  <c r="U8" i="21" s="1"/>
  <c r="V8" i="21" s="1"/>
  <c r="W8" i="21" s="1"/>
  <c r="X8" i="21" s="1"/>
  <c r="Y8" i="21" s="1"/>
  <c r="Z8" i="21" s="1"/>
  <c r="AA8" i="21" s="1"/>
  <c r="AB8" i="21" s="1"/>
  <c r="AC8" i="21" s="1"/>
  <c r="AD8" i="21" s="1"/>
  <c r="AE8" i="21" s="1"/>
  <c r="AF8" i="21" s="1"/>
  <c r="AG8" i="21" s="1"/>
  <c r="D7" i="21"/>
  <c r="F44" i="2"/>
  <c r="F35" i="2"/>
  <c r="D43" i="11"/>
  <c r="D50" i="11" s="1"/>
  <c r="D30" i="11"/>
  <c r="D37" i="11" s="1"/>
  <c r="D17" i="11"/>
  <c r="F26" i="2"/>
  <c r="F17" i="2"/>
  <c r="AP17" i="54" l="1"/>
  <c r="AP10" i="54"/>
  <c r="AP19" i="54"/>
  <c r="AP14" i="54"/>
  <c r="AP13" i="54"/>
  <c r="AP12" i="54"/>
  <c r="AP18" i="54"/>
  <c r="AP11" i="54"/>
  <c r="AP15" i="54"/>
  <c r="U133" i="23"/>
  <c r="S37" i="50"/>
  <c r="U37" i="50"/>
  <c r="T37" i="50"/>
  <c r="R37" i="50"/>
  <c r="T133" i="23"/>
  <c r="S133" i="23"/>
  <c r="D39" i="43"/>
  <c r="E6" i="21"/>
  <c r="G12" i="22"/>
  <c r="G32" i="22" s="1"/>
  <c r="G6" i="22"/>
  <c r="E42" i="21"/>
  <c r="E51" i="21"/>
  <c r="E60" i="21"/>
  <c r="G7" i="22"/>
  <c r="H51" i="22" s="1"/>
  <c r="H4" i="22"/>
  <c r="G8" i="22"/>
  <c r="G5" i="22"/>
  <c r="E5" i="21"/>
  <c r="F4" i="21"/>
  <c r="F6" i="21" s="1"/>
  <c r="E7" i="21"/>
  <c r="H12" i="22" l="1"/>
  <c r="H32" i="22" s="1"/>
  <c r="H6" i="22"/>
  <c r="F42" i="21"/>
  <c r="F51" i="21"/>
  <c r="F60" i="21"/>
  <c r="H7" i="22"/>
  <c r="I51" i="22" s="1"/>
  <c r="H5" i="22"/>
  <c r="I4" i="22"/>
  <c r="H8" i="22"/>
  <c r="F7" i="21"/>
  <c r="F5" i="21"/>
  <c r="G4" i="21"/>
  <c r="G6" i="21" s="1"/>
  <c r="I12" i="22" l="1"/>
  <c r="I32" i="22" s="1"/>
  <c r="I6" i="22"/>
  <c r="D12" i="21"/>
  <c r="G60" i="21"/>
  <c r="G42" i="21"/>
  <c r="G51" i="21"/>
  <c r="I7" i="22"/>
  <c r="J51" i="22" s="1"/>
  <c r="J4" i="22"/>
  <c r="I5" i="22"/>
  <c r="I8" i="22"/>
  <c r="G7" i="21"/>
  <c r="H4" i="21"/>
  <c r="H6" i="21" s="1"/>
  <c r="G5" i="21"/>
  <c r="D69" i="21" l="1"/>
  <c r="D71" i="21" s="1"/>
  <c r="D43" i="21"/>
  <c r="N18" i="38" s="1"/>
  <c r="E15" i="37" s="1"/>
  <c r="E16" i="37" s="1"/>
  <c r="D52" i="21"/>
  <c r="D54" i="21" s="1"/>
  <c r="E52" i="21"/>
  <c r="E54" i="21" s="1"/>
  <c r="E43" i="21"/>
  <c r="F52" i="21"/>
  <c r="F54" i="21" s="1"/>
  <c r="F43" i="21"/>
  <c r="P18" i="38" s="1"/>
  <c r="G15" i="37" s="1"/>
  <c r="G16" i="37" s="1"/>
  <c r="J12" i="22"/>
  <c r="J32" i="22" s="1"/>
  <c r="J6" i="22"/>
  <c r="D73" i="21"/>
  <c r="D75" i="21" s="1"/>
  <c r="E85" i="21"/>
  <c r="E87" i="21" s="1"/>
  <c r="E77" i="21"/>
  <c r="E79" i="21" s="1"/>
  <c r="E61" i="21"/>
  <c r="E63" i="21" s="1"/>
  <c r="F61" i="21"/>
  <c r="F63" i="21" s="1"/>
  <c r="F69" i="21"/>
  <c r="F71" i="21" s="1"/>
  <c r="F56" i="21"/>
  <c r="F58" i="21" s="1"/>
  <c r="E65" i="21"/>
  <c r="E67" i="21" s="1"/>
  <c r="E81" i="21"/>
  <c r="E83" i="21" s="1"/>
  <c r="D85" i="21"/>
  <c r="D87" i="21" s="1"/>
  <c r="D47" i="21"/>
  <c r="E47" i="21"/>
  <c r="F81" i="21"/>
  <c r="F83" i="21" s="1"/>
  <c r="H51" i="21"/>
  <c r="H60" i="21"/>
  <c r="H42" i="21"/>
  <c r="D61" i="21"/>
  <c r="D63" i="21" s="1"/>
  <c r="F65" i="21"/>
  <c r="F67" i="21" s="1"/>
  <c r="F73" i="21"/>
  <c r="F75" i="21" s="1"/>
  <c r="D56" i="21"/>
  <c r="D58" i="21" s="1"/>
  <c r="D77" i="21"/>
  <c r="D79" i="21" s="1"/>
  <c r="E69" i="21"/>
  <c r="E71" i="21" s="1"/>
  <c r="D81" i="21"/>
  <c r="D83" i="21" s="1"/>
  <c r="F85" i="21"/>
  <c r="F87" i="21" s="1"/>
  <c r="F47" i="21"/>
  <c r="D65" i="21"/>
  <c r="D67" i="21" s="1"/>
  <c r="E73" i="21"/>
  <c r="E75" i="21" s="1"/>
  <c r="E56" i="21"/>
  <c r="E58" i="21" s="1"/>
  <c r="F77" i="21"/>
  <c r="F79" i="21" s="1"/>
  <c r="J7" i="22"/>
  <c r="K51" i="22" s="1"/>
  <c r="J8" i="22"/>
  <c r="J5" i="22"/>
  <c r="K4" i="22"/>
  <c r="H5" i="21"/>
  <c r="H7" i="21"/>
  <c r="I4" i="21"/>
  <c r="I6" i="21" s="1"/>
  <c r="E27" i="22" l="1"/>
  <c r="E28" i="22" s="1"/>
  <c r="O55" i="38"/>
  <c r="F73" i="37" s="1"/>
  <c r="O48" i="38"/>
  <c r="F56" i="37" s="1"/>
  <c r="F57" i="37" s="1"/>
  <c r="O39" i="38"/>
  <c r="F41" i="37" s="1"/>
  <c r="F42" i="37" s="1"/>
  <c r="O30" i="38"/>
  <c r="F28" i="37" s="1"/>
  <c r="F29" i="37" s="1"/>
  <c r="N17" i="2"/>
  <c r="O18" i="38"/>
  <c r="F15" i="37" s="1"/>
  <c r="F16" i="37" s="1"/>
  <c r="P39" i="38"/>
  <c r="G41" i="37" s="1"/>
  <c r="G42" i="37" s="1"/>
  <c r="P30" i="38"/>
  <c r="G28" i="37" s="1"/>
  <c r="G29" i="37" s="1"/>
  <c r="P55" i="38"/>
  <c r="G73" i="37" s="1"/>
  <c r="P48" i="38"/>
  <c r="G56" i="37" s="1"/>
  <c r="G57" i="37" s="1"/>
  <c r="N39" i="38"/>
  <c r="E41" i="37" s="1"/>
  <c r="E42" i="37" s="1"/>
  <c r="N48" i="38"/>
  <c r="E56" i="37" s="1"/>
  <c r="E57" i="37" s="1"/>
  <c r="N30" i="38"/>
  <c r="E28" i="37" s="1"/>
  <c r="E29" i="37" s="1"/>
  <c r="N55" i="38"/>
  <c r="E73" i="37" s="1"/>
  <c r="K12" i="22"/>
  <c r="K32" i="22" s="1"/>
  <c r="K6" i="22"/>
  <c r="E49" i="21"/>
  <c r="N26" i="2"/>
  <c r="N44" i="2"/>
  <c r="O45" i="2" s="1"/>
  <c r="N51" i="2"/>
  <c r="O52" i="2" s="1"/>
  <c r="N35" i="2"/>
  <c r="O35" i="2"/>
  <c r="O26" i="2"/>
  <c r="O51" i="2"/>
  <c r="O44" i="2"/>
  <c r="D27" i="22"/>
  <c r="D28" i="22" s="1"/>
  <c r="M51" i="2"/>
  <c r="N52" i="2" s="1"/>
  <c r="M44" i="2"/>
  <c r="N45" i="2" s="1"/>
  <c r="M26" i="2"/>
  <c r="M35" i="2"/>
  <c r="F45" i="21"/>
  <c r="O17" i="2"/>
  <c r="D45" i="21"/>
  <c r="M17" i="2"/>
  <c r="N18" i="2" s="1"/>
  <c r="E45" i="21"/>
  <c r="D49" i="21"/>
  <c r="O18" i="2"/>
  <c r="F49" i="21"/>
  <c r="F27" i="22"/>
  <c r="F28" i="22" s="1"/>
  <c r="I42" i="21"/>
  <c r="I51" i="21"/>
  <c r="I60" i="21"/>
  <c r="K7" i="22"/>
  <c r="L51" i="22" s="1"/>
  <c r="L4" i="22"/>
  <c r="K8" i="22"/>
  <c r="K5" i="22"/>
  <c r="I5" i="21"/>
  <c r="J4" i="21"/>
  <c r="J6" i="21" s="1"/>
  <c r="I7" i="21"/>
  <c r="F74" i="11" l="1"/>
  <c r="F16" i="11"/>
  <c r="F17" i="11" s="1"/>
  <c r="F57" i="11"/>
  <c r="F58" i="11" s="1"/>
  <c r="E74" i="11"/>
  <c r="E57" i="11"/>
  <c r="E58" i="11" s="1"/>
  <c r="E16" i="11"/>
  <c r="E17" i="11" s="1"/>
  <c r="L12" i="22"/>
  <c r="L32" i="22" s="1"/>
  <c r="L6" i="22"/>
  <c r="J42" i="21"/>
  <c r="J51" i="21"/>
  <c r="J60" i="21"/>
  <c r="L7" i="22"/>
  <c r="M51" i="22" s="1"/>
  <c r="O36" i="2"/>
  <c r="O27" i="2"/>
  <c r="N36" i="2"/>
  <c r="N27" i="2"/>
  <c r="L5" i="22"/>
  <c r="M4" i="22"/>
  <c r="L8" i="22"/>
  <c r="J7" i="21"/>
  <c r="J5" i="21"/>
  <c r="K4" i="21"/>
  <c r="K6" i="21" s="1"/>
  <c r="F42" i="11" l="1"/>
  <c r="F43" i="11" s="1"/>
  <c r="F29" i="11"/>
  <c r="F30" i="11" s="1"/>
  <c r="E29" i="11"/>
  <c r="E30" i="11" s="1"/>
  <c r="E42" i="11"/>
  <c r="E43" i="11" s="1"/>
  <c r="M12" i="22"/>
  <c r="M32" i="22" s="1"/>
  <c r="M6" i="22"/>
  <c r="K60" i="21"/>
  <c r="K42" i="21"/>
  <c r="K51" i="21"/>
  <c r="M7" i="22"/>
  <c r="N51" i="22" s="1"/>
  <c r="N4" i="22"/>
  <c r="M5" i="22"/>
  <c r="M8" i="22"/>
  <c r="K7" i="21"/>
  <c r="L4" i="21"/>
  <c r="L6" i="21" s="1"/>
  <c r="K5" i="21"/>
  <c r="N12" i="22" l="1"/>
  <c r="N32" i="22" s="1"/>
  <c r="N6" i="22"/>
  <c r="L51" i="21"/>
  <c r="L60" i="21"/>
  <c r="L42" i="21"/>
  <c r="N7" i="22"/>
  <c r="O51" i="22" s="1"/>
  <c r="N8" i="22"/>
  <c r="N5" i="22"/>
  <c r="O4" i="22"/>
  <c r="L5" i="21"/>
  <c r="L7" i="21"/>
  <c r="M4" i="21"/>
  <c r="M6" i="21" s="1"/>
  <c r="O12" i="22" l="1"/>
  <c r="O32" i="22" s="1"/>
  <c r="O6" i="22"/>
  <c r="M42" i="21"/>
  <c r="M51" i="21"/>
  <c r="M60" i="21"/>
  <c r="O7" i="22"/>
  <c r="P51" i="22" s="1"/>
  <c r="P4" i="22"/>
  <c r="O8" i="22"/>
  <c r="O5" i="22"/>
  <c r="M5" i="21"/>
  <c r="N4" i="21"/>
  <c r="N6" i="21" s="1"/>
  <c r="M7" i="21"/>
  <c r="P12" i="22" l="1"/>
  <c r="P32" i="22" s="1"/>
  <c r="P6" i="22"/>
  <c r="N42" i="21"/>
  <c r="N51" i="21"/>
  <c r="N60" i="21"/>
  <c r="P7" i="22"/>
  <c r="Q51" i="22" s="1"/>
  <c r="P5" i="22"/>
  <c r="Q4" i="22"/>
  <c r="P8" i="22"/>
  <c r="N7" i="21"/>
  <c r="N5" i="21"/>
  <c r="O4" i="21"/>
  <c r="O6" i="21" s="1"/>
  <c r="Q12" i="22" l="1"/>
  <c r="Q32" i="22" s="1"/>
  <c r="Q6" i="22"/>
  <c r="O60" i="21"/>
  <c r="O42" i="21"/>
  <c r="O51" i="21"/>
  <c r="Q7" i="22"/>
  <c r="R51" i="22" s="1"/>
  <c r="R4" i="22"/>
  <c r="Q5" i="22"/>
  <c r="Q8" i="22"/>
  <c r="O7" i="21"/>
  <c r="P4" i="21"/>
  <c r="P6" i="21" s="1"/>
  <c r="O5" i="21"/>
  <c r="R12" i="22" l="1"/>
  <c r="R32" i="22" s="1"/>
  <c r="R6" i="22"/>
  <c r="P51" i="21"/>
  <c r="P60" i="21"/>
  <c r="P42" i="21"/>
  <c r="R7" i="22"/>
  <c r="S51" i="22" s="1"/>
  <c r="R8" i="22"/>
  <c r="R5" i="22"/>
  <c r="S4" i="22"/>
  <c r="P5" i="21"/>
  <c r="P7" i="21"/>
  <c r="Q4" i="21"/>
  <c r="Q6" i="21" s="1"/>
  <c r="S12" i="22" l="1"/>
  <c r="S32" i="22" s="1"/>
  <c r="S6" i="22"/>
  <c r="Q42" i="21"/>
  <c r="Q51" i="21"/>
  <c r="Q60" i="21"/>
  <c r="S7" i="22"/>
  <c r="T51" i="22" s="1"/>
  <c r="T4" i="22"/>
  <c r="S8" i="22"/>
  <c r="S5" i="22"/>
  <c r="Q5" i="21"/>
  <c r="R4" i="21"/>
  <c r="R6" i="21" s="1"/>
  <c r="Q7" i="21"/>
  <c r="T12" i="22" l="1"/>
  <c r="T32" i="22" s="1"/>
  <c r="T6" i="22"/>
  <c r="R42" i="21"/>
  <c r="R51" i="21"/>
  <c r="R60" i="21"/>
  <c r="T7" i="22"/>
  <c r="U51" i="22" s="1"/>
  <c r="T5" i="22"/>
  <c r="U4" i="22"/>
  <c r="T8" i="22"/>
  <c r="R7" i="21"/>
  <c r="R5" i="21"/>
  <c r="S4" i="21"/>
  <c r="S6" i="21" s="1"/>
  <c r="U12" i="22" l="1"/>
  <c r="U32" i="22" s="1"/>
  <c r="U6" i="22"/>
  <c r="S60" i="21"/>
  <c r="S42" i="21"/>
  <c r="S51" i="21"/>
  <c r="U7" i="22"/>
  <c r="V51" i="22" s="1"/>
  <c r="V4" i="22"/>
  <c r="U5" i="22"/>
  <c r="U8" i="22"/>
  <c r="S7" i="21"/>
  <c r="T4" i="21"/>
  <c r="T6" i="21" s="1"/>
  <c r="S5" i="21"/>
  <c r="V12" i="22" l="1"/>
  <c r="V32" i="22" s="1"/>
  <c r="V6" i="22"/>
  <c r="T51" i="21"/>
  <c r="T60" i="21"/>
  <c r="T42" i="21"/>
  <c r="V7" i="22"/>
  <c r="W51" i="22" s="1"/>
  <c r="V8" i="22"/>
  <c r="V5" i="22"/>
  <c r="W4" i="22"/>
  <c r="T5" i="21"/>
  <c r="T7" i="21"/>
  <c r="U4" i="21"/>
  <c r="U6" i="21" s="1"/>
  <c r="W12" i="22" l="1"/>
  <c r="W32" i="22" s="1"/>
  <c r="W6" i="22"/>
  <c r="U42" i="21"/>
  <c r="U51" i="21"/>
  <c r="U60" i="21"/>
  <c r="W7" i="22"/>
  <c r="X51" i="22" s="1"/>
  <c r="X4" i="22"/>
  <c r="W8" i="22"/>
  <c r="W5" i="22"/>
  <c r="U5" i="21"/>
  <c r="V4" i="21"/>
  <c r="V6" i="21" s="1"/>
  <c r="U7" i="21"/>
  <c r="X12" i="22" l="1"/>
  <c r="X32" i="22" s="1"/>
  <c r="X6" i="22"/>
  <c r="V42" i="21"/>
  <c r="V51" i="21"/>
  <c r="V60" i="21"/>
  <c r="X7" i="22"/>
  <c r="Y51" i="22" s="1"/>
  <c r="X5" i="22"/>
  <c r="Y4" i="22"/>
  <c r="X8" i="22"/>
  <c r="V7" i="21"/>
  <c r="V5" i="21"/>
  <c r="W4" i="21"/>
  <c r="W6" i="21" s="1"/>
  <c r="Y12" i="22" l="1"/>
  <c r="Y32" i="22" s="1"/>
  <c r="Y6" i="22"/>
  <c r="W60" i="21"/>
  <c r="W42" i="21"/>
  <c r="W51" i="21"/>
  <c r="Y7" i="22"/>
  <c r="Z51" i="22" s="1"/>
  <c r="Y5" i="22"/>
  <c r="Z4" i="22"/>
  <c r="Y8" i="22"/>
  <c r="W7" i="21"/>
  <c r="X4" i="21"/>
  <c r="X6" i="21" s="1"/>
  <c r="W5" i="21"/>
  <c r="Z12" i="22" l="1"/>
  <c r="Z32" i="22" s="1"/>
  <c r="Z6" i="22"/>
  <c r="X51" i="21"/>
  <c r="X60" i="21"/>
  <c r="X42" i="21"/>
  <c r="Z7" i="22"/>
  <c r="AA51" i="22" s="1"/>
  <c r="Z8" i="22"/>
  <c r="Z5" i="22"/>
  <c r="AA4" i="22"/>
  <c r="X5" i="21"/>
  <c r="Y4" i="21"/>
  <c r="Y6" i="21" s="1"/>
  <c r="X7" i="21"/>
  <c r="AA12" i="22" l="1"/>
  <c r="AA32" i="22" s="1"/>
  <c r="AA6" i="22"/>
  <c r="Y42" i="21"/>
  <c r="Y51" i="21"/>
  <c r="Y60" i="21"/>
  <c r="AA7" i="22"/>
  <c r="AB51" i="22" s="1"/>
  <c r="AA8" i="22"/>
  <c r="AA5" i="22"/>
  <c r="AB4" i="22"/>
  <c r="AC4" i="22" s="1"/>
  <c r="Y5" i="21"/>
  <c r="Z4" i="21"/>
  <c r="Z6" i="21" s="1"/>
  <c r="Y7" i="21"/>
  <c r="AC12" i="22" l="1"/>
  <c r="AC32" i="22" s="1"/>
  <c r="AD4" i="22"/>
  <c r="AC8" i="22"/>
  <c r="AC6" i="22"/>
  <c r="AC5" i="22"/>
  <c r="AB12" i="22"/>
  <c r="AB32" i="22" s="1"/>
  <c r="AB6" i="22"/>
  <c r="Z42" i="21"/>
  <c r="Z51" i="21"/>
  <c r="Z60" i="21"/>
  <c r="AB7" i="22"/>
  <c r="AB5" i="22"/>
  <c r="AB8" i="22"/>
  <c r="Z7" i="21"/>
  <c r="Z5" i="21"/>
  <c r="AA4" i="21"/>
  <c r="AA6" i="21" s="1"/>
  <c r="AD12" i="22" l="1"/>
  <c r="AD32" i="22" s="1"/>
  <c r="AD6" i="22"/>
  <c r="AD5" i="22"/>
  <c r="AE4" i="22"/>
  <c r="AD8" i="22"/>
  <c r="AC51" i="22"/>
  <c r="AC7" i="22"/>
  <c r="AA60" i="21"/>
  <c r="AA42" i="21"/>
  <c r="AA51" i="21"/>
  <c r="AA7" i="21"/>
  <c r="AA5" i="21"/>
  <c r="AB4" i="21"/>
  <c r="AC4" i="21" s="1"/>
  <c r="AC42" i="21" l="1"/>
  <c r="AC7" i="21"/>
  <c r="AC60" i="21"/>
  <c r="AC6" i="21"/>
  <c r="AC5" i="21"/>
  <c r="AC51" i="21"/>
  <c r="AD4" i="21"/>
  <c r="AE6" i="22"/>
  <c r="AE8" i="22"/>
  <c r="AE12" i="22"/>
  <c r="AE32" i="22" s="1"/>
  <c r="AF4" i="22"/>
  <c r="AG4" i="22" s="1"/>
  <c r="AE5" i="22"/>
  <c r="AD51" i="22"/>
  <c r="AD7" i="22"/>
  <c r="AB6" i="21"/>
  <c r="AB51" i="21"/>
  <c r="AB60" i="21"/>
  <c r="AB42" i="21"/>
  <c r="AB5" i="21"/>
  <c r="AB7" i="21"/>
  <c r="AG8" i="22" l="1"/>
  <c r="AG6" i="22"/>
  <c r="AG12" i="22"/>
  <c r="AG32" i="22" s="1"/>
  <c r="AG5" i="22"/>
  <c r="AF5" i="22"/>
  <c r="AF6" i="22"/>
  <c r="AF8" i="22"/>
  <c r="AF12" i="22"/>
  <c r="AF32" i="22" s="1"/>
  <c r="AD51" i="21"/>
  <c r="AD5" i="21"/>
  <c r="AD60" i="21"/>
  <c r="AD6" i="21"/>
  <c r="AD7" i="21"/>
  <c r="AD42" i="21"/>
  <c r="AE4" i="21"/>
  <c r="AE51" i="22"/>
  <c r="AE7" i="22"/>
  <c r="D2" i="11"/>
  <c r="E2" i="11" s="1"/>
  <c r="M1" i="11"/>
  <c r="J1" i="11"/>
  <c r="G1" i="11"/>
  <c r="D1" i="11"/>
  <c r="C23" i="10"/>
  <c r="D1" i="10"/>
  <c r="G1" i="10"/>
  <c r="J1" i="10"/>
  <c r="M1" i="10"/>
  <c r="D2" i="10"/>
  <c r="E2" i="10" s="1"/>
  <c r="I8" i="10"/>
  <c r="J8" i="10" s="1"/>
  <c r="K8" i="10" s="1"/>
  <c r="E8" i="10"/>
  <c r="F8" i="10" s="1"/>
  <c r="G8" i="10" s="1"/>
  <c r="C29" i="10"/>
  <c r="C26" i="10"/>
  <c r="C28" i="10"/>
  <c r="C27" i="10"/>
  <c r="C25" i="10"/>
  <c r="C24" i="10"/>
  <c r="C14" i="16"/>
  <c r="D85" i="15"/>
  <c r="E85" i="15"/>
  <c r="F85" i="15"/>
  <c r="D86" i="15"/>
  <c r="E86" i="15"/>
  <c r="F86" i="15"/>
  <c r="D87" i="15"/>
  <c r="E87" i="15"/>
  <c r="F87" i="15"/>
  <c r="D85" i="14"/>
  <c r="E85" i="14"/>
  <c r="F85" i="14"/>
  <c r="D86" i="14"/>
  <c r="E86" i="14"/>
  <c r="F86" i="14"/>
  <c r="D87" i="14"/>
  <c r="E87" i="14"/>
  <c r="F87" i="14"/>
  <c r="AE51" i="21" l="1"/>
  <c r="AE5" i="21"/>
  <c r="AE60" i="21"/>
  <c r="AE6" i="21"/>
  <c r="AF4" i="21"/>
  <c r="AG4" i="21" s="1"/>
  <c r="AE7" i="21"/>
  <c r="AE42" i="21"/>
  <c r="AF51" i="22"/>
  <c r="AF7" i="22"/>
  <c r="L8" i="10"/>
  <c r="D8" i="37" s="1"/>
  <c r="E8" i="37" s="1"/>
  <c r="F8" i="37" s="1"/>
  <c r="G8" i="37" s="1"/>
  <c r="H8" i="37" s="1"/>
  <c r="I8" i="37" s="1"/>
  <c r="J8" i="37" s="1"/>
  <c r="K8" i="37" s="1"/>
  <c r="L8" i="37" s="1"/>
  <c r="M8" i="37" s="1"/>
  <c r="N8" i="37" s="1"/>
  <c r="O8" i="37" s="1"/>
  <c r="P8" i="37" s="1"/>
  <c r="Q8" i="37" s="1"/>
  <c r="R8" i="37" s="1"/>
  <c r="S8" i="37" s="1"/>
  <c r="T8" i="37" s="1"/>
  <c r="U8" i="37" s="1"/>
  <c r="V8" i="37" s="1"/>
  <c r="W8" i="37" s="1"/>
  <c r="X8" i="37" s="1"/>
  <c r="Y8" i="37" s="1"/>
  <c r="Z8" i="37" s="1"/>
  <c r="AA8" i="37" s="1"/>
  <c r="AB8" i="37" s="1"/>
  <c r="AC8" i="37" s="1"/>
  <c r="AD8" i="37" s="1"/>
  <c r="AE8" i="37" s="1"/>
  <c r="AF8" i="37" s="1"/>
  <c r="AG8" i="37" s="1"/>
  <c r="E75" i="13"/>
  <c r="E79" i="13"/>
  <c r="D9" i="6"/>
  <c r="D39" i="6" s="1"/>
  <c r="E43" i="13"/>
  <c r="E15" i="13"/>
  <c r="E24" i="13"/>
  <c r="E57" i="13"/>
  <c r="D9" i="7"/>
  <c r="D39" i="7" s="1"/>
  <c r="D9" i="15"/>
  <c r="D39" i="15" s="1"/>
  <c r="E106" i="13"/>
  <c r="E40" i="13"/>
  <c r="E73" i="13"/>
  <c r="E105" i="13"/>
  <c r="E28" i="13"/>
  <c r="E67" i="13"/>
  <c r="E98" i="13"/>
  <c r="E21" i="13"/>
  <c r="E54" i="13"/>
  <c r="E91" i="13"/>
  <c r="E101" i="13"/>
  <c r="E41" i="13"/>
  <c r="E69" i="13"/>
  <c r="E35" i="13"/>
  <c r="E76" i="13"/>
  <c r="E82" i="13"/>
  <c r="E68" i="13"/>
  <c r="E16" i="13"/>
  <c r="E74" i="13"/>
  <c r="E22" i="13"/>
  <c r="E107" i="13"/>
  <c r="E17" i="13"/>
  <c r="E23" i="13"/>
  <c r="E34" i="13"/>
  <c r="E60" i="13"/>
  <c r="E85" i="13"/>
  <c r="D5" i="11"/>
  <c r="M5" i="2"/>
  <c r="D7" i="11"/>
  <c r="D79" i="11"/>
  <c r="N5" i="2"/>
  <c r="M4" i="10"/>
  <c r="M7" i="10" s="1"/>
  <c r="L5" i="10"/>
  <c r="E55" i="13"/>
  <c r="E99" i="13"/>
  <c r="E80" i="13"/>
  <c r="E61" i="13"/>
  <c r="E86" i="13"/>
  <c r="E29" i="13"/>
  <c r="E92" i="13"/>
  <c r="E77" i="13"/>
  <c r="D9" i="5"/>
  <c r="D39" i="5" s="1"/>
  <c r="E64" i="13"/>
  <c r="E44" i="13"/>
  <c r="E102" i="13"/>
  <c r="E89" i="13"/>
  <c r="E109" i="13"/>
  <c r="E95" i="13"/>
  <c r="E71" i="13"/>
  <c r="E38" i="13"/>
  <c r="E19" i="13"/>
  <c r="E32" i="13"/>
  <c r="E58" i="13"/>
  <c r="E83" i="13"/>
  <c r="E25" i="13"/>
  <c r="E108" i="13"/>
  <c r="E94" i="13"/>
  <c r="E70" i="13"/>
  <c r="E37" i="13"/>
  <c r="E18" i="13"/>
  <c r="E88" i="13"/>
  <c r="E63" i="13"/>
  <c r="E31" i="13"/>
  <c r="E42" i="13"/>
  <c r="E56" i="13"/>
  <c r="E100" i="13"/>
  <c r="E81" i="13"/>
  <c r="E62" i="13"/>
  <c r="E87" i="13"/>
  <c r="E30" i="13"/>
  <c r="E36" i="13"/>
  <c r="E93" i="13"/>
  <c r="D9" i="14"/>
  <c r="D39" i="14" s="1"/>
  <c r="AG51" i="22" l="1"/>
  <c r="AG7" i="22"/>
  <c r="AG6" i="21"/>
  <c r="AG42" i="21"/>
  <c r="AG7" i="21"/>
  <c r="AG51" i="21"/>
  <c r="AG5" i="21"/>
  <c r="AG60" i="21"/>
  <c r="AF60" i="21"/>
  <c r="AF6" i="21"/>
  <c r="AF7" i="21"/>
  <c r="AF5" i="21"/>
  <c r="AF51" i="21"/>
  <c r="AF42" i="21"/>
  <c r="M6" i="2"/>
  <c r="M6" i="38"/>
  <c r="E97" i="13"/>
  <c r="D13" i="7"/>
  <c r="E104" i="13"/>
  <c r="E27" i="13"/>
  <c r="E59" i="13"/>
  <c r="E90" i="13"/>
  <c r="E39" i="13"/>
  <c r="E2" i="15"/>
  <c r="E47" i="13"/>
  <c r="E2" i="14"/>
  <c r="E46" i="13"/>
  <c r="E20" i="13"/>
  <c r="E72" i="13"/>
  <c r="E84" i="13"/>
  <c r="E78" i="13"/>
  <c r="E53" i="13"/>
  <c r="E14" i="13"/>
  <c r="E66" i="13"/>
  <c r="E2" i="6"/>
  <c r="E49" i="13"/>
  <c r="E2" i="5"/>
  <c r="E50" i="13"/>
  <c r="E33" i="13"/>
  <c r="E2" i="7"/>
  <c r="E48" i="13"/>
  <c r="D13" i="6"/>
  <c r="M5" i="10"/>
  <c r="M6" i="10"/>
  <c r="F15" i="13"/>
  <c r="F46" i="13"/>
  <c r="F101" i="13"/>
  <c r="E9" i="6"/>
  <c r="E39" i="6" s="1"/>
  <c r="F88" i="13"/>
  <c r="F57" i="13"/>
  <c r="F60" i="13"/>
  <c r="F24" i="13"/>
  <c r="F76" i="13"/>
  <c r="F108" i="13"/>
  <c r="E9" i="5"/>
  <c r="E39" i="5" s="1"/>
  <c r="F98" i="13"/>
  <c r="F21" i="13"/>
  <c r="F67" i="13"/>
  <c r="F28" i="13"/>
  <c r="F38" i="13"/>
  <c r="E10" i="6"/>
  <c r="F82" i="13"/>
  <c r="F34" i="13"/>
  <c r="F91" i="13"/>
  <c r="E9" i="14"/>
  <c r="E39" i="14" s="1"/>
  <c r="F40" i="13"/>
  <c r="F70" i="13"/>
  <c r="F37" i="13"/>
  <c r="F94" i="13"/>
  <c r="F31" i="13"/>
  <c r="F19" i="13"/>
  <c r="F73" i="13"/>
  <c r="E10" i="14"/>
  <c r="F85" i="13"/>
  <c r="D13" i="15"/>
  <c r="E139" i="13"/>
  <c r="F105" i="13"/>
  <c r="F54" i="13"/>
  <c r="F79" i="13"/>
  <c r="F43" i="13"/>
  <c r="F49" i="13"/>
  <c r="F63" i="13"/>
  <c r="E7" i="11"/>
  <c r="E5" i="11"/>
  <c r="F4" i="11"/>
  <c r="O5" i="38" s="1"/>
  <c r="N4" i="10"/>
  <c r="N7" i="10" s="1"/>
  <c r="E126" i="13"/>
  <c r="E145" i="13"/>
  <c r="E118" i="13"/>
  <c r="E153" i="13"/>
  <c r="E132" i="13"/>
  <c r="E142" i="13"/>
  <c r="E137" i="13"/>
  <c r="E128" i="13"/>
  <c r="E120" i="13"/>
  <c r="E135" i="13"/>
  <c r="E144" i="13"/>
  <c r="E138" i="13"/>
  <c r="E117" i="13"/>
  <c r="E125" i="13"/>
  <c r="E124" i="13"/>
  <c r="E127" i="13"/>
  <c r="E133" i="13"/>
  <c r="E136" i="13"/>
  <c r="E121" i="13"/>
  <c r="E147" i="13"/>
  <c r="E134" i="13"/>
  <c r="E119" i="13"/>
  <c r="E122" i="13"/>
  <c r="E141" i="13"/>
  <c r="E149" i="13"/>
  <c r="E148" i="13"/>
  <c r="E152" i="13"/>
  <c r="E151" i="13"/>
  <c r="E150" i="13"/>
  <c r="F74" i="13"/>
  <c r="F55" i="13"/>
  <c r="F41" i="13"/>
  <c r="F99" i="13"/>
  <c r="F80" i="13"/>
  <c r="F61" i="13"/>
  <c r="F47" i="13"/>
  <c r="F86" i="13"/>
  <c r="F22" i="13"/>
  <c r="E10" i="15"/>
  <c r="E9" i="15"/>
  <c r="E39" i="15" s="1"/>
  <c r="F106" i="13"/>
  <c r="F35" i="13"/>
  <c r="F92" i="13"/>
  <c r="F29" i="13"/>
  <c r="F68" i="13"/>
  <c r="F16" i="13"/>
  <c r="D13" i="5"/>
  <c r="E10" i="5"/>
  <c r="F44" i="13"/>
  <c r="F58" i="13"/>
  <c r="F25" i="13"/>
  <c r="F102" i="13"/>
  <c r="F95" i="13"/>
  <c r="F89" i="13"/>
  <c r="F71" i="13"/>
  <c r="F83" i="13"/>
  <c r="F50" i="13"/>
  <c r="F109" i="13"/>
  <c r="F77" i="13"/>
  <c r="F64" i="13"/>
  <c r="F32" i="13"/>
  <c r="F75" i="13"/>
  <c r="F56" i="13"/>
  <c r="F100" i="13"/>
  <c r="F81" i="13"/>
  <c r="F62" i="13"/>
  <c r="F48" i="13"/>
  <c r="F87" i="13"/>
  <c r="F30" i="13"/>
  <c r="F23" i="13"/>
  <c r="E10" i="7"/>
  <c r="E9" i="7"/>
  <c r="E39" i="7" s="1"/>
  <c r="F93" i="13"/>
  <c r="F36" i="13"/>
  <c r="F42" i="13"/>
  <c r="F107" i="13"/>
  <c r="F69" i="13"/>
  <c r="F17" i="13"/>
  <c r="D13" i="14"/>
  <c r="N6" i="2" l="1"/>
  <c r="N6" i="38"/>
  <c r="F6" i="11"/>
  <c r="F90" i="13"/>
  <c r="F66" i="13"/>
  <c r="F59" i="13"/>
  <c r="E13" i="6"/>
  <c r="F39" i="13"/>
  <c r="E26" i="13"/>
  <c r="F20" i="13"/>
  <c r="F53" i="13"/>
  <c r="F104" i="13"/>
  <c r="F18" i="13"/>
  <c r="F14" i="13" s="1"/>
  <c r="F84" i="13"/>
  <c r="F97" i="13"/>
  <c r="F27" i="13"/>
  <c r="F78" i="13"/>
  <c r="E45" i="13"/>
  <c r="F33" i="13"/>
  <c r="F45" i="13"/>
  <c r="F72" i="13"/>
  <c r="F2" i="13"/>
  <c r="N5" i="10"/>
  <c r="N6" i="10"/>
  <c r="G91" i="13"/>
  <c r="H54" i="13"/>
  <c r="G40" i="13"/>
  <c r="H105" i="13"/>
  <c r="H21" i="13"/>
  <c r="E13" i="14"/>
  <c r="G15" i="13"/>
  <c r="H79" i="13"/>
  <c r="G67" i="13"/>
  <c r="G31" i="13"/>
  <c r="G101" i="13"/>
  <c r="G18" i="13"/>
  <c r="G70" i="13"/>
  <c r="G57" i="13"/>
  <c r="G108" i="13"/>
  <c r="G43" i="13"/>
  <c r="G9" i="14"/>
  <c r="G39" i="14" s="1"/>
  <c r="E13" i="5"/>
  <c r="F10" i="14"/>
  <c r="G34" i="13"/>
  <c r="G60" i="13"/>
  <c r="G85" i="13"/>
  <c r="H40" i="13"/>
  <c r="H73" i="13"/>
  <c r="H98" i="13"/>
  <c r="G10" i="14"/>
  <c r="F9" i="6"/>
  <c r="F39" i="6" s="1"/>
  <c r="G28" i="13"/>
  <c r="G54" i="13"/>
  <c r="G79" i="13"/>
  <c r="G105" i="13"/>
  <c r="H28" i="13"/>
  <c r="H46" i="13"/>
  <c r="H67" i="13"/>
  <c r="H91" i="13"/>
  <c r="F137" i="13"/>
  <c r="F147" i="13"/>
  <c r="F9" i="14"/>
  <c r="F39" i="14" s="1"/>
  <c r="G46" i="13"/>
  <c r="G73" i="13"/>
  <c r="G98" i="13"/>
  <c r="H34" i="13"/>
  <c r="H85" i="13"/>
  <c r="F120" i="13"/>
  <c r="F10" i="6"/>
  <c r="G37" i="13"/>
  <c r="G76" i="13"/>
  <c r="G49" i="13"/>
  <c r="G88" i="13"/>
  <c r="G94" i="13"/>
  <c r="G24" i="13"/>
  <c r="G82" i="13"/>
  <c r="G71" i="13"/>
  <c r="F119" i="13"/>
  <c r="G102" i="13"/>
  <c r="G44" i="13"/>
  <c r="G109" i="13"/>
  <c r="G77" i="13"/>
  <c r="F10" i="5"/>
  <c r="G58" i="13"/>
  <c r="G64" i="13"/>
  <c r="F142" i="13"/>
  <c r="G95" i="13"/>
  <c r="F117" i="13"/>
  <c r="O5" i="2"/>
  <c r="F7" i="11"/>
  <c r="F5" i="11"/>
  <c r="G4" i="11"/>
  <c r="O4" i="10"/>
  <c r="O7" i="10" s="1"/>
  <c r="F135" i="13"/>
  <c r="F145" i="13"/>
  <c r="F126" i="13"/>
  <c r="F144" i="13"/>
  <c r="F132" i="13"/>
  <c r="F118" i="13"/>
  <c r="F138" i="13"/>
  <c r="F136" i="13"/>
  <c r="F139" i="13"/>
  <c r="F122" i="13"/>
  <c r="F125" i="13"/>
  <c r="F128" i="13"/>
  <c r="F127" i="13"/>
  <c r="F133" i="13"/>
  <c r="F134" i="13"/>
  <c r="F121" i="13"/>
  <c r="F153" i="13"/>
  <c r="F124" i="13"/>
  <c r="F141" i="13"/>
  <c r="F149" i="13"/>
  <c r="F152" i="13"/>
  <c r="F151" i="13"/>
  <c r="F150" i="13"/>
  <c r="F148" i="13"/>
  <c r="G106" i="13"/>
  <c r="G92" i="13"/>
  <c r="G68" i="13"/>
  <c r="G35" i="13"/>
  <c r="G74" i="13"/>
  <c r="G55" i="13"/>
  <c r="G41" i="13"/>
  <c r="G80" i="13"/>
  <c r="G47" i="13"/>
  <c r="G16" i="13"/>
  <c r="G61" i="13"/>
  <c r="G29" i="13"/>
  <c r="G86" i="13"/>
  <c r="G22" i="13"/>
  <c r="F10" i="15"/>
  <c r="F9" i="15"/>
  <c r="F39" i="15" s="1"/>
  <c r="G99" i="13"/>
  <c r="E13" i="15"/>
  <c r="G19" i="13"/>
  <c r="G25" i="13"/>
  <c r="G89" i="13"/>
  <c r="G83" i="13"/>
  <c r="G32" i="13"/>
  <c r="F9" i="5"/>
  <c r="F39" i="5" s="1"/>
  <c r="G38" i="13"/>
  <c r="G50" i="13"/>
  <c r="E13" i="7"/>
  <c r="G107" i="13"/>
  <c r="G93" i="13"/>
  <c r="G69" i="13"/>
  <c r="G75" i="13"/>
  <c r="G56" i="13"/>
  <c r="G42" i="13"/>
  <c r="G81" i="13"/>
  <c r="G48" i="13"/>
  <c r="G17" i="13"/>
  <c r="G87" i="13"/>
  <c r="G30" i="13"/>
  <c r="G23" i="13"/>
  <c r="F10" i="7"/>
  <c r="F9" i="7"/>
  <c r="F39" i="7" s="1"/>
  <c r="G100" i="13"/>
  <c r="G36" i="13"/>
  <c r="G62" i="13"/>
  <c r="O6" i="2" l="1"/>
  <c r="O6" i="38"/>
  <c r="G6" i="11"/>
  <c r="P5" i="38"/>
  <c r="F26" i="13"/>
  <c r="G84" i="13"/>
  <c r="G27" i="13"/>
  <c r="G33" i="13"/>
  <c r="G78" i="13"/>
  <c r="G53" i="13"/>
  <c r="H60" i="13"/>
  <c r="H15" i="13"/>
  <c r="G39" i="13"/>
  <c r="G97" i="13"/>
  <c r="G14" i="13"/>
  <c r="G90" i="13"/>
  <c r="G63" i="13"/>
  <c r="G59" i="13" s="1"/>
  <c r="G21" i="13"/>
  <c r="G20" i="13" s="1"/>
  <c r="G45" i="13"/>
  <c r="G104" i="13"/>
  <c r="G72" i="13"/>
  <c r="G66" i="13"/>
  <c r="F13" i="5"/>
  <c r="O6" i="10"/>
  <c r="H10" i="14"/>
  <c r="G10" i="6"/>
  <c r="I85" i="13"/>
  <c r="H88" i="13"/>
  <c r="I60" i="13"/>
  <c r="H94" i="13"/>
  <c r="I34" i="13"/>
  <c r="H64" i="13"/>
  <c r="H83" i="13"/>
  <c r="I28" i="13"/>
  <c r="I54" i="13"/>
  <c r="I79" i="13"/>
  <c r="I105" i="13"/>
  <c r="H101" i="13"/>
  <c r="I21" i="13"/>
  <c r="I46" i="13"/>
  <c r="I73" i="13"/>
  <c r="I98" i="13"/>
  <c r="H9" i="14"/>
  <c r="H39" i="14" s="1"/>
  <c r="H76" i="13"/>
  <c r="H25" i="13"/>
  <c r="I40" i="13"/>
  <c r="I67" i="13"/>
  <c r="I91" i="13"/>
  <c r="H38" i="13"/>
  <c r="H32" i="13"/>
  <c r="G10" i="5"/>
  <c r="H102" i="13"/>
  <c r="H71" i="13"/>
  <c r="H109" i="13"/>
  <c r="H95" i="13"/>
  <c r="G9" i="5"/>
  <c r="G39" i="5" s="1"/>
  <c r="H77" i="13"/>
  <c r="H89" i="13"/>
  <c r="H50" i="13"/>
  <c r="H44" i="13"/>
  <c r="G134" i="13"/>
  <c r="H31" i="13"/>
  <c r="G139" i="13"/>
  <c r="H49" i="13"/>
  <c r="H43" i="13"/>
  <c r="F143" i="13"/>
  <c r="F13" i="6"/>
  <c r="F13" i="14"/>
  <c r="G13" i="14"/>
  <c r="G145" i="13"/>
  <c r="G124" i="13"/>
  <c r="G125" i="13"/>
  <c r="H82" i="13"/>
  <c r="H63" i="13"/>
  <c r="H70" i="13"/>
  <c r="G9" i="6"/>
  <c r="G39" i="6" s="1"/>
  <c r="H57" i="13"/>
  <c r="G126" i="13"/>
  <c r="H37" i="13"/>
  <c r="H108" i="13"/>
  <c r="H24" i="13"/>
  <c r="G127" i="13"/>
  <c r="G147" i="13"/>
  <c r="G136" i="13"/>
  <c r="G117" i="13"/>
  <c r="G138" i="13"/>
  <c r="P5" i="2"/>
  <c r="H4" i="11"/>
  <c r="G7" i="11"/>
  <c r="G5" i="11"/>
  <c r="P4" i="10"/>
  <c r="P7" i="10" s="1"/>
  <c r="O5" i="10"/>
  <c r="F129" i="13"/>
  <c r="F51" i="13"/>
  <c r="G122" i="13"/>
  <c r="G135" i="13"/>
  <c r="F123" i="13"/>
  <c r="F140" i="13"/>
  <c r="G121" i="13"/>
  <c r="G132" i="13"/>
  <c r="G137" i="13"/>
  <c r="G153" i="13"/>
  <c r="G141" i="13"/>
  <c r="G118" i="13"/>
  <c r="G120" i="13"/>
  <c r="G133" i="13"/>
  <c r="G119" i="13"/>
  <c r="G144" i="13"/>
  <c r="G142" i="13"/>
  <c r="G128" i="13"/>
  <c r="G151" i="13"/>
  <c r="G150" i="13"/>
  <c r="G152" i="13"/>
  <c r="F154" i="13"/>
  <c r="G149" i="13"/>
  <c r="G148" i="13"/>
  <c r="F13" i="15"/>
  <c r="H86" i="13"/>
  <c r="H29" i="13"/>
  <c r="H106" i="13"/>
  <c r="H92" i="13"/>
  <c r="H68" i="13"/>
  <c r="H35" i="13"/>
  <c r="H74" i="13"/>
  <c r="H41" i="13"/>
  <c r="H55" i="13"/>
  <c r="G10" i="15"/>
  <c r="G9" i="15"/>
  <c r="G39" i="15" s="1"/>
  <c r="H99" i="13"/>
  <c r="H80" i="13"/>
  <c r="H47" i="13"/>
  <c r="H16" i="13"/>
  <c r="H22" i="13"/>
  <c r="H61" i="13"/>
  <c r="H87" i="13"/>
  <c r="H107" i="13"/>
  <c r="H93" i="13"/>
  <c r="H69" i="13"/>
  <c r="H36" i="13"/>
  <c r="H75" i="13"/>
  <c r="H81" i="13"/>
  <c r="H48" i="13"/>
  <c r="H17" i="13"/>
  <c r="H30" i="13"/>
  <c r="G9" i="7"/>
  <c r="G39" i="7" s="1"/>
  <c r="H100" i="13"/>
  <c r="H62" i="13"/>
  <c r="H23" i="13"/>
  <c r="G10" i="7"/>
  <c r="H42" i="13"/>
  <c r="H56" i="13"/>
  <c r="F13" i="7"/>
  <c r="H6" i="11" l="1"/>
  <c r="Q5" i="38"/>
  <c r="P6" i="2"/>
  <c r="P6" i="38"/>
  <c r="F52" i="13"/>
  <c r="F65" i="13" s="1"/>
  <c r="F96" i="13" s="1"/>
  <c r="F103" i="13" s="1"/>
  <c r="F110" i="13" s="1"/>
  <c r="G13" i="5"/>
  <c r="H72" i="13"/>
  <c r="H27" i="13"/>
  <c r="H39" i="13"/>
  <c r="H33" i="13"/>
  <c r="H20" i="13"/>
  <c r="H78" i="13"/>
  <c r="H66" i="13"/>
  <c r="H104" i="13"/>
  <c r="H90" i="13"/>
  <c r="H45" i="13"/>
  <c r="H97" i="13"/>
  <c r="H84" i="13"/>
  <c r="H59" i="13"/>
  <c r="H19" i="13"/>
  <c r="H18" i="13"/>
  <c r="H58" i="13"/>
  <c r="H53" i="13" s="1"/>
  <c r="I15" i="13"/>
  <c r="G26" i="13"/>
  <c r="P6" i="10"/>
  <c r="J67" i="13"/>
  <c r="J54" i="13"/>
  <c r="J105" i="13"/>
  <c r="H135" i="13"/>
  <c r="H139" i="13"/>
  <c r="I9" i="14"/>
  <c r="I39" i="14" s="1"/>
  <c r="J40" i="13"/>
  <c r="J91" i="13"/>
  <c r="H117" i="13"/>
  <c r="H138" i="13"/>
  <c r="J28" i="13"/>
  <c r="J79" i="13"/>
  <c r="H13" i="14"/>
  <c r="I102" i="13"/>
  <c r="J21" i="13"/>
  <c r="J46" i="13"/>
  <c r="J73" i="13"/>
  <c r="J98" i="13"/>
  <c r="I10" i="14"/>
  <c r="I50" i="13"/>
  <c r="I64" i="13"/>
  <c r="I95" i="13"/>
  <c r="J34" i="13"/>
  <c r="J60" i="13"/>
  <c r="J85" i="13"/>
  <c r="I25" i="13"/>
  <c r="I44" i="13"/>
  <c r="I71" i="13"/>
  <c r="I83" i="13"/>
  <c r="I32" i="13"/>
  <c r="H10" i="5"/>
  <c r="I38" i="13"/>
  <c r="I88" i="13"/>
  <c r="I77" i="13"/>
  <c r="I58" i="13"/>
  <c r="I89" i="13"/>
  <c r="H9" i="5"/>
  <c r="H39" i="5" s="1"/>
  <c r="I109" i="13"/>
  <c r="H126" i="13"/>
  <c r="H122" i="13"/>
  <c r="H142" i="13"/>
  <c r="I82" i="13"/>
  <c r="I94" i="13"/>
  <c r="H125" i="13"/>
  <c r="H120" i="13"/>
  <c r="G129" i="13"/>
  <c r="G13" i="6"/>
  <c r="H137" i="13"/>
  <c r="H119" i="13"/>
  <c r="H147" i="13"/>
  <c r="F146" i="13"/>
  <c r="F155" i="13" s="1"/>
  <c r="G51" i="13"/>
  <c r="I101" i="13"/>
  <c r="I31" i="13"/>
  <c r="I49" i="13"/>
  <c r="I37" i="13"/>
  <c r="I24" i="13"/>
  <c r="H134" i="13"/>
  <c r="H133" i="13"/>
  <c r="I57" i="13"/>
  <c r="I76" i="13"/>
  <c r="I63" i="13"/>
  <c r="I70" i="13"/>
  <c r="H121" i="13"/>
  <c r="H9" i="6"/>
  <c r="H39" i="6" s="1"/>
  <c r="C102" i="20" s="1"/>
  <c r="H10" i="6"/>
  <c r="I43" i="13"/>
  <c r="I108" i="13"/>
  <c r="H128" i="13"/>
  <c r="H145" i="13"/>
  <c r="K54" i="13"/>
  <c r="H118" i="13"/>
  <c r="H136" i="13"/>
  <c r="Q5" i="2"/>
  <c r="H5" i="11"/>
  <c r="I4" i="11"/>
  <c r="R5" i="38" s="1"/>
  <c r="H7" i="11"/>
  <c r="P5" i="10"/>
  <c r="Q4" i="10"/>
  <c r="Q7" i="10" s="1"/>
  <c r="H124" i="13"/>
  <c r="H141" i="13"/>
  <c r="H127" i="13"/>
  <c r="H144" i="13"/>
  <c r="G140" i="13"/>
  <c r="H153" i="13"/>
  <c r="F130" i="13"/>
  <c r="G123" i="13"/>
  <c r="H132" i="13"/>
  <c r="G143" i="13"/>
  <c r="H152" i="13"/>
  <c r="H151" i="13"/>
  <c r="H150" i="13"/>
  <c r="H149" i="13"/>
  <c r="H148" i="13"/>
  <c r="G154" i="13"/>
  <c r="G13" i="15"/>
  <c r="I99" i="13"/>
  <c r="I80" i="13"/>
  <c r="I61" i="13"/>
  <c r="I47" i="13"/>
  <c r="I86" i="13"/>
  <c r="I29" i="13"/>
  <c r="I106" i="13"/>
  <c r="I68" i="13"/>
  <c r="I35" i="13"/>
  <c r="I22" i="13"/>
  <c r="I74" i="13"/>
  <c r="I41" i="13"/>
  <c r="I92" i="13"/>
  <c r="I55" i="13"/>
  <c r="H10" i="15"/>
  <c r="H9" i="15"/>
  <c r="H39" i="15" s="1"/>
  <c r="I100" i="13"/>
  <c r="I81" i="13"/>
  <c r="I62" i="13"/>
  <c r="I48" i="13"/>
  <c r="I87" i="13"/>
  <c r="I30" i="13"/>
  <c r="I107" i="13"/>
  <c r="I69" i="13"/>
  <c r="I42" i="13"/>
  <c r="I75" i="13"/>
  <c r="I93" i="13"/>
  <c r="H10" i="7"/>
  <c r="H9" i="7"/>
  <c r="H39" i="7" s="1"/>
  <c r="I36" i="13"/>
  <c r="I56" i="13"/>
  <c r="I23" i="13"/>
  <c r="G13" i="7"/>
  <c r="C132" i="20" l="1"/>
  <c r="Q6" i="2"/>
  <c r="Q6" i="38"/>
  <c r="I6" i="11"/>
  <c r="I104" i="13"/>
  <c r="I59" i="13"/>
  <c r="I53" i="13"/>
  <c r="I45" i="13"/>
  <c r="I39" i="13"/>
  <c r="I84" i="13"/>
  <c r="I97" i="13"/>
  <c r="I90" i="13"/>
  <c r="I20" i="13"/>
  <c r="I66" i="13"/>
  <c r="I33" i="13"/>
  <c r="I72" i="13"/>
  <c r="I27" i="13"/>
  <c r="I78" i="13"/>
  <c r="H14" i="13"/>
  <c r="H26" i="13" s="1"/>
  <c r="J15" i="13"/>
  <c r="I16" i="13"/>
  <c r="I18" i="13"/>
  <c r="I19" i="13"/>
  <c r="G52" i="13"/>
  <c r="I17" i="13"/>
  <c r="R4" i="10"/>
  <c r="Q6" i="10"/>
  <c r="I13" i="14"/>
  <c r="K34" i="13"/>
  <c r="I10" i="5"/>
  <c r="J63" i="13"/>
  <c r="I9" i="6"/>
  <c r="I39" i="6" s="1"/>
  <c r="I10" i="6"/>
  <c r="J82" i="13"/>
  <c r="I9" i="5"/>
  <c r="I39" i="5" s="1"/>
  <c r="J9" i="14"/>
  <c r="J39" i="14" s="1"/>
  <c r="J76" i="13"/>
  <c r="K67" i="13"/>
  <c r="K73" i="13"/>
  <c r="K28" i="13"/>
  <c r="K105" i="13"/>
  <c r="K21" i="13"/>
  <c r="K91" i="13"/>
  <c r="K98" i="13"/>
  <c r="K40" i="13"/>
  <c r="J10" i="14"/>
  <c r="K85" i="13"/>
  <c r="K46" i="13"/>
  <c r="K79" i="13"/>
  <c r="J109" i="13"/>
  <c r="J89" i="13"/>
  <c r="J50" i="13"/>
  <c r="J49" i="13"/>
  <c r="J57" i="13"/>
  <c r="J88" i="13"/>
  <c r="J71" i="13"/>
  <c r="J108" i="13"/>
  <c r="J70" i="13"/>
  <c r="J95" i="13"/>
  <c r="J38" i="13"/>
  <c r="J101" i="13"/>
  <c r="J24" i="13"/>
  <c r="J43" i="13"/>
  <c r="J37" i="13"/>
  <c r="J94" i="13"/>
  <c r="J31" i="13"/>
  <c r="J64" i="13"/>
  <c r="J102" i="13"/>
  <c r="J83" i="13"/>
  <c r="J25" i="13"/>
  <c r="J32" i="13"/>
  <c r="I126" i="13"/>
  <c r="H123" i="13"/>
  <c r="J44" i="13"/>
  <c r="J77" i="13"/>
  <c r="J58" i="13"/>
  <c r="I150" i="13"/>
  <c r="H13" i="5"/>
  <c r="H143" i="13"/>
  <c r="I134" i="13"/>
  <c r="I144" i="13"/>
  <c r="H51" i="13"/>
  <c r="I149" i="13"/>
  <c r="G130" i="13"/>
  <c r="I118" i="13"/>
  <c r="I128" i="13"/>
  <c r="I138" i="13"/>
  <c r="I151" i="13"/>
  <c r="I121" i="13"/>
  <c r="I120" i="13"/>
  <c r="I137" i="13"/>
  <c r="I136" i="13"/>
  <c r="I139" i="13"/>
  <c r="I133" i="13"/>
  <c r="I152" i="13"/>
  <c r="I153" i="13"/>
  <c r="I125" i="13"/>
  <c r="I122" i="13"/>
  <c r="I145" i="13"/>
  <c r="I127" i="13"/>
  <c r="I148" i="13"/>
  <c r="I135" i="13"/>
  <c r="I141" i="13"/>
  <c r="H13" i="6"/>
  <c r="I119" i="13"/>
  <c r="I142" i="13"/>
  <c r="L85" i="13"/>
  <c r="L34" i="13"/>
  <c r="H140" i="13"/>
  <c r="H129" i="13"/>
  <c r="R5" i="2"/>
  <c r="I7" i="11"/>
  <c r="I5" i="11"/>
  <c r="J4" i="11"/>
  <c r="S5" i="38" s="1"/>
  <c r="Q5" i="10"/>
  <c r="G146" i="13"/>
  <c r="G155" i="13" s="1"/>
  <c r="F115" i="13"/>
  <c r="I147" i="13"/>
  <c r="I132" i="13"/>
  <c r="I124" i="13"/>
  <c r="I117" i="13"/>
  <c r="H154" i="13"/>
  <c r="J74" i="13"/>
  <c r="J55" i="13"/>
  <c r="J41" i="13"/>
  <c r="J99" i="13"/>
  <c r="J80" i="13"/>
  <c r="J61" i="13"/>
  <c r="J47" i="13"/>
  <c r="J29" i="13"/>
  <c r="J22" i="13"/>
  <c r="I10" i="15"/>
  <c r="I9" i="15"/>
  <c r="I39" i="15" s="1"/>
  <c r="J92" i="13"/>
  <c r="J106" i="13"/>
  <c r="J68" i="13"/>
  <c r="J35" i="13"/>
  <c r="J86" i="13"/>
  <c r="H13" i="15"/>
  <c r="H13" i="7"/>
  <c r="J75" i="13"/>
  <c r="J56" i="13"/>
  <c r="J100" i="13"/>
  <c r="J81" i="13"/>
  <c r="J62" i="13"/>
  <c r="J48" i="13"/>
  <c r="J36" i="13"/>
  <c r="J23" i="13"/>
  <c r="I10" i="7"/>
  <c r="I9" i="7"/>
  <c r="I39" i="7" s="1"/>
  <c r="J107" i="13"/>
  <c r="J69" i="13"/>
  <c r="J42" i="13"/>
  <c r="J87" i="13"/>
  <c r="J30" i="13"/>
  <c r="J93" i="13"/>
  <c r="K49" i="13"/>
  <c r="K108" i="13"/>
  <c r="K43" i="13"/>
  <c r="R6" i="2" l="1"/>
  <c r="R6" i="38"/>
  <c r="J6" i="11"/>
  <c r="R6" i="10"/>
  <c r="R7" i="10"/>
  <c r="J39" i="13"/>
  <c r="J27" i="13"/>
  <c r="J97" i="13"/>
  <c r="I14" i="13"/>
  <c r="I26" i="13" s="1"/>
  <c r="J104" i="13"/>
  <c r="J66" i="13"/>
  <c r="J59" i="13"/>
  <c r="J33" i="13"/>
  <c r="J84" i="13"/>
  <c r="J72" i="13"/>
  <c r="I123" i="13"/>
  <c r="J45" i="13"/>
  <c r="J53" i="13"/>
  <c r="J90" i="13"/>
  <c r="J20" i="13"/>
  <c r="J78" i="13"/>
  <c r="I154" i="13"/>
  <c r="I140" i="13"/>
  <c r="I129" i="13"/>
  <c r="H52" i="13"/>
  <c r="H65" i="13" s="1"/>
  <c r="H96" i="13" s="1"/>
  <c r="H103" i="13" s="1"/>
  <c r="H110" i="13" s="1"/>
  <c r="G65" i="13"/>
  <c r="G96" i="13" s="1"/>
  <c r="G103" i="13" s="1"/>
  <c r="G110" i="13" s="1"/>
  <c r="J19" i="13"/>
  <c r="K60" i="13"/>
  <c r="J16" i="13"/>
  <c r="J18" i="13"/>
  <c r="K15" i="13"/>
  <c r="J17" i="13"/>
  <c r="S4" i="10"/>
  <c r="R5" i="10"/>
  <c r="I13" i="6"/>
  <c r="J9" i="6"/>
  <c r="J39" i="6" s="1"/>
  <c r="K57" i="13"/>
  <c r="L60" i="13"/>
  <c r="K10" i="14"/>
  <c r="K37" i="13"/>
  <c r="K101" i="13"/>
  <c r="I13" i="5"/>
  <c r="K95" i="13"/>
  <c r="J122" i="13"/>
  <c r="J9" i="5"/>
  <c r="J39" i="5" s="1"/>
  <c r="K50" i="13"/>
  <c r="K24" i="13"/>
  <c r="K70" i="13"/>
  <c r="K76" i="13"/>
  <c r="K31" i="13"/>
  <c r="K82" i="13"/>
  <c r="K102" i="13"/>
  <c r="L21" i="13"/>
  <c r="L73" i="13"/>
  <c r="J148" i="13"/>
  <c r="J118" i="13"/>
  <c r="K89" i="13"/>
  <c r="K77" i="13"/>
  <c r="L46" i="13"/>
  <c r="L98" i="13"/>
  <c r="L40" i="13"/>
  <c r="L67" i="13"/>
  <c r="L91" i="13"/>
  <c r="K9" i="14"/>
  <c r="K39" i="14" s="1"/>
  <c r="K94" i="13"/>
  <c r="J10" i="6"/>
  <c r="K88" i="13"/>
  <c r="K63" i="13"/>
  <c r="K25" i="13"/>
  <c r="L28" i="13"/>
  <c r="L79" i="13"/>
  <c r="L105" i="13"/>
  <c r="J152" i="13"/>
  <c r="J13" i="14"/>
  <c r="J137" i="13"/>
  <c r="G115" i="13"/>
  <c r="J134" i="13"/>
  <c r="J119" i="13"/>
  <c r="K58" i="13"/>
  <c r="K32" i="13"/>
  <c r="K44" i="13"/>
  <c r="K83" i="13"/>
  <c r="J133" i="13"/>
  <c r="J150" i="13"/>
  <c r="J126" i="13"/>
  <c r="J151" i="13"/>
  <c r="K38" i="13"/>
  <c r="K71" i="13"/>
  <c r="K109" i="13"/>
  <c r="J10" i="5"/>
  <c r="K64" i="13"/>
  <c r="H146" i="13"/>
  <c r="H155" i="13" s="1"/>
  <c r="J121" i="13"/>
  <c r="J127" i="13"/>
  <c r="J142" i="13"/>
  <c r="J120" i="13"/>
  <c r="J153" i="13"/>
  <c r="J136" i="13"/>
  <c r="J125" i="13"/>
  <c r="J149" i="13"/>
  <c r="J138" i="13"/>
  <c r="J145" i="13"/>
  <c r="J139" i="13"/>
  <c r="J128" i="13"/>
  <c r="J144" i="13"/>
  <c r="J135" i="13"/>
  <c r="H130" i="13"/>
  <c r="I51" i="13"/>
  <c r="I143" i="13"/>
  <c r="M105" i="13"/>
  <c r="M98" i="13"/>
  <c r="M91" i="13"/>
  <c r="M85" i="13"/>
  <c r="M79" i="13"/>
  <c r="M73" i="13"/>
  <c r="M67" i="13"/>
  <c r="M60" i="13"/>
  <c r="M54" i="13"/>
  <c r="M46" i="13"/>
  <c r="M40" i="13"/>
  <c r="M34" i="13"/>
  <c r="M28" i="13"/>
  <c r="M21" i="13"/>
  <c r="S5" i="2"/>
  <c r="J7" i="11"/>
  <c r="J5" i="11"/>
  <c r="K4" i="11"/>
  <c r="T5" i="38" s="1"/>
  <c r="J147" i="13"/>
  <c r="J141" i="13"/>
  <c r="J117" i="13"/>
  <c r="J132" i="13"/>
  <c r="J124" i="13"/>
  <c r="K106" i="13"/>
  <c r="K92" i="13"/>
  <c r="K68" i="13"/>
  <c r="K35" i="13"/>
  <c r="K74" i="13"/>
  <c r="K55" i="13"/>
  <c r="K41" i="13"/>
  <c r="K99" i="13"/>
  <c r="K61" i="13"/>
  <c r="K47" i="13"/>
  <c r="K86" i="13"/>
  <c r="K29" i="13"/>
  <c r="K22" i="13"/>
  <c r="J10" i="15"/>
  <c r="J9" i="15"/>
  <c r="J39" i="15" s="1"/>
  <c r="K80" i="13"/>
  <c r="I13" i="15"/>
  <c r="K107" i="13"/>
  <c r="K93" i="13"/>
  <c r="K69" i="13"/>
  <c r="K75" i="13"/>
  <c r="K56" i="13"/>
  <c r="K42" i="13"/>
  <c r="K100" i="13"/>
  <c r="K62" i="13"/>
  <c r="K30" i="13"/>
  <c r="K36" i="13"/>
  <c r="K23" i="13"/>
  <c r="J10" i="7"/>
  <c r="J9" i="7"/>
  <c r="J39" i="7" s="1"/>
  <c r="K81" i="13"/>
  <c r="K48" i="13"/>
  <c r="K87" i="13"/>
  <c r="L109" i="13"/>
  <c r="I13" i="7"/>
  <c r="L63" i="13"/>
  <c r="L9" i="14"/>
  <c r="L39" i="14" s="1"/>
  <c r="L10" i="14"/>
  <c r="S6" i="2" l="1"/>
  <c r="S6" i="38"/>
  <c r="I52" i="13"/>
  <c r="S6" i="10"/>
  <c r="S7" i="10"/>
  <c r="K39" i="13"/>
  <c r="I130" i="13"/>
  <c r="K27" i="13"/>
  <c r="K84" i="13"/>
  <c r="I146" i="13"/>
  <c r="I155" i="13" s="1"/>
  <c r="K20" i="13"/>
  <c r="K53" i="13"/>
  <c r="K104" i="13"/>
  <c r="J14" i="13"/>
  <c r="J26" i="13" s="1"/>
  <c r="K45" i="13"/>
  <c r="K97" i="13"/>
  <c r="K66" i="13"/>
  <c r="K72" i="13"/>
  <c r="J13" i="6"/>
  <c r="K78" i="13"/>
  <c r="K33" i="13"/>
  <c r="K90" i="13"/>
  <c r="J129" i="13"/>
  <c r="K59" i="13"/>
  <c r="J123" i="13"/>
  <c r="J140" i="13"/>
  <c r="J154" i="13"/>
  <c r="K19" i="13"/>
  <c r="K16" i="13"/>
  <c r="L54" i="13"/>
  <c r="K18" i="13"/>
  <c r="M15" i="13"/>
  <c r="L15" i="13"/>
  <c r="K17" i="13"/>
  <c r="I65" i="13"/>
  <c r="I96" i="13" s="1"/>
  <c r="I103" i="13" s="1"/>
  <c r="I110" i="13" s="1"/>
  <c r="T4" i="10"/>
  <c r="S5" i="10"/>
  <c r="T5" i="2"/>
  <c r="K6" i="11"/>
  <c r="K13" i="14"/>
  <c r="L31" i="13"/>
  <c r="L37" i="13"/>
  <c r="L82" i="13"/>
  <c r="L24" i="13"/>
  <c r="L94" i="13"/>
  <c r="L108" i="13"/>
  <c r="K9" i="6"/>
  <c r="K39" i="6" s="1"/>
  <c r="K10" i="6"/>
  <c r="L76" i="13"/>
  <c r="L101" i="13"/>
  <c r="L88" i="13"/>
  <c r="L70" i="13"/>
  <c r="L49" i="13"/>
  <c r="L43" i="13"/>
  <c r="J13" i="5"/>
  <c r="L102" i="13"/>
  <c r="L25" i="13"/>
  <c r="K137" i="13"/>
  <c r="L71" i="13"/>
  <c r="L89" i="13"/>
  <c r="L77" i="13"/>
  <c r="L83" i="13"/>
  <c r="L32" i="13"/>
  <c r="L95" i="13"/>
  <c r="L64" i="13"/>
  <c r="K9" i="5"/>
  <c r="K39" i="5" s="1"/>
  <c r="L58" i="13"/>
  <c r="K149" i="13"/>
  <c r="K134" i="13"/>
  <c r="K10" i="5"/>
  <c r="L50" i="13"/>
  <c r="L38" i="13"/>
  <c r="L44" i="13"/>
  <c r="K152" i="13"/>
  <c r="K148" i="13"/>
  <c r="K119" i="13"/>
  <c r="K139" i="13"/>
  <c r="K120" i="13"/>
  <c r="K121" i="13"/>
  <c r="K142" i="13"/>
  <c r="K153" i="13"/>
  <c r="K144" i="13"/>
  <c r="K135" i="13"/>
  <c r="K136" i="13"/>
  <c r="K138" i="13"/>
  <c r="K151" i="13"/>
  <c r="K118" i="13"/>
  <c r="K125" i="13"/>
  <c r="K150" i="13"/>
  <c r="K127" i="13"/>
  <c r="K122" i="13"/>
  <c r="J51" i="13"/>
  <c r="J143" i="13"/>
  <c r="K128" i="13"/>
  <c r="K133" i="13"/>
  <c r="K145" i="13"/>
  <c r="K126" i="13"/>
  <c r="H115" i="13"/>
  <c r="N105" i="13"/>
  <c r="N98" i="13"/>
  <c r="N91" i="13"/>
  <c r="N85" i="13"/>
  <c r="N79" i="13"/>
  <c r="N73" i="13"/>
  <c r="N67" i="13"/>
  <c r="N60" i="13"/>
  <c r="N54" i="13"/>
  <c r="N40" i="13"/>
  <c r="N28" i="13"/>
  <c r="N46" i="13"/>
  <c r="N34" i="13"/>
  <c r="N21" i="13"/>
  <c r="K5" i="11"/>
  <c r="K7" i="11"/>
  <c r="L4" i="11"/>
  <c r="U5" i="38" s="1"/>
  <c r="K141" i="13"/>
  <c r="K132" i="13"/>
  <c r="K147" i="13"/>
  <c r="K124" i="13"/>
  <c r="K117" i="13"/>
  <c r="J13" i="15"/>
  <c r="L86" i="13"/>
  <c r="L29" i="13"/>
  <c r="L106" i="13"/>
  <c r="L92" i="13"/>
  <c r="L68" i="13"/>
  <c r="L35" i="13"/>
  <c r="L55" i="13"/>
  <c r="L41" i="13"/>
  <c r="K10" i="15"/>
  <c r="K9" i="15"/>
  <c r="K39" i="15" s="1"/>
  <c r="L80" i="13"/>
  <c r="L99" i="13"/>
  <c r="L61" i="13"/>
  <c r="L74" i="13"/>
  <c r="L22" i="13"/>
  <c r="L47" i="13"/>
  <c r="M109" i="13"/>
  <c r="M95" i="13"/>
  <c r="M71" i="13"/>
  <c r="M38" i="13"/>
  <c r="M19" i="13"/>
  <c r="M83" i="13"/>
  <c r="M58" i="13"/>
  <c r="M32" i="13"/>
  <c r="M50" i="13"/>
  <c r="M25" i="13"/>
  <c r="L9" i="5"/>
  <c r="L39" i="5" s="1"/>
  <c r="M102" i="13"/>
  <c r="M77" i="13"/>
  <c r="M89" i="13"/>
  <c r="M64" i="13"/>
  <c r="M44" i="13"/>
  <c r="L10" i="5"/>
  <c r="J13" i="7"/>
  <c r="L87" i="13"/>
  <c r="L107" i="13"/>
  <c r="L93" i="13"/>
  <c r="L69" i="13"/>
  <c r="L36" i="13"/>
  <c r="L118" i="13"/>
  <c r="L56" i="13"/>
  <c r="L100" i="13"/>
  <c r="L62" i="13"/>
  <c r="L30" i="13"/>
  <c r="L75" i="13"/>
  <c r="L23" i="13"/>
  <c r="L81" i="13"/>
  <c r="L42" i="13"/>
  <c r="K9" i="7"/>
  <c r="K39" i="7" s="1"/>
  <c r="L48" i="13"/>
  <c r="K10" i="7"/>
  <c r="M70" i="13"/>
  <c r="M24" i="13"/>
  <c r="M63" i="13"/>
  <c r="M88" i="13"/>
  <c r="L13" i="14"/>
  <c r="M9" i="14"/>
  <c r="M39" i="14" s="1"/>
  <c r="M10" i="14"/>
  <c r="T6" i="2" l="1"/>
  <c r="T6" i="38"/>
  <c r="T6" i="10"/>
  <c r="T7" i="10"/>
  <c r="I115" i="13"/>
  <c r="J130" i="13"/>
  <c r="J52" i="13"/>
  <c r="J65" i="13" s="1"/>
  <c r="J96" i="13" s="1"/>
  <c r="J103" i="13" s="1"/>
  <c r="J110" i="13" s="1"/>
  <c r="L72" i="13"/>
  <c r="L90" i="13"/>
  <c r="K14" i="13"/>
  <c r="K26" i="13" s="1"/>
  <c r="L97" i="13"/>
  <c r="L27" i="13"/>
  <c r="K13" i="6"/>
  <c r="L45" i="13"/>
  <c r="L59" i="13"/>
  <c r="L84" i="13"/>
  <c r="K13" i="5"/>
  <c r="L20" i="13"/>
  <c r="L66" i="13"/>
  <c r="L78" i="13"/>
  <c r="L33" i="13"/>
  <c r="L39" i="13"/>
  <c r="L104" i="13"/>
  <c r="K123" i="13"/>
  <c r="K140" i="13"/>
  <c r="K154" i="13"/>
  <c r="J146" i="13"/>
  <c r="J155" i="13" s="1"/>
  <c r="K129" i="13"/>
  <c r="L16" i="13"/>
  <c r="L57" i="13"/>
  <c r="L53" i="13" s="1"/>
  <c r="N15" i="13"/>
  <c r="L19" i="13"/>
  <c r="L18" i="13"/>
  <c r="L17" i="13"/>
  <c r="U4" i="10"/>
  <c r="T5" i="10"/>
  <c r="U5" i="2"/>
  <c r="L6" i="11"/>
  <c r="L149" i="13"/>
  <c r="L125" i="13"/>
  <c r="L150" i="13"/>
  <c r="L134" i="13"/>
  <c r="L148" i="13"/>
  <c r="L127" i="13"/>
  <c r="L9" i="6"/>
  <c r="L39" i="6" s="1"/>
  <c r="M31" i="13"/>
  <c r="M76" i="13"/>
  <c r="M108" i="13"/>
  <c r="L152" i="13"/>
  <c r="L142" i="13"/>
  <c r="M82" i="13"/>
  <c r="M43" i="13"/>
  <c r="M101" i="13"/>
  <c r="M37" i="13"/>
  <c r="M49" i="13"/>
  <c r="L10" i="6"/>
  <c r="M94" i="13"/>
  <c r="L137" i="13"/>
  <c r="L122" i="13"/>
  <c r="L141" i="13"/>
  <c r="L119" i="13"/>
  <c r="L144" i="13"/>
  <c r="L151" i="13"/>
  <c r="L133" i="13"/>
  <c r="K143" i="13"/>
  <c r="L126" i="13"/>
  <c r="L121" i="13"/>
  <c r="L139" i="13"/>
  <c r="L138" i="13"/>
  <c r="L120" i="13"/>
  <c r="L136" i="13"/>
  <c r="L153" i="13"/>
  <c r="L135" i="13"/>
  <c r="L128" i="13"/>
  <c r="L145" i="13"/>
  <c r="K51" i="13"/>
  <c r="O105" i="13"/>
  <c r="O98" i="13"/>
  <c r="O91" i="13"/>
  <c r="O85" i="13"/>
  <c r="O79" i="13"/>
  <c r="O73" i="13"/>
  <c r="O67" i="13"/>
  <c r="O60" i="13"/>
  <c r="O54" i="13"/>
  <c r="O46" i="13"/>
  <c r="O40" i="13"/>
  <c r="O34" i="13"/>
  <c r="O28" i="13"/>
  <c r="O21" i="13"/>
  <c r="L5" i="11"/>
  <c r="M4" i="11"/>
  <c r="V5" i="38" s="1"/>
  <c r="L7" i="11"/>
  <c r="L124" i="13"/>
  <c r="L132" i="13"/>
  <c r="L117" i="13"/>
  <c r="L147" i="13"/>
  <c r="K13" i="15"/>
  <c r="M99" i="13"/>
  <c r="M80" i="13"/>
  <c r="M61" i="13"/>
  <c r="M47" i="13"/>
  <c r="M86" i="13"/>
  <c r="M29" i="13"/>
  <c r="M92" i="13"/>
  <c r="M35" i="13"/>
  <c r="M74" i="13"/>
  <c r="M22" i="13"/>
  <c r="M55" i="13"/>
  <c r="M106" i="13"/>
  <c r="M68" i="13"/>
  <c r="M41" i="13"/>
  <c r="L10" i="15"/>
  <c r="L9" i="15"/>
  <c r="L39" i="15" s="1"/>
  <c r="L13" i="5"/>
  <c r="M144" i="13"/>
  <c r="M136" i="13"/>
  <c r="M100" i="13"/>
  <c r="M81" i="13"/>
  <c r="M62" i="13"/>
  <c r="M48" i="13"/>
  <c r="M141" i="13"/>
  <c r="M87" i="13"/>
  <c r="M84" i="13" s="1"/>
  <c r="M30" i="13"/>
  <c r="M150" i="13"/>
  <c r="M142" i="13"/>
  <c r="M93" i="13"/>
  <c r="M151" i="13"/>
  <c r="M135" i="13"/>
  <c r="M56" i="13"/>
  <c r="M121" i="13"/>
  <c r="M69" i="13"/>
  <c r="M36" i="13"/>
  <c r="M107" i="13"/>
  <c r="L10" i="7"/>
  <c r="M122" i="13"/>
  <c r="M23" i="13"/>
  <c r="M75" i="13"/>
  <c r="L9" i="7"/>
  <c r="L39" i="7" s="1"/>
  <c r="M42" i="13"/>
  <c r="K13" i="7"/>
  <c r="N89" i="13"/>
  <c r="N32" i="13"/>
  <c r="N102" i="13"/>
  <c r="N77" i="13"/>
  <c r="M10" i="5"/>
  <c r="M9" i="5"/>
  <c r="M39" i="5" s="1"/>
  <c r="N95" i="13"/>
  <c r="N64" i="13"/>
  <c r="N44" i="13"/>
  <c r="N19" i="13"/>
  <c r="N83" i="13"/>
  <c r="N58" i="13"/>
  <c r="N38" i="13"/>
  <c r="N50" i="13"/>
  <c r="N25" i="13"/>
  <c r="N109" i="13"/>
  <c r="N71" i="13"/>
  <c r="N9" i="14"/>
  <c r="N39" i="14" s="1"/>
  <c r="N10" i="14"/>
  <c r="M13" i="14"/>
  <c r="U6" i="2" l="1"/>
  <c r="U6" i="38"/>
  <c r="U6" i="10"/>
  <c r="U7" i="10"/>
  <c r="M27" i="13"/>
  <c r="M72" i="13"/>
  <c r="M104" i="13"/>
  <c r="J115" i="13"/>
  <c r="M59" i="13"/>
  <c r="K130" i="13"/>
  <c r="M20" i="13"/>
  <c r="M97" i="13"/>
  <c r="L14" i="13"/>
  <c r="L26" i="13" s="1"/>
  <c r="M90" i="13"/>
  <c r="K52" i="13"/>
  <c r="K65" i="13" s="1"/>
  <c r="K96" i="13" s="1"/>
  <c r="K103" i="13" s="1"/>
  <c r="K110" i="13" s="1"/>
  <c r="L13" i="6"/>
  <c r="M78" i="13"/>
  <c r="M39" i="13"/>
  <c r="M66" i="13"/>
  <c r="K146" i="13"/>
  <c r="K155" i="13" s="1"/>
  <c r="M33" i="13"/>
  <c r="M45" i="13"/>
  <c r="L129" i="13"/>
  <c r="L123" i="13"/>
  <c r="L154" i="13"/>
  <c r="L140" i="13"/>
  <c r="O15" i="13"/>
  <c r="M18" i="13"/>
  <c r="M57" i="13"/>
  <c r="M53" i="13" s="1"/>
  <c r="M16" i="13"/>
  <c r="N18" i="13"/>
  <c r="M17" i="13"/>
  <c r="L51" i="13"/>
  <c r="U5" i="10"/>
  <c r="V4" i="10"/>
  <c r="V5" i="2"/>
  <c r="M6" i="11"/>
  <c r="M128" i="13"/>
  <c r="M145" i="13"/>
  <c r="M149" i="13"/>
  <c r="M120" i="13"/>
  <c r="M148" i="13"/>
  <c r="M134" i="13"/>
  <c r="M126" i="13"/>
  <c r="M119" i="13"/>
  <c r="L143" i="13"/>
  <c r="M9" i="6"/>
  <c r="M39" i="6" s="1"/>
  <c r="M138" i="13"/>
  <c r="M10" i="6"/>
  <c r="N101" i="13"/>
  <c r="N70" i="13"/>
  <c r="N88" i="13"/>
  <c r="M118" i="13"/>
  <c r="M137" i="13"/>
  <c r="N37" i="13"/>
  <c r="N108" i="13"/>
  <c r="N82" i="13"/>
  <c r="N63" i="13"/>
  <c r="N49" i="13"/>
  <c r="N31" i="13"/>
  <c r="M139" i="13"/>
  <c r="M133" i="13"/>
  <c r="M152" i="13"/>
  <c r="N76" i="13"/>
  <c r="M153" i="13"/>
  <c r="N94" i="13"/>
  <c r="N57" i="13"/>
  <c r="N24" i="13"/>
  <c r="N43" i="13"/>
  <c r="M125" i="13"/>
  <c r="M127" i="13"/>
  <c r="P85" i="13"/>
  <c r="P60" i="13"/>
  <c r="P46" i="13"/>
  <c r="P34" i="13"/>
  <c r="P21" i="13"/>
  <c r="P105" i="13"/>
  <c r="P79" i="13"/>
  <c r="P98" i="13"/>
  <c r="P73" i="13"/>
  <c r="P40" i="13"/>
  <c r="P28" i="13"/>
  <c r="P91" i="13"/>
  <c r="P67" i="13"/>
  <c r="M7" i="11"/>
  <c r="M5" i="11"/>
  <c r="N4" i="11"/>
  <c r="W5" i="38" s="1"/>
  <c r="M124" i="13"/>
  <c r="M147" i="13"/>
  <c r="M117" i="13"/>
  <c r="M132" i="13"/>
  <c r="M143" i="13"/>
  <c r="N74" i="13"/>
  <c r="N55" i="13"/>
  <c r="N41" i="13"/>
  <c r="N99" i="13"/>
  <c r="N80" i="13"/>
  <c r="N61" i="13"/>
  <c r="N47" i="13"/>
  <c r="N86" i="13"/>
  <c r="N22" i="13"/>
  <c r="M10" i="15"/>
  <c r="M9" i="15"/>
  <c r="M39" i="15" s="1"/>
  <c r="N106" i="13"/>
  <c r="N35" i="13"/>
  <c r="N92" i="13"/>
  <c r="N29" i="13"/>
  <c r="N68" i="13"/>
  <c r="L13" i="15"/>
  <c r="N151" i="13"/>
  <c r="N75" i="13"/>
  <c r="N56" i="13"/>
  <c r="N42" i="13"/>
  <c r="N100" i="13"/>
  <c r="N81" i="13"/>
  <c r="N62" i="13"/>
  <c r="N48" i="13"/>
  <c r="N141" i="13"/>
  <c r="N87" i="13"/>
  <c r="N23" i="13"/>
  <c r="M10" i="7"/>
  <c r="M9" i="7"/>
  <c r="M39" i="7" s="1"/>
  <c r="N93" i="13"/>
  <c r="N120" i="13"/>
  <c r="N69" i="13"/>
  <c r="N107" i="13"/>
  <c r="N30" i="13"/>
  <c r="N36" i="13"/>
  <c r="O82" i="13"/>
  <c r="O108" i="13"/>
  <c r="O57" i="13"/>
  <c r="L13" i="7"/>
  <c r="M13" i="5"/>
  <c r="O102" i="13"/>
  <c r="O83" i="13"/>
  <c r="O64" i="13"/>
  <c r="O50" i="13"/>
  <c r="O71" i="13"/>
  <c r="O25" i="13"/>
  <c r="O109" i="13"/>
  <c r="O89" i="13"/>
  <c r="O58" i="13"/>
  <c r="O38" i="13"/>
  <c r="O95" i="13"/>
  <c r="N9" i="5"/>
  <c r="N39" i="5" s="1"/>
  <c r="O77" i="13"/>
  <c r="O32" i="13"/>
  <c r="O44" i="13"/>
  <c r="O19" i="13"/>
  <c r="N10" i="5"/>
  <c r="N13" i="14"/>
  <c r="O9" i="14"/>
  <c r="O39" i="14" s="1"/>
  <c r="O10" i="14"/>
  <c r="V6" i="2" l="1"/>
  <c r="V6" i="38"/>
  <c r="V6" i="10"/>
  <c r="V7" i="10"/>
  <c r="N39" i="13"/>
  <c r="N53" i="13"/>
  <c r="N33" i="13"/>
  <c r="K115" i="13"/>
  <c r="N20" i="13"/>
  <c r="N59" i="13"/>
  <c r="M51" i="13"/>
  <c r="L52" i="13"/>
  <c r="L65" i="13" s="1"/>
  <c r="L96" i="13" s="1"/>
  <c r="L103" i="13" s="1"/>
  <c r="L110" i="13" s="1"/>
  <c r="L130" i="13"/>
  <c r="N45" i="13"/>
  <c r="N90" i="13"/>
  <c r="N104" i="13"/>
  <c r="N97" i="13"/>
  <c r="M123" i="13"/>
  <c r="L146" i="13"/>
  <c r="L155" i="13" s="1"/>
  <c r="M14" i="13"/>
  <c r="M26" i="13" s="1"/>
  <c r="N66" i="13"/>
  <c r="N27" i="13"/>
  <c r="N84" i="13"/>
  <c r="N78" i="13"/>
  <c r="N72" i="13"/>
  <c r="M140" i="13"/>
  <c r="M146" i="13" s="1"/>
  <c r="M154" i="13"/>
  <c r="M129" i="13"/>
  <c r="P54" i="13"/>
  <c r="N16" i="13"/>
  <c r="P15" i="13"/>
  <c r="N17" i="13"/>
  <c r="V5" i="10"/>
  <c r="W4" i="10"/>
  <c r="W5" i="2"/>
  <c r="N6" i="11"/>
  <c r="N149" i="13"/>
  <c r="N150" i="13"/>
  <c r="N128" i="13"/>
  <c r="N119" i="13"/>
  <c r="N126" i="13"/>
  <c r="N133" i="13"/>
  <c r="N125" i="13"/>
  <c r="M13" i="6"/>
  <c r="N121" i="13"/>
  <c r="N142" i="13"/>
  <c r="N152" i="13"/>
  <c r="N139" i="13"/>
  <c r="N137" i="13"/>
  <c r="N144" i="13"/>
  <c r="O24" i="13"/>
  <c r="O88" i="13"/>
  <c r="O94" i="13"/>
  <c r="N138" i="13"/>
  <c r="N136" i="13"/>
  <c r="N122" i="13"/>
  <c r="O31" i="13"/>
  <c r="N153" i="13"/>
  <c r="N127" i="13"/>
  <c r="N148" i="13"/>
  <c r="N135" i="13"/>
  <c r="N9" i="6"/>
  <c r="N39" i="6" s="1"/>
  <c r="O70" i="13"/>
  <c r="O37" i="13"/>
  <c r="O43" i="13"/>
  <c r="O49" i="13"/>
  <c r="N118" i="13"/>
  <c r="N10" i="6"/>
  <c r="O76" i="13"/>
  <c r="O101" i="13"/>
  <c r="N145" i="13"/>
  <c r="N134" i="13"/>
  <c r="Q105" i="13"/>
  <c r="Q98" i="13"/>
  <c r="Q91" i="13"/>
  <c r="Q85" i="13"/>
  <c r="Q79" i="13"/>
  <c r="Q73" i="13"/>
  <c r="Q67" i="13"/>
  <c r="Q60" i="13"/>
  <c r="Q54" i="13"/>
  <c r="Q46" i="13"/>
  <c r="Q40" i="13"/>
  <c r="Q34" i="13"/>
  <c r="Q28" i="13"/>
  <c r="Q21" i="13"/>
  <c r="N7" i="11"/>
  <c r="N5" i="11"/>
  <c r="O4" i="11"/>
  <c r="X5" i="38" s="1"/>
  <c r="N117" i="13"/>
  <c r="N124" i="13"/>
  <c r="N132" i="13"/>
  <c r="N147" i="13"/>
  <c r="O106" i="13"/>
  <c r="O92" i="13"/>
  <c r="O68" i="13"/>
  <c r="O35" i="13"/>
  <c r="O74" i="13"/>
  <c r="O55" i="13"/>
  <c r="O41" i="13"/>
  <c r="O80" i="13"/>
  <c r="O47" i="13"/>
  <c r="O61" i="13"/>
  <c r="O29" i="13"/>
  <c r="O86" i="13"/>
  <c r="O22" i="13"/>
  <c r="N10" i="15"/>
  <c r="N9" i="15"/>
  <c r="N39" i="15" s="1"/>
  <c r="O99" i="13"/>
  <c r="M13" i="15"/>
  <c r="N13" i="5"/>
  <c r="P57" i="13"/>
  <c r="O9" i="6"/>
  <c r="O39" i="6" s="1"/>
  <c r="P63" i="13"/>
  <c r="P37" i="13"/>
  <c r="O107" i="13"/>
  <c r="O93" i="13"/>
  <c r="O69" i="13"/>
  <c r="O139" i="13"/>
  <c r="O122" i="13"/>
  <c r="O75" i="13"/>
  <c r="O56" i="13"/>
  <c r="O42" i="13"/>
  <c r="O81" i="13"/>
  <c r="O48" i="13"/>
  <c r="O36" i="13"/>
  <c r="O87" i="13"/>
  <c r="O23" i="13"/>
  <c r="N10" i="7"/>
  <c r="N9" i="7"/>
  <c r="N39" i="7" s="1"/>
  <c r="O152" i="13"/>
  <c r="O136" i="13"/>
  <c r="O62" i="13"/>
  <c r="O100" i="13"/>
  <c r="O120" i="13"/>
  <c r="O128" i="13"/>
  <c r="O30" i="13"/>
  <c r="O145" i="13"/>
  <c r="M13" i="7"/>
  <c r="P77" i="13"/>
  <c r="P58" i="13"/>
  <c r="P44" i="13"/>
  <c r="P25" i="13"/>
  <c r="O10" i="5"/>
  <c r="O9" i="5"/>
  <c r="O39" i="5" s="1"/>
  <c r="P95" i="13"/>
  <c r="P50" i="13"/>
  <c r="P19" i="13"/>
  <c r="P83" i="13"/>
  <c r="P32" i="13"/>
  <c r="P71" i="13"/>
  <c r="P38" i="13"/>
  <c r="P102" i="13"/>
  <c r="P109" i="13"/>
  <c r="P89" i="13"/>
  <c r="P64" i="13"/>
  <c r="O13" i="14"/>
  <c r="P9" i="14"/>
  <c r="P39" i="14" s="1"/>
  <c r="P10" i="14"/>
  <c r="W6" i="2" l="1"/>
  <c r="W6" i="38"/>
  <c r="N143" i="13"/>
  <c r="W6" i="10"/>
  <c r="W7" i="10"/>
  <c r="N14" i="13"/>
  <c r="N26" i="13" s="1"/>
  <c r="M130" i="13"/>
  <c r="O78" i="13"/>
  <c r="O104" i="13"/>
  <c r="O20" i="13"/>
  <c r="L115" i="13"/>
  <c r="M52" i="13"/>
  <c r="M65" i="13" s="1"/>
  <c r="M96" i="13" s="1"/>
  <c r="M103" i="13" s="1"/>
  <c r="M110" i="13" s="1"/>
  <c r="O33" i="13"/>
  <c r="O84" i="13"/>
  <c r="O39" i="13"/>
  <c r="O27" i="13"/>
  <c r="O45" i="13"/>
  <c r="O72" i="13"/>
  <c r="O90" i="13"/>
  <c r="N13" i="6"/>
  <c r="O97" i="13"/>
  <c r="O53" i="13"/>
  <c r="O66" i="13"/>
  <c r="N140" i="13"/>
  <c r="M155" i="13"/>
  <c r="N154" i="13"/>
  <c r="N123" i="13"/>
  <c r="N129" i="13"/>
  <c r="O63" i="13"/>
  <c r="O59" i="13" s="1"/>
  <c r="P18" i="13"/>
  <c r="O16" i="13"/>
  <c r="O18" i="13"/>
  <c r="Q15" i="13"/>
  <c r="O17" i="13"/>
  <c r="N51" i="13"/>
  <c r="O151" i="13"/>
  <c r="W5" i="10"/>
  <c r="X4" i="10"/>
  <c r="X5" i="2"/>
  <c r="O6" i="11"/>
  <c r="O118" i="13"/>
  <c r="O144" i="13"/>
  <c r="O126" i="13"/>
  <c r="O138" i="13"/>
  <c r="O119" i="13"/>
  <c r="O148" i="13"/>
  <c r="O150" i="13"/>
  <c r="O121" i="13"/>
  <c r="O142" i="13"/>
  <c r="O133" i="13"/>
  <c r="O125" i="13"/>
  <c r="O127" i="13"/>
  <c r="O141" i="13"/>
  <c r="O135" i="13"/>
  <c r="P94" i="13"/>
  <c r="O137" i="13"/>
  <c r="O153" i="13"/>
  <c r="O149" i="13"/>
  <c r="P101" i="13"/>
  <c r="P70" i="13"/>
  <c r="P108" i="13"/>
  <c r="P24" i="13"/>
  <c r="P43" i="13"/>
  <c r="O134" i="13"/>
  <c r="P49" i="13"/>
  <c r="P82" i="13"/>
  <c r="P31" i="13"/>
  <c r="P88" i="13"/>
  <c r="O10" i="6"/>
  <c r="P76" i="13"/>
  <c r="R105" i="13"/>
  <c r="R98" i="13"/>
  <c r="R91" i="13"/>
  <c r="R85" i="13"/>
  <c r="R79" i="13"/>
  <c r="R73" i="13"/>
  <c r="R67" i="13"/>
  <c r="R60" i="13"/>
  <c r="R54" i="13"/>
  <c r="R46" i="13"/>
  <c r="R40" i="13"/>
  <c r="R34" i="13"/>
  <c r="R28" i="13"/>
  <c r="R21" i="13"/>
  <c r="O5" i="11"/>
  <c r="P4" i="11"/>
  <c r="Y5" i="38" s="1"/>
  <c r="O7" i="11"/>
  <c r="O124" i="13"/>
  <c r="O147" i="13"/>
  <c r="O132" i="13"/>
  <c r="O117" i="13"/>
  <c r="P86" i="13"/>
  <c r="P29" i="13"/>
  <c r="P106" i="13"/>
  <c r="P92" i="13"/>
  <c r="P68" i="13"/>
  <c r="P35" i="13"/>
  <c r="P74" i="13"/>
  <c r="P41" i="13"/>
  <c r="P55" i="13"/>
  <c r="O10" i="15"/>
  <c r="O9" i="15"/>
  <c r="O39" i="15" s="1"/>
  <c r="P99" i="13"/>
  <c r="P80" i="13"/>
  <c r="P47" i="13"/>
  <c r="P22" i="13"/>
  <c r="P61" i="13"/>
  <c r="N13" i="15"/>
  <c r="O13" i="5"/>
  <c r="N13" i="7"/>
  <c r="Q109" i="13"/>
  <c r="Q95" i="13"/>
  <c r="Q71" i="13"/>
  <c r="Q38" i="13"/>
  <c r="Q19" i="13"/>
  <c r="Q89" i="13"/>
  <c r="Q64" i="13"/>
  <c r="Q44" i="13"/>
  <c r="Q102" i="13"/>
  <c r="Q77" i="13"/>
  <c r="P10" i="5"/>
  <c r="P9" i="5"/>
  <c r="P39" i="5" s="1"/>
  <c r="Q83" i="13"/>
  <c r="Q58" i="13"/>
  <c r="Q50" i="13"/>
  <c r="Q25" i="13"/>
  <c r="Q32" i="13"/>
  <c r="Q108" i="13"/>
  <c r="Q94" i="13"/>
  <c r="Q70" i="13"/>
  <c r="Q37" i="13"/>
  <c r="Q82" i="13"/>
  <c r="Q57" i="13"/>
  <c r="P10" i="6"/>
  <c r="P9" i="6"/>
  <c r="P39" i="6" s="1"/>
  <c r="Q88" i="13"/>
  <c r="Q63" i="13"/>
  <c r="Q24" i="13"/>
  <c r="Q76" i="13"/>
  <c r="Q49" i="13"/>
  <c r="Q101" i="13"/>
  <c r="Q43" i="13"/>
  <c r="Q31" i="13"/>
  <c r="O13" i="6"/>
  <c r="P153" i="13"/>
  <c r="P87" i="13"/>
  <c r="P121" i="13"/>
  <c r="P107" i="13"/>
  <c r="P93" i="13"/>
  <c r="P69" i="13"/>
  <c r="P36" i="13"/>
  <c r="P75" i="13"/>
  <c r="P42" i="13"/>
  <c r="P30" i="13"/>
  <c r="P81" i="13"/>
  <c r="P48" i="13"/>
  <c r="P151" i="13"/>
  <c r="P135" i="13"/>
  <c r="P56" i="13"/>
  <c r="P126" i="13"/>
  <c r="P100" i="13"/>
  <c r="P23" i="13"/>
  <c r="O10" i="7"/>
  <c r="O9" i="7"/>
  <c r="O39" i="7" s="1"/>
  <c r="P62" i="13"/>
  <c r="Q10" i="14"/>
  <c r="Q9" i="14"/>
  <c r="Q39" i="14" s="1"/>
  <c r="P13" i="14"/>
  <c r="X6" i="2" l="1"/>
  <c r="X6" i="38"/>
  <c r="N146" i="13"/>
  <c r="N155" i="13" s="1"/>
  <c r="X6" i="10"/>
  <c r="X7" i="10"/>
  <c r="P59" i="13"/>
  <c r="M115" i="13"/>
  <c r="N52" i="13"/>
  <c r="N65" i="13" s="1"/>
  <c r="N96" i="13" s="1"/>
  <c r="N103" i="13" s="1"/>
  <c r="N110" i="13" s="1"/>
  <c r="P97" i="13"/>
  <c r="P39" i="13"/>
  <c r="P90" i="13"/>
  <c r="O51" i="13"/>
  <c r="O14" i="13"/>
  <c r="O26" i="13" s="1"/>
  <c r="P45" i="13"/>
  <c r="P72" i="13"/>
  <c r="P104" i="13"/>
  <c r="N130" i="13"/>
  <c r="P84" i="13"/>
  <c r="O140" i="13"/>
  <c r="P20" i="13"/>
  <c r="P27" i="13"/>
  <c r="P66" i="13"/>
  <c r="P53" i="13"/>
  <c r="P78" i="13"/>
  <c r="P33" i="13"/>
  <c r="O123" i="13"/>
  <c r="O129" i="13"/>
  <c r="O154" i="13"/>
  <c r="R15" i="13"/>
  <c r="Q18" i="13"/>
  <c r="P16" i="13"/>
  <c r="P17" i="13"/>
  <c r="O143" i="13"/>
  <c r="Y4" i="10"/>
  <c r="X5" i="10"/>
  <c r="Y5" i="2"/>
  <c r="P6" i="11"/>
  <c r="P134" i="13"/>
  <c r="P122" i="13"/>
  <c r="P119" i="13"/>
  <c r="P148" i="13"/>
  <c r="P141" i="13"/>
  <c r="P144" i="13"/>
  <c r="P149" i="13"/>
  <c r="P133" i="13"/>
  <c r="P136" i="13"/>
  <c r="P127" i="13"/>
  <c r="P150" i="13"/>
  <c r="P145" i="13"/>
  <c r="P139" i="13"/>
  <c r="P138" i="13"/>
  <c r="P120" i="13"/>
  <c r="P137" i="13"/>
  <c r="P152" i="13"/>
  <c r="P125" i="13"/>
  <c r="P128" i="13"/>
  <c r="P118" i="13"/>
  <c r="P142" i="13"/>
  <c r="S105" i="13"/>
  <c r="S98" i="13"/>
  <c r="S91" i="13"/>
  <c r="S85" i="13"/>
  <c r="S79" i="13"/>
  <c r="S73" i="13"/>
  <c r="S67" i="13"/>
  <c r="S60" i="13"/>
  <c r="S54" i="13"/>
  <c r="S46" i="13"/>
  <c r="S34" i="13"/>
  <c r="S21" i="13"/>
  <c r="S40" i="13"/>
  <c r="S28" i="13"/>
  <c r="P5" i="11"/>
  <c r="Q4" i="11"/>
  <c r="Z5" i="38" s="1"/>
  <c r="P7" i="11"/>
  <c r="P147" i="13"/>
  <c r="P132" i="13"/>
  <c r="P124" i="13"/>
  <c r="P117" i="13"/>
  <c r="O13" i="15"/>
  <c r="Q99" i="13"/>
  <c r="Q80" i="13"/>
  <c r="Q61" i="13"/>
  <c r="Q47" i="13"/>
  <c r="Q86" i="13"/>
  <c r="Q29" i="13"/>
  <c r="Q106" i="13"/>
  <c r="Q68" i="13"/>
  <c r="Q35" i="13"/>
  <c r="Q22" i="13"/>
  <c r="Q74" i="13"/>
  <c r="Q41" i="13"/>
  <c r="Q92" i="13"/>
  <c r="Q55" i="13"/>
  <c r="P10" i="15"/>
  <c r="P9" i="15"/>
  <c r="P39" i="15" s="1"/>
  <c r="Q152" i="13"/>
  <c r="Q148" i="13"/>
  <c r="Q144" i="13"/>
  <c r="Q136" i="13"/>
  <c r="Q127" i="13"/>
  <c r="Q119" i="13"/>
  <c r="Q100" i="13"/>
  <c r="Q81" i="13"/>
  <c r="Q62" i="13"/>
  <c r="Q48" i="13"/>
  <c r="Q153" i="13"/>
  <c r="Q149" i="13"/>
  <c r="Q145" i="13"/>
  <c r="Q141" i="13"/>
  <c r="Q137" i="13"/>
  <c r="Q133" i="13"/>
  <c r="Q128" i="13"/>
  <c r="Q120" i="13"/>
  <c r="Q87" i="13"/>
  <c r="Q30" i="13"/>
  <c r="Q138" i="13"/>
  <c r="Q121" i="13"/>
  <c r="Q107" i="13"/>
  <c r="Q104" i="13" s="1"/>
  <c r="Q69" i="13"/>
  <c r="Q66" i="13" s="1"/>
  <c r="Q139" i="13"/>
  <c r="Q122" i="13"/>
  <c r="Q75" i="13"/>
  <c r="Q72" i="13" s="1"/>
  <c r="Q42" i="13"/>
  <c r="Q39" i="13" s="1"/>
  <c r="Q36" i="13"/>
  <c r="Q33" i="13" s="1"/>
  <c r="Q150" i="13"/>
  <c r="Q134" i="13"/>
  <c r="P10" i="7"/>
  <c r="P9" i="7"/>
  <c r="P39" i="7" s="1"/>
  <c r="Q142" i="13"/>
  <c r="Q125" i="13"/>
  <c r="Q93" i="13"/>
  <c r="Q118" i="13"/>
  <c r="Q151" i="13"/>
  <c r="Q126" i="13"/>
  <c r="Q56" i="13"/>
  <c r="Q23" i="13"/>
  <c r="Q135" i="13"/>
  <c r="O13" i="7"/>
  <c r="R88" i="13"/>
  <c r="R31" i="13"/>
  <c r="R101" i="13"/>
  <c r="R76" i="13"/>
  <c r="R82" i="13"/>
  <c r="R57" i="13"/>
  <c r="R49" i="13"/>
  <c r="R24" i="13"/>
  <c r="R63" i="13"/>
  <c r="R43" i="13"/>
  <c r="R94" i="13"/>
  <c r="R108" i="13"/>
  <c r="Q10" i="6"/>
  <c r="Q9" i="6"/>
  <c r="Q39" i="6" s="1"/>
  <c r="R70" i="13"/>
  <c r="R37" i="13"/>
  <c r="P13" i="6"/>
  <c r="P13" i="5"/>
  <c r="R89" i="13"/>
  <c r="R32" i="13"/>
  <c r="R109" i="13"/>
  <c r="R83" i="13"/>
  <c r="R58" i="13"/>
  <c r="R38" i="13"/>
  <c r="R71" i="13"/>
  <c r="R50" i="13"/>
  <c r="R25" i="13"/>
  <c r="R64" i="13"/>
  <c r="R44" i="13"/>
  <c r="R19" i="13"/>
  <c r="Q10" i="5"/>
  <c r="R95" i="13"/>
  <c r="Q9" i="5"/>
  <c r="Q39" i="5" s="1"/>
  <c r="R102" i="13"/>
  <c r="R77" i="13"/>
  <c r="Q13" i="14"/>
  <c r="R9" i="14"/>
  <c r="R39" i="14" s="1"/>
  <c r="R10" i="14"/>
  <c r="Y6" i="2" l="1"/>
  <c r="Y6" i="38"/>
  <c r="Y6" i="10"/>
  <c r="Y7" i="10"/>
  <c r="P51" i="13"/>
  <c r="Q90" i="13"/>
  <c r="O52" i="13"/>
  <c r="O65" i="13" s="1"/>
  <c r="O96" i="13" s="1"/>
  <c r="O103" i="13" s="1"/>
  <c r="O110" i="13" s="1"/>
  <c r="N115" i="13"/>
  <c r="Q84" i="13"/>
  <c r="Q97" i="13"/>
  <c r="Q53" i="13"/>
  <c r="Q27" i="13"/>
  <c r="Q78" i="13"/>
  <c r="Q20" i="13"/>
  <c r="O130" i="13"/>
  <c r="Q59" i="13"/>
  <c r="O146" i="13"/>
  <c r="O155" i="13" s="1"/>
  <c r="Q45" i="13"/>
  <c r="P14" i="13"/>
  <c r="P26" i="13" s="1"/>
  <c r="P123" i="13"/>
  <c r="P154" i="13"/>
  <c r="P140" i="13"/>
  <c r="P129" i="13"/>
  <c r="S15" i="13"/>
  <c r="Q16" i="13"/>
  <c r="R18" i="13"/>
  <c r="Q17" i="13"/>
  <c r="Z4" i="10"/>
  <c r="Y5" i="10"/>
  <c r="Z5" i="2"/>
  <c r="Q6" i="11"/>
  <c r="P143" i="13"/>
  <c r="T105" i="13"/>
  <c r="T98" i="13"/>
  <c r="T91" i="13"/>
  <c r="T85" i="13"/>
  <c r="T79" i="13"/>
  <c r="T73" i="13"/>
  <c r="T67" i="13"/>
  <c r="T60" i="13"/>
  <c r="T54" i="13"/>
  <c r="T46" i="13"/>
  <c r="T40" i="13"/>
  <c r="T34" i="13"/>
  <c r="T28" i="13"/>
  <c r="T21" i="13"/>
  <c r="Q7" i="11"/>
  <c r="Q5" i="11"/>
  <c r="R4" i="11"/>
  <c r="AA5" i="38" s="1"/>
  <c r="Q132" i="13"/>
  <c r="Q140" i="13" s="1"/>
  <c r="Q143" i="13"/>
  <c r="Q117" i="13"/>
  <c r="Q123" i="13" s="1"/>
  <c r="Q147" i="13"/>
  <c r="Q154" i="13" s="1"/>
  <c r="Q124" i="13"/>
  <c r="Q129" i="13" s="1"/>
  <c r="P13" i="15"/>
  <c r="R74" i="13"/>
  <c r="R55" i="13"/>
  <c r="R41" i="13"/>
  <c r="R22" i="13"/>
  <c r="R99" i="13"/>
  <c r="R80" i="13"/>
  <c r="R61" i="13"/>
  <c r="R47" i="13"/>
  <c r="R29" i="13"/>
  <c r="Q10" i="15"/>
  <c r="Q9" i="15"/>
  <c r="Q39" i="15" s="1"/>
  <c r="R92" i="13"/>
  <c r="R106" i="13"/>
  <c r="R68" i="13"/>
  <c r="R35" i="13"/>
  <c r="R86" i="13"/>
  <c r="Q13" i="6"/>
  <c r="Q13" i="5"/>
  <c r="R10" i="5"/>
  <c r="R9" i="5"/>
  <c r="R39" i="5" s="1"/>
  <c r="R151" i="13"/>
  <c r="R139" i="13"/>
  <c r="R135" i="13"/>
  <c r="R126" i="13"/>
  <c r="R122" i="13"/>
  <c r="R118" i="13"/>
  <c r="R75" i="13"/>
  <c r="R56" i="13"/>
  <c r="R42" i="13"/>
  <c r="R152" i="13"/>
  <c r="R148" i="13"/>
  <c r="R144" i="13"/>
  <c r="R136" i="13"/>
  <c r="R127" i="13"/>
  <c r="R119" i="13"/>
  <c r="R100" i="13"/>
  <c r="R81" i="13"/>
  <c r="R62" i="13"/>
  <c r="R48" i="13"/>
  <c r="R153" i="13"/>
  <c r="R145" i="13"/>
  <c r="R137" i="13"/>
  <c r="R128" i="13"/>
  <c r="R120" i="13"/>
  <c r="R23" i="13"/>
  <c r="Q10" i="7"/>
  <c r="Q9" i="7"/>
  <c r="Q39" i="7" s="1"/>
  <c r="R138" i="13"/>
  <c r="R121" i="13"/>
  <c r="R107" i="13"/>
  <c r="R69" i="13"/>
  <c r="R30" i="13"/>
  <c r="R149" i="13"/>
  <c r="R133" i="13"/>
  <c r="R87" i="13"/>
  <c r="R150" i="13"/>
  <c r="R125" i="13"/>
  <c r="R93" i="13"/>
  <c r="R142" i="13"/>
  <c r="R134" i="13"/>
  <c r="R36" i="13"/>
  <c r="R10" i="6"/>
  <c r="R9" i="6"/>
  <c r="R39" i="6" s="1"/>
  <c r="P13" i="7"/>
  <c r="R13" i="14"/>
  <c r="S9" i="14"/>
  <c r="S39" i="14" s="1"/>
  <c r="S10" i="14"/>
  <c r="Z6" i="2" l="1"/>
  <c r="Z6" i="38"/>
  <c r="Z6" i="10"/>
  <c r="Z7" i="10"/>
  <c r="P52" i="13"/>
  <c r="P65" i="13" s="1"/>
  <c r="P96" i="13" s="1"/>
  <c r="P103" i="13" s="1"/>
  <c r="P110" i="13" s="1"/>
  <c r="R33" i="13"/>
  <c r="R39" i="13"/>
  <c r="R59" i="13"/>
  <c r="R78" i="13"/>
  <c r="R66" i="13"/>
  <c r="Q14" i="13"/>
  <c r="Q26" i="13" s="1"/>
  <c r="O115" i="13"/>
  <c r="R27" i="13"/>
  <c r="R97" i="13"/>
  <c r="R53" i="13"/>
  <c r="Q51" i="13"/>
  <c r="R20" i="13"/>
  <c r="P130" i="13"/>
  <c r="R90" i="13"/>
  <c r="R104" i="13"/>
  <c r="R84" i="13"/>
  <c r="R45" i="13"/>
  <c r="R72" i="13"/>
  <c r="P146" i="13"/>
  <c r="P155" i="13" s="1"/>
  <c r="T15" i="13"/>
  <c r="R16" i="13"/>
  <c r="R17" i="13"/>
  <c r="AA4" i="10"/>
  <c r="Z5" i="10"/>
  <c r="AA5" i="2"/>
  <c r="R6" i="11"/>
  <c r="U105" i="13"/>
  <c r="U98" i="13"/>
  <c r="U91" i="13"/>
  <c r="U85" i="13"/>
  <c r="U79" i="13"/>
  <c r="U73" i="13"/>
  <c r="U67" i="13"/>
  <c r="U60" i="13"/>
  <c r="U54" i="13"/>
  <c r="U46" i="13"/>
  <c r="U40" i="13"/>
  <c r="U34" i="13"/>
  <c r="U28" i="13"/>
  <c r="U21" i="13"/>
  <c r="R7" i="11"/>
  <c r="R5" i="11"/>
  <c r="S4" i="11"/>
  <c r="AB5" i="38" s="1"/>
  <c r="Q130" i="13"/>
  <c r="R132" i="13"/>
  <c r="R140" i="13" s="1"/>
  <c r="Q146" i="13"/>
  <c r="Q155" i="13" s="1"/>
  <c r="R147" i="13"/>
  <c r="R154" i="13" s="1"/>
  <c r="R141" i="13"/>
  <c r="R143" i="13" s="1"/>
  <c r="R124" i="13"/>
  <c r="R129" i="13" s="1"/>
  <c r="R117" i="13"/>
  <c r="R123" i="13" s="1"/>
  <c r="Q13" i="15"/>
  <c r="R10" i="15"/>
  <c r="R9" i="15"/>
  <c r="R39" i="15" s="1"/>
  <c r="S10" i="6"/>
  <c r="S9" i="6"/>
  <c r="S39" i="6" s="1"/>
  <c r="R13" i="6"/>
  <c r="S150" i="13"/>
  <c r="S142" i="13"/>
  <c r="S138" i="13"/>
  <c r="S134" i="13"/>
  <c r="S125" i="13"/>
  <c r="S121" i="13"/>
  <c r="S107" i="13"/>
  <c r="S104" i="13" s="1"/>
  <c r="S93" i="13"/>
  <c r="S90" i="13" s="1"/>
  <c r="S69" i="13"/>
  <c r="S66" i="13" s="1"/>
  <c r="S151" i="13"/>
  <c r="S139" i="13"/>
  <c r="S135" i="13"/>
  <c r="S126" i="13"/>
  <c r="S122" i="13"/>
  <c r="S118" i="13"/>
  <c r="S75" i="13"/>
  <c r="S72" i="13" s="1"/>
  <c r="S56" i="13"/>
  <c r="S53" i="13" s="1"/>
  <c r="S42" i="13"/>
  <c r="S39" i="13" s="1"/>
  <c r="S23" i="13"/>
  <c r="S20" i="13" s="1"/>
  <c r="S152" i="13"/>
  <c r="S144" i="13"/>
  <c r="S136" i="13"/>
  <c r="S127" i="13"/>
  <c r="S119" i="13"/>
  <c r="S100" i="13"/>
  <c r="S97" i="13" s="1"/>
  <c r="S62" i="13"/>
  <c r="S59" i="13" s="1"/>
  <c r="S153" i="13"/>
  <c r="S145" i="13"/>
  <c r="S137" i="13"/>
  <c r="S128" i="13"/>
  <c r="S120" i="13"/>
  <c r="R10" i="7"/>
  <c r="R9" i="7"/>
  <c r="R39" i="7" s="1"/>
  <c r="S148" i="13"/>
  <c r="S48" i="13"/>
  <c r="S45" i="13" s="1"/>
  <c r="S30" i="13"/>
  <c r="S27" i="13" s="1"/>
  <c r="S81" i="13"/>
  <c r="S78" i="13" s="1"/>
  <c r="S149" i="13"/>
  <c r="S87" i="13"/>
  <c r="S84" i="13" s="1"/>
  <c r="S36" i="13"/>
  <c r="S33" i="13" s="1"/>
  <c r="S133" i="13"/>
  <c r="S141" i="13"/>
  <c r="S10" i="5"/>
  <c r="S9" i="5"/>
  <c r="S39" i="5" s="1"/>
  <c r="Q13" i="7"/>
  <c r="R13" i="5"/>
  <c r="T9" i="14"/>
  <c r="T39" i="14" s="1"/>
  <c r="T10" i="14"/>
  <c r="S13" i="14"/>
  <c r="AA6" i="2" l="1"/>
  <c r="AA6" i="38"/>
  <c r="AA6" i="10"/>
  <c r="AA7" i="10"/>
  <c r="R51" i="13"/>
  <c r="Q52" i="13"/>
  <c r="Q65" i="13" s="1"/>
  <c r="Q96" i="13" s="1"/>
  <c r="Q103" i="13" s="1"/>
  <c r="Q110" i="13" s="1"/>
  <c r="P115" i="13"/>
  <c r="R14" i="13"/>
  <c r="R26" i="13" s="1"/>
  <c r="U15" i="13"/>
  <c r="S17" i="13"/>
  <c r="S14" i="13" s="1"/>
  <c r="S26" i="13" s="1"/>
  <c r="AA5" i="10"/>
  <c r="AB4" i="10"/>
  <c r="AB5" i="2"/>
  <c r="S6" i="11"/>
  <c r="S5" i="11"/>
  <c r="S7" i="11"/>
  <c r="T4" i="11"/>
  <c r="AC5" i="38" s="1"/>
  <c r="Q115" i="13"/>
  <c r="S132" i="13"/>
  <c r="S140" i="13" s="1"/>
  <c r="R130" i="13"/>
  <c r="R146" i="13"/>
  <c r="R155" i="13" s="1"/>
  <c r="S51" i="13"/>
  <c r="S124" i="13"/>
  <c r="S129" i="13" s="1"/>
  <c r="S147" i="13"/>
  <c r="S154" i="13" s="1"/>
  <c r="S117" i="13"/>
  <c r="S123" i="13" s="1"/>
  <c r="S143" i="13"/>
  <c r="R13" i="15"/>
  <c r="S10" i="15"/>
  <c r="S9" i="15"/>
  <c r="S39" i="15" s="1"/>
  <c r="T9" i="6"/>
  <c r="T39" i="6" s="1"/>
  <c r="C106" i="20" s="1"/>
  <c r="T10" i="6"/>
  <c r="T10" i="5"/>
  <c r="T9" i="5"/>
  <c r="T39" i="5" s="1"/>
  <c r="S13" i="6"/>
  <c r="S13" i="5"/>
  <c r="R13" i="7"/>
  <c r="T153" i="13"/>
  <c r="T149" i="13"/>
  <c r="T145" i="13"/>
  <c r="T141" i="13"/>
  <c r="T137" i="13"/>
  <c r="T133" i="13"/>
  <c r="T128" i="13"/>
  <c r="T120" i="13"/>
  <c r="T87" i="13"/>
  <c r="T84" i="13" s="1"/>
  <c r="T150" i="13"/>
  <c r="T142" i="13"/>
  <c r="T138" i="13"/>
  <c r="T134" i="13"/>
  <c r="T125" i="13"/>
  <c r="T121" i="13"/>
  <c r="T107" i="13"/>
  <c r="T104" i="13" s="1"/>
  <c r="T93" i="13"/>
  <c r="T90" i="13" s="1"/>
  <c r="T69" i="13"/>
  <c r="T66" i="13" s="1"/>
  <c r="T36" i="13"/>
  <c r="T33" i="13" s="1"/>
  <c r="T151" i="13"/>
  <c r="T135" i="13"/>
  <c r="T126" i="13"/>
  <c r="T118" i="13"/>
  <c r="T56" i="13"/>
  <c r="T53" i="13" s="1"/>
  <c r="T152" i="13"/>
  <c r="T144" i="13"/>
  <c r="T136" i="13"/>
  <c r="T127" i="13"/>
  <c r="T119" i="13"/>
  <c r="T100" i="13"/>
  <c r="T97" i="13" s="1"/>
  <c r="T62" i="13"/>
  <c r="T59" i="13" s="1"/>
  <c r="T23" i="13"/>
  <c r="T20" i="13" s="1"/>
  <c r="T42" i="13"/>
  <c r="T39" i="13" s="1"/>
  <c r="T139" i="13"/>
  <c r="T122" i="13"/>
  <c r="T75" i="13"/>
  <c r="T72" i="13" s="1"/>
  <c r="T148" i="13"/>
  <c r="T81" i="13"/>
  <c r="T78" i="13" s="1"/>
  <c r="S9" i="7"/>
  <c r="S39" i="7" s="1"/>
  <c r="T48" i="13"/>
  <c r="T45" i="13" s="1"/>
  <c r="T30" i="13"/>
  <c r="T27" i="13" s="1"/>
  <c r="S10" i="7"/>
  <c r="T13" i="14"/>
  <c r="AB6" i="2" l="1"/>
  <c r="AB6" i="38"/>
  <c r="AB6" i="10"/>
  <c r="AB7" i="10"/>
  <c r="R52" i="13"/>
  <c r="R65" i="13" s="1"/>
  <c r="R96" i="13" s="1"/>
  <c r="R103" i="13" s="1"/>
  <c r="R110" i="13" s="1"/>
  <c r="S52" i="13"/>
  <c r="S65" i="13" s="1"/>
  <c r="S96" i="13" s="1"/>
  <c r="S103" i="13" s="1"/>
  <c r="S110" i="13" s="1"/>
  <c r="T17" i="13"/>
  <c r="T14" i="13" s="1"/>
  <c r="T26" i="13" s="1"/>
  <c r="AB5" i="10"/>
  <c r="AC4" i="10"/>
  <c r="AC5" i="2"/>
  <c r="T6" i="11"/>
  <c r="T5" i="11"/>
  <c r="U4" i="11"/>
  <c r="AD5" i="38" s="1"/>
  <c r="T7" i="11"/>
  <c r="S146" i="13"/>
  <c r="S155" i="13" s="1"/>
  <c r="R115" i="13"/>
  <c r="T143" i="13"/>
  <c r="T124" i="13"/>
  <c r="T129" i="13" s="1"/>
  <c r="S130" i="13"/>
  <c r="T117" i="13"/>
  <c r="T123" i="13" s="1"/>
  <c r="T132" i="13"/>
  <c r="T140" i="13" s="1"/>
  <c r="T147" i="13"/>
  <c r="T154" i="13" s="1"/>
  <c r="T51" i="13"/>
  <c r="S13" i="15"/>
  <c r="T9" i="15"/>
  <c r="T39" i="15" s="1"/>
  <c r="T10" i="15"/>
  <c r="S13" i="7"/>
  <c r="T13" i="6"/>
  <c r="U152" i="13"/>
  <c r="U148" i="13"/>
  <c r="U144" i="13"/>
  <c r="U136" i="13"/>
  <c r="U127" i="13"/>
  <c r="U119" i="13"/>
  <c r="U100" i="13"/>
  <c r="U97" i="13" s="1"/>
  <c r="U81" i="13"/>
  <c r="U78" i="13" s="1"/>
  <c r="U62" i="13"/>
  <c r="U59" i="13" s="1"/>
  <c r="U48" i="13"/>
  <c r="U45" i="13" s="1"/>
  <c r="U153" i="13"/>
  <c r="U149" i="13"/>
  <c r="U145" i="13"/>
  <c r="U141" i="13"/>
  <c r="U137" i="13"/>
  <c r="U133" i="13"/>
  <c r="U128" i="13"/>
  <c r="U120" i="13"/>
  <c r="U87" i="13"/>
  <c r="U84" i="13" s="1"/>
  <c r="U30" i="13"/>
  <c r="U27" i="13" s="1"/>
  <c r="U150" i="13"/>
  <c r="U142" i="13"/>
  <c r="U134" i="13"/>
  <c r="U125" i="13"/>
  <c r="U93" i="13"/>
  <c r="U90" i="13" s="1"/>
  <c r="U36" i="13"/>
  <c r="U33" i="13" s="1"/>
  <c r="U151" i="13"/>
  <c r="U135" i="13"/>
  <c r="U126" i="13"/>
  <c r="U118" i="13"/>
  <c r="U107" i="13"/>
  <c r="U104" i="13" s="1"/>
  <c r="U23" i="13"/>
  <c r="U20" i="13" s="1"/>
  <c r="U138" i="13"/>
  <c r="U121" i="13"/>
  <c r="U69" i="13"/>
  <c r="U66" i="13" s="1"/>
  <c r="U122" i="13"/>
  <c r="U75" i="13"/>
  <c r="U72" i="13" s="1"/>
  <c r="U42" i="13"/>
  <c r="U39" i="13" s="1"/>
  <c r="T10" i="7"/>
  <c r="T9" i="7"/>
  <c r="T39" i="7" s="1"/>
  <c r="U139" i="13"/>
  <c r="T13" i="5"/>
  <c r="AC6" i="2" l="1"/>
  <c r="AC6" i="38"/>
  <c r="AC6" i="10"/>
  <c r="AC7" i="10"/>
  <c r="T52" i="13"/>
  <c r="T65" i="13" s="1"/>
  <c r="T96" i="13" s="1"/>
  <c r="T103" i="13" s="1"/>
  <c r="T110" i="13" s="1"/>
  <c r="U56" i="13"/>
  <c r="U53" i="13" s="1"/>
  <c r="U51" i="13" s="1"/>
  <c r="U17" i="13"/>
  <c r="U14" i="13" s="1"/>
  <c r="U26" i="13" s="1"/>
  <c r="AD4" i="10"/>
  <c r="AC5" i="10"/>
  <c r="AD5" i="2"/>
  <c r="U6" i="11"/>
  <c r="C129" i="20"/>
  <c r="C114" i="20"/>
  <c r="C117" i="20"/>
  <c r="C116" i="20"/>
  <c r="D119" i="20" s="1"/>
  <c r="C123" i="20"/>
  <c r="C103" i="20"/>
  <c r="C96" i="20"/>
  <c r="C127" i="20"/>
  <c r="C94" i="20"/>
  <c r="C128" i="20"/>
  <c r="C121" i="20"/>
  <c r="C104" i="20"/>
  <c r="C126" i="20"/>
  <c r="D126" i="20" s="1"/>
  <c r="C97" i="20"/>
  <c r="C98" i="20"/>
  <c r="C110" i="20"/>
  <c r="C130" i="20"/>
  <c r="D220" i="20" s="1"/>
  <c r="D265" i="20" s="1"/>
  <c r="C112" i="20"/>
  <c r="C111" i="20"/>
  <c r="C105" i="20"/>
  <c r="C113" i="20"/>
  <c r="C95" i="20"/>
  <c r="D5" i="20" s="1"/>
  <c r="C120" i="20"/>
  <c r="C124" i="20"/>
  <c r="C99" i="20"/>
  <c r="C131" i="20"/>
  <c r="D221" i="20" s="1"/>
  <c r="D266" i="20" s="1"/>
  <c r="C115" i="20"/>
  <c r="C149" i="20"/>
  <c r="C172" i="20"/>
  <c r="C158" i="20"/>
  <c r="C157" i="20"/>
  <c r="C151" i="20"/>
  <c r="C148" i="20"/>
  <c r="C161" i="20"/>
  <c r="C176" i="20"/>
  <c r="C156" i="20"/>
  <c r="C162" i="20"/>
  <c r="C169" i="20"/>
  <c r="C165" i="20"/>
  <c r="C144" i="20"/>
  <c r="C150" i="20"/>
  <c r="C168" i="20"/>
  <c r="C159" i="20"/>
  <c r="C139" i="20"/>
  <c r="C171" i="20"/>
  <c r="C140" i="20"/>
  <c r="C173" i="20"/>
  <c r="C141" i="20"/>
  <c r="C177" i="20"/>
  <c r="C160" i="20"/>
  <c r="C175" i="20"/>
  <c r="C166" i="20"/>
  <c r="C174" i="20"/>
  <c r="C143" i="20"/>
  <c r="C142" i="20"/>
  <c r="C155" i="20"/>
  <c r="C147" i="20"/>
  <c r="S115" i="13"/>
  <c r="U7" i="11"/>
  <c r="U5" i="11"/>
  <c r="V4" i="11"/>
  <c r="AE5" i="38" s="1"/>
  <c r="U117" i="13"/>
  <c r="U123" i="13" s="1"/>
  <c r="U143" i="13"/>
  <c r="U124" i="13"/>
  <c r="U129" i="13" s="1"/>
  <c r="T146" i="13"/>
  <c r="T155" i="13" s="1"/>
  <c r="T130" i="13"/>
  <c r="U147" i="13"/>
  <c r="U154" i="13" s="1"/>
  <c r="U132" i="13"/>
  <c r="U140" i="13" s="1"/>
  <c r="T13" i="15"/>
  <c r="T13" i="7"/>
  <c r="D105" i="20" l="1"/>
  <c r="D240" i="20"/>
  <c r="D216" i="20"/>
  <c r="D223" i="20" s="1"/>
  <c r="D121" i="20"/>
  <c r="D31" i="20" s="1"/>
  <c r="C31" i="20"/>
  <c r="D101" i="20"/>
  <c r="AD6" i="2"/>
  <c r="AD6" i="38"/>
  <c r="C164" i="20"/>
  <c r="C146" i="20"/>
  <c r="C119" i="20"/>
  <c r="C101" i="20"/>
  <c r="AD6" i="10"/>
  <c r="AD7" i="10"/>
  <c r="U52" i="13"/>
  <c r="U65" i="13" s="1"/>
  <c r="U96" i="13" s="1"/>
  <c r="U103" i="13" s="1"/>
  <c r="U110" i="13" s="1"/>
  <c r="AE4" i="10"/>
  <c r="AD5" i="10"/>
  <c r="AE5" i="2"/>
  <c r="V6" i="11"/>
  <c r="C52" i="20"/>
  <c r="C65" i="20"/>
  <c r="C61" i="20"/>
  <c r="C53" i="20"/>
  <c r="C82" i="20"/>
  <c r="C50" i="20"/>
  <c r="C84" i="20"/>
  <c r="C83" i="20"/>
  <c r="C57" i="20"/>
  <c r="C85" i="20"/>
  <c r="C51" i="20"/>
  <c r="C72" i="20"/>
  <c r="C86" i="20"/>
  <c r="C78" i="20"/>
  <c r="C60" i="20"/>
  <c r="C87" i="20"/>
  <c r="C75" i="20"/>
  <c r="C66" i="20"/>
  <c r="C54" i="20"/>
  <c r="C49" i="20"/>
  <c r="C58" i="20"/>
  <c r="C69" i="20"/>
  <c r="C70" i="20"/>
  <c r="C71" i="20"/>
  <c r="C76" i="20"/>
  <c r="C68" i="20"/>
  <c r="C67" i="20"/>
  <c r="C59" i="20"/>
  <c r="C81" i="20"/>
  <c r="C79" i="20"/>
  <c r="V7" i="11"/>
  <c r="V5" i="11"/>
  <c r="W4" i="11"/>
  <c r="AF5" i="38" s="1"/>
  <c r="T115" i="13"/>
  <c r="U130" i="13"/>
  <c r="U146" i="13"/>
  <c r="U155" i="13" s="1"/>
  <c r="D36" i="20" l="1"/>
  <c r="AE6" i="2"/>
  <c r="AE6" i="38"/>
  <c r="C56" i="20"/>
  <c r="C74" i="20"/>
  <c r="AE6" i="10"/>
  <c r="AE7" i="10"/>
  <c r="AE5" i="10"/>
  <c r="AF4" i="10"/>
  <c r="AF5" i="2"/>
  <c r="W6" i="11"/>
  <c r="W5" i="11"/>
  <c r="X4" i="11"/>
  <c r="AG5" i="38" s="1"/>
  <c r="W7" i="11"/>
  <c r="U115" i="13"/>
  <c r="AF6" i="2" l="1"/>
  <c r="AF6" i="38"/>
  <c r="AF6" i="10"/>
  <c r="AF7" i="10"/>
  <c r="AF5" i="10"/>
  <c r="AG4" i="10"/>
  <c r="AG5" i="2"/>
  <c r="X6" i="11"/>
  <c r="X5" i="11"/>
  <c r="Y4" i="11"/>
  <c r="X7" i="11"/>
  <c r="AH5" i="38" l="1"/>
  <c r="AH5" i="2"/>
  <c r="AG6" i="2"/>
  <c r="AG6" i="38"/>
  <c r="AG6" i="10"/>
  <c r="AG7" i="10"/>
  <c r="AH4" i="10"/>
  <c r="AG5" i="10"/>
  <c r="Y6" i="11"/>
  <c r="Y7" i="11"/>
  <c r="Y5" i="11"/>
  <c r="Z4" i="11"/>
  <c r="AI5" i="38" l="1"/>
  <c r="AI5" i="2"/>
  <c r="AH6" i="2"/>
  <c r="AH6" i="38"/>
  <c r="AH6" i="10"/>
  <c r="AH7" i="10"/>
  <c r="AH5" i="10"/>
  <c r="AI4" i="10"/>
  <c r="Z6" i="11"/>
  <c r="Z7" i="11"/>
  <c r="Z5" i="11"/>
  <c r="AA4" i="11"/>
  <c r="AI6" i="38" l="1"/>
  <c r="AI6" i="2"/>
  <c r="AJ5" i="38"/>
  <c r="AJ5" i="2"/>
  <c r="AI6" i="10"/>
  <c r="AI7" i="10"/>
  <c r="AJ4" i="10"/>
  <c r="AK4" i="10" s="1"/>
  <c r="AI5" i="10"/>
  <c r="AA6" i="11"/>
  <c r="AA5" i="11"/>
  <c r="AB4" i="11"/>
  <c r="AA7" i="11"/>
  <c r="AK5" i="2" l="1"/>
  <c r="AK5" i="38"/>
  <c r="AC4" i="11"/>
  <c r="AL4" i="10"/>
  <c r="AK7" i="10"/>
  <c r="AK6" i="10"/>
  <c r="AK5" i="10"/>
  <c r="AJ6" i="38"/>
  <c r="AJ6" i="2"/>
  <c r="J75" i="34"/>
  <c r="J94" i="24" s="1"/>
  <c r="H75" i="34"/>
  <c r="H94" i="24" s="1"/>
  <c r="F75" i="34"/>
  <c r="F94" i="24" s="1"/>
  <c r="G75" i="34"/>
  <c r="G94" i="24" s="1"/>
  <c r="K75" i="34"/>
  <c r="K94" i="24" s="1"/>
  <c r="I75" i="34"/>
  <c r="I94" i="24" s="1"/>
  <c r="P75" i="34"/>
  <c r="P94" i="24" s="1"/>
  <c r="AB6" i="11"/>
  <c r="AJ6" i="10"/>
  <c r="AJ7" i="10"/>
  <c r="AJ5" i="10"/>
  <c r="AB5" i="11"/>
  <c r="AB7" i="11"/>
  <c r="G3" i="16"/>
  <c r="AK6" i="2" l="1"/>
  <c r="AK6" i="38"/>
  <c r="AC7" i="11"/>
  <c r="AL5" i="38"/>
  <c r="AL5" i="2"/>
  <c r="AD4" i="11"/>
  <c r="AC6" i="11"/>
  <c r="AC5" i="11"/>
  <c r="AL5" i="10"/>
  <c r="AM4" i="10"/>
  <c r="AL7" i="10"/>
  <c r="AL6" i="10"/>
  <c r="F35" i="35"/>
  <c r="R35" i="35"/>
  <c r="T35" i="35"/>
  <c r="S35" i="35"/>
  <c r="G35" i="35"/>
  <c r="U35" i="35"/>
  <c r="H3" i="16"/>
  <c r="I3" i="16" s="1"/>
  <c r="J3" i="16" s="1"/>
  <c r="K3" i="16" s="1"/>
  <c r="L3" i="16" s="1"/>
  <c r="M3" i="16" s="1"/>
  <c r="N3" i="16" s="1"/>
  <c r="D152" i="20"/>
  <c r="D153" i="20" s="1"/>
  <c r="D107" i="20"/>
  <c r="D108" i="20" s="1"/>
  <c r="D62" i="20"/>
  <c r="D1" i="8"/>
  <c r="F87" i="7"/>
  <c r="E87" i="7"/>
  <c r="D87" i="7"/>
  <c r="F86" i="7"/>
  <c r="E86" i="7"/>
  <c r="D86" i="7"/>
  <c r="F85" i="7"/>
  <c r="E85" i="7"/>
  <c r="D85" i="7"/>
  <c r="I15" i="46" l="1"/>
  <c r="O15" i="46"/>
  <c r="K15" i="46"/>
  <c r="E22" i="48"/>
  <c r="F22" i="48" s="1"/>
  <c r="G22" i="48" s="1"/>
  <c r="H22" i="48" s="1"/>
  <c r="I22" i="48" s="1"/>
  <c r="J22" i="48" s="1"/>
  <c r="K22" i="48" s="1"/>
  <c r="L22" i="48" s="1"/>
  <c r="M22" i="48" s="1"/>
  <c r="N22" i="48" s="1"/>
  <c r="O22" i="48" s="1"/>
  <c r="P22" i="48" s="1"/>
  <c r="Q22" i="48" s="1"/>
  <c r="R22" i="48" s="1"/>
  <c r="S22" i="48" s="1"/>
  <c r="T22" i="48" s="1"/>
  <c r="U22" i="48" s="1"/>
  <c r="F15" i="46"/>
  <c r="E21" i="33"/>
  <c r="F21" i="33" s="1"/>
  <c r="G21" i="33" s="1"/>
  <c r="H21" i="33" s="1"/>
  <c r="I21" i="33" s="1"/>
  <c r="J21" i="33" s="1"/>
  <c r="K21" i="33" s="1"/>
  <c r="L21" i="33" s="1"/>
  <c r="M21" i="33" s="1"/>
  <c r="N21" i="33" s="1"/>
  <c r="O21" i="33" s="1"/>
  <c r="P21" i="33" s="1"/>
  <c r="Q21" i="33" s="1"/>
  <c r="R21" i="33" s="1"/>
  <c r="S21" i="33" s="1"/>
  <c r="T21" i="33" s="1"/>
  <c r="U21" i="33" s="1"/>
  <c r="N15" i="46"/>
  <c r="J15" i="46"/>
  <c r="E21" i="48"/>
  <c r="F21" i="48" s="1"/>
  <c r="G21" i="48" s="1"/>
  <c r="H21" i="48" s="1"/>
  <c r="I21" i="48" s="1"/>
  <c r="J21" i="48" s="1"/>
  <c r="K21" i="48" s="1"/>
  <c r="L21" i="48" s="1"/>
  <c r="M21" i="48" s="1"/>
  <c r="N21" i="48" s="1"/>
  <c r="O21" i="48" s="1"/>
  <c r="P21" i="48" s="1"/>
  <c r="Q21" i="48" s="1"/>
  <c r="R21" i="48" s="1"/>
  <c r="S21" i="48" s="1"/>
  <c r="T21" i="48" s="1"/>
  <c r="U21" i="48" s="1"/>
  <c r="E15" i="46"/>
  <c r="Q15" i="46"/>
  <c r="M15" i="46"/>
  <c r="G15" i="46"/>
  <c r="S15" i="46"/>
  <c r="P15" i="46"/>
  <c r="L15" i="46"/>
  <c r="H15" i="46"/>
  <c r="E20" i="48"/>
  <c r="E77" i="48" s="1"/>
  <c r="R15" i="46"/>
  <c r="E20" i="29"/>
  <c r="F20" i="29" s="1"/>
  <c r="G20" i="29" s="1"/>
  <c r="H20" i="29" s="1"/>
  <c r="I20" i="29" s="1"/>
  <c r="J20" i="29" s="1"/>
  <c r="K20" i="29" s="1"/>
  <c r="L20" i="29" s="1"/>
  <c r="M20" i="29" s="1"/>
  <c r="N20" i="29" s="1"/>
  <c r="O20" i="29" s="1"/>
  <c r="P20" i="29" s="1"/>
  <c r="Q20" i="29" s="1"/>
  <c r="R20" i="29" s="1"/>
  <c r="S20" i="29" s="1"/>
  <c r="T20" i="29" s="1"/>
  <c r="U20" i="29" s="1"/>
  <c r="E20" i="33"/>
  <c r="E34" i="33" s="1"/>
  <c r="E39" i="33" s="1"/>
  <c r="E22" i="29"/>
  <c r="F22" i="29" s="1"/>
  <c r="G22" i="29" s="1"/>
  <c r="H22" i="29" s="1"/>
  <c r="I22" i="29" s="1"/>
  <c r="J22" i="29" s="1"/>
  <c r="K22" i="29" s="1"/>
  <c r="L22" i="29" s="1"/>
  <c r="M22" i="29" s="1"/>
  <c r="N22" i="29" s="1"/>
  <c r="O22" i="29" s="1"/>
  <c r="P22" i="29" s="1"/>
  <c r="Q22" i="29" s="1"/>
  <c r="R22" i="29" s="1"/>
  <c r="S22" i="29" s="1"/>
  <c r="T22" i="29" s="1"/>
  <c r="U22" i="29" s="1"/>
  <c r="E22" i="33"/>
  <c r="F22" i="33" s="1"/>
  <c r="G22" i="33" s="1"/>
  <c r="H22" i="33" s="1"/>
  <c r="I22" i="33" s="1"/>
  <c r="J22" i="33" s="1"/>
  <c r="K22" i="33" s="1"/>
  <c r="L22" i="33" s="1"/>
  <c r="M22" i="33" s="1"/>
  <c r="N22" i="33" s="1"/>
  <c r="O22" i="33" s="1"/>
  <c r="P22" i="33" s="1"/>
  <c r="Q22" i="33" s="1"/>
  <c r="R22" i="33" s="1"/>
  <c r="S22" i="33" s="1"/>
  <c r="T22" i="33" s="1"/>
  <c r="U22" i="33" s="1"/>
  <c r="E21" i="29"/>
  <c r="F21" i="29" s="1"/>
  <c r="G21" i="29" s="1"/>
  <c r="H21" i="29" s="1"/>
  <c r="I21" i="29" s="1"/>
  <c r="J21" i="29" s="1"/>
  <c r="K21" i="29" s="1"/>
  <c r="L21" i="29" s="1"/>
  <c r="M21" i="29" s="1"/>
  <c r="N21" i="29" s="1"/>
  <c r="O21" i="29" s="1"/>
  <c r="P21" i="29" s="1"/>
  <c r="Q21" i="29" s="1"/>
  <c r="R21" i="29" s="1"/>
  <c r="S21" i="29" s="1"/>
  <c r="T21" i="29" s="1"/>
  <c r="U21" i="29" s="1"/>
  <c r="AL6" i="2"/>
  <c r="AL6" i="38"/>
  <c r="AM5" i="10"/>
  <c r="AN4" i="10"/>
  <c r="AO4" i="10" s="1"/>
  <c r="AM7" i="10"/>
  <c r="AM6" i="10"/>
  <c r="AM5" i="38"/>
  <c r="AM5" i="2"/>
  <c r="AD5" i="11"/>
  <c r="AD6" i="11"/>
  <c r="AD7" i="11"/>
  <c r="AE4" i="11"/>
  <c r="R20" i="8"/>
  <c r="R37" i="35"/>
  <c r="U37" i="35"/>
  <c r="T37" i="35"/>
  <c r="F37" i="35"/>
  <c r="G37" i="35"/>
  <c r="S37" i="35"/>
  <c r="C137" i="20"/>
  <c r="C182" i="20" s="1"/>
  <c r="C227" i="20" s="1"/>
  <c r="C264" i="20"/>
  <c r="C259" i="20"/>
  <c r="E259" i="20" s="1"/>
  <c r="C252" i="20"/>
  <c r="E252" i="20" s="1"/>
  <c r="C248" i="20"/>
  <c r="E248" i="20" s="1"/>
  <c r="C241" i="20"/>
  <c r="E241" i="20" s="1"/>
  <c r="C237" i="20"/>
  <c r="E237" i="20" s="1"/>
  <c r="C231" i="20"/>
  <c r="E231" i="20" s="1"/>
  <c r="C222" i="20"/>
  <c r="C218" i="20"/>
  <c r="C213" i="20"/>
  <c r="C206" i="20"/>
  <c r="C202" i="20"/>
  <c r="C195" i="20"/>
  <c r="C189" i="20"/>
  <c r="C185" i="20"/>
  <c r="C262" i="20"/>
  <c r="C250" i="20"/>
  <c r="E250" i="20" s="1"/>
  <c r="C239" i="20"/>
  <c r="C216" i="20"/>
  <c r="C204" i="20"/>
  <c r="C200" i="20"/>
  <c r="C187" i="20"/>
  <c r="C267" i="20"/>
  <c r="C251" i="20"/>
  <c r="E251" i="20" s="1"/>
  <c r="C247" i="20"/>
  <c r="E247" i="20" s="1"/>
  <c r="C230" i="20"/>
  <c r="E230" i="20" s="1"/>
  <c r="C221" i="20"/>
  <c r="C205" i="20"/>
  <c r="C194" i="20"/>
  <c r="C188" i="20"/>
  <c r="C265" i="20"/>
  <c r="C261" i="20"/>
  <c r="C255" i="20"/>
  <c r="C249" i="20"/>
  <c r="E249" i="20" s="1"/>
  <c r="C245" i="20"/>
  <c r="C238" i="20"/>
  <c r="C232" i="20"/>
  <c r="E232" i="20" s="1"/>
  <c r="C219" i="20"/>
  <c r="C214" i="20"/>
  <c r="C207" i="20"/>
  <c r="C203" i="20"/>
  <c r="C196" i="20"/>
  <c r="C192" i="20"/>
  <c r="C186" i="20"/>
  <c r="C266" i="20"/>
  <c r="C256" i="20"/>
  <c r="E256" i="20" s="1"/>
  <c r="C246" i="20"/>
  <c r="E246" i="20" s="1"/>
  <c r="C233" i="20"/>
  <c r="E233" i="20" s="1"/>
  <c r="C229" i="20"/>
  <c r="C220" i="20"/>
  <c r="C210" i="20"/>
  <c r="C193" i="20"/>
  <c r="C263" i="20"/>
  <c r="C258" i="20"/>
  <c r="E258" i="20" s="1"/>
  <c r="C240" i="20"/>
  <c r="E240" i="20" s="1"/>
  <c r="C234" i="20"/>
  <c r="E234" i="20" s="1"/>
  <c r="C217" i="20"/>
  <c r="C211" i="20"/>
  <c r="C201" i="20"/>
  <c r="C184" i="20"/>
  <c r="D63" i="20"/>
  <c r="AO6" i="10" l="1"/>
  <c r="AO5" i="10"/>
  <c r="AO7" i="10"/>
  <c r="E70" i="48"/>
  <c r="F20" i="48"/>
  <c r="F77" i="48" s="1"/>
  <c r="E28" i="48"/>
  <c r="E65" i="48"/>
  <c r="E46" i="48"/>
  <c r="E37" i="48"/>
  <c r="E35" i="48" s="1"/>
  <c r="E41" i="48"/>
  <c r="E51" i="48"/>
  <c r="E85" i="48"/>
  <c r="E83" i="48" s="1"/>
  <c r="E122" i="23"/>
  <c r="F20" i="33"/>
  <c r="F34" i="33" s="1"/>
  <c r="F32" i="33" s="1"/>
  <c r="F45" i="23" s="1"/>
  <c r="C21" i="20"/>
  <c r="E21" i="20" s="1"/>
  <c r="AN5" i="38"/>
  <c r="AN5" i="2"/>
  <c r="AF4" i="11"/>
  <c r="AG4" i="11" s="1"/>
  <c r="AE5" i="11"/>
  <c r="AE7" i="11"/>
  <c r="AE6" i="11"/>
  <c r="AN7" i="10"/>
  <c r="AN6" i="10"/>
  <c r="AN5" i="10"/>
  <c r="C13" i="20"/>
  <c r="E13" i="20" s="1"/>
  <c r="AM6" i="38"/>
  <c r="AM6" i="2"/>
  <c r="C37" i="20"/>
  <c r="C23" i="20"/>
  <c r="C6" i="20"/>
  <c r="C27" i="20"/>
  <c r="C40" i="20"/>
  <c r="C8" i="20"/>
  <c r="C42" i="20"/>
  <c r="C14" i="20"/>
  <c r="C20" i="20"/>
  <c r="C15" i="20"/>
  <c r="C38" i="20"/>
  <c r="C39" i="20"/>
  <c r="C7" i="20"/>
  <c r="C9" i="20"/>
  <c r="C33" i="20"/>
  <c r="C30" i="20"/>
  <c r="C12" i="20"/>
  <c r="C34" i="20"/>
  <c r="C41" i="20"/>
  <c r="C36" i="20"/>
  <c r="C5" i="20"/>
  <c r="C26" i="20"/>
  <c r="C16" i="20"/>
  <c r="C4" i="20"/>
  <c r="C25" i="20"/>
  <c r="C24" i="20"/>
  <c r="C22" i="20"/>
  <c r="C236" i="20"/>
  <c r="C254" i="20"/>
  <c r="C209" i="20"/>
  <c r="C191" i="20"/>
  <c r="E229" i="20"/>
  <c r="E236" i="20" s="1"/>
  <c r="C268" i="20"/>
  <c r="E255" i="20"/>
  <c r="E257" i="20" s="1"/>
  <c r="C257" i="20"/>
  <c r="E245" i="20"/>
  <c r="E254" i="20" s="1"/>
  <c r="C242" i="20"/>
  <c r="E238" i="20"/>
  <c r="E9" i="13"/>
  <c r="E131" i="23" l="1"/>
  <c r="E44" i="48"/>
  <c r="E47" i="48"/>
  <c r="E68" i="48"/>
  <c r="E71" i="48"/>
  <c r="E49" i="48"/>
  <c r="E52" i="48"/>
  <c r="E55" i="48"/>
  <c r="E63" i="48"/>
  <c r="E66" i="48"/>
  <c r="AG5" i="11"/>
  <c r="AP6" i="38" s="1"/>
  <c r="AP5" i="38"/>
  <c r="AG7" i="11"/>
  <c r="AG6" i="11"/>
  <c r="E59" i="23"/>
  <c r="E39" i="48"/>
  <c r="E42" i="48"/>
  <c r="E26" i="48"/>
  <c r="E36" i="48" s="1"/>
  <c r="E33" i="48"/>
  <c r="E29" i="48"/>
  <c r="E48" i="23"/>
  <c r="F70" i="48"/>
  <c r="F51" i="48"/>
  <c r="F41" i="48"/>
  <c r="F28" i="48"/>
  <c r="G20" i="48"/>
  <c r="G77" i="48" s="1"/>
  <c r="F65" i="48"/>
  <c r="F37" i="48"/>
  <c r="F35" i="48" s="1"/>
  <c r="F46" i="48"/>
  <c r="F85" i="48"/>
  <c r="F39" i="33"/>
  <c r="G20" i="33"/>
  <c r="H20" i="33" s="1"/>
  <c r="H34" i="33" s="1"/>
  <c r="AO5" i="38"/>
  <c r="AO5" i="2"/>
  <c r="AF5" i="11"/>
  <c r="AF7" i="11"/>
  <c r="AF6" i="11"/>
  <c r="G114" i="30"/>
  <c r="E114" i="30"/>
  <c r="G27" i="30"/>
  <c r="F114" i="30"/>
  <c r="G101" i="30"/>
  <c r="F101" i="30"/>
  <c r="G76" i="30"/>
  <c r="F76" i="30"/>
  <c r="E76" i="30"/>
  <c r="E101" i="30"/>
  <c r="F27" i="30"/>
  <c r="E27" i="30"/>
  <c r="AN6" i="38"/>
  <c r="AN6" i="2"/>
  <c r="G77" i="29"/>
  <c r="G121" i="23" s="1"/>
  <c r="E20" i="20"/>
  <c r="E30" i="20"/>
  <c r="E6" i="20"/>
  <c r="E34" i="20"/>
  <c r="E5" i="20"/>
  <c r="E7" i="20"/>
  <c r="E23" i="20"/>
  <c r="C32" i="20"/>
  <c r="C17" i="20"/>
  <c r="C43" i="20"/>
  <c r="E12" i="20"/>
  <c r="C11" i="20"/>
  <c r="E9" i="20"/>
  <c r="E16" i="20"/>
  <c r="E33" i="20"/>
  <c r="E22" i="20"/>
  <c r="E8" i="20"/>
  <c r="E25" i="20"/>
  <c r="E24" i="20"/>
  <c r="C29" i="20"/>
  <c r="E260" i="20"/>
  <c r="C243" i="20"/>
  <c r="C260" i="20"/>
  <c r="C269" i="20" s="1"/>
  <c r="E123" i="13"/>
  <c r="E114" i="13"/>
  <c r="E13" i="13"/>
  <c r="F9" i="13"/>
  <c r="F114" i="13" s="1"/>
  <c r="F10" i="13"/>
  <c r="E140" i="13"/>
  <c r="E143" i="13"/>
  <c r="E51" i="13"/>
  <c r="E52" i="13" s="1"/>
  <c r="E65" i="13" s="1"/>
  <c r="E96" i="13" s="1"/>
  <c r="E103" i="13" s="1"/>
  <c r="E110" i="13" s="1"/>
  <c r="E129" i="13"/>
  <c r="E154" i="13"/>
  <c r="F25" i="50" l="1"/>
  <c r="F83" i="48"/>
  <c r="G51" i="48"/>
  <c r="G49" i="48" s="1"/>
  <c r="G46" i="48"/>
  <c r="G70" i="48"/>
  <c r="G41" i="48"/>
  <c r="G37" i="48"/>
  <c r="G35" i="48" s="1"/>
  <c r="G28" i="48"/>
  <c r="G65" i="48"/>
  <c r="H20" i="48"/>
  <c r="H77" i="48" s="1"/>
  <c r="G85" i="48"/>
  <c r="F71" i="48"/>
  <c r="F68" i="48"/>
  <c r="E60" i="48"/>
  <c r="E61" i="48" s="1"/>
  <c r="E31" i="48"/>
  <c r="F44" i="48"/>
  <c r="F47" i="48"/>
  <c r="F26" i="48"/>
  <c r="F36" i="48" s="1"/>
  <c r="F29" i="48"/>
  <c r="F33" i="48"/>
  <c r="E30" i="23"/>
  <c r="E27" i="48"/>
  <c r="E50" i="48"/>
  <c r="E77" i="23"/>
  <c r="E68" i="23"/>
  <c r="E45" i="48"/>
  <c r="F48" i="23"/>
  <c r="F39" i="48"/>
  <c r="F59" i="23"/>
  <c r="F42" i="48"/>
  <c r="E101" i="23"/>
  <c r="E84" i="23" s="1"/>
  <c r="E54" i="48"/>
  <c r="E64" i="48"/>
  <c r="F35" i="50"/>
  <c r="F122" i="23"/>
  <c r="F55" i="48"/>
  <c r="F66" i="48"/>
  <c r="F63" i="48"/>
  <c r="F49" i="48"/>
  <c r="F52" i="48"/>
  <c r="E40" i="48"/>
  <c r="E110" i="23"/>
  <c r="E69" i="48"/>
  <c r="G34" i="33"/>
  <c r="G32" i="33" s="1"/>
  <c r="G45" i="23" s="1"/>
  <c r="I20" i="33"/>
  <c r="AO6" i="2"/>
  <c r="AO6" i="38"/>
  <c r="R38" i="31"/>
  <c r="R38" i="25" s="1"/>
  <c r="W42" i="31"/>
  <c r="W42" i="25" s="1"/>
  <c r="R36" i="31"/>
  <c r="R36" i="25" s="1"/>
  <c r="X36" i="31"/>
  <c r="X36" i="25" s="1"/>
  <c r="F39" i="31"/>
  <c r="G39" i="31"/>
  <c r="Z36" i="31"/>
  <c r="Z36" i="25" s="1"/>
  <c r="G36" i="31"/>
  <c r="Y38" i="31"/>
  <c r="Y38" i="25" s="1"/>
  <c r="AC36" i="31"/>
  <c r="AC36" i="25" s="1"/>
  <c r="W39" i="31"/>
  <c r="W39" i="25" s="1"/>
  <c r="S36" i="31"/>
  <c r="S36" i="25" s="1"/>
  <c r="V42" i="31"/>
  <c r="V42" i="25" s="1"/>
  <c r="W36" i="31"/>
  <c r="W36" i="25" s="1"/>
  <c r="S86" i="29"/>
  <c r="S37" i="31" s="1"/>
  <c r="AC42" i="31"/>
  <c r="AC42" i="25" s="1"/>
  <c r="E77" i="29"/>
  <c r="E121" i="23" s="1"/>
  <c r="E119" i="23" s="1"/>
  <c r="S42" i="31"/>
  <c r="S42" i="25" s="1"/>
  <c r="G86" i="29"/>
  <c r="G37" i="31" s="1"/>
  <c r="F38" i="31"/>
  <c r="X42" i="31"/>
  <c r="X42" i="25" s="1"/>
  <c r="AA42" i="31"/>
  <c r="AA42" i="25" s="1"/>
  <c r="V36" i="31"/>
  <c r="V36" i="25" s="1"/>
  <c r="S38" i="31"/>
  <c r="S38" i="25" s="1"/>
  <c r="G38" i="31"/>
  <c r="T36" i="31"/>
  <c r="T36" i="25" s="1"/>
  <c r="X39" i="31"/>
  <c r="X39" i="25" s="1"/>
  <c r="Y36" i="31"/>
  <c r="Y36" i="25" s="1"/>
  <c r="T38" i="31"/>
  <c r="T38" i="25" s="1"/>
  <c r="Z38" i="31"/>
  <c r="Z38" i="25" s="1"/>
  <c r="AB36" i="31"/>
  <c r="AB36" i="25" s="1"/>
  <c r="AB39" i="31"/>
  <c r="AB39" i="25" s="1"/>
  <c r="AC38" i="31"/>
  <c r="AC38" i="25" s="1"/>
  <c r="U42" i="31"/>
  <c r="U42" i="25" s="1"/>
  <c r="U38" i="31"/>
  <c r="U38" i="25" s="1"/>
  <c r="T42" i="31"/>
  <c r="T42" i="25" s="1"/>
  <c r="F86" i="29"/>
  <c r="F37" i="31" s="1"/>
  <c r="R42" i="31"/>
  <c r="R42" i="25" s="1"/>
  <c r="AC39" i="31"/>
  <c r="AC39" i="25" s="1"/>
  <c r="U36" i="31"/>
  <c r="U36" i="25" s="1"/>
  <c r="U86" i="29"/>
  <c r="U37" i="31" s="1"/>
  <c r="R86" i="29"/>
  <c r="R37" i="31" s="1"/>
  <c r="X38" i="31"/>
  <c r="X38" i="25" s="1"/>
  <c r="AB38" i="31"/>
  <c r="AB38" i="25" s="1"/>
  <c r="T86" i="29"/>
  <c r="T37" i="31" s="1"/>
  <c r="AA36" i="31"/>
  <c r="AA36" i="25" s="1"/>
  <c r="F42" i="31"/>
  <c r="F42" i="25" s="1"/>
  <c r="Z39" i="31"/>
  <c r="Z39" i="25" s="1"/>
  <c r="AA39" i="31"/>
  <c r="AA39" i="25" s="1"/>
  <c r="Y42" i="31"/>
  <c r="Y42" i="25" s="1"/>
  <c r="U39" i="31"/>
  <c r="U39" i="25" s="1"/>
  <c r="AB42" i="31"/>
  <c r="AB42" i="25" s="1"/>
  <c r="F36" i="31"/>
  <c r="Z42" i="31"/>
  <c r="Z42" i="25" s="1"/>
  <c r="R39" i="31"/>
  <c r="R39" i="25" s="1"/>
  <c r="E86" i="29"/>
  <c r="T39" i="31"/>
  <c r="T39" i="25" s="1"/>
  <c r="G42" i="31"/>
  <c r="G42" i="25" s="1"/>
  <c r="W38" i="31"/>
  <c r="W38" i="25" s="1"/>
  <c r="V39" i="31"/>
  <c r="V39" i="25" s="1"/>
  <c r="V38" i="31"/>
  <c r="V38" i="25" s="1"/>
  <c r="S39" i="31"/>
  <c r="S39" i="25" s="1"/>
  <c r="AA38" i="31"/>
  <c r="AA38" i="25" s="1"/>
  <c r="Y39" i="31"/>
  <c r="Y39" i="25" s="1"/>
  <c r="F77" i="29"/>
  <c r="F121" i="23" s="1"/>
  <c r="C18" i="20"/>
  <c r="C35" i="20"/>
  <c r="C44" i="20" s="1"/>
  <c r="C270" i="20"/>
  <c r="E130" i="13"/>
  <c r="E146" i="13"/>
  <c r="G10" i="13"/>
  <c r="G9" i="13"/>
  <c r="G114" i="13" s="1"/>
  <c r="F13" i="13"/>
  <c r="F119" i="23" l="1"/>
  <c r="F40" i="48"/>
  <c r="G39" i="25"/>
  <c r="G74" i="1" s="1"/>
  <c r="F30" i="23"/>
  <c r="F27" i="48"/>
  <c r="G25" i="50"/>
  <c r="G83" i="48"/>
  <c r="G48" i="23"/>
  <c r="G77" i="23"/>
  <c r="F36" i="25"/>
  <c r="F71" i="1" s="1"/>
  <c r="G38" i="25"/>
  <c r="G73" i="1" s="1"/>
  <c r="F39" i="25"/>
  <c r="F74" i="1" s="1"/>
  <c r="F110" i="23"/>
  <c r="F46" i="50"/>
  <c r="F69" i="48"/>
  <c r="H46" i="48"/>
  <c r="H41" i="48"/>
  <c r="H70" i="48"/>
  <c r="I20" i="48"/>
  <c r="I77" i="48" s="1"/>
  <c r="H28" i="48"/>
  <c r="H51" i="48"/>
  <c r="H37" i="48"/>
  <c r="H35" i="48" s="1"/>
  <c r="G39" i="48"/>
  <c r="G59" i="23"/>
  <c r="G42" i="48"/>
  <c r="F131" i="23"/>
  <c r="F38" i="25"/>
  <c r="F73" i="1" s="1"/>
  <c r="G36" i="25"/>
  <c r="G71" i="1" s="1"/>
  <c r="F77" i="23"/>
  <c r="F50" i="48"/>
  <c r="F31" i="48"/>
  <c r="F60" i="48"/>
  <c r="F61" i="48" s="1"/>
  <c r="F45" i="48"/>
  <c r="F68" i="23"/>
  <c r="G55" i="48"/>
  <c r="G63" i="48"/>
  <c r="G66" i="48"/>
  <c r="G71" i="48"/>
  <c r="G68" i="48"/>
  <c r="F101" i="23"/>
  <c r="F84" i="23" s="1"/>
  <c r="F64" i="48"/>
  <c r="F54" i="48"/>
  <c r="E39" i="23"/>
  <c r="E57" i="48"/>
  <c r="E32" i="48"/>
  <c r="G35" i="50"/>
  <c r="G122" i="23"/>
  <c r="G119" i="23" s="1"/>
  <c r="G52" i="48"/>
  <c r="G26" i="48"/>
  <c r="G36" i="48" s="1"/>
  <c r="G33" i="48"/>
  <c r="G29" i="48"/>
  <c r="G44" i="48"/>
  <c r="G68" i="23" s="1"/>
  <c r="G47" i="48"/>
  <c r="G39" i="33"/>
  <c r="H32" i="33"/>
  <c r="H45" i="23" s="1"/>
  <c r="H39" i="33"/>
  <c r="I34" i="33"/>
  <c r="J20" i="33"/>
  <c r="F35" i="31"/>
  <c r="G35" i="31"/>
  <c r="C45" i="20"/>
  <c r="G13" i="13"/>
  <c r="H10" i="13"/>
  <c r="H9" i="13"/>
  <c r="H114" i="13" s="1"/>
  <c r="F57" i="48" l="1"/>
  <c r="F59" i="48" s="1"/>
  <c r="E92" i="23"/>
  <c r="E93" i="23" s="1"/>
  <c r="E40" i="23"/>
  <c r="G110" i="23"/>
  <c r="G46" i="50"/>
  <c r="G69" i="48"/>
  <c r="F39" i="23"/>
  <c r="F32" i="48"/>
  <c r="I37" i="48"/>
  <c r="I35" i="48" s="1"/>
  <c r="I41" i="48"/>
  <c r="J20" i="48"/>
  <c r="I28" i="48"/>
  <c r="I51" i="48"/>
  <c r="I70" i="48"/>
  <c r="I46" i="48"/>
  <c r="H44" i="48"/>
  <c r="H47" i="48"/>
  <c r="G60" i="48"/>
  <c r="G61" i="48" s="1"/>
  <c r="G31" i="48"/>
  <c r="H48" i="23"/>
  <c r="H68" i="48"/>
  <c r="H71" i="48"/>
  <c r="G45" i="48"/>
  <c r="G30" i="23"/>
  <c r="G27" i="48"/>
  <c r="H49" i="48"/>
  <c r="H52" i="48"/>
  <c r="H59" i="23"/>
  <c r="H39" i="48"/>
  <c r="H42" i="48"/>
  <c r="G50" i="48"/>
  <c r="G131" i="23"/>
  <c r="E59" i="48"/>
  <c r="E73" i="48"/>
  <c r="E58" i="48"/>
  <c r="G54" i="48"/>
  <c r="G101" i="23"/>
  <c r="G84" i="23" s="1"/>
  <c r="G64" i="48"/>
  <c r="G40" i="48"/>
  <c r="H26" i="48"/>
  <c r="H33" i="48"/>
  <c r="H29" i="48"/>
  <c r="I39" i="33"/>
  <c r="I32" i="33"/>
  <c r="I45" i="23" s="1"/>
  <c r="J34" i="33"/>
  <c r="K20" i="33"/>
  <c r="R77" i="29"/>
  <c r="R121" i="23" s="1"/>
  <c r="E9" i="24"/>
  <c r="F9" i="24"/>
  <c r="G9" i="24"/>
  <c r="H9" i="24"/>
  <c r="I9" i="24"/>
  <c r="J9" i="24"/>
  <c r="L9" i="24"/>
  <c r="K9" i="24"/>
  <c r="M9" i="24"/>
  <c r="N9" i="24"/>
  <c r="O9" i="24"/>
  <c r="P9" i="24"/>
  <c r="Q9" i="24"/>
  <c r="Q9" i="23" s="1"/>
  <c r="Q10" i="1" s="1"/>
  <c r="R9" i="24"/>
  <c r="R9" i="23" s="1"/>
  <c r="S9" i="24"/>
  <c r="S9" i="23" s="1"/>
  <c r="T9" i="24"/>
  <c r="T9" i="23" s="1"/>
  <c r="U9" i="24"/>
  <c r="U9" i="23" s="1"/>
  <c r="V9" i="24"/>
  <c r="W9" i="24"/>
  <c r="X9" i="24"/>
  <c r="Y9" i="24"/>
  <c r="Z9" i="24"/>
  <c r="AA9" i="24"/>
  <c r="AB9" i="24"/>
  <c r="AC9" i="24"/>
  <c r="AA9" i="25"/>
  <c r="W9" i="25"/>
  <c r="S9" i="25"/>
  <c r="O9" i="25"/>
  <c r="K9" i="25"/>
  <c r="G9" i="25"/>
  <c r="AB9" i="25"/>
  <c r="X9" i="25"/>
  <c r="T9" i="25"/>
  <c r="P9" i="25"/>
  <c r="L9" i="25"/>
  <c r="H9" i="25"/>
  <c r="AC9" i="25"/>
  <c r="Y9" i="25"/>
  <c r="U9" i="25"/>
  <c r="Q9" i="25"/>
  <c r="M9" i="25"/>
  <c r="I9" i="25"/>
  <c r="E9" i="25"/>
  <c r="Z9" i="25"/>
  <c r="V9" i="25"/>
  <c r="R9" i="25"/>
  <c r="N9" i="25"/>
  <c r="J9" i="25"/>
  <c r="F9" i="25"/>
  <c r="AA8" i="24"/>
  <c r="W8" i="24"/>
  <c r="S8" i="24"/>
  <c r="S8" i="23" s="1"/>
  <c r="O8" i="24"/>
  <c r="O8" i="23" s="1"/>
  <c r="O9" i="1" s="1"/>
  <c r="K8" i="24"/>
  <c r="K8" i="23" s="1"/>
  <c r="K9" i="1" s="1"/>
  <c r="G8" i="24"/>
  <c r="G8" i="23" s="1"/>
  <c r="G9" i="1" s="1"/>
  <c r="AB7" i="24"/>
  <c r="X7" i="24"/>
  <c r="T7" i="24"/>
  <c r="T7" i="23" s="1"/>
  <c r="P7" i="24"/>
  <c r="L7" i="24"/>
  <c r="H7" i="24"/>
  <c r="Z8" i="24"/>
  <c r="J8" i="24"/>
  <c r="J8" i="23" s="1"/>
  <c r="J9" i="1" s="1"/>
  <c r="W7" i="24"/>
  <c r="K7" i="24"/>
  <c r="AB8" i="24"/>
  <c r="X8" i="24"/>
  <c r="T8" i="24"/>
  <c r="T8" i="23" s="1"/>
  <c r="P8" i="24"/>
  <c r="P8" i="23" s="1"/>
  <c r="P9" i="1" s="1"/>
  <c r="L8" i="24"/>
  <c r="L8" i="23" s="1"/>
  <c r="L9" i="1" s="1"/>
  <c r="H8" i="24"/>
  <c r="H8" i="23" s="1"/>
  <c r="H9" i="1" s="1"/>
  <c r="AC7" i="24"/>
  <c r="Y7" i="24"/>
  <c r="U7" i="24"/>
  <c r="U7" i="23" s="1"/>
  <c r="Q7" i="24"/>
  <c r="Q7" i="23" s="1"/>
  <c r="Q8" i="1" s="1"/>
  <c r="M7" i="24"/>
  <c r="I7" i="24"/>
  <c r="E7" i="24"/>
  <c r="AC8" i="24"/>
  <c r="Y8" i="24"/>
  <c r="U8" i="24"/>
  <c r="U8" i="23" s="1"/>
  <c r="Q8" i="24"/>
  <c r="Q8" i="23" s="1"/>
  <c r="Q9" i="1" s="1"/>
  <c r="M8" i="24"/>
  <c r="M8" i="23" s="1"/>
  <c r="M9" i="1" s="1"/>
  <c r="I8" i="24"/>
  <c r="I8" i="23" s="1"/>
  <c r="I9" i="1" s="1"/>
  <c r="E8" i="24"/>
  <c r="E8" i="23" s="1"/>
  <c r="Z7" i="24"/>
  <c r="V7" i="24"/>
  <c r="R7" i="24"/>
  <c r="R7" i="23" s="1"/>
  <c r="N7" i="24"/>
  <c r="J7" i="24"/>
  <c r="F7" i="24"/>
  <c r="V8" i="24"/>
  <c r="R8" i="24"/>
  <c r="R8" i="23" s="1"/>
  <c r="N8" i="24"/>
  <c r="N8" i="23" s="1"/>
  <c r="N9" i="1" s="1"/>
  <c r="F8" i="24"/>
  <c r="F8" i="23" s="1"/>
  <c r="F9" i="1" s="1"/>
  <c r="AA7" i="24"/>
  <c r="S7" i="24"/>
  <c r="S7" i="23" s="1"/>
  <c r="O7" i="24"/>
  <c r="G7" i="24"/>
  <c r="AA8" i="25"/>
  <c r="AB24" i="25" s="1"/>
  <c r="W8" i="25"/>
  <c r="X24" i="25" s="1"/>
  <c r="S8" i="25"/>
  <c r="T24" i="25" s="1"/>
  <c r="O8" i="25"/>
  <c r="K8" i="25"/>
  <c r="G8" i="25"/>
  <c r="AB7" i="25"/>
  <c r="X7" i="25"/>
  <c r="T7" i="25"/>
  <c r="P7" i="25"/>
  <c r="L7" i="25"/>
  <c r="H7" i="25"/>
  <c r="Z8" i="25"/>
  <c r="AA24" i="25" s="1"/>
  <c r="R8" i="25"/>
  <c r="S24" i="25" s="1"/>
  <c r="J8" i="25"/>
  <c r="AA7" i="25"/>
  <c r="S7" i="25"/>
  <c r="G7" i="25"/>
  <c r="AB8" i="25"/>
  <c r="AC24" i="25" s="1"/>
  <c r="X8" i="25"/>
  <c r="Y24" i="25" s="1"/>
  <c r="T8" i="25"/>
  <c r="U24" i="25" s="1"/>
  <c r="P8" i="25"/>
  <c r="L8" i="25"/>
  <c r="H8" i="25"/>
  <c r="AC7" i="25"/>
  <c r="Y7" i="25"/>
  <c r="U7" i="25"/>
  <c r="Q7" i="25"/>
  <c r="M7" i="25"/>
  <c r="I7" i="25"/>
  <c r="E7" i="25"/>
  <c r="AC8" i="25"/>
  <c r="AC28" i="25" s="1"/>
  <c r="Y8" i="25"/>
  <c r="Z24" i="25" s="1"/>
  <c r="U8" i="25"/>
  <c r="Q8" i="25"/>
  <c r="M8" i="25"/>
  <c r="I8" i="25"/>
  <c r="E8" i="25"/>
  <c r="Z7" i="25"/>
  <c r="V7" i="25"/>
  <c r="R7" i="25"/>
  <c r="N7" i="25"/>
  <c r="J7" i="25"/>
  <c r="F7" i="25"/>
  <c r="V8" i="25"/>
  <c r="W24" i="25" s="1"/>
  <c r="N8" i="25"/>
  <c r="F8" i="25"/>
  <c r="W7" i="25"/>
  <c r="O7" i="25"/>
  <c r="K7" i="25"/>
  <c r="G6" i="24"/>
  <c r="F6" i="24"/>
  <c r="E6" i="24"/>
  <c r="H6" i="24"/>
  <c r="I6" i="24"/>
  <c r="J6" i="24"/>
  <c r="K6" i="24"/>
  <c r="L6" i="24"/>
  <c r="M6" i="24"/>
  <c r="N6" i="24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E6" i="25"/>
  <c r="F6" i="25"/>
  <c r="G6" i="25"/>
  <c r="H6" i="25"/>
  <c r="I6" i="25"/>
  <c r="J6" i="25"/>
  <c r="K6" i="25"/>
  <c r="L6" i="25"/>
  <c r="M6" i="25"/>
  <c r="N6" i="25"/>
  <c r="O6" i="25"/>
  <c r="P6" i="25"/>
  <c r="Q6" i="25"/>
  <c r="R6" i="25"/>
  <c r="S6" i="25"/>
  <c r="T6" i="25"/>
  <c r="U6" i="25"/>
  <c r="V6" i="25"/>
  <c r="W6" i="25"/>
  <c r="X6" i="25"/>
  <c r="Y6" i="25"/>
  <c r="Z6" i="25"/>
  <c r="AA6" i="25"/>
  <c r="AB6" i="25"/>
  <c r="AB43" i="25" s="1"/>
  <c r="AC6" i="25"/>
  <c r="H13" i="13"/>
  <c r="I10" i="13"/>
  <c r="I9" i="13"/>
  <c r="I114" i="13" s="1"/>
  <c r="T43" i="25" l="1"/>
  <c r="AC43" i="25"/>
  <c r="AA43" i="25"/>
  <c r="S43" i="25"/>
  <c r="W43" i="25"/>
  <c r="F58" i="48"/>
  <c r="F73" i="48"/>
  <c r="F79" i="48" s="1"/>
  <c r="F23" i="50"/>
  <c r="H31" i="48"/>
  <c r="H77" i="23"/>
  <c r="H50" i="48"/>
  <c r="G39" i="23"/>
  <c r="G32" i="48"/>
  <c r="G57" i="48"/>
  <c r="I26" i="48"/>
  <c r="I36" i="48" s="1"/>
  <c r="I29" i="48"/>
  <c r="I48" i="23"/>
  <c r="H30" i="23"/>
  <c r="H27" i="48"/>
  <c r="H40" i="48"/>
  <c r="H46" i="50"/>
  <c r="H110" i="23"/>
  <c r="H69" i="48"/>
  <c r="I44" i="48"/>
  <c r="I47" i="48"/>
  <c r="H36" i="48"/>
  <c r="I68" i="48"/>
  <c r="I71" i="48"/>
  <c r="J37" i="48"/>
  <c r="J35" i="48" s="1"/>
  <c r="J51" i="48"/>
  <c r="J28" i="48"/>
  <c r="J46" i="48"/>
  <c r="J70" i="48"/>
  <c r="J41" i="48"/>
  <c r="K20" i="48"/>
  <c r="F40" i="23"/>
  <c r="F92" i="23"/>
  <c r="F93" i="23" s="1"/>
  <c r="E75" i="48"/>
  <c r="E74" i="48"/>
  <c r="E79" i="48"/>
  <c r="H68" i="23"/>
  <c r="H45" i="48"/>
  <c r="I49" i="48"/>
  <c r="I52" i="48"/>
  <c r="I59" i="23"/>
  <c r="I39" i="48"/>
  <c r="I42" i="48"/>
  <c r="Y43" i="25"/>
  <c r="U43" i="25"/>
  <c r="Z43" i="25"/>
  <c r="V43" i="25"/>
  <c r="V24" i="25"/>
  <c r="V27" i="25" s="1"/>
  <c r="X43" i="25"/>
  <c r="J32" i="33"/>
  <c r="J39" i="33"/>
  <c r="K34" i="33"/>
  <c r="L20" i="33"/>
  <c r="AC33" i="25"/>
  <c r="AC31" i="25"/>
  <c r="Y27" i="25"/>
  <c r="X28" i="25"/>
  <c r="W27" i="25"/>
  <c r="V28" i="25"/>
  <c r="Z27" i="25"/>
  <c r="Y28" i="25"/>
  <c r="AA27" i="25"/>
  <c r="Z28" i="25"/>
  <c r="AA28" i="25"/>
  <c r="AB27" i="25"/>
  <c r="W28" i="25"/>
  <c r="X27" i="25"/>
  <c r="AC27" i="25"/>
  <c r="AB28" i="25"/>
  <c r="S77" i="29"/>
  <c r="S121" i="23" s="1"/>
  <c r="O9" i="23"/>
  <c r="O10" i="1" s="1"/>
  <c r="L9" i="23"/>
  <c r="L10" i="1" s="1"/>
  <c r="G9" i="23"/>
  <c r="G10" i="1" s="1"/>
  <c r="P9" i="23"/>
  <c r="P10" i="1" s="1"/>
  <c r="K9" i="23"/>
  <c r="H9" i="23"/>
  <c r="H10" i="1" s="1"/>
  <c r="M9" i="23"/>
  <c r="M10" i="1" s="1"/>
  <c r="I9" i="23"/>
  <c r="I10" i="1" s="1"/>
  <c r="E9" i="23"/>
  <c r="N9" i="23"/>
  <c r="N10" i="1" s="1"/>
  <c r="J9" i="23"/>
  <c r="J10" i="1" s="1"/>
  <c r="F9" i="23"/>
  <c r="K10" i="1"/>
  <c r="L7" i="23"/>
  <c r="L8" i="1" s="1"/>
  <c r="H7" i="23"/>
  <c r="H8" i="1" s="1"/>
  <c r="O7" i="23"/>
  <c r="O8" i="1" s="1"/>
  <c r="N7" i="23"/>
  <c r="N8" i="1" s="1"/>
  <c r="K7" i="23"/>
  <c r="K8" i="1" s="1"/>
  <c r="J7" i="23"/>
  <c r="J8" i="1" s="1"/>
  <c r="M7" i="23"/>
  <c r="M8" i="1" s="1"/>
  <c r="F7" i="23"/>
  <c r="F8" i="1" s="1"/>
  <c r="I7" i="23"/>
  <c r="I8" i="1" s="1"/>
  <c r="P7" i="23"/>
  <c r="P8" i="1" s="1"/>
  <c r="E7" i="23"/>
  <c r="E8" i="1" s="1"/>
  <c r="G7" i="23"/>
  <c r="G8" i="1" s="1"/>
  <c r="F5" i="25"/>
  <c r="G5" i="25" s="1"/>
  <c r="H5" i="25" s="1"/>
  <c r="E19" i="25"/>
  <c r="E17" i="25" s="1"/>
  <c r="F5" i="24"/>
  <c r="F19" i="25"/>
  <c r="R6" i="23"/>
  <c r="R19" i="24"/>
  <c r="AB19" i="25"/>
  <c r="X19" i="25"/>
  <c r="S19" i="25"/>
  <c r="P19" i="25"/>
  <c r="J19" i="25"/>
  <c r="I19" i="25"/>
  <c r="Y19" i="24"/>
  <c r="G6" i="23"/>
  <c r="G19" i="24"/>
  <c r="U19" i="25"/>
  <c r="R19" i="25"/>
  <c r="L19" i="25"/>
  <c r="G19" i="25"/>
  <c r="AC19" i="24"/>
  <c r="AA19" i="24"/>
  <c r="V19" i="24"/>
  <c r="T6" i="23"/>
  <c r="T19" i="24"/>
  <c r="P6" i="23"/>
  <c r="P19" i="24"/>
  <c r="L6" i="23"/>
  <c r="L19" i="24"/>
  <c r="F6" i="23"/>
  <c r="F19" i="24"/>
  <c r="Z19" i="25"/>
  <c r="Y19" i="25"/>
  <c r="V19" i="25"/>
  <c r="K19" i="25"/>
  <c r="H19" i="25"/>
  <c r="Z19" i="24"/>
  <c r="S6" i="23"/>
  <c r="S19" i="24"/>
  <c r="N6" i="23"/>
  <c r="N19" i="24"/>
  <c r="X19" i="24"/>
  <c r="U6" i="23"/>
  <c r="U19" i="24"/>
  <c r="O6" i="23"/>
  <c r="O19" i="24"/>
  <c r="K6" i="23"/>
  <c r="K19" i="24"/>
  <c r="AC19" i="25"/>
  <c r="AA19" i="25"/>
  <c r="W19" i="25"/>
  <c r="T19" i="25"/>
  <c r="Q19" i="25"/>
  <c r="O19" i="25"/>
  <c r="N19" i="25"/>
  <c r="M19" i="25"/>
  <c r="AB19" i="24"/>
  <c r="W19" i="24"/>
  <c r="Q6" i="23"/>
  <c r="Q7" i="1" s="1"/>
  <c r="Q19" i="24"/>
  <c r="M6" i="23"/>
  <c r="M19" i="24"/>
  <c r="J19" i="24"/>
  <c r="J6" i="23"/>
  <c r="I6" i="23"/>
  <c r="I19" i="24"/>
  <c r="H19" i="24"/>
  <c r="H6" i="23"/>
  <c r="E9" i="1"/>
  <c r="E6" i="23"/>
  <c r="E19" i="24"/>
  <c r="E17" i="24" s="1"/>
  <c r="E21" i="24" s="1"/>
  <c r="J10" i="13"/>
  <c r="J9" i="13"/>
  <c r="J114" i="13" s="1"/>
  <c r="I13" i="13"/>
  <c r="I5" i="25" l="1"/>
  <c r="J5" i="25" s="1"/>
  <c r="K5" i="25" s="1"/>
  <c r="L5" i="25" s="1"/>
  <c r="M5" i="25" s="1"/>
  <c r="N5" i="25" s="1"/>
  <c r="O5" i="25" s="1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Z5" i="25" s="1"/>
  <c r="AA5" i="25" s="1"/>
  <c r="AB5" i="25" s="1"/>
  <c r="AC5" i="25" s="1"/>
  <c r="H17" i="25"/>
  <c r="I40" i="48"/>
  <c r="H32" i="23"/>
  <c r="F10" i="1"/>
  <c r="F32" i="23"/>
  <c r="G32" i="23"/>
  <c r="E10" i="1"/>
  <c r="E96" i="1" s="1"/>
  <c r="E32" i="23"/>
  <c r="F74" i="48"/>
  <c r="F75" i="48"/>
  <c r="K28" i="48"/>
  <c r="K26" i="48" s="1"/>
  <c r="K70" i="48"/>
  <c r="K41" i="48"/>
  <c r="L20" i="48"/>
  <c r="K37" i="48"/>
  <c r="K35" i="48" s="1"/>
  <c r="K51" i="48"/>
  <c r="K46" i="48"/>
  <c r="I30" i="23"/>
  <c r="I32" i="23" s="1"/>
  <c r="I27" i="48"/>
  <c r="E81" i="48"/>
  <c r="E90" i="48"/>
  <c r="E80" i="48"/>
  <c r="E84" i="48"/>
  <c r="J59" i="23"/>
  <c r="J39" i="48"/>
  <c r="J42" i="48"/>
  <c r="J29" i="48"/>
  <c r="J26" i="48"/>
  <c r="J36" i="48" s="1"/>
  <c r="I46" i="50"/>
  <c r="I110" i="23"/>
  <c r="I69" i="48"/>
  <c r="G73" i="48"/>
  <c r="G58" i="48"/>
  <c r="G23" i="50"/>
  <c r="G59" i="48"/>
  <c r="I77" i="23"/>
  <c r="I50" i="48"/>
  <c r="J71" i="48"/>
  <c r="J68" i="48"/>
  <c r="J52" i="48"/>
  <c r="J49" i="48"/>
  <c r="I68" i="23"/>
  <c r="I45" i="48"/>
  <c r="H32" i="48"/>
  <c r="H39" i="23"/>
  <c r="J44" i="48"/>
  <c r="J47" i="48"/>
  <c r="J48" i="23"/>
  <c r="F80" i="48"/>
  <c r="F90" i="48"/>
  <c r="F81" i="48"/>
  <c r="F84" i="48"/>
  <c r="G40" i="23"/>
  <c r="G92" i="23"/>
  <c r="G93" i="23" s="1"/>
  <c r="J45" i="23"/>
  <c r="K32" i="33"/>
  <c r="K39" i="33"/>
  <c r="L34" i="33"/>
  <c r="M20" i="33"/>
  <c r="E20" i="23"/>
  <c r="E22" i="23"/>
  <c r="E21" i="23"/>
  <c r="Y31" i="25"/>
  <c r="Y33" i="25"/>
  <c r="Y34" i="25" s="1"/>
  <c r="AC34" i="25"/>
  <c r="AB33" i="25"/>
  <c r="AB34" i="25" s="1"/>
  <c r="AB31" i="25"/>
  <c r="W31" i="25"/>
  <c r="W33" i="25"/>
  <c r="W34" i="25" s="1"/>
  <c r="Z31" i="25"/>
  <c r="Z33" i="25"/>
  <c r="Z34" i="25" s="1"/>
  <c r="V31" i="25"/>
  <c r="V33" i="25"/>
  <c r="V34" i="25" s="1"/>
  <c r="AA31" i="25"/>
  <c r="AA33" i="25"/>
  <c r="AA34" i="25" s="1"/>
  <c r="X33" i="25"/>
  <c r="X34" i="25" s="1"/>
  <c r="X31" i="25"/>
  <c r="T77" i="29"/>
  <c r="T121" i="23" s="1"/>
  <c r="R35" i="31"/>
  <c r="Q19" i="23"/>
  <c r="U19" i="23"/>
  <c r="S19" i="23"/>
  <c r="P19" i="23"/>
  <c r="R19" i="23"/>
  <c r="N19" i="23"/>
  <c r="T19" i="23"/>
  <c r="M19" i="23"/>
  <c r="O19" i="23"/>
  <c r="G5" i="24"/>
  <c r="J7" i="1"/>
  <c r="J19" i="23"/>
  <c r="G18" i="25"/>
  <c r="G17" i="25"/>
  <c r="G10" i="25"/>
  <c r="F5" i="23"/>
  <c r="F17" i="24"/>
  <c r="F21" i="24" s="1"/>
  <c r="F18" i="24"/>
  <c r="I7" i="1"/>
  <c r="I19" i="23"/>
  <c r="N7" i="1"/>
  <c r="F7" i="1"/>
  <c r="F19" i="23"/>
  <c r="F10" i="25"/>
  <c r="F18" i="25"/>
  <c r="F17" i="25"/>
  <c r="K7" i="1"/>
  <c r="K19" i="23"/>
  <c r="O7" i="1"/>
  <c r="P7" i="1"/>
  <c r="G19" i="23"/>
  <c r="G7" i="1"/>
  <c r="E7" i="1"/>
  <c r="E19" i="23"/>
  <c r="E17" i="23" s="1"/>
  <c r="H7" i="1"/>
  <c r="H19" i="23"/>
  <c r="M7" i="1"/>
  <c r="L7" i="1"/>
  <c r="L19" i="23"/>
  <c r="K10" i="13"/>
  <c r="K9" i="13"/>
  <c r="K114" i="13" s="1"/>
  <c r="J13" i="13"/>
  <c r="K33" i="48" l="1"/>
  <c r="K31" i="48" s="1"/>
  <c r="E90" i="1"/>
  <c r="E95" i="1"/>
  <c r="E89" i="1"/>
  <c r="E91" i="1"/>
  <c r="E94" i="1"/>
  <c r="J110" i="23"/>
  <c r="J69" i="48"/>
  <c r="J46" i="50"/>
  <c r="G75" i="48"/>
  <c r="G74" i="48"/>
  <c r="G79" i="48"/>
  <c r="J27" i="48"/>
  <c r="J30" i="23"/>
  <c r="J32" i="23" s="1"/>
  <c r="J40" i="48"/>
  <c r="E45" i="33"/>
  <c r="E91" i="48"/>
  <c r="E92" i="48"/>
  <c r="E95" i="48"/>
  <c r="E129" i="49"/>
  <c r="K42" i="48"/>
  <c r="K39" i="48"/>
  <c r="K59" i="23"/>
  <c r="F45" i="33"/>
  <c r="F92" i="48"/>
  <c r="F91" i="48"/>
  <c r="H40" i="23"/>
  <c r="K52" i="48"/>
  <c r="K49" i="48"/>
  <c r="J68" i="23"/>
  <c r="J45" i="48"/>
  <c r="J77" i="23"/>
  <c r="J50" i="48"/>
  <c r="K48" i="23"/>
  <c r="K68" i="48"/>
  <c r="K71" i="48"/>
  <c r="K44" i="48"/>
  <c r="K47" i="48"/>
  <c r="L46" i="48"/>
  <c r="L70" i="48"/>
  <c r="L28" i="48"/>
  <c r="L37" i="48"/>
  <c r="L35" i="48" s="1"/>
  <c r="L48" i="23" s="1"/>
  <c r="L51" i="48"/>
  <c r="M20" i="48"/>
  <c r="L41" i="48"/>
  <c r="K29" i="48"/>
  <c r="K36" i="48"/>
  <c r="L39" i="33"/>
  <c r="L32" i="33"/>
  <c r="O23" i="36" s="1"/>
  <c r="M34" i="33"/>
  <c r="N20" i="33"/>
  <c r="K45" i="23"/>
  <c r="F20" i="23"/>
  <c r="F21" i="23"/>
  <c r="F22" i="23"/>
  <c r="U77" i="29"/>
  <c r="U121" i="23" s="1"/>
  <c r="S35" i="31"/>
  <c r="F17" i="23"/>
  <c r="F11" i="1" s="1"/>
  <c r="G17" i="24"/>
  <c r="G21" i="24" s="1"/>
  <c r="G5" i="23"/>
  <c r="G18" i="23" s="1"/>
  <c r="H5" i="24"/>
  <c r="H17" i="24" s="1"/>
  <c r="G10" i="24"/>
  <c r="G10" i="23" s="1"/>
  <c r="G18" i="24"/>
  <c r="E11" i="1"/>
  <c r="E24" i="23"/>
  <c r="H10" i="25"/>
  <c r="H18" i="25"/>
  <c r="F18" i="23"/>
  <c r="K13" i="13"/>
  <c r="L10" i="13"/>
  <c r="L9" i="13"/>
  <c r="L114" i="13" s="1"/>
  <c r="E4" i="8"/>
  <c r="D2" i="8"/>
  <c r="E2" i="8" s="1"/>
  <c r="J1" i="8"/>
  <c r="E30" i="1"/>
  <c r="M23" i="36" l="1"/>
  <c r="L23" i="36"/>
  <c r="N23" i="36"/>
  <c r="L68" i="48"/>
  <c r="L71" i="48"/>
  <c r="K50" i="48"/>
  <c r="K77" i="23"/>
  <c r="K40" i="48"/>
  <c r="L49" i="48"/>
  <c r="L52" i="48"/>
  <c r="L44" i="48"/>
  <c r="L47" i="48"/>
  <c r="K110" i="23"/>
  <c r="K69" i="48"/>
  <c r="K46" i="50"/>
  <c r="L59" i="23"/>
  <c r="L39" i="48"/>
  <c r="L42" i="48"/>
  <c r="G90" i="48"/>
  <c r="G80" i="48"/>
  <c r="G81" i="48"/>
  <c r="G84" i="48"/>
  <c r="E100" i="8"/>
  <c r="E123" i="8"/>
  <c r="E76" i="8"/>
  <c r="E68" i="8"/>
  <c r="E60" i="8"/>
  <c r="E52" i="8"/>
  <c r="E44" i="8"/>
  <c r="E20" i="8"/>
  <c r="E115" i="8"/>
  <c r="K30" i="23"/>
  <c r="K32" i="23" s="1"/>
  <c r="K27" i="48"/>
  <c r="M28" i="48"/>
  <c r="M70" i="48"/>
  <c r="N20" i="48"/>
  <c r="M51" i="48"/>
  <c r="M46" i="48"/>
  <c r="M41" i="48"/>
  <c r="M37" i="48"/>
  <c r="M35" i="48" s="1"/>
  <c r="L29" i="48"/>
  <c r="L26" i="48"/>
  <c r="K68" i="23"/>
  <c r="K45" i="48"/>
  <c r="M39" i="33"/>
  <c r="M32" i="33"/>
  <c r="P23" i="36" s="1"/>
  <c r="L45" i="23"/>
  <c r="S23" i="36"/>
  <c r="N34" i="33"/>
  <c r="O20" i="33"/>
  <c r="G20" i="23"/>
  <c r="G21" i="23"/>
  <c r="G22" i="23"/>
  <c r="U35" i="31"/>
  <c r="T35" i="31"/>
  <c r="E60" i="1"/>
  <c r="F60" i="1"/>
  <c r="G35" i="25"/>
  <c r="G70" i="1" s="1"/>
  <c r="E10" i="8"/>
  <c r="E176" i="8"/>
  <c r="E144" i="8"/>
  <c r="E143" i="8"/>
  <c r="E185" i="8"/>
  <c r="E145" i="8"/>
  <c r="E141" i="8"/>
  <c r="E92" i="8"/>
  <c r="E168" i="8"/>
  <c r="E194" i="8"/>
  <c r="E160" i="8"/>
  <c r="E142" i="8"/>
  <c r="F24" i="23"/>
  <c r="H21" i="24"/>
  <c r="H5" i="23"/>
  <c r="G17" i="23"/>
  <c r="G11" i="1" s="1"/>
  <c r="I5" i="24"/>
  <c r="H10" i="24"/>
  <c r="H10" i="23" s="1"/>
  <c r="H18" i="24"/>
  <c r="F87" i="1"/>
  <c r="F29" i="1"/>
  <c r="E87" i="1"/>
  <c r="E29" i="1"/>
  <c r="F12" i="1"/>
  <c r="F30" i="1" s="1"/>
  <c r="G12" i="1"/>
  <c r="G30" i="1" s="1"/>
  <c r="E15" i="8"/>
  <c r="F4" i="8"/>
  <c r="I18" i="25"/>
  <c r="I17" i="25"/>
  <c r="I10" i="25"/>
  <c r="C29" i="1"/>
  <c r="E5" i="8"/>
  <c r="E6" i="8"/>
  <c r="M10" i="13"/>
  <c r="M9" i="13"/>
  <c r="M114" i="13" s="1"/>
  <c r="L13" i="13"/>
  <c r="R23" i="36" l="1"/>
  <c r="Q23" i="36"/>
  <c r="H18" i="23"/>
  <c r="H12" i="1" s="1"/>
  <c r="H88" i="1" s="1"/>
  <c r="H17" i="23"/>
  <c r="H11" i="1" s="1"/>
  <c r="F100" i="8"/>
  <c r="F123" i="8"/>
  <c r="F76" i="8"/>
  <c r="F68" i="8"/>
  <c r="F60" i="8"/>
  <c r="F52" i="8"/>
  <c r="F44" i="8"/>
  <c r="F20" i="8"/>
  <c r="F115" i="8"/>
  <c r="F92" i="8"/>
  <c r="M48" i="23"/>
  <c r="M26" i="48"/>
  <c r="M36" i="48" s="1"/>
  <c r="M29" i="48"/>
  <c r="L69" i="48"/>
  <c r="L110" i="23"/>
  <c r="L46" i="50"/>
  <c r="M59" i="23"/>
  <c r="M39" i="48"/>
  <c r="M42" i="48"/>
  <c r="M49" i="48"/>
  <c r="M52" i="48"/>
  <c r="L40" i="48"/>
  <c r="L68" i="23"/>
  <c r="L45" i="48"/>
  <c r="L36" i="48"/>
  <c r="L27" i="48"/>
  <c r="L30" i="23"/>
  <c r="L32" i="23" s="1"/>
  <c r="N28" i="48"/>
  <c r="N37" i="48"/>
  <c r="N35" i="48" s="1"/>
  <c r="N51" i="48"/>
  <c r="N46" i="48"/>
  <c r="N70" i="48"/>
  <c r="N41" i="48"/>
  <c r="O20" i="48"/>
  <c r="M44" i="48"/>
  <c r="M47" i="48"/>
  <c r="M71" i="48"/>
  <c r="M68" i="48"/>
  <c r="G45" i="33"/>
  <c r="G92" i="48"/>
  <c r="G91" i="48"/>
  <c r="L77" i="23"/>
  <c r="L50" i="48"/>
  <c r="O34" i="33"/>
  <c r="P20" i="33"/>
  <c r="M45" i="23"/>
  <c r="N39" i="33"/>
  <c r="N32" i="33"/>
  <c r="H20" i="23"/>
  <c r="H21" i="23"/>
  <c r="H22" i="23"/>
  <c r="I5" i="23"/>
  <c r="I17" i="23" s="1"/>
  <c r="I11" i="1" s="1"/>
  <c r="G87" i="1"/>
  <c r="F61" i="1"/>
  <c r="G61" i="1"/>
  <c r="E70" i="29"/>
  <c r="E68" i="29" s="1"/>
  <c r="E108" i="23" s="1"/>
  <c r="F168" i="8"/>
  <c r="F160" i="8"/>
  <c r="F176" i="8"/>
  <c r="F185" i="8"/>
  <c r="F145" i="8"/>
  <c r="F144" i="8"/>
  <c r="F143" i="8"/>
  <c r="F142" i="8"/>
  <c r="F141" i="8"/>
  <c r="F194" i="8"/>
  <c r="G24" i="23"/>
  <c r="I18" i="24"/>
  <c r="J5" i="24"/>
  <c r="I10" i="24"/>
  <c r="I10" i="23" s="1"/>
  <c r="I17" i="24"/>
  <c r="I21" i="24" s="1"/>
  <c r="G60" i="1"/>
  <c r="G29" i="1"/>
  <c r="F88" i="1"/>
  <c r="G88" i="1"/>
  <c r="E11" i="8"/>
  <c r="G4" i="8"/>
  <c r="F10" i="8"/>
  <c r="F15" i="8"/>
  <c r="J10" i="25"/>
  <c r="J18" i="25"/>
  <c r="J17" i="25"/>
  <c r="F7" i="8"/>
  <c r="F5" i="8"/>
  <c r="F6" i="8"/>
  <c r="N9" i="13"/>
  <c r="N114" i="13" s="1"/>
  <c r="N10" i="13"/>
  <c r="M13" i="13"/>
  <c r="E192" i="8"/>
  <c r="E226" i="8" s="1"/>
  <c r="E166" i="8"/>
  <c r="E223" i="8" s="1"/>
  <c r="E158" i="8"/>
  <c r="E222" i="8" s="1"/>
  <c r="E119" i="8"/>
  <c r="E121" i="8"/>
  <c r="E50" i="8"/>
  <c r="E32" i="33" s="1"/>
  <c r="E23" i="8"/>
  <c r="E21" i="8"/>
  <c r="E24" i="8"/>
  <c r="E42" i="8"/>
  <c r="E26" i="8"/>
  <c r="E22" i="8"/>
  <c r="E131" i="8"/>
  <c r="E202" i="8"/>
  <c r="E108" i="8"/>
  <c r="E106" i="8" s="1"/>
  <c r="E216" i="8" s="1"/>
  <c r="E84" i="8"/>
  <c r="E36" i="8"/>
  <c r="T23" i="36" l="1"/>
  <c r="U23" i="36"/>
  <c r="H24" i="23"/>
  <c r="V23" i="36"/>
  <c r="W23" i="36"/>
  <c r="M40" i="48"/>
  <c r="G100" i="8"/>
  <c r="G60" i="8"/>
  <c r="G115" i="8"/>
  <c r="G123" i="8"/>
  <c r="G68" i="8"/>
  <c r="G20" i="8"/>
  <c r="G76" i="8"/>
  <c r="G44" i="8"/>
  <c r="G52" i="8"/>
  <c r="G92" i="8"/>
  <c r="M68" i="23"/>
  <c r="M45" i="48"/>
  <c r="N42" i="48"/>
  <c r="N59" i="23"/>
  <c r="N39" i="48"/>
  <c r="M69" i="48"/>
  <c r="M46" i="50"/>
  <c r="M110" i="23"/>
  <c r="N71" i="48"/>
  <c r="N68" i="48"/>
  <c r="N48" i="23"/>
  <c r="M50" i="48"/>
  <c r="M77" i="23"/>
  <c r="N52" i="48"/>
  <c r="N49" i="48"/>
  <c r="N29" i="48"/>
  <c r="N26" i="48"/>
  <c r="M27" i="48"/>
  <c r="M30" i="23"/>
  <c r="M32" i="23" s="1"/>
  <c r="O28" i="48"/>
  <c r="O70" i="48"/>
  <c r="O37" i="48"/>
  <c r="O35" i="48" s="1"/>
  <c r="O41" i="48"/>
  <c r="P20" i="48"/>
  <c r="O51" i="48"/>
  <c r="O46" i="48"/>
  <c r="N44" i="48"/>
  <c r="N47" i="48"/>
  <c r="N45" i="23"/>
  <c r="O32" i="33"/>
  <c r="Y23" i="36" s="1"/>
  <c r="O39" i="33"/>
  <c r="P34" i="33"/>
  <c r="Q20" i="33"/>
  <c r="I22" i="23"/>
  <c r="H91" i="1"/>
  <c r="H96" i="1"/>
  <c r="I20" i="23"/>
  <c r="I21" i="23"/>
  <c r="F96" i="1"/>
  <c r="F91" i="1"/>
  <c r="G96" i="1"/>
  <c r="G91" i="1"/>
  <c r="H95" i="1"/>
  <c r="H90" i="1"/>
  <c r="G95" i="1"/>
  <c r="G90" i="1"/>
  <c r="F95" i="1"/>
  <c r="F90" i="1"/>
  <c r="G89" i="1"/>
  <c r="G94" i="1"/>
  <c r="F89" i="1"/>
  <c r="F94" i="1"/>
  <c r="H94" i="1"/>
  <c r="H89" i="1"/>
  <c r="E218" i="8"/>
  <c r="I24" i="23"/>
  <c r="I18" i="23"/>
  <c r="I12" i="1" s="1"/>
  <c r="I30" i="1" s="1"/>
  <c r="I87" i="1"/>
  <c r="E45" i="23"/>
  <c r="F70" i="29"/>
  <c r="F68" i="29" s="1"/>
  <c r="F108" i="23" s="1"/>
  <c r="E37" i="29"/>
  <c r="E35" i="29" s="1"/>
  <c r="E46" i="23" s="1"/>
  <c r="E71" i="29"/>
  <c r="E69" i="29"/>
  <c r="H30" i="1"/>
  <c r="G15" i="8"/>
  <c r="G194" i="8"/>
  <c r="G160" i="8"/>
  <c r="G142" i="8"/>
  <c r="G168" i="8"/>
  <c r="G145" i="8"/>
  <c r="G176" i="8"/>
  <c r="G185" i="8"/>
  <c r="G144" i="8"/>
  <c r="G143" i="8"/>
  <c r="G141" i="8"/>
  <c r="E167" i="8"/>
  <c r="F11" i="8"/>
  <c r="J17" i="24"/>
  <c r="J21" i="24" s="1"/>
  <c r="J10" i="24"/>
  <c r="J10" i="23" s="1"/>
  <c r="K5" i="24"/>
  <c r="J5" i="23"/>
  <c r="J18" i="24"/>
  <c r="I29" i="1"/>
  <c r="I60" i="1"/>
  <c r="E106" i="23"/>
  <c r="E52" i="23"/>
  <c r="H4" i="8"/>
  <c r="G10" i="8"/>
  <c r="E174" i="8"/>
  <c r="E98" i="8"/>
  <c r="E215" i="8" s="1"/>
  <c r="E18" i="8"/>
  <c r="F108" i="8"/>
  <c r="F106" i="8" s="1"/>
  <c r="F216" i="8" s="1"/>
  <c r="E80" i="30"/>
  <c r="E36" i="30"/>
  <c r="E93" i="30"/>
  <c r="K18" i="25"/>
  <c r="K17" i="25"/>
  <c r="K10" i="25"/>
  <c r="G5" i="8"/>
  <c r="G6" i="8"/>
  <c r="G7" i="8"/>
  <c r="N13" i="13"/>
  <c r="F84" i="8"/>
  <c r="F202" i="8"/>
  <c r="O10" i="13"/>
  <c r="O9" i="13"/>
  <c r="O114" i="13" s="1"/>
  <c r="F131" i="8"/>
  <c r="E203" i="8"/>
  <c r="F183" i="8"/>
  <c r="F192" i="8"/>
  <c r="F166" i="8"/>
  <c r="F223" i="8" s="1"/>
  <c r="F158" i="8"/>
  <c r="F98" i="8"/>
  <c r="F215" i="8" s="1"/>
  <c r="F42" i="8"/>
  <c r="F50" i="8"/>
  <c r="F22" i="8"/>
  <c r="F23" i="8"/>
  <c r="F24" i="8"/>
  <c r="F26" i="8"/>
  <c r="F21" i="8"/>
  <c r="F18" i="8"/>
  <c r="E205" i="8"/>
  <c r="E200" i="8" s="1"/>
  <c r="F119" i="8"/>
  <c r="E206" i="8"/>
  <c r="F36" i="8"/>
  <c r="F34" i="8" s="1"/>
  <c r="Z23" i="36" l="1"/>
  <c r="X23" i="36"/>
  <c r="AA23" i="36"/>
  <c r="N68" i="23"/>
  <c r="N45" i="48"/>
  <c r="N69" i="48"/>
  <c r="N110" i="23"/>
  <c r="N46" i="50"/>
  <c r="O71" i="48"/>
  <c r="O68" i="48"/>
  <c r="N27" i="48"/>
  <c r="N30" i="23"/>
  <c r="N32" i="23" s="1"/>
  <c r="P46" i="48"/>
  <c r="P51" i="48"/>
  <c r="P28" i="48"/>
  <c r="P37" i="48"/>
  <c r="P35" i="48" s="1"/>
  <c r="P41" i="48"/>
  <c r="P70" i="48"/>
  <c r="Q20" i="48"/>
  <c r="O29" i="48"/>
  <c r="O26" i="48"/>
  <c r="O36" i="48" s="1"/>
  <c r="N40" i="48"/>
  <c r="O47" i="48"/>
  <c r="O44" i="48"/>
  <c r="O39" i="48"/>
  <c r="O42" i="48"/>
  <c r="O59" i="23"/>
  <c r="N77" i="23"/>
  <c r="N50" i="48"/>
  <c r="N36" i="48"/>
  <c r="O49" i="48"/>
  <c r="O52" i="48"/>
  <c r="H100" i="8"/>
  <c r="H123" i="8"/>
  <c r="H76" i="8"/>
  <c r="H68" i="8"/>
  <c r="H60" i="8"/>
  <c r="H52" i="8"/>
  <c r="H44" i="8"/>
  <c r="H20" i="8"/>
  <c r="H115" i="8"/>
  <c r="H92" i="8"/>
  <c r="O48" i="23"/>
  <c r="Q34" i="33"/>
  <c r="R20" i="33"/>
  <c r="O45" i="23"/>
  <c r="P39" i="33"/>
  <c r="P32" i="33"/>
  <c r="AE23" i="36" s="1"/>
  <c r="J22" i="23"/>
  <c r="J20" i="23"/>
  <c r="J21" i="23"/>
  <c r="E65" i="29"/>
  <c r="E63" i="29" s="1"/>
  <c r="E99" i="23" s="1"/>
  <c r="E83" i="23" s="1"/>
  <c r="F225" i="8"/>
  <c r="F47" i="30" s="1"/>
  <c r="E224" i="8"/>
  <c r="E40" i="30" s="1"/>
  <c r="F222" i="8"/>
  <c r="F36" i="30" s="1"/>
  <c r="F226" i="8"/>
  <c r="F93" i="30" s="1"/>
  <c r="K5" i="23"/>
  <c r="K18" i="23" s="1"/>
  <c r="K12" i="1" s="1"/>
  <c r="K30" i="1" s="1"/>
  <c r="H87" i="1"/>
  <c r="H61" i="1"/>
  <c r="I61" i="1"/>
  <c r="E43" i="23"/>
  <c r="E30" i="33"/>
  <c r="E26" i="33"/>
  <c r="E33" i="33" s="1"/>
  <c r="F71" i="29"/>
  <c r="G70" i="29"/>
  <c r="G68" i="29" s="1"/>
  <c r="G108" i="23" s="1"/>
  <c r="F28" i="29"/>
  <c r="F26" i="29" s="1"/>
  <c r="F46" i="31"/>
  <c r="F69" i="29"/>
  <c r="F37" i="29"/>
  <c r="F35" i="29" s="1"/>
  <c r="F46" i="23" s="1"/>
  <c r="E28" i="29"/>
  <c r="E26" i="29" s="1"/>
  <c r="E28" i="23" s="1"/>
  <c r="H15" i="8"/>
  <c r="H185" i="8"/>
  <c r="H145" i="8"/>
  <c r="H144" i="8"/>
  <c r="H143" i="8"/>
  <c r="H142" i="8"/>
  <c r="H141" i="8"/>
  <c r="H194" i="8"/>
  <c r="H160" i="8"/>
  <c r="H168" i="8"/>
  <c r="H176" i="8"/>
  <c r="E175" i="8"/>
  <c r="F167" i="8"/>
  <c r="H29" i="1"/>
  <c r="H60" i="1"/>
  <c r="K18" i="24"/>
  <c r="L5" i="24"/>
  <c r="K17" i="24"/>
  <c r="K21" i="24" s="1"/>
  <c r="K10" i="24"/>
  <c r="K10" i="23" s="1"/>
  <c r="J17" i="23"/>
  <c r="J18" i="23"/>
  <c r="E34" i="8"/>
  <c r="I88" i="1"/>
  <c r="I97" i="1" s="1"/>
  <c r="I4" i="8"/>
  <c r="H10" i="8"/>
  <c r="G11" i="8"/>
  <c r="E107" i="8"/>
  <c r="E159" i="8"/>
  <c r="E51" i="8"/>
  <c r="E43" i="8"/>
  <c r="F121" i="8"/>
  <c r="F218" i="8" s="1"/>
  <c r="E193" i="8"/>
  <c r="E201" i="8"/>
  <c r="F80" i="30"/>
  <c r="L17" i="25"/>
  <c r="L10" i="25"/>
  <c r="L18" i="25"/>
  <c r="E61" i="1"/>
  <c r="H6" i="8"/>
  <c r="H5" i="8"/>
  <c r="E66" i="8"/>
  <c r="H7" i="8"/>
  <c r="O13" i="13"/>
  <c r="P10" i="13"/>
  <c r="P9" i="13"/>
  <c r="P114" i="13" s="1"/>
  <c r="G36" i="8"/>
  <c r="G202" i="8"/>
  <c r="G108" i="8"/>
  <c r="G131" i="8"/>
  <c r="E183" i="8"/>
  <c r="E225" i="8" s="1"/>
  <c r="F184" i="8"/>
  <c r="F193" i="8"/>
  <c r="F205" i="8"/>
  <c r="G84" i="8"/>
  <c r="G183" i="8"/>
  <c r="G225" i="8" s="1"/>
  <c r="G192" i="8"/>
  <c r="G226" i="8" s="1"/>
  <c r="G166" i="8"/>
  <c r="G223" i="8" s="1"/>
  <c r="G158" i="8"/>
  <c r="G222" i="8" s="1"/>
  <c r="G50" i="8"/>
  <c r="G42" i="8"/>
  <c r="G26" i="8"/>
  <c r="G23" i="8"/>
  <c r="G21" i="8"/>
  <c r="G24" i="8"/>
  <c r="G22" i="8"/>
  <c r="F51" i="8"/>
  <c r="E204" i="8"/>
  <c r="F43" i="8"/>
  <c r="F107" i="8"/>
  <c r="F159" i="8"/>
  <c r="E58" i="8"/>
  <c r="E74" i="8"/>
  <c r="AD23" i="36" l="1"/>
  <c r="AC23" i="36"/>
  <c r="AB23" i="36"/>
  <c r="O40" i="48"/>
  <c r="P59" i="23"/>
  <c r="P42" i="48"/>
  <c r="P39" i="48"/>
  <c r="P26" i="48"/>
  <c r="P36" i="48" s="1"/>
  <c r="P29" i="48"/>
  <c r="P49" i="48"/>
  <c r="P52" i="48"/>
  <c r="O110" i="23"/>
  <c r="O46" i="50"/>
  <c r="O69" i="48"/>
  <c r="I100" i="8"/>
  <c r="I123" i="8"/>
  <c r="I76" i="8"/>
  <c r="I68" i="8"/>
  <c r="I60" i="8"/>
  <c r="I52" i="8"/>
  <c r="I44" i="8"/>
  <c r="I20" i="8"/>
  <c r="I115" i="8"/>
  <c r="I92" i="8"/>
  <c r="O77" i="23"/>
  <c r="O50" i="48"/>
  <c r="O68" i="23"/>
  <c r="O45" i="48"/>
  <c r="Q37" i="48"/>
  <c r="Q35" i="48" s="1"/>
  <c r="Q28" i="48"/>
  <c r="R20" i="48"/>
  <c r="Q41" i="48"/>
  <c r="Q46" i="48"/>
  <c r="Q51" i="48"/>
  <c r="Q70" i="48"/>
  <c r="P48" i="23"/>
  <c r="P44" i="48"/>
  <c r="P47" i="48"/>
  <c r="O27" i="48"/>
  <c r="O30" i="23"/>
  <c r="O32" i="23" s="1"/>
  <c r="P68" i="48"/>
  <c r="P71" i="48"/>
  <c r="P45" i="23"/>
  <c r="Q39" i="33"/>
  <c r="Q32" i="33"/>
  <c r="AO23" i="36" s="1"/>
  <c r="R34" i="33"/>
  <c r="S20" i="33"/>
  <c r="K22" i="23"/>
  <c r="K20" i="23"/>
  <c r="I96" i="1"/>
  <c r="K21" i="23"/>
  <c r="K17" i="23"/>
  <c r="K11" i="1" s="1"/>
  <c r="G106" i="8"/>
  <c r="G216" i="8" s="1"/>
  <c r="H22" i="8"/>
  <c r="H24" i="8"/>
  <c r="I94" i="1"/>
  <c r="K61" i="1"/>
  <c r="F28" i="23"/>
  <c r="E36" i="33"/>
  <c r="E38" i="33" s="1"/>
  <c r="E40" i="33"/>
  <c r="E27" i="33"/>
  <c r="G71" i="29"/>
  <c r="E51" i="29"/>
  <c r="E49" i="29" s="1"/>
  <c r="E75" i="23" s="1"/>
  <c r="E55" i="29"/>
  <c r="E66" i="29"/>
  <c r="E46" i="29"/>
  <c r="E44" i="29" s="1"/>
  <c r="E66" i="23" s="1"/>
  <c r="G46" i="31"/>
  <c r="G69" i="29"/>
  <c r="F65" i="29"/>
  <c r="F63" i="29" s="1"/>
  <c r="F99" i="23" s="1"/>
  <c r="F83" i="23" s="1"/>
  <c r="F33" i="29"/>
  <c r="F31" i="29" s="1"/>
  <c r="F37" i="23" s="1"/>
  <c r="F29" i="29"/>
  <c r="E41" i="29"/>
  <c r="E39" i="29" s="1"/>
  <c r="E57" i="23" s="1"/>
  <c r="G37" i="29"/>
  <c r="G35" i="29" s="1"/>
  <c r="G46" i="23" s="1"/>
  <c r="E29" i="29"/>
  <c r="E33" i="29"/>
  <c r="E31" i="29" s="1"/>
  <c r="E37" i="23" s="1"/>
  <c r="E36" i="29"/>
  <c r="I15" i="8"/>
  <c r="I176" i="8"/>
  <c r="I185" i="8"/>
  <c r="I145" i="8"/>
  <c r="I144" i="8"/>
  <c r="I143" i="8"/>
  <c r="I142" i="8"/>
  <c r="I141" i="8"/>
  <c r="I194" i="8"/>
  <c r="I160" i="8"/>
  <c r="I168" i="8"/>
  <c r="G167" i="8"/>
  <c r="H11" i="8"/>
  <c r="J12" i="1"/>
  <c r="J30" i="1" s="1"/>
  <c r="G174" i="8"/>
  <c r="G119" i="8"/>
  <c r="H119" i="8" s="1"/>
  <c r="L5" i="23"/>
  <c r="L10" i="24"/>
  <c r="L10" i="23" s="1"/>
  <c r="J24" i="23"/>
  <c r="J11" i="1"/>
  <c r="M5" i="24"/>
  <c r="L17" i="24"/>
  <c r="L21" i="24" s="1"/>
  <c r="L18" i="24"/>
  <c r="K88" i="1"/>
  <c r="K96" i="1" s="1"/>
  <c r="G27" i="8"/>
  <c r="G47" i="30"/>
  <c r="I10" i="8"/>
  <c r="J4" i="8"/>
  <c r="G98" i="8"/>
  <c r="G215" i="8" s="1"/>
  <c r="G18" i="8"/>
  <c r="F203" i="8"/>
  <c r="F200" i="8" s="1"/>
  <c r="F208" i="8" s="1"/>
  <c r="F174" i="8"/>
  <c r="G80" i="30"/>
  <c r="E47" i="30"/>
  <c r="G36" i="30"/>
  <c r="G93" i="30"/>
  <c r="M10" i="25"/>
  <c r="M18" i="25"/>
  <c r="M17" i="25"/>
  <c r="E97" i="23"/>
  <c r="C60" i="1"/>
  <c r="I6" i="8"/>
  <c r="I5" i="8"/>
  <c r="E85" i="8"/>
  <c r="E87" i="8"/>
  <c r="E184" i="8"/>
  <c r="G34" i="8"/>
  <c r="I7" i="8"/>
  <c r="Q10" i="13"/>
  <c r="Q9" i="13"/>
  <c r="Q114" i="13" s="1"/>
  <c r="P13" i="13"/>
  <c r="H131" i="8"/>
  <c r="G205" i="8"/>
  <c r="H98" i="8"/>
  <c r="H215" i="8" s="1"/>
  <c r="H84" i="8"/>
  <c r="H36" i="8"/>
  <c r="H121" i="8"/>
  <c r="H218" i="8" s="1"/>
  <c r="H26" i="8"/>
  <c r="H202" i="8"/>
  <c r="G203" i="8"/>
  <c r="E59" i="8"/>
  <c r="E82" i="8"/>
  <c r="E67" i="8"/>
  <c r="AG23" i="36" l="1"/>
  <c r="AF23" i="36"/>
  <c r="AH23" i="36"/>
  <c r="AI23" i="36"/>
  <c r="K97" i="1"/>
  <c r="AJ23" i="36"/>
  <c r="P40" i="48"/>
  <c r="Q59" i="23"/>
  <c r="Q42" i="48"/>
  <c r="Q39" i="48"/>
  <c r="P46" i="50"/>
  <c r="P110" i="23"/>
  <c r="P69" i="48"/>
  <c r="R46" i="48"/>
  <c r="R70" i="48"/>
  <c r="R65" i="48"/>
  <c r="R51" i="48"/>
  <c r="R41" i="48"/>
  <c r="S20" i="48"/>
  <c r="R28" i="48"/>
  <c r="R37" i="48"/>
  <c r="R35" i="48" s="1"/>
  <c r="R85" i="48"/>
  <c r="R77" i="48"/>
  <c r="P27" i="48"/>
  <c r="P30" i="23"/>
  <c r="P32" i="23" s="1"/>
  <c r="P68" i="23"/>
  <c r="P45" i="48"/>
  <c r="Q52" i="48"/>
  <c r="Q49" i="48"/>
  <c r="Q26" i="48"/>
  <c r="Q36" i="48" s="1"/>
  <c r="Q33" i="48"/>
  <c r="Q29" i="48"/>
  <c r="J100" i="8"/>
  <c r="J123" i="8"/>
  <c r="J76" i="8"/>
  <c r="J68" i="8"/>
  <c r="J60" i="8"/>
  <c r="J52" i="8"/>
  <c r="J44" i="8"/>
  <c r="J20" i="8"/>
  <c r="J115" i="8"/>
  <c r="J92" i="8"/>
  <c r="Q71" i="48"/>
  <c r="Q68" i="48"/>
  <c r="Q47" i="48"/>
  <c r="Q44" i="48"/>
  <c r="Q48" i="23"/>
  <c r="P77" i="23"/>
  <c r="P50" i="48"/>
  <c r="S34" i="33"/>
  <c r="T20" i="33"/>
  <c r="Q45" i="23"/>
  <c r="AK23" i="36"/>
  <c r="AL23" i="36"/>
  <c r="AM23" i="36"/>
  <c r="AN23" i="36"/>
  <c r="R39" i="33"/>
  <c r="R32" i="33"/>
  <c r="R45" i="23" s="1"/>
  <c r="L20" i="23"/>
  <c r="L22" i="23"/>
  <c r="L21" i="23"/>
  <c r="K24" i="23"/>
  <c r="I22" i="8"/>
  <c r="I24" i="8"/>
  <c r="F175" i="8"/>
  <c r="F224" i="8"/>
  <c r="F227" i="8" s="1"/>
  <c r="G224" i="8"/>
  <c r="G227" i="8" s="1"/>
  <c r="C87" i="1"/>
  <c r="K29" i="1"/>
  <c r="J61" i="1"/>
  <c r="E38" i="23"/>
  <c r="E26" i="23"/>
  <c r="E47" i="23"/>
  <c r="H21" i="8"/>
  <c r="E52" i="29"/>
  <c r="E50" i="29"/>
  <c r="G28" i="29"/>
  <c r="G26" i="29" s="1"/>
  <c r="F36" i="29"/>
  <c r="E27" i="29"/>
  <c r="E40" i="29"/>
  <c r="E42" i="29"/>
  <c r="F27" i="29"/>
  <c r="E60" i="29"/>
  <c r="E61" i="29" s="1"/>
  <c r="F66" i="29"/>
  <c r="F55" i="29"/>
  <c r="E47" i="29"/>
  <c r="E45" i="29"/>
  <c r="E54" i="29"/>
  <c r="E64" i="29"/>
  <c r="J168" i="8"/>
  <c r="J176" i="8"/>
  <c r="J194" i="8"/>
  <c r="J185" i="8"/>
  <c r="J145" i="8"/>
  <c r="J144" i="8"/>
  <c r="J143" i="8"/>
  <c r="J142" i="8"/>
  <c r="J141" i="8"/>
  <c r="J160" i="8"/>
  <c r="I11" i="8"/>
  <c r="G175" i="8"/>
  <c r="G200" i="8"/>
  <c r="G208" i="8" s="1"/>
  <c r="J88" i="1"/>
  <c r="M10" i="24"/>
  <c r="M10" i="23" s="1"/>
  <c r="L18" i="23"/>
  <c r="L17" i="23"/>
  <c r="L24" i="23" s="1"/>
  <c r="J29" i="1"/>
  <c r="J60" i="1"/>
  <c r="J87" i="1"/>
  <c r="N5" i="24"/>
  <c r="M18" i="24"/>
  <c r="M17" i="24"/>
  <c r="M5" i="23"/>
  <c r="K60" i="1"/>
  <c r="K87" i="1"/>
  <c r="G35" i="8"/>
  <c r="G19" i="8"/>
  <c r="K4" i="8"/>
  <c r="J10" i="8"/>
  <c r="E82" i="23"/>
  <c r="E90" i="23"/>
  <c r="E91" i="23" s="1"/>
  <c r="E35" i="23"/>
  <c r="G107" i="8"/>
  <c r="G184" i="8"/>
  <c r="G51" i="8"/>
  <c r="G43" i="8"/>
  <c r="G193" i="8"/>
  <c r="G159" i="8"/>
  <c r="F201" i="8"/>
  <c r="G87" i="8"/>
  <c r="J15" i="8"/>
  <c r="J5" i="8"/>
  <c r="N18" i="25"/>
  <c r="N17" i="25"/>
  <c r="N10" i="25"/>
  <c r="G74" i="8"/>
  <c r="F87" i="8"/>
  <c r="E64" i="23"/>
  <c r="E67" i="23"/>
  <c r="E55" i="23"/>
  <c r="E58" i="23"/>
  <c r="E73" i="23"/>
  <c r="E76" i="23"/>
  <c r="E227" i="8"/>
  <c r="G121" i="8"/>
  <c r="G218" i="8" s="1"/>
  <c r="J7" i="8"/>
  <c r="J6" i="8"/>
  <c r="Q13" i="13"/>
  <c r="R9" i="13"/>
  <c r="R114" i="13" s="1"/>
  <c r="R10" i="13"/>
  <c r="H34" i="8"/>
  <c r="I108" i="8"/>
  <c r="H108" i="8" s="1"/>
  <c r="I26" i="8"/>
  <c r="H42" i="8"/>
  <c r="H50" i="8"/>
  <c r="G204" i="8"/>
  <c r="F204" i="8" s="1"/>
  <c r="I119" i="8"/>
  <c r="I131" i="8"/>
  <c r="I36" i="8"/>
  <c r="I84" i="8"/>
  <c r="I202" i="8"/>
  <c r="E138" i="8"/>
  <c r="E83" i="8"/>
  <c r="J97" i="1" l="1"/>
  <c r="J96" i="1"/>
  <c r="Q30" i="23"/>
  <c r="Q32" i="23" s="1"/>
  <c r="Q27" i="48"/>
  <c r="R25" i="50"/>
  <c r="R83" i="48"/>
  <c r="R59" i="23"/>
  <c r="R39" i="48"/>
  <c r="R42" i="48"/>
  <c r="R44" i="48"/>
  <c r="R47" i="48"/>
  <c r="Q40" i="48"/>
  <c r="Q46" i="50"/>
  <c r="Q69" i="48"/>
  <c r="Q110" i="23"/>
  <c r="Q31" i="48"/>
  <c r="R122" i="23"/>
  <c r="R119" i="23" s="1"/>
  <c r="R35" i="25" s="1"/>
  <c r="R35" i="50"/>
  <c r="S28" i="48"/>
  <c r="S46" i="48"/>
  <c r="S41" i="48"/>
  <c r="S70" i="48"/>
  <c r="S65" i="48"/>
  <c r="T20" i="48"/>
  <c r="S51" i="48"/>
  <c r="S37" i="48"/>
  <c r="S35" i="48" s="1"/>
  <c r="S85" i="48"/>
  <c r="S77" i="48"/>
  <c r="R68" i="48"/>
  <c r="R71" i="48"/>
  <c r="K68" i="8"/>
  <c r="K20" i="8"/>
  <c r="K60" i="8"/>
  <c r="K115" i="8"/>
  <c r="K76" i="8"/>
  <c r="K44" i="8"/>
  <c r="K123" i="8"/>
  <c r="K52" i="8"/>
  <c r="K92" i="8"/>
  <c r="K100" i="8"/>
  <c r="Q68" i="23"/>
  <c r="Q45" i="48"/>
  <c r="Q50" i="48"/>
  <c r="Q77" i="23"/>
  <c r="R48" i="23"/>
  <c r="R49" i="48"/>
  <c r="R52" i="48"/>
  <c r="R33" i="48"/>
  <c r="R26" i="48"/>
  <c r="R29" i="48"/>
  <c r="R63" i="48"/>
  <c r="R55" i="48"/>
  <c r="R66" i="48"/>
  <c r="M20" i="23"/>
  <c r="S32" i="33"/>
  <c r="S45" i="23" s="1"/>
  <c r="S39" i="33"/>
  <c r="T34" i="33"/>
  <c r="U20" i="33"/>
  <c r="U34" i="33" s="1"/>
  <c r="M22" i="23"/>
  <c r="M21" i="23"/>
  <c r="J22" i="8"/>
  <c r="J24" i="8"/>
  <c r="H18" i="8"/>
  <c r="H43" i="8" s="1"/>
  <c r="E44" i="23"/>
  <c r="E13" i="1"/>
  <c r="E14" i="1" s="1"/>
  <c r="H174" i="8"/>
  <c r="H224" i="8" s="1"/>
  <c r="G40" i="30"/>
  <c r="F40" i="30"/>
  <c r="E74" i="23"/>
  <c r="E65" i="23"/>
  <c r="E36" i="23"/>
  <c r="E53" i="23"/>
  <c r="G28" i="23"/>
  <c r="I21" i="8"/>
  <c r="H23" i="8"/>
  <c r="E37" i="33"/>
  <c r="G51" i="29"/>
  <c r="G49" i="29" s="1"/>
  <c r="G75" i="23" s="1"/>
  <c r="G65" i="29"/>
  <c r="G63" i="29" s="1"/>
  <c r="G99" i="23" s="1"/>
  <c r="G83" i="23" s="1"/>
  <c r="E57" i="29"/>
  <c r="E32" i="29"/>
  <c r="G29" i="29"/>
  <c r="G36" i="29"/>
  <c r="G33" i="29"/>
  <c r="G31" i="29" s="1"/>
  <c r="G37" i="23" s="1"/>
  <c r="F32" i="29"/>
  <c r="F64" i="29"/>
  <c r="F54" i="29"/>
  <c r="K194" i="8"/>
  <c r="K160" i="8"/>
  <c r="K143" i="8"/>
  <c r="K168" i="8"/>
  <c r="K185" i="8"/>
  <c r="K142" i="8"/>
  <c r="K141" i="8"/>
  <c r="K176" i="8"/>
  <c r="K145" i="8"/>
  <c r="K144" i="8"/>
  <c r="M18" i="23"/>
  <c r="M17" i="23"/>
  <c r="M24" i="23" s="1"/>
  <c r="G201" i="8"/>
  <c r="N17" i="24"/>
  <c r="N18" i="24"/>
  <c r="L11" i="1"/>
  <c r="N5" i="23"/>
  <c r="L12" i="1"/>
  <c r="L88" i="1" s="1"/>
  <c r="L96" i="1" s="1"/>
  <c r="O5" i="24"/>
  <c r="N10" i="24"/>
  <c r="N10" i="23" s="1"/>
  <c r="J11" i="8"/>
  <c r="L4" i="8"/>
  <c r="K10" i="8"/>
  <c r="K15" i="8"/>
  <c r="H183" i="8"/>
  <c r="G66" i="8"/>
  <c r="H192" i="8"/>
  <c r="H58" i="8"/>
  <c r="G58" i="8"/>
  <c r="F66" i="8"/>
  <c r="F228" i="8"/>
  <c r="F74" i="8"/>
  <c r="K6" i="8"/>
  <c r="K5" i="8"/>
  <c r="O18" i="25"/>
  <c r="O17" i="25"/>
  <c r="O10" i="25"/>
  <c r="E56" i="23"/>
  <c r="E87" i="23"/>
  <c r="E18" i="1" s="1"/>
  <c r="E86" i="8"/>
  <c r="H106" i="8"/>
  <c r="H216" i="8" s="1"/>
  <c r="K7" i="8"/>
  <c r="S10" i="13"/>
  <c r="S9" i="13"/>
  <c r="S114" i="13" s="1"/>
  <c r="R13" i="13"/>
  <c r="J202" i="8"/>
  <c r="J36" i="8"/>
  <c r="J84" i="8"/>
  <c r="H158" i="8"/>
  <c r="H222" i="8" s="1"/>
  <c r="H129" i="8"/>
  <c r="H219" i="8" s="1"/>
  <c r="J119" i="8"/>
  <c r="J108" i="8"/>
  <c r="J131" i="8"/>
  <c r="E139" i="8"/>
  <c r="E146" i="8"/>
  <c r="E149" i="8" s="1"/>
  <c r="L97" i="1" l="1"/>
  <c r="S42" i="48"/>
  <c r="S59" i="23"/>
  <c r="S39" i="48"/>
  <c r="L100" i="8"/>
  <c r="L123" i="8"/>
  <c r="L76" i="8"/>
  <c r="L68" i="8"/>
  <c r="L60" i="8"/>
  <c r="L52" i="8"/>
  <c r="L44" i="8"/>
  <c r="L20" i="8"/>
  <c r="L115" i="8"/>
  <c r="L92" i="8"/>
  <c r="R31" i="48"/>
  <c r="R60" i="48"/>
  <c r="R61" i="48" s="1"/>
  <c r="S122" i="23"/>
  <c r="S119" i="23" s="1"/>
  <c r="S35" i="25" s="1"/>
  <c r="S35" i="50"/>
  <c r="T51" i="48"/>
  <c r="T37" i="48"/>
  <c r="T35" i="48" s="1"/>
  <c r="T41" i="48"/>
  <c r="T28" i="48"/>
  <c r="T70" i="48"/>
  <c r="T85" i="48"/>
  <c r="T46" i="48"/>
  <c r="U20" i="48"/>
  <c r="T65" i="48"/>
  <c r="T77" i="48"/>
  <c r="S44" i="48"/>
  <c r="S47" i="48"/>
  <c r="R40" i="48"/>
  <c r="R30" i="23"/>
  <c r="R32" i="23" s="1"/>
  <c r="R27" i="48"/>
  <c r="S49" i="48"/>
  <c r="S52" i="48"/>
  <c r="R101" i="23"/>
  <c r="R84" i="23" s="1"/>
  <c r="R54" i="48"/>
  <c r="R64" i="48"/>
  <c r="R77" i="23"/>
  <c r="R50" i="48"/>
  <c r="S25" i="50"/>
  <c r="S83" i="48"/>
  <c r="S55" i="48"/>
  <c r="S63" i="48"/>
  <c r="S66" i="48"/>
  <c r="S26" i="48"/>
  <c r="S36" i="48" s="1"/>
  <c r="S33" i="48"/>
  <c r="S29" i="48"/>
  <c r="Q39" i="23"/>
  <c r="Q32" i="48"/>
  <c r="R110" i="23"/>
  <c r="R46" i="50"/>
  <c r="R69" i="48"/>
  <c r="R36" i="48"/>
  <c r="S48" i="23"/>
  <c r="S68" i="48"/>
  <c r="S71" i="48"/>
  <c r="R68" i="23"/>
  <c r="R45" i="48"/>
  <c r="R131" i="23"/>
  <c r="N21" i="23"/>
  <c r="T39" i="33"/>
  <c r="T32" i="33"/>
  <c r="T45" i="23" s="1"/>
  <c r="U32" i="33"/>
  <c r="U45" i="23" s="1"/>
  <c r="U39" i="33"/>
  <c r="N20" i="23"/>
  <c r="N22" i="23"/>
  <c r="H206" i="8"/>
  <c r="G206" i="8" s="1"/>
  <c r="F206" i="8" s="1"/>
  <c r="K24" i="8"/>
  <c r="K22" i="8"/>
  <c r="H51" i="8"/>
  <c r="H175" i="8"/>
  <c r="H203" i="8"/>
  <c r="E20" i="1"/>
  <c r="E19" i="1"/>
  <c r="H166" i="8"/>
  <c r="H223" i="8" s="1"/>
  <c r="H225" i="8"/>
  <c r="H226" i="8"/>
  <c r="L60" i="1"/>
  <c r="I23" i="8"/>
  <c r="F51" i="29"/>
  <c r="F49" i="29" s="1"/>
  <c r="F75" i="23" s="1"/>
  <c r="G50" i="29"/>
  <c r="G52" i="29"/>
  <c r="F46" i="29"/>
  <c r="F44" i="29" s="1"/>
  <c r="F66" i="23" s="1"/>
  <c r="G46" i="29"/>
  <c r="G44" i="29" s="1"/>
  <c r="G66" i="23" s="1"/>
  <c r="G55" i="29"/>
  <c r="G66" i="29"/>
  <c r="E59" i="29"/>
  <c r="E58" i="29"/>
  <c r="E73" i="29"/>
  <c r="G41" i="29"/>
  <c r="G39" i="29" s="1"/>
  <c r="G57" i="23" s="1"/>
  <c r="G27" i="29"/>
  <c r="M12" i="1"/>
  <c r="M30" i="1" s="1"/>
  <c r="L185" i="8"/>
  <c r="L145" i="8"/>
  <c r="L144" i="8"/>
  <c r="L143" i="8"/>
  <c r="L142" i="8"/>
  <c r="L141" i="8"/>
  <c r="L194" i="8"/>
  <c r="L160" i="8"/>
  <c r="L176" i="8"/>
  <c r="L168" i="8"/>
  <c r="N18" i="23"/>
  <c r="N17" i="23"/>
  <c r="N24" i="23" s="1"/>
  <c r="M11" i="1"/>
  <c r="K11" i="8"/>
  <c r="L29" i="1"/>
  <c r="L87" i="1"/>
  <c r="L30" i="1"/>
  <c r="O5" i="23"/>
  <c r="O18" i="24"/>
  <c r="P5" i="24"/>
  <c r="O17" i="24"/>
  <c r="O10" i="24"/>
  <c r="O10" i="23" s="1"/>
  <c r="E95" i="23"/>
  <c r="G75" i="8"/>
  <c r="M4" i="8"/>
  <c r="L10" i="8"/>
  <c r="F67" i="8"/>
  <c r="H59" i="8"/>
  <c r="H74" i="8"/>
  <c r="G82" i="8"/>
  <c r="K119" i="8"/>
  <c r="G85" i="8"/>
  <c r="G59" i="8"/>
  <c r="G228" i="8"/>
  <c r="L5" i="8"/>
  <c r="L15" i="8"/>
  <c r="F58" i="8"/>
  <c r="F85" i="8"/>
  <c r="G129" i="8"/>
  <c r="G219" i="8" s="1"/>
  <c r="P18" i="25"/>
  <c r="P17" i="25"/>
  <c r="P10" i="25"/>
  <c r="G88" i="8"/>
  <c r="E115" i="23"/>
  <c r="E21" i="1" s="1"/>
  <c r="E22" i="1" s="1"/>
  <c r="E89" i="23"/>
  <c r="E88" i="8"/>
  <c r="H107" i="8"/>
  <c r="L7" i="8"/>
  <c r="L6" i="8"/>
  <c r="T10" i="13"/>
  <c r="T9" i="13"/>
  <c r="T114" i="13" s="1"/>
  <c r="S13" i="13"/>
  <c r="K108" i="8"/>
  <c r="K36" i="8"/>
  <c r="K84" i="8"/>
  <c r="K202" i="8"/>
  <c r="Q40" i="23" l="1"/>
  <c r="T47" i="48"/>
  <c r="T44" i="48"/>
  <c r="S54" i="48"/>
  <c r="S101" i="23"/>
  <c r="S84" i="23" s="1"/>
  <c r="S28" i="50"/>
  <c r="S64" i="48"/>
  <c r="T122" i="23"/>
  <c r="T119" i="23" s="1"/>
  <c r="T35" i="25" s="1"/>
  <c r="T35" i="50"/>
  <c r="T25" i="50"/>
  <c r="T83" i="48"/>
  <c r="T48" i="23"/>
  <c r="S40" i="48"/>
  <c r="S68" i="23"/>
  <c r="S45" i="48"/>
  <c r="T42" i="48"/>
  <c r="T39" i="48"/>
  <c r="T59" i="23"/>
  <c r="M100" i="8"/>
  <c r="M123" i="8"/>
  <c r="M76" i="8"/>
  <c r="M68" i="8"/>
  <c r="M60" i="8"/>
  <c r="M52" i="8"/>
  <c r="M44" i="8"/>
  <c r="M20" i="8"/>
  <c r="M115" i="8"/>
  <c r="M92" i="8"/>
  <c r="S110" i="23"/>
  <c r="S46" i="50"/>
  <c r="S69" i="48"/>
  <c r="S31" i="48"/>
  <c r="S60" i="48"/>
  <c r="S61" i="48" s="1"/>
  <c r="T66" i="48"/>
  <c r="T63" i="48"/>
  <c r="T55" i="48"/>
  <c r="T68" i="48"/>
  <c r="T71" i="48"/>
  <c r="T49" i="48"/>
  <c r="T52" i="48"/>
  <c r="R39" i="23"/>
  <c r="R57" i="48"/>
  <c r="R32" i="48"/>
  <c r="S30" i="23"/>
  <c r="S32" i="23" s="1"/>
  <c r="S27" i="48"/>
  <c r="S131" i="23"/>
  <c r="S50" i="48"/>
  <c r="S77" i="23"/>
  <c r="U51" i="48"/>
  <c r="U70" i="48"/>
  <c r="U41" i="48"/>
  <c r="U28" i="48"/>
  <c r="U37" i="48"/>
  <c r="U35" i="48" s="1"/>
  <c r="U85" i="48"/>
  <c r="U46" i="48"/>
  <c r="U65" i="48"/>
  <c r="U77" i="48"/>
  <c r="T26" i="48"/>
  <c r="T36" i="48" s="1"/>
  <c r="T29" i="48"/>
  <c r="T33" i="48"/>
  <c r="T31" i="48" s="1"/>
  <c r="O20" i="23"/>
  <c r="O22" i="23"/>
  <c r="O21" i="23"/>
  <c r="I204" i="8"/>
  <c r="H204" i="8" s="1"/>
  <c r="I206" i="8"/>
  <c r="H167" i="8"/>
  <c r="H227" i="8"/>
  <c r="H228" i="8" s="1"/>
  <c r="M87" i="1"/>
  <c r="L61" i="1"/>
  <c r="M61" i="1"/>
  <c r="J23" i="8"/>
  <c r="G32" i="29"/>
  <c r="G64" i="29"/>
  <c r="G54" i="29"/>
  <c r="G47" i="29"/>
  <c r="G45" i="29"/>
  <c r="F52" i="29"/>
  <c r="F50" i="29"/>
  <c r="F41" i="29"/>
  <c r="F39" i="29" s="1"/>
  <c r="F57" i="23" s="1"/>
  <c r="G42" i="29"/>
  <c r="G40" i="29"/>
  <c r="E74" i="29"/>
  <c r="E79" i="29"/>
  <c r="E75" i="29"/>
  <c r="F45" i="29"/>
  <c r="F47" i="29"/>
  <c r="G60" i="29"/>
  <c r="G61" i="29" s="1"/>
  <c r="M88" i="1"/>
  <c r="M96" i="1" s="1"/>
  <c r="M176" i="8"/>
  <c r="M185" i="8"/>
  <c r="M145" i="8"/>
  <c r="M144" i="8"/>
  <c r="M143" i="8"/>
  <c r="M142" i="8"/>
  <c r="M141" i="8"/>
  <c r="M168" i="8"/>
  <c r="M194" i="8"/>
  <c r="M160" i="8"/>
  <c r="M60" i="1"/>
  <c r="M29" i="1"/>
  <c r="N11" i="1"/>
  <c r="O18" i="23"/>
  <c r="O17" i="23"/>
  <c r="O24" i="23" s="1"/>
  <c r="N12" i="1"/>
  <c r="N30" i="1" s="1"/>
  <c r="P17" i="24"/>
  <c r="Q5" i="24"/>
  <c r="Q5" i="23" s="1"/>
  <c r="P5" i="23"/>
  <c r="P10" i="24"/>
  <c r="P10" i="23" s="1"/>
  <c r="P18" i="24"/>
  <c r="E23" i="1"/>
  <c r="L11" i="8"/>
  <c r="N4" i="8"/>
  <c r="M10" i="8"/>
  <c r="G138" i="8"/>
  <c r="G83" i="8"/>
  <c r="H66" i="8"/>
  <c r="M15" i="8"/>
  <c r="F88" i="8"/>
  <c r="M5" i="8"/>
  <c r="F82" i="8"/>
  <c r="F59" i="8"/>
  <c r="F129" i="8"/>
  <c r="F219" i="8" s="1"/>
  <c r="G130" i="8"/>
  <c r="Q10" i="25"/>
  <c r="Q18" i="25"/>
  <c r="Q17" i="25"/>
  <c r="E124" i="23"/>
  <c r="E117" i="23"/>
  <c r="M7" i="8"/>
  <c r="M6" i="8"/>
  <c r="U10" i="13"/>
  <c r="U9" i="13"/>
  <c r="U114" i="13" s="1"/>
  <c r="T13" i="13"/>
  <c r="L108" i="8"/>
  <c r="L131" i="8"/>
  <c r="K131" i="8" s="1"/>
  <c r="L84" i="8"/>
  <c r="L36" i="8"/>
  <c r="L202" i="8"/>
  <c r="L119" i="8"/>
  <c r="E148" i="8"/>
  <c r="E155" i="8" s="1"/>
  <c r="E133" i="23" s="1"/>
  <c r="M97" i="1" l="1"/>
  <c r="U48" i="23"/>
  <c r="S39" i="23"/>
  <c r="S57" i="48"/>
  <c r="S32" i="48"/>
  <c r="T68" i="23"/>
  <c r="T45" i="48"/>
  <c r="N100" i="8"/>
  <c r="N123" i="8"/>
  <c r="N76" i="8"/>
  <c r="N68" i="8"/>
  <c r="N60" i="8"/>
  <c r="N52" i="8"/>
  <c r="N44" i="8"/>
  <c r="N20" i="8"/>
  <c r="N115" i="8"/>
  <c r="N92" i="8"/>
  <c r="T39" i="23"/>
  <c r="T32" i="48"/>
  <c r="U66" i="48"/>
  <c r="U55" i="48"/>
  <c r="U63" i="48"/>
  <c r="U29" i="48"/>
  <c r="U26" i="48"/>
  <c r="U33" i="48"/>
  <c r="R92" i="23"/>
  <c r="R93" i="23" s="1"/>
  <c r="R40" i="23"/>
  <c r="T110" i="23"/>
  <c r="T69" i="48"/>
  <c r="T46" i="50"/>
  <c r="U47" i="48"/>
  <c r="U44" i="48"/>
  <c r="U39" i="48"/>
  <c r="U59" i="23"/>
  <c r="U42" i="48"/>
  <c r="T60" i="48"/>
  <c r="T61" i="48" s="1"/>
  <c r="T131" i="23"/>
  <c r="U122" i="23"/>
  <c r="U119" i="23" s="1"/>
  <c r="U35" i="25" s="1"/>
  <c r="U35" i="50"/>
  <c r="U49" i="48"/>
  <c r="U52" i="48"/>
  <c r="R58" i="48"/>
  <c r="R73" i="48"/>
  <c r="R23" i="50"/>
  <c r="R59" i="48"/>
  <c r="T30" i="23"/>
  <c r="T32" i="23" s="1"/>
  <c r="T27" i="48"/>
  <c r="U25" i="50"/>
  <c r="U83" i="48"/>
  <c r="U71" i="48"/>
  <c r="U68" i="48"/>
  <c r="T77" i="23"/>
  <c r="T50" i="48"/>
  <c r="T101" i="23"/>
  <c r="T84" i="23" s="1"/>
  <c r="T64" i="48"/>
  <c r="T28" i="50"/>
  <c r="T54" i="48"/>
  <c r="T57" i="48" s="1"/>
  <c r="T40" i="48"/>
  <c r="S31" i="50"/>
  <c r="S33" i="50"/>
  <c r="P20" i="23"/>
  <c r="Q20" i="23" s="1"/>
  <c r="P22" i="23"/>
  <c r="Q22" i="23" s="1"/>
  <c r="P21" i="23"/>
  <c r="Q21" i="23" s="1"/>
  <c r="J206" i="8"/>
  <c r="J204" i="8"/>
  <c r="L22" i="8"/>
  <c r="L24" i="8"/>
  <c r="N61" i="1"/>
  <c r="K23" i="8"/>
  <c r="M24" i="8"/>
  <c r="I205" i="8"/>
  <c r="H205" i="8" s="1"/>
  <c r="H200" i="8" s="1"/>
  <c r="E85" i="29"/>
  <c r="E83" i="29" s="1"/>
  <c r="E130" i="23" s="1"/>
  <c r="E81" i="29"/>
  <c r="E80" i="29"/>
  <c r="F42" i="29"/>
  <c r="F60" i="29"/>
  <c r="F61" i="29" s="1"/>
  <c r="G57" i="29"/>
  <c r="O12" i="1"/>
  <c r="O88" i="1" s="1"/>
  <c r="O96" i="1" s="1"/>
  <c r="N168" i="8"/>
  <c r="N194" i="8"/>
  <c r="N160" i="8"/>
  <c r="N176" i="8"/>
  <c r="N185" i="8"/>
  <c r="N145" i="8"/>
  <c r="N144" i="8"/>
  <c r="N143" i="8"/>
  <c r="N142" i="8"/>
  <c r="N141" i="8"/>
  <c r="O11" i="1"/>
  <c r="N60" i="1"/>
  <c r="N87" i="1"/>
  <c r="N29" i="1"/>
  <c r="Q17" i="23"/>
  <c r="Q18" i="23"/>
  <c r="Q12" i="1" s="1"/>
  <c r="P18" i="23"/>
  <c r="P17" i="23"/>
  <c r="P24" i="23" s="1"/>
  <c r="N88" i="1"/>
  <c r="N96" i="1" s="1"/>
  <c r="Q10" i="24"/>
  <c r="Q10" i="23" s="1"/>
  <c r="R5" i="24"/>
  <c r="R17" i="24" s="1"/>
  <c r="Q18" i="24"/>
  <c r="Q17" i="24"/>
  <c r="G146" i="8"/>
  <c r="G149" i="8" s="1"/>
  <c r="O4" i="8"/>
  <c r="N10" i="8"/>
  <c r="M11" i="8"/>
  <c r="N15" i="8"/>
  <c r="H82" i="8"/>
  <c r="H83" i="8" s="1"/>
  <c r="N5" i="8"/>
  <c r="G139" i="8"/>
  <c r="G111" i="23"/>
  <c r="H67" i="8"/>
  <c r="G67" i="8" s="1"/>
  <c r="F130" i="8"/>
  <c r="F83" i="8"/>
  <c r="F138" i="8"/>
  <c r="E129" i="8"/>
  <c r="E219" i="8" s="1"/>
  <c r="R17" i="25"/>
  <c r="R18" i="25"/>
  <c r="R10" i="25"/>
  <c r="E126" i="23"/>
  <c r="N7" i="8"/>
  <c r="N6" i="8"/>
  <c r="U13" i="13"/>
  <c r="M131" i="8"/>
  <c r="M119" i="8"/>
  <c r="M84" i="8"/>
  <c r="M36" i="8"/>
  <c r="M202" i="8"/>
  <c r="M22" i="8"/>
  <c r="M108" i="8"/>
  <c r="I34" i="8"/>
  <c r="H85" i="8"/>
  <c r="H88" i="8"/>
  <c r="O97" i="1" l="1"/>
  <c r="N97" i="1"/>
  <c r="U40" i="48"/>
  <c r="T31" i="50"/>
  <c r="T33" i="50"/>
  <c r="U77" i="23"/>
  <c r="U50" i="48"/>
  <c r="U60" i="48"/>
  <c r="U61" i="48" s="1"/>
  <c r="U31" i="48"/>
  <c r="O76" i="8"/>
  <c r="O44" i="8"/>
  <c r="O68" i="8"/>
  <c r="O123" i="8"/>
  <c r="O52" i="8"/>
  <c r="O92" i="8"/>
  <c r="O20" i="8"/>
  <c r="O100" i="8"/>
  <c r="O60" i="8"/>
  <c r="O115" i="8"/>
  <c r="U110" i="23"/>
  <c r="U69" i="48"/>
  <c r="U46" i="50"/>
  <c r="R74" i="48"/>
  <c r="R75" i="48"/>
  <c r="R79" i="48"/>
  <c r="U68" i="23"/>
  <c r="U45" i="48"/>
  <c r="U27" i="48"/>
  <c r="U30" i="23"/>
  <c r="U32" i="23" s="1"/>
  <c r="S40" i="23"/>
  <c r="S92" i="23"/>
  <c r="S93" i="23" s="1"/>
  <c r="S23" i="50"/>
  <c r="S27" i="50" s="1"/>
  <c r="S34" i="50" s="1"/>
  <c r="S59" i="48"/>
  <c r="S73" i="48"/>
  <c r="S58" i="48"/>
  <c r="T23" i="50"/>
  <c r="T27" i="50" s="1"/>
  <c r="T73" i="48"/>
  <c r="T58" i="48"/>
  <c r="T59" i="48"/>
  <c r="U131" i="23"/>
  <c r="U101" i="23"/>
  <c r="U84" i="23" s="1"/>
  <c r="U28" i="50"/>
  <c r="U64" i="48"/>
  <c r="U54" i="48"/>
  <c r="T40" i="23"/>
  <c r="T92" i="23"/>
  <c r="T93" i="23" s="1"/>
  <c r="U36" i="48"/>
  <c r="Q24" i="23"/>
  <c r="Q11" i="1"/>
  <c r="Q30" i="1"/>
  <c r="Q61" i="1" s="1"/>
  <c r="Q88" i="1"/>
  <c r="K206" i="8"/>
  <c r="K204" i="8"/>
  <c r="O87" i="1"/>
  <c r="E84" i="29"/>
  <c r="J205" i="8"/>
  <c r="H208" i="8"/>
  <c r="H201" i="8"/>
  <c r="L23" i="8"/>
  <c r="G59" i="29"/>
  <c r="G23" i="31"/>
  <c r="G73" i="29"/>
  <c r="F40" i="29"/>
  <c r="F57" i="29"/>
  <c r="E90" i="29"/>
  <c r="E44" i="33" s="1"/>
  <c r="E42" i="33" s="1"/>
  <c r="O30" i="1"/>
  <c r="O60" i="1"/>
  <c r="O194" i="8"/>
  <c r="O160" i="8"/>
  <c r="O185" i="8"/>
  <c r="O144" i="8"/>
  <c r="O168" i="8"/>
  <c r="O145" i="8"/>
  <c r="O143" i="8"/>
  <c r="O176" i="8"/>
  <c r="O142" i="8"/>
  <c r="O141" i="8"/>
  <c r="O29" i="1"/>
  <c r="P11" i="1"/>
  <c r="G31" i="23"/>
  <c r="L113" i="23"/>
  <c r="G33" i="23"/>
  <c r="G102" i="23"/>
  <c r="G113" i="23"/>
  <c r="L31" i="23"/>
  <c r="L104" i="23"/>
  <c r="G104" i="23"/>
  <c r="L111" i="23"/>
  <c r="P12" i="1"/>
  <c r="S5" i="24"/>
  <c r="S5" i="23" s="1"/>
  <c r="R10" i="24"/>
  <c r="R10" i="23" s="1"/>
  <c r="R5" i="23"/>
  <c r="R20" i="23" s="1"/>
  <c r="R18" i="24"/>
  <c r="F104" i="23"/>
  <c r="F31" i="23"/>
  <c r="F113" i="23"/>
  <c r="F111" i="23"/>
  <c r="F109" i="23"/>
  <c r="F29" i="23"/>
  <c r="F33" i="23"/>
  <c r="F102" i="23"/>
  <c r="F100" i="23"/>
  <c r="N11" i="8"/>
  <c r="P4" i="8"/>
  <c r="O10" i="8"/>
  <c r="H138" i="8"/>
  <c r="H139" i="8" s="1"/>
  <c r="O15" i="8"/>
  <c r="O5" i="8"/>
  <c r="G148" i="8"/>
  <c r="G155" i="8" s="1"/>
  <c r="F139" i="8"/>
  <c r="F146" i="8"/>
  <c r="F149" i="8" s="1"/>
  <c r="E130" i="8"/>
  <c r="S10" i="25"/>
  <c r="S17" i="25"/>
  <c r="S18" i="25"/>
  <c r="O7" i="8"/>
  <c r="O6" i="8"/>
  <c r="N119" i="8"/>
  <c r="J34" i="8"/>
  <c r="N202" i="8"/>
  <c r="N108" i="8"/>
  <c r="N36" i="8"/>
  <c r="N84" i="8"/>
  <c r="N22" i="8"/>
  <c r="E93" i="8"/>
  <c r="E116" i="8"/>
  <c r="E94" i="8"/>
  <c r="F94" i="8" s="1"/>
  <c r="G94" i="8" s="1"/>
  <c r="H94" i="8" s="1"/>
  <c r="E95" i="8"/>
  <c r="F95" i="8" s="1"/>
  <c r="E96" i="8"/>
  <c r="F96" i="8" s="1"/>
  <c r="G96" i="8" s="1"/>
  <c r="H96" i="8" s="1"/>
  <c r="E118" i="8"/>
  <c r="F118" i="8" s="1"/>
  <c r="G118" i="8" s="1"/>
  <c r="H118" i="8" s="1"/>
  <c r="I118" i="8" s="1"/>
  <c r="J118" i="8" s="1"/>
  <c r="K118" i="8" s="1"/>
  <c r="L118" i="8" s="1"/>
  <c r="E117" i="8"/>
  <c r="F117" i="8" s="1"/>
  <c r="G117" i="8" s="1"/>
  <c r="H117" i="8" s="1"/>
  <c r="T34" i="50" l="1"/>
  <c r="T75" i="48"/>
  <c r="T74" i="48"/>
  <c r="T79" i="48"/>
  <c r="R80" i="48"/>
  <c r="R81" i="48"/>
  <c r="R90" i="48"/>
  <c r="R84" i="48"/>
  <c r="U32" i="48"/>
  <c r="U39" i="23"/>
  <c r="U57" i="48"/>
  <c r="S74" i="48"/>
  <c r="S75" i="48"/>
  <c r="S79" i="48"/>
  <c r="P100" i="8"/>
  <c r="P123" i="8"/>
  <c r="P76" i="8"/>
  <c r="P68" i="8"/>
  <c r="P60" i="8"/>
  <c r="P52" i="8"/>
  <c r="P44" i="8"/>
  <c r="P20" i="8"/>
  <c r="P115" i="8"/>
  <c r="P92" i="8"/>
  <c r="U33" i="50"/>
  <c r="U31" i="50"/>
  <c r="Q94" i="1"/>
  <c r="S20" i="23"/>
  <c r="Q60" i="1"/>
  <c r="Q29" i="1"/>
  <c r="Q87" i="1"/>
  <c r="R22" i="23"/>
  <c r="S22" i="23" s="1"/>
  <c r="R21" i="23"/>
  <c r="S21" i="23" s="1"/>
  <c r="Q39" i="8"/>
  <c r="L206" i="8"/>
  <c r="L204" i="8"/>
  <c r="N24" i="8"/>
  <c r="P29" i="1"/>
  <c r="O61" i="1"/>
  <c r="E46" i="33"/>
  <c r="M23" i="8"/>
  <c r="N23" i="8"/>
  <c r="K205" i="8"/>
  <c r="E129" i="30"/>
  <c r="G79" i="29"/>
  <c r="G75" i="29"/>
  <c r="E92" i="29"/>
  <c r="E95" i="29"/>
  <c r="E91" i="29"/>
  <c r="G85" i="29"/>
  <c r="F23" i="31"/>
  <c r="F73" i="29"/>
  <c r="F58" i="29"/>
  <c r="F59" i="29"/>
  <c r="G58" i="29"/>
  <c r="R134" i="23"/>
  <c r="R37" i="25" s="1"/>
  <c r="P185" i="8"/>
  <c r="P145" i="8"/>
  <c r="P144" i="8"/>
  <c r="P143" i="8"/>
  <c r="P142" i="8"/>
  <c r="P141" i="8"/>
  <c r="P176" i="8"/>
  <c r="P194" i="8"/>
  <c r="P160" i="8"/>
  <c r="P168" i="8"/>
  <c r="P60" i="1"/>
  <c r="P87" i="1"/>
  <c r="S18" i="23"/>
  <c r="S17" i="23"/>
  <c r="S24" i="23" s="1"/>
  <c r="R17" i="23"/>
  <c r="R24" i="23" s="1"/>
  <c r="R18" i="23"/>
  <c r="F148" i="8"/>
  <c r="F155" i="8" s="1"/>
  <c r="P88" i="1"/>
  <c r="P96" i="1" s="1"/>
  <c r="P30" i="1"/>
  <c r="T5" i="24"/>
  <c r="T17" i="24" s="1"/>
  <c r="S18" i="24"/>
  <c r="S10" i="24"/>
  <c r="S10" i="23" s="1"/>
  <c r="S17" i="24"/>
  <c r="O11" i="8"/>
  <c r="P15" i="8"/>
  <c r="Q4" i="8"/>
  <c r="P10" i="8"/>
  <c r="H146" i="8"/>
  <c r="H149" i="8" s="1"/>
  <c r="E91" i="8"/>
  <c r="G95" i="8"/>
  <c r="H95" i="8" s="1"/>
  <c r="F91" i="8"/>
  <c r="F93" i="8"/>
  <c r="G93" i="8" s="1"/>
  <c r="P6" i="8"/>
  <c r="E114" i="8"/>
  <c r="P5" i="8"/>
  <c r="F116" i="8"/>
  <c r="I42" i="8"/>
  <c r="I158" i="8"/>
  <c r="T10" i="25"/>
  <c r="T18" i="25"/>
  <c r="T17" i="25"/>
  <c r="I18" i="8"/>
  <c r="I192" i="8"/>
  <c r="I226" i="8" s="1"/>
  <c r="I183" i="8"/>
  <c r="I225" i="8" s="1"/>
  <c r="P7" i="8"/>
  <c r="I86" i="8"/>
  <c r="O119" i="8"/>
  <c r="O202" i="8"/>
  <c r="O84" i="8"/>
  <c r="O36" i="8"/>
  <c r="O34" i="8" s="1"/>
  <c r="M204" i="8"/>
  <c r="O131" i="8"/>
  <c r="N131" i="8" s="1"/>
  <c r="O108" i="8"/>
  <c r="O26" i="8"/>
  <c r="O21" i="8"/>
  <c r="O23" i="8"/>
  <c r="O24" i="8"/>
  <c r="O22" i="8"/>
  <c r="M118" i="8"/>
  <c r="N118" i="8" s="1"/>
  <c r="O118" i="8" s="1"/>
  <c r="H36" i="30" l="1"/>
  <c r="P97" i="1"/>
  <c r="T81" i="48"/>
  <c r="T80" i="48"/>
  <c r="T90" i="48"/>
  <c r="T84" i="48"/>
  <c r="U58" i="48"/>
  <c r="U73" i="48"/>
  <c r="U23" i="50"/>
  <c r="U27" i="50" s="1"/>
  <c r="U34" i="50" s="1"/>
  <c r="U59" i="48"/>
  <c r="R45" i="33"/>
  <c r="R91" i="48"/>
  <c r="R92" i="48"/>
  <c r="S81" i="48"/>
  <c r="S90" i="48"/>
  <c r="S80" i="48"/>
  <c r="S84" i="48"/>
  <c r="U92" i="23"/>
  <c r="U93" i="23" s="1"/>
  <c r="U40" i="23"/>
  <c r="O58" i="8"/>
  <c r="O192" i="8"/>
  <c r="O226" i="8" s="1"/>
  <c r="O158" i="8"/>
  <c r="O222" i="8" s="1"/>
  <c r="O183" i="8"/>
  <c r="O225" i="8" s="1"/>
  <c r="O18" i="8"/>
  <c r="I166" i="8"/>
  <c r="I223" i="8" s="1"/>
  <c r="J80" i="30" s="1"/>
  <c r="I174" i="8"/>
  <c r="I224" i="8" s="1"/>
  <c r="J40" i="30" s="1"/>
  <c r="H93" i="30"/>
  <c r="H40" i="30"/>
  <c r="H47" i="30"/>
  <c r="Y28" i="31"/>
  <c r="AC28" i="31"/>
  <c r="X28" i="31"/>
  <c r="AB28" i="31"/>
  <c r="W28" i="31"/>
  <c r="AA28" i="31"/>
  <c r="V28" i="31"/>
  <c r="Z28" i="31"/>
  <c r="I222" i="8"/>
  <c r="J36" i="30" s="1"/>
  <c r="F214" i="8"/>
  <c r="F54" i="30" s="1"/>
  <c r="E217" i="8"/>
  <c r="E66" i="30" s="1"/>
  <c r="I80" i="30"/>
  <c r="I93" i="30"/>
  <c r="I47" i="30"/>
  <c r="E214" i="8"/>
  <c r="E54" i="30" s="1"/>
  <c r="E43" i="33"/>
  <c r="P61" i="1"/>
  <c r="G74" i="29"/>
  <c r="I70" i="29"/>
  <c r="L205" i="8"/>
  <c r="H70" i="29"/>
  <c r="H28" i="29"/>
  <c r="F75" i="29"/>
  <c r="F74" i="29"/>
  <c r="F79" i="29"/>
  <c r="G81" i="29"/>
  <c r="S41" i="29"/>
  <c r="S39" i="29" s="1"/>
  <c r="S57" i="23" s="1"/>
  <c r="U51" i="29"/>
  <c r="U49" i="29" s="1"/>
  <c r="U75" i="23" s="1"/>
  <c r="R85" i="29"/>
  <c r="S70" i="29"/>
  <c r="S68" i="29" s="1"/>
  <c r="S108" i="23" s="1"/>
  <c r="S28" i="29"/>
  <c r="S26" i="29" s="1"/>
  <c r="S28" i="23" s="1"/>
  <c r="R51" i="29"/>
  <c r="R49" i="29" s="1"/>
  <c r="R75" i="23" s="1"/>
  <c r="T37" i="29"/>
  <c r="T35" i="29" s="1"/>
  <c r="T46" i="23" s="1"/>
  <c r="P70" i="29"/>
  <c r="P68" i="29" s="1"/>
  <c r="P108" i="23" s="1"/>
  <c r="T65" i="29"/>
  <c r="T63" i="29" s="1"/>
  <c r="T85" i="29"/>
  <c r="O70" i="29"/>
  <c r="O68" i="29" s="1"/>
  <c r="O108" i="23" s="1"/>
  <c r="Q70" i="29"/>
  <c r="Q68" i="29" s="1"/>
  <c r="Q108" i="23" s="1"/>
  <c r="T46" i="29"/>
  <c r="T44" i="29" s="1"/>
  <c r="T66" i="23" s="1"/>
  <c r="U37" i="29"/>
  <c r="U35" i="29" s="1"/>
  <c r="U46" i="23" s="1"/>
  <c r="R41" i="29"/>
  <c r="R39" i="29" s="1"/>
  <c r="R57" i="23" s="1"/>
  <c r="R46" i="29"/>
  <c r="R44" i="29" s="1"/>
  <c r="R66" i="23" s="1"/>
  <c r="T41" i="29"/>
  <c r="T39" i="29" s="1"/>
  <c r="T57" i="23" s="1"/>
  <c r="T51" i="29"/>
  <c r="T49" i="29" s="1"/>
  <c r="T75" i="23" s="1"/>
  <c r="J70" i="29"/>
  <c r="J68" i="29" s="1"/>
  <c r="J108" i="23" s="1"/>
  <c r="U28" i="29"/>
  <c r="U26" i="29" s="1"/>
  <c r="U28" i="23" s="1"/>
  <c r="N70" i="29"/>
  <c r="N68" i="29" s="1"/>
  <c r="N108" i="23" s="1"/>
  <c r="K70" i="29"/>
  <c r="K68" i="29" s="1"/>
  <c r="K108" i="23" s="1"/>
  <c r="L70" i="29"/>
  <c r="L68" i="29" s="1"/>
  <c r="L108" i="23" s="1"/>
  <c r="U85" i="29"/>
  <c r="T28" i="29"/>
  <c r="T26" i="29" s="1"/>
  <c r="T28" i="23" s="1"/>
  <c r="M70" i="29"/>
  <c r="M68" i="29" s="1"/>
  <c r="M108" i="23" s="1"/>
  <c r="S51" i="29"/>
  <c r="S49" i="29" s="1"/>
  <c r="S75" i="23" s="1"/>
  <c r="S65" i="29"/>
  <c r="S63" i="29" s="1"/>
  <c r="S37" i="29"/>
  <c r="S35" i="29" s="1"/>
  <c r="S46" i="23" s="1"/>
  <c r="R70" i="29"/>
  <c r="R68" i="29" s="1"/>
  <c r="R108" i="23" s="1"/>
  <c r="U65" i="29"/>
  <c r="U63" i="29" s="1"/>
  <c r="T70" i="29"/>
  <c r="T68" i="29" s="1"/>
  <c r="T108" i="23" s="1"/>
  <c r="U70" i="29"/>
  <c r="U68" i="29" s="1"/>
  <c r="U108" i="23" s="1"/>
  <c r="R65" i="29"/>
  <c r="R63" i="29" s="1"/>
  <c r="R28" i="29"/>
  <c r="R26" i="29" s="1"/>
  <c r="R28" i="23" s="1"/>
  <c r="R37" i="29"/>
  <c r="R35" i="29" s="1"/>
  <c r="R46" i="23" s="1"/>
  <c r="S85" i="29"/>
  <c r="S46" i="29"/>
  <c r="S44" i="29" s="1"/>
  <c r="S66" i="23" s="1"/>
  <c r="U41" i="29"/>
  <c r="U39" i="29" s="1"/>
  <c r="U57" i="23" s="1"/>
  <c r="U46" i="29"/>
  <c r="U44" i="29" s="1"/>
  <c r="U66" i="23" s="1"/>
  <c r="F85" i="29"/>
  <c r="G83" i="29"/>
  <c r="G25" i="31"/>
  <c r="S134" i="23"/>
  <c r="S37" i="25" s="1"/>
  <c r="Q176" i="8"/>
  <c r="Q123" i="8"/>
  <c r="Q76" i="8"/>
  <c r="Q44" i="8"/>
  <c r="Q20" i="8"/>
  <c r="Q168" i="8"/>
  <c r="Q68" i="8"/>
  <c r="Q185" i="8"/>
  <c r="Q145" i="8"/>
  <c r="Q144" i="8"/>
  <c r="Q143" i="8"/>
  <c r="Q142" i="8"/>
  <c r="Q141" i="8"/>
  <c r="Q92" i="8"/>
  <c r="Q52" i="8"/>
  <c r="Q194" i="8"/>
  <c r="Q160" i="8"/>
  <c r="Q100" i="8"/>
  <c r="Q60" i="8"/>
  <c r="Q115" i="8"/>
  <c r="F99" i="8"/>
  <c r="P11" i="8"/>
  <c r="E122" i="8"/>
  <c r="G73" i="23"/>
  <c r="G100" i="23"/>
  <c r="G55" i="23"/>
  <c r="G109" i="23"/>
  <c r="T10" i="24"/>
  <c r="T10" i="23" s="1"/>
  <c r="U5" i="24"/>
  <c r="U10" i="24" s="1"/>
  <c r="U10" i="23" s="1"/>
  <c r="T5" i="23"/>
  <c r="T20" i="23" s="1"/>
  <c r="T18" i="24"/>
  <c r="S178" i="8"/>
  <c r="S16" i="8"/>
  <c r="H93" i="8"/>
  <c r="H91" i="8" s="1"/>
  <c r="Q10" i="8"/>
  <c r="E128" i="23"/>
  <c r="E99" i="8"/>
  <c r="Q7" i="8"/>
  <c r="G91" i="8"/>
  <c r="G214" i="8" s="1"/>
  <c r="F55" i="23"/>
  <c r="Q6" i="8"/>
  <c r="F52" i="23"/>
  <c r="F97" i="23"/>
  <c r="Q5" i="8"/>
  <c r="Q15" i="8"/>
  <c r="G52" i="23"/>
  <c r="F114" i="8"/>
  <c r="F217" i="8" s="1"/>
  <c r="G116" i="8"/>
  <c r="F73" i="23"/>
  <c r="F106" i="23"/>
  <c r="J93" i="30"/>
  <c r="J47" i="30"/>
  <c r="I129" i="8"/>
  <c r="I219" i="8" s="1"/>
  <c r="I117" i="8"/>
  <c r="I106" i="8"/>
  <c r="I216" i="8" s="1"/>
  <c r="I94" i="8"/>
  <c r="U10" i="25"/>
  <c r="U18" i="25"/>
  <c r="U17" i="25"/>
  <c r="I193" i="8"/>
  <c r="H193" i="8" s="1"/>
  <c r="P118" i="8"/>
  <c r="I85" i="8"/>
  <c r="P131" i="8"/>
  <c r="K34" i="8"/>
  <c r="K35" i="8" s="1"/>
  <c r="I43" i="8"/>
  <c r="O166" i="8"/>
  <c r="O223" i="8" s="1"/>
  <c r="O66" i="8"/>
  <c r="O42" i="8"/>
  <c r="O174" i="8"/>
  <c r="O224" i="8" s="1"/>
  <c r="P24" i="8"/>
  <c r="P26" i="8"/>
  <c r="P27" i="8" s="1"/>
  <c r="P21" i="8"/>
  <c r="P22" i="8"/>
  <c r="P23" i="8"/>
  <c r="P36" i="8"/>
  <c r="P84" i="8"/>
  <c r="L34" i="8"/>
  <c r="N204" i="8"/>
  <c r="P202" i="8"/>
  <c r="P119" i="8"/>
  <c r="P108" i="8"/>
  <c r="I36" i="30" l="1"/>
  <c r="I40" i="30"/>
  <c r="H80" i="30"/>
  <c r="T45" i="33"/>
  <c r="T91" i="48"/>
  <c r="T92" i="48"/>
  <c r="T94" i="48"/>
  <c r="U75" i="48"/>
  <c r="U74" i="48"/>
  <c r="U79" i="48"/>
  <c r="S45" i="33"/>
  <c r="S92" i="48"/>
  <c r="S91" i="48"/>
  <c r="S94" i="48"/>
  <c r="T21" i="23"/>
  <c r="P58" i="8"/>
  <c r="Q41" i="29" s="1"/>
  <c r="Q39" i="29" s="1"/>
  <c r="Q57" i="23" s="1"/>
  <c r="T22" i="23"/>
  <c r="P192" i="8"/>
  <c r="P226" i="8" s="1"/>
  <c r="Q93" i="30" s="1"/>
  <c r="P158" i="8"/>
  <c r="P222" i="8" s="1"/>
  <c r="Q36" i="30" s="1"/>
  <c r="S188" i="8"/>
  <c r="I175" i="8"/>
  <c r="I203" i="8"/>
  <c r="I200" i="8" s="1"/>
  <c r="I208" i="8" s="1"/>
  <c r="I167" i="8"/>
  <c r="I227" i="8"/>
  <c r="O227" i="8"/>
  <c r="H214" i="8"/>
  <c r="R99" i="23"/>
  <c r="R83" i="23" s="1"/>
  <c r="S99" i="23"/>
  <c r="S83" i="23" s="1"/>
  <c r="S28" i="31"/>
  <c r="T99" i="23"/>
  <c r="T83" i="23" s="1"/>
  <c r="T28" i="31"/>
  <c r="U99" i="23"/>
  <c r="U83" i="23" s="1"/>
  <c r="U28" i="31"/>
  <c r="M205" i="8"/>
  <c r="N205" i="8"/>
  <c r="N206" i="8"/>
  <c r="M206" i="8" s="1"/>
  <c r="E48" i="33"/>
  <c r="E50" i="33" s="1"/>
  <c r="G84" i="29"/>
  <c r="G130" i="23"/>
  <c r="H52" i="23"/>
  <c r="F43" i="23"/>
  <c r="I52" i="23"/>
  <c r="G43" i="23"/>
  <c r="I68" i="29"/>
  <c r="I108" i="23" s="1"/>
  <c r="I71" i="29"/>
  <c r="H68" i="29"/>
  <c r="H108" i="23" s="1"/>
  <c r="H106" i="23" s="1"/>
  <c r="H71" i="29"/>
  <c r="H26" i="29"/>
  <c r="H33" i="29"/>
  <c r="H29" i="29"/>
  <c r="H35" i="8"/>
  <c r="H27" i="8"/>
  <c r="H19" i="8"/>
  <c r="H75" i="8"/>
  <c r="Y31" i="31"/>
  <c r="Y33" i="31"/>
  <c r="W31" i="31"/>
  <c r="W33" i="31"/>
  <c r="T52" i="29"/>
  <c r="S42" i="29"/>
  <c r="T71" i="29"/>
  <c r="T33" i="29"/>
  <c r="T31" i="29" s="1"/>
  <c r="T37" i="23" s="1"/>
  <c r="T29" i="29"/>
  <c r="T27" i="29"/>
  <c r="L71" i="29"/>
  <c r="R52" i="29"/>
  <c r="S29" i="29"/>
  <c r="S27" i="29"/>
  <c r="S33" i="29"/>
  <c r="S31" i="29" s="1"/>
  <c r="S37" i="23" s="1"/>
  <c r="F81" i="29"/>
  <c r="F80" i="29"/>
  <c r="F25" i="31"/>
  <c r="F83" i="29"/>
  <c r="U42" i="29"/>
  <c r="AB33" i="31"/>
  <c r="AB31" i="31"/>
  <c r="U71" i="29"/>
  <c r="M71" i="29"/>
  <c r="K71" i="29"/>
  <c r="U29" i="29"/>
  <c r="U27" i="29"/>
  <c r="U33" i="29"/>
  <c r="U31" i="29" s="1"/>
  <c r="U37" i="23" s="1"/>
  <c r="Q71" i="29"/>
  <c r="T25" i="31"/>
  <c r="T83" i="29"/>
  <c r="T130" i="23" s="1"/>
  <c r="G90" i="29"/>
  <c r="S47" i="29"/>
  <c r="U55" i="29"/>
  <c r="U66" i="29"/>
  <c r="S55" i="29"/>
  <c r="S66" i="29"/>
  <c r="R47" i="29"/>
  <c r="T47" i="29"/>
  <c r="T66" i="29"/>
  <c r="T55" i="29"/>
  <c r="Z33" i="31"/>
  <c r="Z31" i="31"/>
  <c r="V33" i="31"/>
  <c r="V31" i="31"/>
  <c r="S83" i="29"/>
  <c r="S130" i="23" s="1"/>
  <c r="S25" i="31"/>
  <c r="R66" i="29"/>
  <c r="R55" i="29"/>
  <c r="X33" i="31"/>
  <c r="X31" i="31"/>
  <c r="J71" i="29"/>
  <c r="AA33" i="31"/>
  <c r="AA31" i="31"/>
  <c r="R25" i="31"/>
  <c r="R83" i="29"/>
  <c r="R130" i="23" s="1"/>
  <c r="U47" i="29"/>
  <c r="R33" i="29"/>
  <c r="R31" i="29" s="1"/>
  <c r="R37" i="23" s="1"/>
  <c r="R27" i="29"/>
  <c r="R29" i="29"/>
  <c r="R71" i="29"/>
  <c r="S52" i="29"/>
  <c r="U25" i="31"/>
  <c r="U83" i="29"/>
  <c r="U130" i="23" s="1"/>
  <c r="N71" i="29"/>
  <c r="T42" i="29"/>
  <c r="R42" i="29"/>
  <c r="O71" i="29"/>
  <c r="P71" i="29"/>
  <c r="S71" i="29"/>
  <c r="U52" i="29"/>
  <c r="AC33" i="31"/>
  <c r="AC31" i="31"/>
  <c r="G80" i="29"/>
  <c r="F107" i="23"/>
  <c r="F46" i="25"/>
  <c r="F80" i="1" s="1"/>
  <c r="T134" i="23"/>
  <c r="T37" i="25" s="1"/>
  <c r="U134" i="23"/>
  <c r="U37" i="25" s="1"/>
  <c r="O175" i="8"/>
  <c r="O167" i="8"/>
  <c r="T18" i="23"/>
  <c r="T17" i="23"/>
  <c r="T24" i="23" s="1"/>
  <c r="J35" i="8"/>
  <c r="S37" i="8"/>
  <c r="I27" i="8"/>
  <c r="I35" i="8"/>
  <c r="I19" i="8"/>
  <c r="G97" i="23"/>
  <c r="G38" i="23"/>
  <c r="G29" i="23"/>
  <c r="U18" i="24"/>
  <c r="U5" i="23"/>
  <c r="U20" i="23" s="1"/>
  <c r="V5" i="24"/>
  <c r="V18" i="24" s="1"/>
  <c r="U17" i="24"/>
  <c r="S47" i="8"/>
  <c r="S162" i="8"/>
  <c r="S179" i="8"/>
  <c r="S32" i="8"/>
  <c r="R28" i="8"/>
  <c r="F27" i="8"/>
  <c r="R185" i="8"/>
  <c r="R84" i="8"/>
  <c r="R115" i="8"/>
  <c r="R123" i="8"/>
  <c r="R131" i="8"/>
  <c r="R160" i="8"/>
  <c r="R168" i="8"/>
  <c r="R76" i="8"/>
  <c r="R100" i="8"/>
  <c r="R60" i="8"/>
  <c r="R68" i="8"/>
  <c r="R202" i="8"/>
  <c r="R176" i="8"/>
  <c r="R36" i="8"/>
  <c r="F19" i="8"/>
  <c r="R44" i="8"/>
  <c r="R108" i="8"/>
  <c r="S46" i="8"/>
  <c r="S31" i="8"/>
  <c r="R34" i="8"/>
  <c r="S29" i="8"/>
  <c r="S196" i="8"/>
  <c r="R15" i="8"/>
  <c r="R16" i="8"/>
  <c r="S77" i="8"/>
  <c r="S198" i="8"/>
  <c r="F35" i="8"/>
  <c r="S70" i="8"/>
  <c r="R52" i="8"/>
  <c r="F75" i="8"/>
  <c r="S180" i="8"/>
  <c r="R194" i="8"/>
  <c r="S127" i="8"/>
  <c r="S30" i="8"/>
  <c r="S24" i="8"/>
  <c r="I87" i="8"/>
  <c r="H87" i="8" s="1"/>
  <c r="F98" i="23"/>
  <c r="G54" i="30"/>
  <c r="S119" i="8"/>
  <c r="S80" i="8"/>
  <c r="S39" i="8"/>
  <c r="S170" i="8"/>
  <c r="S125" i="8"/>
  <c r="S22" i="8"/>
  <c r="S40" i="8"/>
  <c r="S15" i="8"/>
  <c r="S164" i="8"/>
  <c r="S126" i="8"/>
  <c r="S135" i="8"/>
  <c r="S78" i="8"/>
  <c r="S134" i="8"/>
  <c r="S187" i="8"/>
  <c r="S48" i="8"/>
  <c r="S111" i="8"/>
  <c r="S38" i="8"/>
  <c r="S23" i="8"/>
  <c r="S79" i="8"/>
  <c r="S172" i="8"/>
  <c r="S118" i="8"/>
  <c r="E19" i="8"/>
  <c r="E27" i="8"/>
  <c r="E75" i="8"/>
  <c r="E35" i="8"/>
  <c r="I95" i="8"/>
  <c r="L35" i="8"/>
  <c r="Q11" i="8"/>
  <c r="H99" i="8"/>
  <c r="G106" i="23"/>
  <c r="G26" i="23"/>
  <c r="G13" i="1" s="1"/>
  <c r="G58" i="23"/>
  <c r="G76" i="23"/>
  <c r="G67" i="23"/>
  <c r="G64" i="23"/>
  <c r="F64" i="23"/>
  <c r="G47" i="23"/>
  <c r="G99" i="8"/>
  <c r="F58" i="23"/>
  <c r="F76" i="23"/>
  <c r="F67" i="23"/>
  <c r="F35" i="23"/>
  <c r="F26" i="23"/>
  <c r="F47" i="23"/>
  <c r="F82" i="23"/>
  <c r="H116" i="8"/>
  <c r="H114" i="8" s="1"/>
  <c r="H217" i="8" s="1"/>
  <c r="G114" i="8"/>
  <c r="G217" i="8" s="1"/>
  <c r="F66" i="30"/>
  <c r="F122" i="8"/>
  <c r="V18" i="25"/>
  <c r="V17" i="25"/>
  <c r="V10" i="25"/>
  <c r="O50" i="8"/>
  <c r="O106" i="8"/>
  <c r="O216" i="8" s="1"/>
  <c r="I107" i="8"/>
  <c r="I130" i="8"/>
  <c r="H130" i="8" s="1"/>
  <c r="E140" i="23"/>
  <c r="E24" i="1" s="1"/>
  <c r="E25" i="1" s="1"/>
  <c r="E129" i="23"/>
  <c r="O193" i="8"/>
  <c r="M34" i="8"/>
  <c r="M35" i="8" s="1"/>
  <c r="P18" i="8"/>
  <c r="O67" i="8"/>
  <c r="O59" i="8"/>
  <c r="O43" i="8"/>
  <c r="Q108" i="8"/>
  <c r="Q95" i="8"/>
  <c r="O203" i="8"/>
  <c r="Q23" i="8"/>
  <c r="Q24" i="8"/>
  <c r="Q26" i="8"/>
  <c r="Q21" i="8"/>
  <c r="Q22" i="8"/>
  <c r="O129" i="8"/>
  <c r="O219" i="8" s="1"/>
  <c r="P174" i="8"/>
  <c r="P224" i="8" s="1"/>
  <c r="Q40" i="30" s="1"/>
  <c r="P42" i="8"/>
  <c r="P166" i="8"/>
  <c r="P223" i="8" s="1"/>
  <c r="Q80" i="30" s="1"/>
  <c r="P66" i="8"/>
  <c r="Q46" i="29" s="1"/>
  <c r="Q44" i="29" s="1"/>
  <c r="Q66" i="23" s="1"/>
  <c r="Q117" i="8"/>
  <c r="Q202" i="8"/>
  <c r="Q118" i="8"/>
  <c r="O206" i="8"/>
  <c r="O205" i="8"/>
  <c r="Q84" i="8"/>
  <c r="Q36" i="8"/>
  <c r="Q34" i="8" s="1"/>
  <c r="Q94" i="8"/>
  <c r="Q119" i="8"/>
  <c r="Q131" i="8"/>
  <c r="S44" i="50" l="1"/>
  <c r="S95" i="48"/>
  <c r="U81" i="48"/>
  <c r="U80" i="48"/>
  <c r="U90" i="48"/>
  <c r="U84" i="48"/>
  <c r="T44" i="50"/>
  <c r="T95" i="48"/>
  <c r="S163" i="8"/>
  <c r="U22" i="23"/>
  <c r="U21" i="23"/>
  <c r="P183" i="8"/>
  <c r="P225" i="8" s="1"/>
  <c r="Q47" i="30" s="1"/>
  <c r="S197" i="8"/>
  <c r="P19" i="8"/>
  <c r="Q28" i="29"/>
  <c r="Q47" i="29" s="1"/>
  <c r="O51" i="8"/>
  <c r="G46" i="25"/>
  <c r="G80" i="1" s="1"/>
  <c r="H46" i="25"/>
  <c r="H80" i="1" s="1"/>
  <c r="F27" i="23"/>
  <c r="F13" i="1"/>
  <c r="F14" i="1" s="1"/>
  <c r="E54" i="33"/>
  <c r="E55" i="33" s="1"/>
  <c r="E49" i="33"/>
  <c r="G44" i="33"/>
  <c r="G42" i="33" s="1"/>
  <c r="G46" i="35" s="1"/>
  <c r="F84" i="29"/>
  <c r="F130" i="23"/>
  <c r="H27" i="29"/>
  <c r="H28" i="23"/>
  <c r="J52" i="23"/>
  <c r="K52" i="23"/>
  <c r="I69" i="29"/>
  <c r="I46" i="31"/>
  <c r="H69" i="29"/>
  <c r="H46" i="31"/>
  <c r="H31" i="29"/>
  <c r="H37" i="23" s="1"/>
  <c r="U50" i="29"/>
  <c r="S50" i="29"/>
  <c r="S45" i="29"/>
  <c r="T40" i="29"/>
  <c r="U45" i="29"/>
  <c r="T45" i="29"/>
  <c r="R40" i="29"/>
  <c r="S40" i="29"/>
  <c r="O46" i="31"/>
  <c r="O69" i="29"/>
  <c r="N46" i="31"/>
  <c r="N69" i="29"/>
  <c r="K46" i="31"/>
  <c r="K69" i="29"/>
  <c r="U46" i="31"/>
  <c r="U69" i="29"/>
  <c r="R60" i="29"/>
  <c r="R61" i="29" s="1"/>
  <c r="Z34" i="31"/>
  <c r="T64" i="29"/>
  <c r="T54" i="29"/>
  <c r="S64" i="29"/>
  <c r="S54" i="29"/>
  <c r="G92" i="29"/>
  <c r="Q46" i="31"/>
  <c r="Q69" i="29"/>
  <c r="F90" i="29"/>
  <c r="T50" i="29"/>
  <c r="R46" i="31"/>
  <c r="R69" i="29"/>
  <c r="J46" i="31"/>
  <c r="J69" i="29"/>
  <c r="R64" i="29"/>
  <c r="R54" i="29"/>
  <c r="U54" i="29"/>
  <c r="U64" i="29"/>
  <c r="M46" i="31"/>
  <c r="M69" i="29"/>
  <c r="S60" i="29"/>
  <c r="S61" i="29" s="1"/>
  <c r="L46" i="31"/>
  <c r="L69" i="29"/>
  <c r="T60" i="29"/>
  <c r="T61" i="29" s="1"/>
  <c r="T46" i="31"/>
  <c r="T69" i="29"/>
  <c r="AC34" i="31"/>
  <c r="S46" i="31"/>
  <c r="S69" i="29"/>
  <c r="P46" i="31"/>
  <c r="P69" i="29"/>
  <c r="AA34" i="31"/>
  <c r="X34" i="31"/>
  <c r="V34" i="31"/>
  <c r="U60" i="29"/>
  <c r="U61" i="29" s="1"/>
  <c r="AB34" i="31"/>
  <c r="W34" i="31"/>
  <c r="Y34" i="31"/>
  <c r="R45" i="29"/>
  <c r="U40" i="29"/>
  <c r="R50" i="29"/>
  <c r="G98" i="23"/>
  <c r="P175" i="8"/>
  <c r="P167" i="8"/>
  <c r="U17" i="23"/>
  <c r="U24" i="23" s="1"/>
  <c r="U18" i="23"/>
  <c r="M31" i="23" s="1"/>
  <c r="M106" i="23"/>
  <c r="M46" i="25" s="1"/>
  <c r="V17" i="24"/>
  <c r="G82" i="23"/>
  <c r="I106" i="23"/>
  <c r="W5" i="24"/>
  <c r="W10" i="24" s="1"/>
  <c r="V10" i="24"/>
  <c r="K106" i="23"/>
  <c r="I96" i="8"/>
  <c r="G107" i="23"/>
  <c r="G27" i="23"/>
  <c r="Q27" i="8"/>
  <c r="Q96" i="8"/>
  <c r="J95" i="8"/>
  <c r="G74" i="23"/>
  <c r="F53" i="23"/>
  <c r="F56" i="23"/>
  <c r="F44" i="23"/>
  <c r="G44" i="23"/>
  <c r="G53" i="23"/>
  <c r="G65" i="23"/>
  <c r="G56" i="23"/>
  <c r="G90" i="23"/>
  <c r="G91" i="23" s="1"/>
  <c r="G35" i="23"/>
  <c r="G36" i="23" s="1"/>
  <c r="F90" i="23"/>
  <c r="F38" i="23"/>
  <c r="F36" i="23"/>
  <c r="F74" i="23"/>
  <c r="F65" i="23"/>
  <c r="J106" i="23"/>
  <c r="I74" i="8"/>
  <c r="O107" i="8"/>
  <c r="G66" i="30"/>
  <c r="G122" i="8"/>
  <c r="F87" i="23"/>
  <c r="H122" i="8"/>
  <c r="W17" i="25"/>
  <c r="W10" i="25"/>
  <c r="W18" i="25"/>
  <c r="P106" i="8"/>
  <c r="P216" i="8" s="1"/>
  <c r="P50" i="8"/>
  <c r="P129" i="8"/>
  <c r="P219" i="8" s="1"/>
  <c r="E142" i="23"/>
  <c r="E145" i="23"/>
  <c r="I228" i="8"/>
  <c r="I66" i="8"/>
  <c r="N34" i="8"/>
  <c r="Q18" i="8"/>
  <c r="Q19" i="8" s="1"/>
  <c r="P43" i="8"/>
  <c r="P59" i="8"/>
  <c r="P67" i="8"/>
  <c r="I201" i="8"/>
  <c r="O200" i="8"/>
  <c r="S63" i="8"/>
  <c r="P206" i="8"/>
  <c r="S206" i="8" s="1"/>
  <c r="Q158" i="8"/>
  <c r="Q222" i="8" s="1"/>
  <c r="Q66" i="8"/>
  <c r="Q174" i="8"/>
  <c r="Q224" i="8" s="1"/>
  <c r="Q42" i="8"/>
  <c r="Q192" i="8"/>
  <c r="Q226" i="8" s="1"/>
  <c r="Q183" i="8"/>
  <c r="Q225" i="8" s="1"/>
  <c r="Q166" i="8"/>
  <c r="Q223" i="8" s="1"/>
  <c r="Q58" i="8"/>
  <c r="S171" i="8"/>
  <c r="P204" i="8"/>
  <c r="O130" i="8"/>
  <c r="S189" i="8"/>
  <c r="P34" i="8"/>
  <c r="P35" i="8" s="1"/>
  <c r="P203" i="8"/>
  <c r="U45" i="33" l="1"/>
  <c r="U94" i="48"/>
  <c r="U91" i="48"/>
  <c r="U92" i="48"/>
  <c r="P227" i="8"/>
  <c r="P228" i="8" s="1"/>
  <c r="P184" i="8"/>
  <c r="O184" i="8" s="1"/>
  <c r="O204" i="8"/>
  <c r="S204" i="8" s="1"/>
  <c r="S34" i="8"/>
  <c r="P51" i="8"/>
  <c r="Q37" i="29"/>
  <c r="Q35" i="29" s="1"/>
  <c r="Q26" i="29"/>
  <c r="Q33" i="29"/>
  <c r="Q42" i="29"/>
  <c r="I46" i="25"/>
  <c r="I80" i="1" s="1"/>
  <c r="K46" i="25"/>
  <c r="K80" i="1" s="1"/>
  <c r="M80" i="1"/>
  <c r="J46" i="25"/>
  <c r="J80" i="1" s="1"/>
  <c r="F18" i="1"/>
  <c r="F20" i="1" s="1"/>
  <c r="G14" i="1"/>
  <c r="Q227" i="8"/>
  <c r="E56" i="33"/>
  <c r="E67" i="33"/>
  <c r="E69" i="33" s="1"/>
  <c r="E59" i="33"/>
  <c r="L52" i="23"/>
  <c r="M52" i="23"/>
  <c r="I111" i="23"/>
  <c r="M104" i="23"/>
  <c r="H33" i="23"/>
  <c r="H109" i="23"/>
  <c r="M113" i="23"/>
  <c r="M111" i="23"/>
  <c r="H111" i="23"/>
  <c r="H107" i="23"/>
  <c r="I113" i="23"/>
  <c r="I31" i="23"/>
  <c r="H113" i="23"/>
  <c r="H104" i="23"/>
  <c r="N31" i="23"/>
  <c r="H31" i="23"/>
  <c r="N104" i="23"/>
  <c r="N113" i="23"/>
  <c r="I109" i="23"/>
  <c r="I104" i="23"/>
  <c r="N111" i="23"/>
  <c r="H32" i="29"/>
  <c r="H46" i="29"/>
  <c r="H51" i="29"/>
  <c r="G91" i="29"/>
  <c r="F44" i="33"/>
  <c r="F42" i="33" s="1"/>
  <c r="F46" i="35" s="1"/>
  <c r="S36" i="29"/>
  <c r="S33" i="31"/>
  <c r="S31" i="31"/>
  <c r="S32" i="29"/>
  <c r="F91" i="29"/>
  <c r="F92" i="29"/>
  <c r="T33" i="31"/>
  <c r="T31" i="31"/>
  <c r="U32" i="29"/>
  <c r="T32" i="29"/>
  <c r="U33" i="31"/>
  <c r="U31" i="31"/>
  <c r="R32" i="29"/>
  <c r="T104" i="23"/>
  <c r="F88" i="23"/>
  <c r="F23" i="25"/>
  <c r="F62" i="1" s="1"/>
  <c r="T102" i="23"/>
  <c r="K113" i="23"/>
  <c r="Q175" i="8"/>
  <c r="Q167" i="8"/>
  <c r="K104" i="23"/>
  <c r="E33" i="23"/>
  <c r="J104" i="23"/>
  <c r="O113" i="23"/>
  <c r="P113" i="23"/>
  <c r="O111" i="23"/>
  <c r="O104" i="23"/>
  <c r="S113" i="23"/>
  <c r="P104" i="23"/>
  <c r="T31" i="23"/>
  <c r="O31" i="23"/>
  <c r="R113" i="23"/>
  <c r="Q104" i="23"/>
  <c r="R33" i="23"/>
  <c r="R102" i="23"/>
  <c r="Q113" i="23"/>
  <c r="E98" i="23"/>
  <c r="R104" i="23"/>
  <c r="E107" i="23"/>
  <c r="Q31" i="23"/>
  <c r="E113" i="23"/>
  <c r="J31" i="23"/>
  <c r="S104" i="23"/>
  <c r="E31" i="23"/>
  <c r="J111" i="23"/>
  <c r="S111" i="23"/>
  <c r="T113" i="23"/>
  <c r="M109" i="23"/>
  <c r="O106" i="23"/>
  <c r="O46" i="25" s="1"/>
  <c r="O109" i="23"/>
  <c r="J109" i="23"/>
  <c r="E141" i="23"/>
  <c r="K109" i="23"/>
  <c r="E125" i="23"/>
  <c r="K111" i="23"/>
  <c r="P111" i="23"/>
  <c r="Q111" i="23"/>
  <c r="E29" i="23"/>
  <c r="E109" i="23"/>
  <c r="J113" i="23"/>
  <c r="S102" i="23"/>
  <c r="E27" i="23"/>
  <c r="S31" i="23"/>
  <c r="N106" i="23"/>
  <c r="N46" i="25" s="1"/>
  <c r="N109" i="23"/>
  <c r="U31" i="23"/>
  <c r="U113" i="23"/>
  <c r="U33" i="23"/>
  <c r="U104" i="23"/>
  <c r="U102" i="23"/>
  <c r="U111" i="23"/>
  <c r="E116" i="23"/>
  <c r="E104" i="23"/>
  <c r="E102" i="23"/>
  <c r="E100" i="23"/>
  <c r="S33" i="23"/>
  <c r="K31" i="23"/>
  <c r="E88" i="23"/>
  <c r="R111" i="23"/>
  <c r="P31" i="23"/>
  <c r="E111" i="23"/>
  <c r="R31" i="23"/>
  <c r="T111" i="23"/>
  <c r="T33" i="23"/>
  <c r="I107" i="23"/>
  <c r="I75" i="8"/>
  <c r="X5" i="24"/>
  <c r="X17" i="24" s="1"/>
  <c r="W18" i="24"/>
  <c r="W17" i="24"/>
  <c r="J96" i="8"/>
  <c r="K95" i="8"/>
  <c r="J107" i="23"/>
  <c r="L109" i="23"/>
  <c r="K107" i="23"/>
  <c r="Q35" i="8"/>
  <c r="N35" i="8"/>
  <c r="O35" i="8"/>
  <c r="I67" i="8"/>
  <c r="G87" i="23"/>
  <c r="F91" i="23"/>
  <c r="L106" i="23"/>
  <c r="F89" i="23"/>
  <c r="F115" i="23"/>
  <c r="F95" i="23"/>
  <c r="E26" i="1"/>
  <c r="X10" i="25"/>
  <c r="X18" i="25"/>
  <c r="X17" i="25"/>
  <c r="Q50" i="8"/>
  <c r="Q51" i="8" s="1"/>
  <c r="Q106" i="8"/>
  <c r="Q216" i="8" s="1"/>
  <c r="Q110" i="8"/>
  <c r="P107" i="8"/>
  <c r="Q129" i="8"/>
  <c r="Q219" i="8" s="1"/>
  <c r="P130" i="8"/>
  <c r="P87" i="8"/>
  <c r="O87" i="8"/>
  <c r="I88" i="8"/>
  <c r="Q184" i="8"/>
  <c r="Q159" i="8"/>
  <c r="P159" i="8" s="1"/>
  <c r="O159" i="8" s="1"/>
  <c r="Q193" i="8"/>
  <c r="P193" i="8" s="1"/>
  <c r="Q43" i="8"/>
  <c r="O88" i="8"/>
  <c r="I58" i="8"/>
  <c r="I50" i="8"/>
  <c r="O74" i="8"/>
  <c r="Q59" i="8"/>
  <c r="O201" i="8"/>
  <c r="Q67" i="8"/>
  <c r="Q206" i="8"/>
  <c r="Q204" i="8"/>
  <c r="Q205" i="8"/>
  <c r="Q203" i="8"/>
  <c r="Q200" i="8" s="1"/>
  <c r="U95" i="48" l="1"/>
  <c r="U44" i="50"/>
  <c r="Q46" i="23"/>
  <c r="Q36" i="29"/>
  <c r="Q28" i="23"/>
  <c r="Q45" i="29"/>
  <c r="Q40" i="29"/>
  <c r="Q31" i="29"/>
  <c r="F19" i="1"/>
  <c r="O80" i="1"/>
  <c r="N80" i="1"/>
  <c r="F116" i="23"/>
  <c r="F21" i="1"/>
  <c r="F22" i="1" s="1"/>
  <c r="G23" i="25"/>
  <c r="G62" i="1" s="1"/>
  <c r="G18" i="1"/>
  <c r="L95" i="8"/>
  <c r="E130" i="34"/>
  <c r="E72" i="33"/>
  <c r="E68" i="33"/>
  <c r="N52" i="23"/>
  <c r="O52" i="23"/>
  <c r="H37" i="29"/>
  <c r="H49" i="29"/>
  <c r="H52" i="29"/>
  <c r="H41" i="29"/>
  <c r="H44" i="29"/>
  <c r="H47" i="29"/>
  <c r="F46" i="33"/>
  <c r="G46" i="33"/>
  <c r="S57" i="29"/>
  <c r="L107" i="23"/>
  <c r="L46" i="25"/>
  <c r="L80" i="1" s="1"/>
  <c r="N107" i="23"/>
  <c r="M107" i="23"/>
  <c r="P109" i="23"/>
  <c r="P106" i="23"/>
  <c r="P46" i="25" s="1"/>
  <c r="Q109" i="23"/>
  <c r="Q106" i="23"/>
  <c r="Q46" i="25" s="1"/>
  <c r="O107" i="23"/>
  <c r="X18" i="24"/>
  <c r="Y5" i="24"/>
  <c r="X10" i="24"/>
  <c r="K96" i="8"/>
  <c r="G95" i="23"/>
  <c r="G88" i="23"/>
  <c r="P205" i="8"/>
  <c r="P200" i="8" s="1"/>
  <c r="G115" i="23"/>
  <c r="G21" i="1" s="1"/>
  <c r="G89" i="23"/>
  <c r="Q130" i="8"/>
  <c r="Q107" i="8"/>
  <c r="F117" i="23"/>
  <c r="Y18" i="25"/>
  <c r="Y17" i="25"/>
  <c r="Y10" i="25"/>
  <c r="I59" i="8"/>
  <c r="I82" i="8"/>
  <c r="I51" i="8"/>
  <c r="Q87" i="8"/>
  <c r="P86" i="8"/>
  <c r="O82" i="8"/>
  <c r="O83" i="8" s="1"/>
  <c r="P74" i="8"/>
  <c r="O85" i="8"/>
  <c r="H86" i="8"/>
  <c r="G86" i="8" s="1"/>
  <c r="F86" i="8" s="1"/>
  <c r="Q201" i="8"/>
  <c r="G22" i="1" l="1"/>
  <c r="P208" i="8"/>
  <c r="P201" i="8"/>
  <c r="Q208" i="8"/>
  <c r="S205" i="8"/>
  <c r="P75" i="8"/>
  <c r="Q51" i="29"/>
  <c r="Q37" i="23"/>
  <c r="Q32" i="29"/>
  <c r="Q80" i="1"/>
  <c r="P80" i="1"/>
  <c r="G20" i="1"/>
  <c r="G19" i="1"/>
  <c r="G23" i="1"/>
  <c r="F23" i="1"/>
  <c r="M95" i="8"/>
  <c r="H45" i="29"/>
  <c r="H66" i="23"/>
  <c r="H50" i="29"/>
  <c r="H75" i="23"/>
  <c r="P52" i="23"/>
  <c r="Q52" i="23"/>
  <c r="H39" i="29"/>
  <c r="H42" i="29"/>
  <c r="H35" i="29"/>
  <c r="H46" i="23" s="1"/>
  <c r="H43" i="23" s="1"/>
  <c r="F43" i="33"/>
  <c r="G43" i="33"/>
  <c r="S23" i="31"/>
  <c r="S27" i="31" s="1"/>
  <c r="S73" i="29"/>
  <c r="S59" i="29"/>
  <c r="S58" i="29"/>
  <c r="U36" i="29"/>
  <c r="U57" i="29"/>
  <c r="Q107" i="23"/>
  <c r="P107" i="23"/>
  <c r="S109" i="23"/>
  <c r="S106" i="23"/>
  <c r="S46" i="25" s="1"/>
  <c r="R109" i="23"/>
  <c r="R106" i="23"/>
  <c r="R46" i="25" s="1"/>
  <c r="L96" i="8"/>
  <c r="Z5" i="24"/>
  <c r="Y17" i="24"/>
  <c r="Y10" i="24"/>
  <c r="Y18" i="24"/>
  <c r="Q228" i="8"/>
  <c r="G116" i="23"/>
  <c r="G117" i="23"/>
  <c r="Z10" i="25"/>
  <c r="Z17" i="25"/>
  <c r="Z18" i="25"/>
  <c r="I83" i="8"/>
  <c r="P82" i="8"/>
  <c r="P83" i="8" s="1"/>
  <c r="Q74" i="8"/>
  <c r="Q75" i="8" s="1"/>
  <c r="P85" i="8"/>
  <c r="O86" i="8"/>
  <c r="Q88" i="8"/>
  <c r="P88" i="8" s="1"/>
  <c r="Q49" i="29" l="1"/>
  <c r="Q52" i="29"/>
  <c r="N95" i="8"/>
  <c r="M96" i="8"/>
  <c r="H40" i="29"/>
  <c r="H57" i="23"/>
  <c r="R52" i="23"/>
  <c r="Q43" i="23"/>
  <c r="S52" i="23"/>
  <c r="H36" i="29"/>
  <c r="U23" i="31"/>
  <c r="U27" i="31" s="1"/>
  <c r="U59" i="29"/>
  <c r="U73" i="29"/>
  <c r="U58" i="29"/>
  <c r="S34" i="31"/>
  <c r="S74" i="29"/>
  <c r="S79" i="29"/>
  <c r="S75" i="29"/>
  <c r="R107" i="23"/>
  <c r="T109" i="23"/>
  <c r="T106" i="23"/>
  <c r="T46" i="25" s="1"/>
  <c r="S107" i="23"/>
  <c r="U109" i="23"/>
  <c r="U106" i="23"/>
  <c r="U46" i="25" s="1"/>
  <c r="AA5" i="24"/>
  <c r="Z10" i="24"/>
  <c r="Z18" i="24"/>
  <c r="Z17" i="24"/>
  <c r="AA17" i="25"/>
  <c r="AA10" i="25"/>
  <c r="AA18" i="25"/>
  <c r="Q85" i="8"/>
  <c r="Q82" i="8"/>
  <c r="Q86" i="8"/>
  <c r="O95" i="8" l="1"/>
  <c r="Q75" i="23"/>
  <c r="Q50" i="29"/>
  <c r="R43" i="23"/>
  <c r="T52" i="23"/>
  <c r="T43" i="23" s="1"/>
  <c r="S43" i="23"/>
  <c r="U52" i="23"/>
  <c r="U43" i="23" s="1"/>
  <c r="U34" i="31"/>
  <c r="S90" i="29"/>
  <c r="S44" i="33" s="1"/>
  <c r="S80" i="29"/>
  <c r="S81" i="29"/>
  <c r="S84" i="29"/>
  <c r="R36" i="29"/>
  <c r="R57" i="29"/>
  <c r="U74" i="29"/>
  <c r="U79" i="29"/>
  <c r="U75" i="29"/>
  <c r="U107" i="23"/>
  <c r="T107" i="23"/>
  <c r="AB5" i="24"/>
  <c r="AA18" i="24"/>
  <c r="AA10" i="24"/>
  <c r="AA17" i="24"/>
  <c r="AB17" i="25"/>
  <c r="AB18" i="25"/>
  <c r="AB10" i="25"/>
  <c r="Q83" i="8"/>
  <c r="S42" i="33" l="1"/>
  <c r="S46" i="35" s="1"/>
  <c r="P95" i="8"/>
  <c r="S103" i="8"/>
  <c r="S56" i="8"/>
  <c r="S55" i="8"/>
  <c r="S104" i="8"/>
  <c r="S46" i="33"/>
  <c r="U90" i="29"/>
  <c r="U44" i="33" s="1"/>
  <c r="U81" i="29"/>
  <c r="U80" i="29"/>
  <c r="U84" i="29"/>
  <c r="S92" i="29"/>
  <c r="S91" i="29"/>
  <c r="S94" i="29"/>
  <c r="R23" i="31"/>
  <c r="R58" i="29"/>
  <c r="R73" i="29"/>
  <c r="R59" i="29"/>
  <c r="T36" i="29"/>
  <c r="T57" i="29"/>
  <c r="AC5" i="24"/>
  <c r="AB10" i="24"/>
  <c r="AB17" i="24"/>
  <c r="AB18" i="24"/>
  <c r="AC18" i="25"/>
  <c r="AC17" i="25"/>
  <c r="AC10" i="25"/>
  <c r="I93" i="8"/>
  <c r="I116" i="8"/>
  <c r="U42" i="33" l="1"/>
  <c r="U46" i="35" s="1"/>
  <c r="S112" i="8"/>
  <c r="N96" i="8"/>
  <c r="O96" i="8" s="1"/>
  <c r="P96" i="8" s="1"/>
  <c r="U46" i="33"/>
  <c r="S43" i="33"/>
  <c r="S26" i="33"/>
  <c r="S40" i="33"/>
  <c r="S30" i="33"/>
  <c r="U92" i="29"/>
  <c r="U91" i="29"/>
  <c r="U94" i="29"/>
  <c r="T23" i="31"/>
  <c r="T27" i="31" s="1"/>
  <c r="T73" i="29"/>
  <c r="T58" i="29"/>
  <c r="T59" i="29"/>
  <c r="S44" i="31"/>
  <c r="S95" i="29"/>
  <c r="R75" i="29"/>
  <c r="R79" i="29"/>
  <c r="R74" i="29"/>
  <c r="AC17" i="24"/>
  <c r="AC10" i="24"/>
  <c r="AC18" i="24"/>
  <c r="J98" i="8"/>
  <c r="J215" i="8" s="1"/>
  <c r="I121" i="8"/>
  <c r="I218" i="8" s="1"/>
  <c r="I98" i="8"/>
  <c r="I91" i="8"/>
  <c r="I214" i="8" s="1"/>
  <c r="I114" i="8"/>
  <c r="I217" i="8" s="1"/>
  <c r="J121" i="8"/>
  <c r="J218" i="8" s="1"/>
  <c r="H66" i="30" l="1"/>
  <c r="I66" i="30"/>
  <c r="H54" i="30"/>
  <c r="I54" i="30"/>
  <c r="I215" i="8"/>
  <c r="I138" i="8"/>
  <c r="S33" i="33"/>
  <c r="K65" i="29"/>
  <c r="H65" i="29"/>
  <c r="U43" i="33"/>
  <c r="S36" i="33"/>
  <c r="S38" i="33" s="1"/>
  <c r="S27" i="33"/>
  <c r="U26" i="33"/>
  <c r="U30" i="33"/>
  <c r="U40" i="33"/>
  <c r="J65" i="29"/>
  <c r="J63" i="29" s="1"/>
  <c r="J99" i="23" s="1"/>
  <c r="J83" i="23" s="1"/>
  <c r="U44" i="31"/>
  <c r="U95" i="29"/>
  <c r="R81" i="29"/>
  <c r="R90" i="29"/>
  <c r="R44" i="33" s="1"/>
  <c r="R42" i="33" s="1"/>
  <c r="R46" i="35" s="1"/>
  <c r="R80" i="29"/>
  <c r="R84" i="29"/>
  <c r="T34" i="31"/>
  <c r="T79" i="29"/>
  <c r="T75" i="29"/>
  <c r="T74" i="29"/>
  <c r="R121" i="8"/>
  <c r="J66" i="30"/>
  <c r="R98" i="8"/>
  <c r="J54" i="30"/>
  <c r="I122" i="8"/>
  <c r="I99" i="8"/>
  <c r="I139" i="8" l="1"/>
  <c r="I146" i="8"/>
  <c r="U33" i="33"/>
  <c r="K63" i="29"/>
  <c r="K99" i="23" s="1"/>
  <c r="K83" i="23" s="1"/>
  <c r="K55" i="29"/>
  <c r="H63" i="29"/>
  <c r="H99" i="23" s="1"/>
  <c r="H55" i="29"/>
  <c r="H60" i="29" s="1"/>
  <c r="H61" i="29" s="1"/>
  <c r="H66" i="29"/>
  <c r="R46" i="33"/>
  <c r="S37" i="33"/>
  <c r="S48" i="33"/>
  <c r="S50" i="33" s="1"/>
  <c r="U27" i="33"/>
  <c r="U36" i="33"/>
  <c r="U38" i="33" s="1"/>
  <c r="J55" i="29"/>
  <c r="J54" i="29"/>
  <c r="T90" i="29"/>
  <c r="T44" i="33" s="1"/>
  <c r="T80" i="29"/>
  <c r="T81" i="29"/>
  <c r="T84" i="29"/>
  <c r="R91" i="29"/>
  <c r="R92" i="29"/>
  <c r="H148" i="8"/>
  <c r="H155" i="8" s="1"/>
  <c r="I159" i="8"/>
  <c r="H159" i="8"/>
  <c r="I184" i="8"/>
  <c r="H184" i="8"/>
  <c r="T42" i="33" l="1"/>
  <c r="T46" i="35" s="1"/>
  <c r="H100" i="23"/>
  <c r="H83" i="23"/>
  <c r="I149" i="8"/>
  <c r="I148" i="8" s="1"/>
  <c r="I155" i="8" s="1"/>
  <c r="H85" i="29" s="1"/>
  <c r="K54" i="29"/>
  <c r="H54" i="29"/>
  <c r="H57" i="29" s="1"/>
  <c r="H64" i="29"/>
  <c r="T46" i="33"/>
  <c r="R43" i="33"/>
  <c r="U48" i="33"/>
  <c r="U50" i="33" s="1"/>
  <c r="U37" i="33"/>
  <c r="R26" i="33"/>
  <c r="R40" i="33"/>
  <c r="R30" i="33"/>
  <c r="S54" i="33"/>
  <c r="S49" i="33"/>
  <c r="S23" i="35"/>
  <c r="T91" i="29"/>
  <c r="T92" i="29"/>
  <c r="T94" i="29"/>
  <c r="J26" i="8"/>
  <c r="K21" i="8"/>
  <c r="K26" i="8"/>
  <c r="L21" i="8"/>
  <c r="E155" i="13"/>
  <c r="E115" i="13" s="1"/>
  <c r="S109" i="8" l="1"/>
  <c r="R33" i="33"/>
  <c r="S56" i="33"/>
  <c r="S59" i="33"/>
  <c r="H23" i="31"/>
  <c r="H59" i="29"/>
  <c r="H58" i="29"/>
  <c r="H73" i="29"/>
  <c r="J27" i="8"/>
  <c r="R26" i="8"/>
  <c r="T43" i="33"/>
  <c r="T26" i="33"/>
  <c r="T40" i="33"/>
  <c r="T30" i="33"/>
  <c r="U49" i="33"/>
  <c r="U54" i="33"/>
  <c r="S55" i="33"/>
  <c r="S67" i="33"/>
  <c r="R36" i="33"/>
  <c r="R38" i="33" s="1"/>
  <c r="R27" i="33"/>
  <c r="U23" i="35"/>
  <c r="H25" i="31"/>
  <c r="T44" i="31"/>
  <c r="T95" i="29"/>
  <c r="K27" i="8"/>
  <c r="K183" i="8"/>
  <c r="K225" i="8" s="1"/>
  <c r="K42" i="8"/>
  <c r="J183" i="8"/>
  <c r="J42" i="8"/>
  <c r="L183" i="8"/>
  <c r="L225" i="8" s="1"/>
  <c r="J18" i="8"/>
  <c r="J192" i="8"/>
  <c r="J158" i="8"/>
  <c r="K192" i="8"/>
  <c r="K226" i="8" s="1"/>
  <c r="K158" i="8"/>
  <c r="K222" i="8" s="1"/>
  <c r="K18" i="8"/>
  <c r="J129" i="8"/>
  <c r="J219" i="8" s="1"/>
  <c r="L26" i="8"/>
  <c r="L27" i="8" s="1"/>
  <c r="L18" i="8"/>
  <c r="R42" i="8" l="1"/>
  <c r="J174" i="8"/>
  <c r="J224" i="8" s="1"/>
  <c r="K40" i="30" s="1"/>
  <c r="J166" i="8"/>
  <c r="J223" i="8" s="1"/>
  <c r="K80" i="30" s="1"/>
  <c r="K174" i="8"/>
  <c r="K224" i="8" s="1"/>
  <c r="L40" i="30" s="1"/>
  <c r="K166" i="8"/>
  <c r="K223" i="8" s="1"/>
  <c r="R192" i="8"/>
  <c r="J226" i="8"/>
  <c r="K93" i="30" s="1"/>
  <c r="R183" i="8"/>
  <c r="J225" i="8"/>
  <c r="K47" i="30" s="1"/>
  <c r="R158" i="8"/>
  <c r="J222" i="8"/>
  <c r="T33" i="33"/>
  <c r="S69" i="33"/>
  <c r="U56" i="33"/>
  <c r="U59" i="33"/>
  <c r="K28" i="29"/>
  <c r="R174" i="8"/>
  <c r="I28" i="29"/>
  <c r="R18" i="8"/>
  <c r="R166" i="8"/>
  <c r="H74" i="29"/>
  <c r="H75" i="29"/>
  <c r="S68" i="33"/>
  <c r="U55" i="33"/>
  <c r="U67" i="33"/>
  <c r="T36" i="33"/>
  <c r="T38" i="33" s="1"/>
  <c r="T27" i="33"/>
  <c r="R48" i="33"/>
  <c r="R50" i="33" s="1"/>
  <c r="R37" i="33"/>
  <c r="M28" i="29"/>
  <c r="M26" i="29" s="1"/>
  <c r="H29" i="23"/>
  <c r="H26" i="23"/>
  <c r="H13" i="1" s="1"/>
  <c r="H14" i="1" s="1"/>
  <c r="L19" i="8"/>
  <c r="K19" i="8"/>
  <c r="J19" i="8"/>
  <c r="L93" i="30"/>
  <c r="M47" i="30"/>
  <c r="L36" i="30"/>
  <c r="K129" i="8"/>
  <c r="K219" i="8" s="1"/>
  <c r="K106" i="8"/>
  <c r="K216" i="8" s="1"/>
  <c r="L106" i="8"/>
  <c r="L216" i="8" s="1"/>
  <c r="J116" i="8"/>
  <c r="J114" i="8" s="1"/>
  <c r="J217" i="8" s="1"/>
  <c r="J117" i="8"/>
  <c r="J93" i="8"/>
  <c r="J94" i="8"/>
  <c r="J106" i="8"/>
  <c r="J216" i="8" s="1"/>
  <c r="J193" i="8"/>
  <c r="J43" i="8"/>
  <c r="J184" i="8"/>
  <c r="J159" i="8"/>
  <c r="K184" i="8"/>
  <c r="J130" i="8"/>
  <c r="J85" i="8"/>
  <c r="K85" i="8"/>
  <c r="K193" i="8"/>
  <c r="K159" i="8"/>
  <c r="M21" i="8"/>
  <c r="M26" i="8"/>
  <c r="L158" i="8"/>
  <c r="L222" i="8" s="1"/>
  <c r="L42" i="8"/>
  <c r="L192" i="8"/>
  <c r="L226" i="8" s="1"/>
  <c r="L85" i="8"/>
  <c r="L129" i="8"/>
  <c r="L219" i="8" s="1"/>
  <c r="K43" i="8"/>
  <c r="L184" i="8"/>
  <c r="L47" i="30" l="1"/>
  <c r="J175" i="8"/>
  <c r="K175" i="8"/>
  <c r="K227" i="8"/>
  <c r="J203" i="8"/>
  <c r="J200" i="8" s="1"/>
  <c r="K203" i="8"/>
  <c r="K200" i="8" s="1"/>
  <c r="J167" i="8"/>
  <c r="L80" i="30"/>
  <c r="K167" i="8"/>
  <c r="J227" i="8"/>
  <c r="K36" i="30"/>
  <c r="M28" i="23"/>
  <c r="U69" i="33"/>
  <c r="K26" i="29"/>
  <c r="K33" i="29"/>
  <c r="R106" i="8"/>
  <c r="K66" i="30"/>
  <c r="R114" i="8"/>
  <c r="S96" i="8"/>
  <c r="S95" i="8"/>
  <c r="R93" i="8"/>
  <c r="I26" i="29"/>
  <c r="I29" i="29"/>
  <c r="I33" i="29"/>
  <c r="I31" i="29" s="1"/>
  <c r="I37" i="23" s="1"/>
  <c r="U68" i="33"/>
  <c r="R54" i="33"/>
  <c r="R49" i="33"/>
  <c r="T37" i="33"/>
  <c r="T48" i="33"/>
  <c r="T50" i="33" s="1"/>
  <c r="R23" i="35"/>
  <c r="M33" i="29"/>
  <c r="M31" i="29" s="1"/>
  <c r="M37" i="23" s="1"/>
  <c r="H53" i="23"/>
  <c r="H27" i="23"/>
  <c r="H38" i="23"/>
  <c r="H35" i="23"/>
  <c r="H36" i="23" s="1"/>
  <c r="M27" i="8"/>
  <c r="K117" i="8"/>
  <c r="L117" i="8" s="1"/>
  <c r="K74" i="8"/>
  <c r="K121" i="8"/>
  <c r="K218" i="8" s="1"/>
  <c r="J107" i="8"/>
  <c r="L107" i="8"/>
  <c r="J74" i="8"/>
  <c r="M36" i="30"/>
  <c r="M93" i="30"/>
  <c r="K107" i="8"/>
  <c r="K98" i="8"/>
  <c r="K215" i="8" s="1"/>
  <c r="K94" i="8"/>
  <c r="J91" i="8"/>
  <c r="J214" i="8" s="1"/>
  <c r="K130" i="8"/>
  <c r="N26" i="8"/>
  <c r="S26" i="8" s="1"/>
  <c r="N21" i="8"/>
  <c r="M18" i="8"/>
  <c r="L193" i="8"/>
  <c r="L43" i="8"/>
  <c r="L159" i="8"/>
  <c r="L130" i="8"/>
  <c r="J122" i="8"/>
  <c r="K93" i="8"/>
  <c r="K116" i="8"/>
  <c r="M26" i="23" l="1"/>
  <c r="M13" i="1" s="1"/>
  <c r="L166" i="8"/>
  <c r="L203" i="8"/>
  <c r="L200" i="8" s="1"/>
  <c r="L201" i="8" s="1"/>
  <c r="L174" i="8"/>
  <c r="K28" i="23"/>
  <c r="I27" i="29"/>
  <c r="I28" i="23"/>
  <c r="R59" i="33"/>
  <c r="R56" i="33"/>
  <c r="K31" i="29"/>
  <c r="K37" i="23" s="1"/>
  <c r="I32" i="29"/>
  <c r="K51" i="29"/>
  <c r="K54" i="30"/>
  <c r="R91" i="8"/>
  <c r="R74" i="8"/>
  <c r="J208" i="8"/>
  <c r="R200" i="8"/>
  <c r="T54" i="33"/>
  <c r="T49" i="33"/>
  <c r="R67" i="33"/>
  <c r="R55" i="33"/>
  <c r="T23" i="35"/>
  <c r="N28" i="29"/>
  <c r="N26" i="29" s="1"/>
  <c r="L51" i="29"/>
  <c r="L49" i="29" s="1"/>
  <c r="L75" i="23" s="1"/>
  <c r="L65" i="29"/>
  <c r="L63" i="29" s="1"/>
  <c r="L99" i="23" s="1"/>
  <c r="L83" i="23" s="1"/>
  <c r="N174" i="8"/>
  <c r="N224" i="8" s="1"/>
  <c r="P40" i="30" s="1"/>
  <c r="K91" i="8"/>
  <c r="K208" i="8"/>
  <c r="H73" i="23"/>
  <c r="H74" i="23" s="1"/>
  <c r="H76" i="23"/>
  <c r="S45" i="8"/>
  <c r="S21" i="8"/>
  <c r="M183" i="8"/>
  <c r="M225" i="8" s="1"/>
  <c r="S62" i="8"/>
  <c r="M19" i="8"/>
  <c r="M166" i="8"/>
  <c r="M223" i="8" s="1"/>
  <c r="M174" i="8"/>
  <c r="M224" i="8" s="1"/>
  <c r="M192" i="8"/>
  <c r="M226" i="8" s="1"/>
  <c r="K201" i="8"/>
  <c r="K75" i="8"/>
  <c r="N27" i="8"/>
  <c r="O27" i="8"/>
  <c r="J75" i="8"/>
  <c r="K87" i="8"/>
  <c r="J87" i="8"/>
  <c r="J99" i="8"/>
  <c r="M106" i="8"/>
  <c r="M216" i="8" s="1"/>
  <c r="M129" i="8"/>
  <c r="M219" i="8" s="1"/>
  <c r="M117" i="8"/>
  <c r="K88" i="8"/>
  <c r="J228" i="8"/>
  <c r="K228" i="8"/>
  <c r="J201" i="8"/>
  <c r="J58" i="8" s="1"/>
  <c r="S132" i="8"/>
  <c r="N183" i="8"/>
  <c r="N225" i="8" s="1"/>
  <c r="P47" i="30" s="1"/>
  <c r="N166" i="8"/>
  <c r="N223" i="8" s="1"/>
  <c r="P80" i="30" s="1"/>
  <c r="S161" i="8"/>
  <c r="N18" i="8"/>
  <c r="P28" i="29" s="1"/>
  <c r="S61" i="8"/>
  <c r="N192" i="8"/>
  <c r="N226" i="8" s="1"/>
  <c r="P93" i="30" s="1"/>
  <c r="S69" i="8"/>
  <c r="M42" i="8"/>
  <c r="M85" i="8"/>
  <c r="M158" i="8"/>
  <c r="M222" i="8" s="1"/>
  <c r="L116" i="8"/>
  <c r="K114" i="8"/>
  <c r="K217" i="8" s="1"/>
  <c r="K58" i="8"/>
  <c r="K50" i="8"/>
  <c r="P26" i="29" l="1"/>
  <c r="Q29" i="29"/>
  <c r="K26" i="23"/>
  <c r="M53" i="23"/>
  <c r="I38" i="23"/>
  <c r="I33" i="23"/>
  <c r="L208" i="8"/>
  <c r="L224" i="8"/>
  <c r="M40" i="30" s="1"/>
  <c r="L175" i="8"/>
  <c r="L223" i="8"/>
  <c r="L167" i="8"/>
  <c r="M203" i="8"/>
  <c r="K99" i="8"/>
  <c r="K214" i="8"/>
  <c r="L54" i="30" s="1"/>
  <c r="M227" i="8"/>
  <c r="N28" i="23"/>
  <c r="N33" i="23" s="1"/>
  <c r="I29" i="23"/>
  <c r="R69" i="33"/>
  <c r="T59" i="33"/>
  <c r="T56" i="33"/>
  <c r="K41" i="29"/>
  <c r="K49" i="29"/>
  <c r="K52" i="29"/>
  <c r="K32" i="29"/>
  <c r="I41" i="29"/>
  <c r="R58" i="8"/>
  <c r="T55" i="33"/>
  <c r="T67" i="33"/>
  <c r="R68" i="33"/>
  <c r="N33" i="29"/>
  <c r="N31" i="29" s="1"/>
  <c r="N37" i="23" s="1"/>
  <c r="N29" i="29"/>
  <c r="O28" i="29"/>
  <c r="M32" i="29"/>
  <c r="L41" i="29"/>
  <c r="L39" i="29" s="1"/>
  <c r="L57" i="23" s="1"/>
  <c r="L55" i="29"/>
  <c r="N40" i="30"/>
  <c r="M175" i="8"/>
  <c r="N80" i="30"/>
  <c r="M167" i="8"/>
  <c r="S18" i="8"/>
  <c r="K38" i="23"/>
  <c r="S186" i="8"/>
  <c r="S192" i="8"/>
  <c r="S183" i="8"/>
  <c r="S174" i="8"/>
  <c r="S53" i="8"/>
  <c r="S177" i="8"/>
  <c r="S166" i="8"/>
  <c r="S195" i="8"/>
  <c r="S169" i="8"/>
  <c r="S54" i="8"/>
  <c r="M43" i="8"/>
  <c r="M184" i="8"/>
  <c r="M193" i="8"/>
  <c r="N93" i="30"/>
  <c r="N47" i="30"/>
  <c r="L66" i="30"/>
  <c r="N19" i="8"/>
  <c r="O19" i="8"/>
  <c r="J88" i="8"/>
  <c r="J66" i="8"/>
  <c r="K66" i="8"/>
  <c r="K82" i="8" s="1"/>
  <c r="L74" i="8"/>
  <c r="O47" i="30"/>
  <c r="O80" i="30"/>
  <c r="N36" i="30"/>
  <c r="O40" i="30"/>
  <c r="O93" i="30"/>
  <c r="M130" i="8"/>
  <c r="N106" i="8"/>
  <c r="N216" i="8" s="1"/>
  <c r="S110" i="8"/>
  <c r="L93" i="8"/>
  <c r="N129" i="8"/>
  <c r="N219" i="8" s="1"/>
  <c r="M107" i="8"/>
  <c r="K59" i="8"/>
  <c r="L50" i="8"/>
  <c r="J59" i="8"/>
  <c r="K51" i="8"/>
  <c r="J50" i="8"/>
  <c r="L37" i="29" s="1"/>
  <c r="L35" i="29" s="1"/>
  <c r="L46" i="23" s="1"/>
  <c r="L43" i="23" s="1"/>
  <c r="M159" i="8"/>
  <c r="L66" i="8"/>
  <c r="L67" i="8" s="1"/>
  <c r="L87" i="8"/>
  <c r="N193" i="8"/>
  <c r="M200" i="8"/>
  <c r="M208" i="8" s="1"/>
  <c r="N158" i="8"/>
  <c r="N203" i="8"/>
  <c r="S203" i="8" s="1"/>
  <c r="N184" i="8"/>
  <c r="N42" i="8"/>
  <c r="N43" i="8" s="1"/>
  <c r="N85" i="8"/>
  <c r="S85" i="8" s="1"/>
  <c r="K122" i="8"/>
  <c r="L98" i="8"/>
  <c r="L215" i="8" s="1"/>
  <c r="L114" i="8"/>
  <c r="M121" i="8"/>
  <c r="M218" i="8" s="1"/>
  <c r="L121" i="8"/>
  <c r="L218" i="8" s="1"/>
  <c r="K86" i="8"/>
  <c r="K53" i="23" l="1"/>
  <c r="P33" i="29"/>
  <c r="P31" i="29" s="1"/>
  <c r="P28" i="23"/>
  <c r="Q33" i="23" s="1"/>
  <c r="Q27" i="29"/>
  <c r="K13" i="1"/>
  <c r="I26" i="23"/>
  <c r="I53" i="23" s="1"/>
  <c r="O26" i="29"/>
  <c r="P27" i="29" s="1"/>
  <c r="P29" i="29"/>
  <c r="M80" i="30"/>
  <c r="L227" i="8"/>
  <c r="L228" i="8" s="1"/>
  <c r="L217" i="8"/>
  <c r="M66" i="30" s="1"/>
  <c r="S158" i="8"/>
  <c r="N222" i="8"/>
  <c r="K50" i="29"/>
  <c r="K75" i="23"/>
  <c r="T69" i="33"/>
  <c r="K39" i="29"/>
  <c r="K42" i="29"/>
  <c r="K37" i="29"/>
  <c r="K46" i="29"/>
  <c r="R66" i="8"/>
  <c r="I46" i="29"/>
  <c r="M46" i="29"/>
  <c r="M44" i="29" s="1"/>
  <c r="I39" i="29"/>
  <c r="I42" i="29"/>
  <c r="R50" i="8"/>
  <c r="T68" i="33"/>
  <c r="M65" i="29"/>
  <c r="M63" i="29" s="1"/>
  <c r="M99" i="23" s="1"/>
  <c r="M83" i="23" s="1"/>
  <c r="L54" i="29"/>
  <c r="O29" i="29"/>
  <c r="O33" i="29"/>
  <c r="O31" i="29" s="1"/>
  <c r="O37" i="23" s="1"/>
  <c r="L46" i="29"/>
  <c r="L44" i="29" s="1"/>
  <c r="L66" i="23" s="1"/>
  <c r="M37" i="29"/>
  <c r="M35" i="29" s="1"/>
  <c r="M46" i="23" s="1"/>
  <c r="M43" i="23" s="1"/>
  <c r="M51" i="29"/>
  <c r="M49" i="29" s="1"/>
  <c r="M75" i="23" s="1"/>
  <c r="L28" i="29"/>
  <c r="L26" i="29" s="1"/>
  <c r="J28" i="29"/>
  <c r="N27" i="29"/>
  <c r="J46" i="29"/>
  <c r="J44" i="29" s="1"/>
  <c r="J66" i="23" s="1"/>
  <c r="J64" i="23" s="1"/>
  <c r="N175" i="8"/>
  <c r="N167" i="8"/>
  <c r="L91" i="8"/>
  <c r="N74" i="8"/>
  <c r="P51" i="29" s="1"/>
  <c r="M38" i="23"/>
  <c r="N26" i="23"/>
  <c r="N13" i="1" s="1"/>
  <c r="N29" i="23"/>
  <c r="H47" i="23"/>
  <c r="H90" i="23"/>
  <c r="H64" i="23"/>
  <c r="H65" i="23" s="1"/>
  <c r="H67" i="23"/>
  <c r="H58" i="23"/>
  <c r="H55" i="23"/>
  <c r="H56" i="23" s="1"/>
  <c r="M93" i="8"/>
  <c r="S106" i="8"/>
  <c r="N117" i="8"/>
  <c r="S133" i="8"/>
  <c r="S42" i="8"/>
  <c r="S129" i="8"/>
  <c r="R129" i="8" s="1"/>
  <c r="M74" i="8"/>
  <c r="L75" i="8"/>
  <c r="K67" i="8"/>
  <c r="J67" i="8"/>
  <c r="N107" i="8"/>
  <c r="N130" i="8"/>
  <c r="M98" i="8"/>
  <c r="M215" i="8" s="1"/>
  <c r="L94" i="8"/>
  <c r="J86" i="8"/>
  <c r="L58" i="8"/>
  <c r="J82" i="8"/>
  <c r="R82" i="8" s="1"/>
  <c r="J51" i="8"/>
  <c r="L51" i="8"/>
  <c r="L88" i="8"/>
  <c r="N159" i="8"/>
  <c r="N200" i="8"/>
  <c r="S64" i="8"/>
  <c r="M201" i="8"/>
  <c r="L86" i="8"/>
  <c r="L122" i="8"/>
  <c r="M116" i="8"/>
  <c r="S124" i="8" s="1"/>
  <c r="P49" i="29" l="1"/>
  <c r="P52" i="29"/>
  <c r="N227" i="8"/>
  <c r="P36" i="30"/>
  <c r="P37" i="23"/>
  <c r="P32" i="29"/>
  <c r="I13" i="1"/>
  <c r="I14" i="1" s="1"/>
  <c r="I27" i="23"/>
  <c r="O36" i="30"/>
  <c r="O28" i="23"/>
  <c r="L214" i="8"/>
  <c r="M54" i="30" s="1"/>
  <c r="L28" i="23"/>
  <c r="I40" i="29"/>
  <c r="I57" i="23"/>
  <c r="K40" i="29"/>
  <c r="K57" i="23"/>
  <c r="M45" i="29"/>
  <c r="M66" i="23"/>
  <c r="M64" i="23" s="1"/>
  <c r="M65" i="23" s="1"/>
  <c r="M47" i="29"/>
  <c r="K44" i="29"/>
  <c r="K47" i="29"/>
  <c r="J26" i="29"/>
  <c r="K29" i="29"/>
  <c r="K35" i="29"/>
  <c r="K46" i="23" s="1"/>
  <c r="K43" i="23" s="1"/>
  <c r="K44" i="23" s="1"/>
  <c r="K60" i="29"/>
  <c r="K61" i="29" s="1"/>
  <c r="I44" i="29"/>
  <c r="I47" i="29"/>
  <c r="M55" i="29"/>
  <c r="O51" i="29"/>
  <c r="O49" i="29" s="1"/>
  <c r="N51" i="29"/>
  <c r="N49" i="29" s="1"/>
  <c r="M66" i="29"/>
  <c r="L42" i="29"/>
  <c r="M41" i="29"/>
  <c r="M39" i="29" s="1"/>
  <c r="M57" i="23" s="1"/>
  <c r="L47" i="29"/>
  <c r="J47" i="29"/>
  <c r="M50" i="29"/>
  <c r="M52" i="29"/>
  <c r="N65" i="29"/>
  <c r="N63" i="29" s="1"/>
  <c r="N99" i="23" s="1"/>
  <c r="N83" i="23" s="1"/>
  <c r="L33" i="29"/>
  <c r="L31" i="29" s="1"/>
  <c r="L37" i="23" s="1"/>
  <c r="L29" i="29"/>
  <c r="L40" i="29"/>
  <c r="M29" i="29"/>
  <c r="L52" i="29"/>
  <c r="J33" i="29"/>
  <c r="J31" i="29" s="1"/>
  <c r="J37" i="23" s="1"/>
  <c r="J29" i="29"/>
  <c r="M54" i="29"/>
  <c r="M64" i="29"/>
  <c r="N32" i="29"/>
  <c r="O27" i="29"/>
  <c r="O75" i="8"/>
  <c r="M75" i="8"/>
  <c r="M91" i="8"/>
  <c r="N93" i="8"/>
  <c r="L99" i="8"/>
  <c r="S200" i="8"/>
  <c r="N208" i="8"/>
  <c r="O208" i="8"/>
  <c r="N75" i="8"/>
  <c r="Q29" i="23"/>
  <c r="Q26" i="23"/>
  <c r="Q13" i="1" s="1"/>
  <c r="M47" i="23"/>
  <c r="M44" i="23"/>
  <c r="N38" i="23"/>
  <c r="M73" i="23"/>
  <c r="M74" i="23" s="1"/>
  <c r="M76" i="23"/>
  <c r="P26" i="23"/>
  <c r="P13" i="1" s="1"/>
  <c r="N27" i="23"/>
  <c r="N53" i="23"/>
  <c r="H91" i="23"/>
  <c r="H44" i="23"/>
  <c r="O117" i="8"/>
  <c r="P117" i="8" s="1"/>
  <c r="S117" i="8" s="1"/>
  <c r="N87" i="8"/>
  <c r="M87" i="8" s="1"/>
  <c r="S87" i="8" s="1"/>
  <c r="N66" i="8"/>
  <c r="P46" i="29" s="1"/>
  <c r="S74" i="8"/>
  <c r="K73" i="23"/>
  <c r="K74" i="23" s="1"/>
  <c r="K76" i="23"/>
  <c r="S71" i="8"/>
  <c r="K83" i="8"/>
  <c r="K138" i="8"/>
  <c r="L82" i="8"/>
  <c r="L138" i="8" s="1"/>
  <c r="M94" i="8"/>
  <c r="J83" i="8"/>
  <c r="J138" i="8"/>
  <c r="R138" i="8" s="1"/>
  <c r="L59" i="8"/>
  <c r="M228" i="8"/>
  <c r="M66" i="8"/>
  <c r="N201" i="8"/>
  <c r="M50" i="8"/>
  <c r="M58" i="8"/>
  <c r="N98" i="8"/>
  <c r="N215" i="8" s="1"/>
  <c r="N121" i="8"/>
  <c r="N218" i="8" s="1"/>
  <c r="M114" i="8"/>
  <c r="M217" i="8" s="1"/>
  <c r="P44" i="29" l="1"/>
  <c r="P47" i="29"/>
  <c r="P75" i="23"/>
  <c r="P50" i="29"/>
  <c r="O29" i="23"/>
  <c r="O26" i="23"/>
  <c r="L29" i="23"/>
  <c r="L26" i="23"/>
  <c r="O38" i="23"/>
  <c r="P29" i="23"/>
  <c r="M214" i="8"/>
  <c r="N54" i="30" s="1"/>
  <c r="M67" i="23"/>
  <c r="K47" i="23"/>
  <c r="M29" i="23"/>
  <c r="K45" i="29"/>
  <c r="K66" i="23"/>
  <c r="K90" i="23" s="1"/>
  <c r="K91" i="23" s="1"/>
  <c r="K27" i="29"/>
  <c r="J28" i="23"/>
  <c r="O50" i="29"/>
  <c r="O75" i="23"/>
  <c r="O76" i="23" s="1"/>
  <c r="I55" i="23"/>
  <c r="I56" i="23" s="1"/>
  <c r="I58" i="23"/>
  <c r="N50" i="29"/>
  <c r="N75" i="23"/>
  <c r="N76" i="23" s="1"/>
  <c r="I45" i="29"/>
  <c r="I66" i="23"/>
  <c r="L38" i="23"/>
  <c r="K36" i="29"/>
  <c r="K57" i="29"/>
  <c r="K59" i="29" s="1"/>
  <c r="N52" i="29"/>
  <c r="O52" i="29"/>
  <c r="O46" i="29"/>
  <c r="O44" i="29" s="1"/>
  <c r="O65" i="29"/>
  <c r="O63" i="29" s="1"/>
  <c r="O99" i="23" s="1"/>
  <c r="O83" i="23" s="1"/>
  <c r="M60" i="29"/>
  <c r="M61" i="29" s="1"/>
  <c r="J45" i="29"/>
  <c r="N41" i="29"/>
  <c r="N39" i="29" s="1"/>
  <c r="N57" i="23" s="1"/>
  <c r="J27" i="29"/>
  <c r="L27" i="29"/>
  <c r="M27" i="29"/>
  <c r="L50" i="29"/>
  <c r="O32" i="29"/>
  <c r="N37" i="29"/>
  <c r="N35" i="29" s="1"/>
  <c r="N46" i="23" s="1"/>
  <c r="N43" i="23" s="1"/>
  <c r="M40" i="29"/>
  <c r="M42" i="29"/>
  <c r="L36" i="29"/>
  <c r="L45" i="29"/>
  <c r="L60" i="29"/>
  <c r="L61" i="29" s="1"/>
  <c r="N55" i="29"/>
  <c r="M36" i="29"/>
  <c r="N46" i="29"/>
  <c r="N44" i="29" s="1"/>
  <c r="N66" i="23" s="1"/>
  <c r="I51" i="29"/>
  <c r="I49" i="29" s="1"/>
  <c r="I75" i="23" s="1"/>
  <c r="J51" i="29"/>
  <c r="J49" i="29" s="1"/>
  <c r="J75" i="23" s="1"/>
  <c r="N67" i="8"/>
  <c r="M99" i="8"/>
  <c r="S101" i="8"/>
  <c r="S102" i="8"/>
  <c r="S29" i="23"/>
  <c r="S26" i="23"/>
  <c r="Q53" i="23"/>
  <c r="Q27" i="23"/>
  <c r="M55" i="23"/>
  <c r="M58" i="23"/>
  <c r="P53" i="23"/>
  <c r="P38" i="23"/>
  <c r="R29" i="23"/>
  <c r="R26" i="23"/>
  <c r="Q35" i="23"/>
  <c r="Q38" i="23"/>
  <c r="H95" i="23"/>
  <c r="L47" i="23"/>
  <c r="K58" i="23"/>
  <c r="K55" i="23"/>
  <c r="K56" i="23" s="1"/>
  <c r="N66" i="30"/>
  <c r="L73" i="23"/>
  <c r="L76" i="23"/>
  <c r="M67" i="8"/>
  <c r="S66" i="8"/>
  <c r="K139" i="8"/>
  <c r="K146" i="8"/>
  <c r="K149" i="8" s="1"/>
  <c r="L83" i="8"/>
  <c r="M59" i="8"/>
  <c r="M51" i="8"/>
  <c r="M82" i="8"/>
  <c r="L139" i="8"/>
  <c r="L146" i="8"/>
  <c r="L149" i="8" s="1"/>
  <c r="J139" i="8"/>
  <c r="J146" i="8"/>
  <c r="R146" i="8" s="1"/>
  <c r="M88" i="8"/>
  <c r="N228" i="8"/>
  <c r="S72" i="8"/>
  <c r="O228" i="8"/>
  <c r="M86" i="8"/>
  <c r="N50" i="8"/>
  <c r="P37" i="29" s="1"/>
  <c r="P35" i="29" s="1"/>
  <c r="N58" i="8"/>
  <c r="P41" i="29" s="1"/>
  <c r="M122" i="8"/>
  <c r="N91" i="8"/>
  <c r="N214" i="8" s="1"/>
  <c r="N116" i="8"/>
  <c r="P39" i="29" l="1"/>
  <c r="P42" i="29"/>
  <c r="P46" i="23"/>
  <c r="P43" i="23" s="1"/>
  <c r="P44" i="23" s="1"/>
  <c r="P36" i="29"/>
  <c r="P66" i="23"/>
  <c r="P45" i="29"/>
  <c r="P33" i="23"/>
  <c r="O33" i="23"/>
  <c r="J33" i="23"/>
  <c r="K33" i="23"/>
  <c r="L33" i="23"/>
  <c r="M33" i="23"/>
  <c r="O53" i="23"/>
  <c r="O13" i="1"/>
  <c r="P27" i="23"/>
  <c r="O27" i="23"/>
  <c r="L44" i="23"/>
  <c r="L13" i="1"/>
  <c r="M27" i="23"/>
  <c r="L74" i="23"/>
  <c r="L53" i="23"/>
  <c r="L27" i="23"/>
  <c r="O73" i="23"/>
  <c r="O74" i="23" s="1"/>
  <c r="N73" i="23"/>
  <c r="N74" i="23" s="1"/>
  <c r="N47" i="23"/>
  <c r="J73" i="23"/>
  <c r="J76" i="23"/>
  <c r="I64" i="23"/>
  <c r="I67" i="23"/>
  <c r="J29" i="23"/>
  <c r="J26" i="23"/>
  <c r="J13" i="1" s="1"/>
  <c r="K29" i="23"/>
  <c r="J67" i="23"/>
  <c r="O45" i="29"/>
  <c r="O66" i="23"/>
  <c r="O67" i="23" s="1"/>
  <c r="J38" i="23"/>
  <c r="I73" i="23"/>
  <c r="I74" i="23" s="1"/>
  <c r="I76" i="23"/>
  <c r="K67" i="23"/>
  <c r="K64" i="23"/>
  <c r="K65" i="23" s="1"/>
  <c r="N44" i="23"/>
  <c r="K73" i="29"/>
  <c r="K23" i="31"/>
  <c r="F53" i="38"/>
  <c r="F35" i="38"/>
  <c r="F44" i="38"/>
  <c r="F26" i="38"/>
  <c r="F14" i="38"/>
  <c r="O55" i="29"/>
  <c r="O66" i="29"/>
  <c r="O47" i="29"/>
  <c r="O41" i="29"/>
  <c r="O39" i="29" s="1"/>
  <c r="I65" i="29"/>
  <c r="M57" i="29"/>
  <c r="J52" i="29"/>
  <c r="J50" i="29"/>
  <c r="N60" i="29"/>
  <c r="N61" i="29" s="1"/>
  <c r="O64" i="29"/>
  <c r="O54" i="29"/>
  <c r="J32" i="29"/>
  <c r="N54" i="29"/>
  <c r="N42" i="29"/>
  <c r="N40" i="29"/>
  <c r="N45" i="29"/>
  <c r="N47" i="29"/>
  <c r="O37" i="29"/>
  <c r="O35" i="29" s="1"/>
  <c r="O46" i="23" s="1"/>
  <c r="O43" i="23" s="1"/>
  <c r="I52" i="29"/>
  <c r="I50" i="29"/>
  <c r="L32" i="29"/>
  <c r="L57" i="29"/>
  <c r="S58" i="8"/>
  <c r="J149" i="8"/>
  <c r="J148" i="8" s="1"/>
  <c r="J155" i="8" s="1"/>
  <c r="N94" i="8"/>
  <c r="O94" i="8" s="1"/>
  <c r="P94" i="8" s="1"/>
  <c r="U29" i="23"/>
  <c r="U26" i="23"/>
  <c r="S53" i="23"/>
  <c r="S27" i="23"/>
  <c r="S50" i="8"/>
  <c r="N64" i="23"/>
  <c r="N65" i="23" s="1"/>
  <c r="N67" i="23"/>
  <c r="N55" i="23"/>
  <c r="N58" i="23"/>
  <c r="T29" i="23"/>
  <c r="T26" i="23"/>
  <c r="Q73" i="23"/>
  <c r="Q74" i="23" s="1"/>
  <c r="Q76" i="23"/>
  <c r="R35" i="23"/>
  <c r="R38" i="23"/>
  <c r="Q36" i="23"/>
  <c r="R27" i="23"/>
  <c r="R53" i="23"/>
  <c r="S35" i="23"/>
  <c r="S38" i="23"/>
  <c r="P76" i="23"/>
  <c r="P73" i="23"/>
  <c r="P74" i="23" s="1"/>
  <c r="M56" i="23"/>
  <c r="L55" i="23"/>
  <c r="L56" i="23" s="1"/>
  <c r="O54" i="30"/>
  <c r="L90" i="23"/>
  <c r="L58" i="23"/>
  <c r="L67" i="23"/>
  <c r="L64" i="23"/>
  <c r="L65" i="23" s="1"/>
  <c r="K148" i="8"/>
  <c r="K155" i="8" s="1"/>
  <c r="O98" i="8"/>
  <c r="N51" i="8"/>
  <c r="N82" i="8"/>
  <c r="S82" i="8" s="1"/>
  <c r="N59" i="8"/>
  <c r="M83" i="8"/>
  <c r="M138" i="8"/>
  <c r="L148" i="8"/>
  <c r="L155" i="8" s="1"/>
  <c r="N99" i="8"/>
  <c r="N88" i="8"/>
  <c r="S88" i="8" s="1"/>
  <c r="N86" i="8"/>
  <c r="S86" i="8" s="1"/>
  <c r="O93" i="8"/>
  <c r="O121" i="8"/>
  <c r="N114" i="8"/>
  <c r="N217" i="8" s="1"/>
  <c r="I65" i="23" l="1"/>
  <c r="N14" i="1"/>
  <c r="L14" i="1"/>
  <c r="J66" i="29"/>
  <c r="K66" i="29"/>
  <c r="P47" i="23"/>
  <c r="P57" i="23"/>
  <c r="P58" i="23" s="1"/>
  <c r="P40" i="29"/>
  <c r="O14" i="1"/>
  <c r="P14" i="1"/>
  <c r="Q14" i="1"/>
  <c r="O218" i="8"/>
  <c r="P65" i="29"/>
  <c r="J14" i="1"/>
  <c r="K14" i="1"/>
  <c r="M14" i="1"/>
  <c r="O215" i="8"/>
  <c r="O138" i="8"/>
  <c r="O64" i="23"/>
  <c r="O65" i="23" s="1"/>
  <c r="J74" i="23"/>
  <c r="O40" i="29"/>
  <c r="O57" i="23"/>
  <c r="O55" i="23" s="1"/>
  <c r="O56" i="23" s="1"/>
  <c r="J27" i="23"/>
  <c r="J53" i="23"/>
  <c r="K27" i="23"/>
  <c r="J65" i="23"/>
  <c r="K75" i="29"/>
  <c r="K85" i="29"/>
  <c r="K25" i="31" s="1"/>
  <c r="I85" i="29"/>
  <c r="I63" i="29"/>
  <c r="K64" i="29" s="1"/>
  <c r="N66" i="29"/>
  <c r="I55" i="29"/>
  <c r="I66" i="29"/>
  <c r="L66" i="29"/>
  <c r="J41" i="29"/>
  <c r="J39" i="29" s="1"/>
  <c r="O42" i="29"/>
  <c r="M73" i="29"/>
  <c r="M58" i="29"/>
  <c r="M59" i="29"/>
  <c r="M23" i="31"/>
  <c r="I37" i="29"/>
  <c r="I35" i="29" s="1"/>
  <c r="I46" i="23" s="1"/>
  <c r="J37" i="29"/>
  <c r="J35" i="29" s="1"/>
  <c r="J46" i="23" s="1"/>
  <c r="M85" i="29"/>
  <c r="L85" i="29"/>
  <c r="L23" i="31"/>
  <c r="L73" i="29"/>
  <c r="L59" i="29"/>
  <c r="O60" i="29"/>
  <c r="O61" i="29" s="1"/>
  <c r="N36" i="29"/>
  <c r="N57" i="29"/>
  <c r="J85" i="29"/>
  <c r="N90" i="23"/>
  <c r="N91" i="23" s="1"/>
  <c r="S94" i="8"/>
  <c r="Q64" i="23"/>
  <c r="Q65" i="23" s="1"/>
  <c r="Q67" i="23"/>
  <c r="O47" i="23"/>
  <c r="O44" i="23"/>
  <c r="U27" i="23"/>
  <c r="U53" i="23"/>
  <c r="R73" i="23"/>
  <c r="R74" i="23" s="1"/>
  <c r="R76" i="23"/>
  <c r="R44" i="23"/>
  <c r="R47" i="23"/>
  <c r="T27" i="23"/>
  <c r="T53" i="23"/>
  <c r="Q58" i="23"/>
  <c r="Q55" i="23"/>
  <c r="Q56" i="23" s="1"/>
  <c r="U35" i="23"/>
  <c r="U38" i="23"/>
  <c r="S64" i="23"/>
  <c r="S65" i="23" s="1"/>
  <c r="S67" i="23"/>
  <c r="S76" i="23"/>
  <c r="S73" i="23"/>
  <c r="S74" i="23" s="1"/>
  <c r="T38" i="23"/>
  <c r="T35" i="23"/>
  <c r="P64" i="23"/>
  <c r="P65" i="23" s="1"/>
  <c r="P67" i="23"/>
  <c r="S36" i="23"/>
  <c r="R36" i="23"/>
  <c r="N56" i="23"/>
  <c r="L91" i="23"/>
  <c r="O66" i="30"/>
  <c r="M139" i="8"/>
  <c r="M146" i="8"/>
  <c r="M149" i="8" s="1"/>
  <c r="N138" i="8"/>
  <c r="N83" i="8"/>
  <c r="N122" i="8"/>
  <c r="O91" i="8"/>
  <c r="O116" i="8"/>
  <c r="L64" i="29" l="1"/>
  <c r="P55" i="23"/>
  <c r="P56" i="23" s="1"/>
  <c r="P63" i="29"/>
  <c r="P55" i="29"/>
  <c r="P60" i="29" s="1"/>
  <c r="P61" i="29" s="1"/>
  <c r="P66" i="29"/>
  <c r="O214" i="8"/>
  <c r="P54" i="30" s="1"/>
  <c r="O146" i="8"/>
  <c r="O149" i="8" s="1"/>
  <c r="O148" i="8" s="1"/>
  <c r="O155" i="8" s="1"/>
  <c r="O139" i="8"/>
  <c r="O58" i="23"/>
  <c r="M75" i="29"/>
  <c r="I54" i="29"/>
  <c r="I99" i="23"/>
  <c r="J43" i="23"/>
  <c r="J47" i="23"/>
  <c r="J40" i="29"/>
  <c r="J57" i="23"/>
  <c r="J90" i="23" s="1"/>
  <c r="I43" i="23"/>
  <c r="I47" i="23"/>
  <c r="I64" i="29"/>
  <c r="N64" i="29"/>
  <c r="J64" i="29"/>
  <c r="I25" i="31"/>
  <c r="J42" i="29"/>
  <c r="M74" i="29"/>
  <c r="O36" i="29"/>
  <c r="O57" i="29"/>
  <c r="J25" i="31"/>
  <c r="I60" i="29"/>
  <c r="I61" i="29" s="1"/>
  <c r="N23" i="31"/>
  <c r="N73" i="29"/>
  <c r="N59" i="29"/>
  <c r="L75" i="29"/>
  <c r="M25" i="31"/>
  <c r="J60" i="29"/>
  <c r="J61" i="29" s="1"/>
  <c r="L25" i="31"/>
  <c r="Q44" i="23"/>
  <c r="Q47" i="23"/>
  <c r="R67" i="23"/>
  <c r="R64" i="23"/>
  <c r="R65" i="23" s="1"/>
  <c r="S55" i="23"/>
  <c r="S58" i="23"/>
  <c r="T36" i="23"/>
  <c r="T44" i="23"/>
  <c r="T47" i="23"/>
  <c r="R55" i="23"/>
  <c r="R58" i="23"/>
  <c r="U73" i="23"/>
  <c r="U74" i="23" s="1"/>
  <c r="U76" i="23"/>
  <c r="U36" i="23"/>
  <c r="T76" i="23"/>
  <c r="T73" i="23"/>
  <c r="T74" i="23" s="1"/>
  <c r="N95" i="23"/>
  <c r="U64" i="23"/>
  <c r="U65" i="23" s="1"/>
  <c r="U67" i="23"/>
  <c r="L95" i="23"/>
  <c r="M148" i="8"/>
  <c r="M155" i="8" s="1"/>
  <c r="P98" i="8"/>
  <c r="S98" i="8" s="1"/>
  <c r="N146" i="8"/>
  <c r="N139" i="8"/>
  <c r="O99" i="8"/>
  <c r="P93" i="8"/>
  <c r="O114" i="8"/>
  <c r="P121" i="8"/>
  <c r="K100" i="23" l="1"/>
  <c r="L100" i="23"/>
  <c r="J100" i="23"/>
  <c r="I83" i="23"/>
  <c r="I90" i="23" s="1"/>
  <c r="P218" i="8"/>
  <c r="Q65" i="29"/>
  <c r="S121" i="8"/>
  <c r="O217" i="8"/>
  <c r="P66" i="30" s="1"/>
  <c r="P99" i="23"/>
  <c r="P83" i="23" s="1"/>
  <c r="P54" i="29"/>
  <c r="P57" i="29" s="1"/>
  <c r="P64" i="29"/>
  <c r="P215" i="8"/>
  <c r="P138" i="8"/>
  <c r="S138" i="8" s="1"/>
  <c r="J91" i="23"/>
  <c r="I100" i="23"/>
  <c r="J58" i="23"/>
  <c r="J55" i="23"/>
  <c r="J56" i="23" s="1"/>
  <c r="J44" i="23"/>
  <c r="I44" i="23"/>
  <c r="J36" i="29"/>
  <c r="J57" i="29"/>
  <c r="O59" i="29"/>
  <c r="O58" i="29"/>
  <c r="O73" i="29"/>
  <c r="O23" i="31"/>
  <c r="N85" i="29"/>
  <c r="N75" i="29"/>
  <c r="I36" i="29"/>
  <c r="I57" i="29"/>
  <c r="N149" i="8"/>
  <c r="N148" i="8" s="1"/>
  <c r="N155" i="8" s="1"/>
  <c r="P85" i="29" s="1"/>
  <c r="P25" i="31" s="1"/>
  <c r="S44" i="23"/>
  <c r="S47" i="23"/>
  <c r="U58" i="23"/>
  <c r="U55" i="23"/>
  <c r="U56" i="23" s="1"/>
  <c r="R56" i="23"/>
  <c r="T67" i="23"/>
  <c r="T64" i="23"/>
  <c r="T65" i="23" s="1"/>
  <c r="T55" i="23"/>
  <c r="T56" i="23" s="1"/>
  <c r="T58" i="23"/>
  <c r="S56" i="23"/>
  <c r="O122" i="8"/>
  <c r="Q98" i="8"/>
  <c r="Q93" i="8"/>
  <c r="Q91" i="8" s="1"/>
  <c r="Q214" i="8" s="1"/>
  <c r="P91" i="8"/>
  <c r="P116" i="8"/>
  <c r="Q63" i="29" l="1"/>
  <c r="Q55" i="29"/>
  <c r="Q60" i="29" s="1"/>
  <c r="Q61" i="29" s="1"/>
  <c r="Q66" i="29"/>
  <c r="Q121" i="8"/>
  <c r="Q218" i="8" s="1"/>
  <c r="S116" i="8"/>
  <c r="P114" i="8"/>
  <c r="P214" i="8"/>
  <c r="Q54" i="30" s="1"/>
  <c r="S91" i="8"/>
  <c r="P100" i="23"/>
  <c r="P90" i="23"/>
  <c r="P91" i="23" s="1"/>
  <c r="P59" i="29"/>
  <c r="P58" i="29"/>
  <c r="P73" i="29"/>
  <c r="P23" i="31"/>
  <c r="P139" i="8"/>
  <c r="P146" i="8"/>
  <c r="Q215" i="8"/>
  <c r="K58" i="29"/>
  <c r="I91" i="23"/>
  <c r="N58" i="29"/>
  <c r="N25" i="31"/>
  <c r="O85" i="29"/>
  <c r="O74" i="29"/>
  <c r="O75" i="29"/>
  <c r="J23" i="31"/>
  <c r="J58" i="29"/>
  <c r="J73" i="29"/>
  <c r="J59" i="29"/>
  <c r="I23" i="31"/>
  <c r="I59" i="29"/>
  <c r="I73" i="29"/>
  <c r="I58" i="29"/>
  <c r="L58" i="29"/>
  <c r="U47" i="23"/>
  <c r="U44" i="23"/>
  <c r="R97" i="23"/>
  <c r="R90" i="23"/>
  <c r="R91" i="23" s="1"/>
  <c r="R100" i="23"/>
  <c r="P99" i="8"/>
  <c r="Q99" i="8"/>
  <c r="Q116" i="8"/>
  <c r="Q114" i="8" s="1"/>
  <c r="Q217" i="8" s="1"/>
  <c r="Q138" i="8" l="1"/>
  <c r="Q139" i="8" s="1"/>
  <c r="Q99" i="23"/>
  <c r="Q83" i="23" s="1"/>
  <c r="Q64" i="29"/>
  <c r="Q54" i="29"/>
  <c r="Q57" i="29" s="1"/>
  <c r="P149" i="8"/>
  <c r="P148" i="8" s="1"/>
  <c r="P155" i="8" s="1"/>
  <c r="Q85" i="29" s="1"/>
  <c r="S146" i="8"/>
  <c r="P217" i="8"/>
  <c r="Q66" i="30" s="1"/>
  <c r="S114" i="8"/>
  <c r="P122" i="8"/>
  <c r="P74" i="29"/>
  <c r="P75" i="29"/>
  <c r="J95" i="23"/>
  <c r="N74" i="29"/>
  <c r="K74" i="29"/>
  <c r="I95" i="23"/>
  <c r="F50" i="2"/>
  <c r="F32" i="2"/>
  <c r="F23" i="2"/>
  <c r="F41" i="2"/>
  <c r="J75" i="29"/>
  <c r="J74" i="29"/>
  <c r="I75" i="29"/>
  <c r="I74" i="29"/>
  <c r="L74" i="29"/>
  <c r="O25" i="31"/>
  <c r="R98" i="23"/>
  <c r="R82" i="23"/>
  <c r="R87" i="23" s="1"/>
  <c r="R23" i="25" s="1"/>
  <c r="Q122" i="8"/>
  <c r="Q146" i="8" l="1"/>
  <c r="Q149" i="8" s="1"/>
  <c r="Q148" i="8" s="1"/>
  <c r="Q155" i="8" s="1"/>
  <c r="Q59" i="29"/>
  <c r="Q73" i="29"/>
  <c r="Q23" i="31"/>
  <c r="Q58" i="29"/>
  <c r="Q25" i="31"/>
  <c r="P95" i="23"/>
  <c r="T97" i="23"/>
  <c r="T28" i="25" s="1"/>
  <c r="T90" i="23"/>
  <c r="T91" i="23" s="1"/>
  <c r="T100" i="23"/>
  <c r="R95" i="23"/>
  <c r="R115" i="23"/>
  <c r="R88" i="23"/>
  <c r="R89" i="23"/>
  <c r="T33" i="25" l="1"/>
  <c r="T31" i="25"/>
  <c r="Q74" i="29"/>
  <c r="Q75" i="29"/>
  <c r="M100" i="23"/>
  <c r="N100" i="23"/>
  <c r="M90" i="23"/>
  <c r="M91" i="23" s="1"/>
  <c r="R117" i="23"/>
  <c r="R116" i="23"/>
  <c r="T98" i="23"/>
  <c r="T82" i="23"/>
  <c r="T87" i="23" s="1"/>
  <c r="T23" i="25" s="1"/>
  <c r="K95" i="23"/>
  <c r="O100" i="23" l="1"/>
  <c r="O90" i="23"/>
  <c r="O91" i="23" s="1"/>
  <c r="T89" i="23"/>
  <c r="T95" i="23"/>
  <c r="T115" i="23"/>
  <c r="T88" i="23"/>
  <c r="M95" i="23"/>
  <c r="T117" i="23" l="1"/>
  <c r="T116" i="23"/>
  <c r="O95" i="23" l="1"/>
  <c r="Q90" i="23"/>
  <c r="Q91" i="23" s="1"/>
  <c r="Q100" i="23"/>
  <c r="Q95" i="23" l="1"/>
  <c r="S100" i="23"/>
  <c r="S97" i="23"/>
  <c r="S28" i="25" s="1"/>
  <c r="S90" i="23"/>
  <c r="S91" i="23" s="1"/>
  <c r="S31" i="25" l="1"/>
  <c r="S33" i="25"/>
  <c r="S98" i="23"/>
  <c r="S82" i="23"/>
  <c r="S87" i="23" s="1"/>
  <c r="S23" i="25" s="1"/>
  <c r="S89" i="23" l="1"/>
  <c r="S88" i="23"/>
  <c r="S95" i="23"/>
  <c r="S115" i="23"/>
  <c r="U90" i="23"/>
  <c r="U91" i="23" s="1"/>
  <c r="U97" i="23"/>
  <c r="U28" i="25" s="1"/>
  <c r="U100" i="23"/>
  <c r="U33" i="25" l="1"/>
  <c r="U31" i="25"/>
  <c r="S116" i="23"/>
  <c r="S117" i="23"/>
  <c r="U82" i="23"/>
  <c r="U87" i="23" s="1"/>
  <c r="U23" i="25" s="1"/>
  <c r="U98" i="23"/>
  <c r="U89" i="23" l="1"/>
  <c r="U95" i="23"/>
  <c r="U115" i="23"/>
  <c r="U88" i="23"/>
  <c r="U116" i="23" l="1"/>
  <c r="U117" i="23"/>
  <c r="E94" i="20" l="1"/>
  <c r="D13" i="53" s="1"/>
  <c r="E95" i="20"/>
  <c r="E96" i="20"/>
  <c r="E97" i="20"/>
  <c r="E98" i="20"/>
  <c r="E99" i="20"/>
  <c r="E102" i="20"/>
  <c r="E103" i="20"/>
  <c r="E104" i="20"/>
  <c r="E105" i="20"/>
  <c r="E106" i="20"/>
  <c r="C107" i="20"/>
  <c r="E110" i="20"/>
  <c r="E111" i="20"/>
  <c r="E112" i="20"/>
  <c r="E113" i="20"/>
  <c r="E114" i="20"/>
  <c r="E115" i="20"/>
  <c r="E116" i="20"/>
  <c r="E117" i="20"/>
  <c r="E119" i="20" l="1"/>
  <c r="J92" i="46"/>
  <c r="K108" i="46" s="1"/>
  <c r="I92" i="46"/>
  <c r="H92" i="46"/>
  <c r="I103" i="46" s="1"/>
  <c r="I104" i="46" s="1"/>
  <c r="I98" i="46" s="1"/>
  <c r="I65" i="48" s="1"/>
  <c r="H65" i="49"/>
  <c r="L65" i="49"/>
  <c r="P65" i="49"/>
  <c r="G65" i="49"/>
  <c r="K65" i="49"/>
  <c r="O65" i="49"/>
  <c r="E65" i="49"/>
  <c r="J65" i="49"/>
  <c r="N65" i="49"/>
  <c r="F65" i="49"/>
  <c r="I65" i="49"/>
  <c r="M65" i="49"/>
  <c r="Q65" i="49"/>
  <c r="O104" i="49"/>
  <c r="N104" i="49"/>
  <c r="M104" i="49"/>
  <c r="H104" i="49"/>
  <c r="J104" i="49"/>
  <c r="G104" i="49"/>
  <c r="L104" i="49"/>
  <c r="F104" i="49"/>
  <c r="K104" i="49"/>
  <c r="P104" i="49"/>
  <c r="I104" i="49"/>
  <c r="E104" i="49"/>
  <c r="Q104" i="49"/>
  <c r="M89" i="49"/>
  <c r="H89" i="49"/>
  <c r="N89" i="49"/>
  <c r="G89" i="49"/>
  <c r="L89" i="49"/>
  <c r="J89" i="49"/>
  <c r="K89" i="49"/>
  <c r="P89" i="49"/>
  <c r="I89" i="49"/>
  <c r="O89" i="49"/>
  <c r="E89" i="49"/>
  <c r="Q89" i="49"/>
  <c r="F89" i="49"/>
  <c r="I57" i="49"/>
  <c r="J57" i="49"/>
  <c r="H57" i="49"/>
  <c r="M57" i="49"/>
  <c r="N57" i="49"/>
  <c r="G57" i="49"/>
  <c r="Q57" i="49"/>
  <c r="K57" i="49"/>
  <c r="O57" i="49"/>
  <c r="P57" i="49"/>
  <c r="E57" i="49"/>
  <c r="F57" i="49"/>
  <c r="L57" i="49"/>
  <c r="N39" i="49"/>
  <c r="L39" i="49"/>
  <c r="M39" i="49"/>
  <c r="G39" i="49"/>
  <c r="K39" i="49"/>
  <c r="Q39" i="49"/>
  <c r="O39" i="49"/>
  <c r="F39" i="49"/>
  <c r="H39" i="49"/>
  <c r="E39" i="49"/>
  <c r="J39" i="49"/>
  <c r="P39" i="49"/>
  <c r="I39" i="49"/>
  <c r="L92" i="49"/>
  <c r="P92" i="49"/>
  <c r="G92" i="49"/>
  <c r="E92" i="49"/>
  <c r="F92" i="49"/>
  <c r="K92" i="49"/>
  <c r="Q92" i="49"/>
  <c r="J92" i="49"/>
  <c r="O92" i="49"/>
  <c r="M92" i="49"/>
  <c r="N92" i="49"/>
  <c r="H92" i="49"/>
  <c r="I92" i="49"/>
  <c r="E79" i="49"/>
  <c r="J79" i="49"/>
  <c r="K79" i="49"/>
  <c r="Q79" i="49"/>
  <c r="N79" i="49"/>
  <c r="O79" i="49"/>
  <c r="H79" i="49"/>
  <c r="M79" i="49"/>
  <c r="L79" i="49"/>
  <c r="P79" i="49"/>
  <c r="I79" i="49"/>
  <c r="F79" i="49"/>
  <c r="G79" i="49"/>
  <c r="H61" i="49"/>
  <c r="M61" i="49"/>
  <c r="K61" i="49"/>
  <c r="L61" i="49"/>
  <c r="Q61" i="49"/>
  <c r="J61" i="49"/>
  <c r="P61" i="49"/>
  <c r="F61" i="49"/>
  <c r="E61" i="49"/>
  <c r="G61" i="49"/>
  <c r="N61" i="49"/>
  <c r="I61" i="49"/>
  <c r="O61" i="49"/>
  <c r="M43" i="49"/>
  <c r="P43" i="49"/>
  <c r="Q43" i="49"/>
  <c r="N43" i="49"/>
  <c r="K43" i="49"/>
  <c r="J43" i="49"/>
  <c r="E43" i="49"/>
  <c r="G43" i="49"/>
  <c r="H43" i="49"/>
  <c r="I43" i="49"/>
  <c r="O43" i="49"/>
  <c r="L43" i="49"/>
  <c r="F43" i="49"/>
  <c r="J26" i="49"/>
  <c r="P26" i="49"/>
  <c r="F26" i="49"/>
  <c r="E26" i="49"/>
  <c r="O26" i="49"/>
  <c r="N26" i="49"/>
  <c r="I26" i="49"/>
  <c r="K26" i="49"/>
  <c r="H26" i="49"/>
  <c r="M26" i="49"/>
  <c r="G26" i="49"/>
  <c r="L26" i="49"/>
  <c r="Q26" i="49"/>
  <c r="E96" i="49"/>
  <c r="F96" i="49"/>
  <c r="H96" i="49"/>
  <c r="I96" i="49"/>
  <c r="J96" i="49"/>
  <c r="P96" i="49"/>
  <c r="M96" i="49"/>
  <c r="N96" i="49"/>
  <c r="G96" i="49"/>
  <c r="Q96" i="49"/>
  <c r="K96" i="49"/>
  <c r="O96" i="49"/>
  <c r="L96" i="49"/>
  <c r="N83" i="49"/>
  <c r="M83" i="49"/>
  <c r="G83" i="49"/>
  <c r="K83" i="49"/>
  <c r="Q83" i="49"/>
  <c r="O83" i="49"/>
  <c r="F83" i="49"/>
  <c r="P83" i="49"/>
  <c r="E83" i="49"/>
  <c r="J83" i="49"/>
  <c r="L83" i="49"/>
  <c r="I83" i="49"/>
  <c r="H83" i="49"/>
  <c r="O46" i="49"/>
  <c r="E46" i="49"/>
  <c r="Q46" i="49"/>
  <c r="N46" i="49"/>
  <c r="M46" i="49"/>
  <c r="H46" i="49"/>
  <c r="J46" i="49"/>
  <c r="G46" i="49"/>
  <c r="L46" i="49"/>
  <c r="F46" i="49"/>
  <c r="K46" i="49"/>
  <c r="P46" i="49"/>
  <c r="I46" i="49"/>
  <c r="O31" i="49"/>
  <c r="I31" i="49"/>
  <c r="M31" i="49"/>
  <c r="N31" i="49"/>
  <c r="Q31" i="49"/>
  <c r="H31" i="49"/>
  <c r="J31" i="49"/>
  <c r="G31" i="49"/>
  <c r="L31" i="49"/>
  <c r="F31" i="49"/>
  <c r="K31" i="49"/>
  <c r="P31" i="49"/>
  <c r="E31" i="49"/>
  <c r="N100" i="49"/>
  <c r="K100" i="49"/>
  <c r="H100" i="49"/>
  <c r="M100" i="49"/>
  <c r="G100" i="49"/>
  <c r="L100" i="49"/>
  <c r="Q100" i="49"/>
  <c r="J100" i="49"/>
  <c r="P100" i="49"/>
  <c r="F100" i="49"/>
  <c r="E100" i="49"/>
  <c r="O100" i="49"/>
  <c r="I100" i="49"/>
  <c r="J86" i="49"/>
  <c r="E86" i="49"/>
  <c r="K86" i="49"/>
  <c r="H86" i="49"/>
  <c r="I86" i="49"/>
  <c r="G86" i="49"/>
  <c r="L86" i="49"/>
  <c r="M86" i="49"/>
  <c r="F86" i="49"/>
  <c r="P86" i="49"/>
  <c r="Q86" i="49"/>
  <c r="N86" i="49"/>
  <c r="O86" i="49"/>
  <c r="O69" i="49"/>
  <c r="M69" i="49"/>
  <c r="Q69" i="49"/>
  <c r="H69" i="49"/>
  <c r="F69" i="49"/>
  <c r="G69" i="49"/>
  <c r="L69" i="49"/>
  <c r="N69" i="49"/>
  <c r="K69" i="49"/>
  <c r="P69" i="49"/>
  <c r="E69" i="49"/>
  <c r="I69" i="49"/>
  <c r="J69" i="49"/>
  <c r="J53" i="49"/>
  <c r="O53" i="49"/>
  <c r="E53" i="49"/>
  <c r="N53" i="49"/>
  <c r="H53" i="49"/>
  <c r="L53" i="49"/>
  <c r="Q53" i="49"/>
  <c r="P53" i="49"/>
  <c r="G53" i="49"/>
  <c r="M53" i="49"/>
  <c r="F53" i="49"/>
  <c r="K53" i="49"/>
  <c r="I53" i="49"/>
  <c r="J35" i="49"/>
  <c r="N35" i="49"/>
  <c r="O35" i="49"/>
  <c r="H35" i="49"/>
  <c r="E35" i="49"/>
  <c r="L35" i="49"/>
  <c r="P35" i="49"/>
  <c r="Q35" i="49"/>
  <c r="F35" i="49"/>
  <c r="G35" i="49"/>
  <c r="M35" i="49"/>
  <c r="K35" i="49"/>
  <c r="I35" i="49"/>
  <c r="E101" i="20"/>
  <c r="C108" i="20"/>
  <c r="E107" i="20"/>
  <c r="E120" i="20"/>
  <c r="E121" i="20"/>
  <c r="C122" i="20"/>
  <c r="C125" i="20" s="1"/>
  <c r="D122" i="20"/>
  <c r="D125" i="20" s="1"/>
  <c r="D132" i="20" s="1"/>
  <c r="D267" i="20" s="1"/>
  <c r="E123" i="20"/>
  <c r="E124" i="20"/>
  <c r="E126" i="20"/>
  <c r="E127" i="20"/>
  <c r="E128" i="20"/>
  <c r="D263" i="20" s="1"/>
  <c r="D38" i="20" s="1"/>
  <c r="E129" i="20"/>
  <c r="E130" i="20"/>
  <c r="E131" i="20"/>
  <c r="C133" i="20"/>
  <c r="E139" i="20"/>
  <c r="E140" i="20"/>
  <c r="E141" i="20"/>
  <c r="E142" i="20"/>
  <c r="E143" i="20"/>
  <c r="E144" i="20"/>
  <c r="E147" i="20"/>
  <c r="E148" i="20"/>
  <c r="E149" i="20"/>
  <c r="E150" i="20"/>
  <c r="E151" i="20"/>
  <c r="C152" i="20"/>
  <c r="J108" i="46" l="1"/>
  <c r="J106" i="46" s="1"/>
  <c r="J216" i="46" s="1"/>
  <c r="E122" i="20"/>
  <c r="E125" i="20" s="1"/>
  <c r="L113" i="49"/>
  <c r="D133" i="20"/>
  <c r="I55" i="48"/>
  <c r="I63" i="48"/>
  <c r="I101" i="23" s="1"/>
  <c r="I97" i="23" s="1"/>
  <c r="R98" i="46"/>
  <c r="H65" i="48"/>
  <c r="I66" i="48" s="1"/>
  <c r="I215" i="46"/>
  <c r="J65" i="48"/>
  <c r="H108" i="46"/>
  <c r="I108" i="46"/>
  <c r="H91" i="46"/>
  <c r="I96" i="46"/>
  <c r="I95" i="46"/>
  <c r="I94" i="46"/>
  <c r="J94" i="46" s="1"/>
  <c r="K94" i="46" s="1"/>
  <c r="L94" i="46" s="1"/>
  <c r="M94" i="46" s="1"/>
  <c r="N94" i="46" s="1"/>
  <c r="O94" i="46" s="1"/>
  <c r="P94" i="46" s="1"/>
  <c r="J121" i="49"/>
  <c r="G121" i="49"/>
  <c r="E121" i="49"/>
  <c r="F121" i="49"/>
  <c r="K121" i="49"/>
  <c r="I121" i="49"/>
  <c r="H121" i="49"/>
  <c r="O121" i="49"/>
  <c r="M121" i="49"/>
  <c r="L121" i="49"/>
  <c r="N121" i="49"/>
  <c r="Q121" i="49"/>
  <c r="P121" i="49"/>
  <c r="Q113" i="49"/>
  <c r="M113" i="49"/>
  <c r="I113" i="49"/>
  <c r="E113" i="49"/>
  <c r="O113" i="49"/>
  <c r="G113" i="49"/>
  <c r="N113" i="49"/>
  <c r="J113" i="49"/>
  <c r="F113" i="49"/>
  <c r="K113" i="49"/>
  <c r="P113" i="49"/>
  <c r="H113" i="49"/>
  <c r="L117" i="49"/>
  <c r="F117" i="49"/>
  <c r="E117" i="49"/>
  <c r="P117" i="49"/>
  <c r="J117" i="49"/>
  <c r="I117" i="49"/>
  <c r="K117" i="49"/>
  <c r="N117" i="49"/>
  <c r="M117" i="49"/>
  <c r="G117" i="49"/>
  <c r="H117" i="49"/>
  <c r="Q117" i="49"/>
  <c r="O117" i="49"/>
  <c r="G109" i="49"/>
  <c r="F109" i="49"/>
  <c r="K109" i="49"/>
  <c r="M109" i="49"/>
  <c r="J109" i="49"/>
  <c r="O109" i="49"/>
  <c r="I109" i="49"/>
  <c r="N109" i="49"/>
  <c r="H109" i="49"/>
  <c r="L109" i="49"/>
  <c r="E109" i="49"/>
  <c r="P109" i="49"/>
  <c r="Q109" i="49"/>
  <c r="E146" i="20"/>
  <c r="E108" i="20"/>
  <c r="C153" i="20"/>
  <c r="C134" i="20"/>
  <c r="C135" i="20" s="1"/>
  <c r="E152" i="20"/>
  <c r="E155" i="20"/>
  <c r="E156" i="20"/>
  <c r="E157" i="20"/>
  <c r="E158" i="20"/>
  <c r="E159" i="20"/>
  <c r="E160" i="20"/>
  <c r="E161" i="20"/>
  <c r="E162" i="20"/>
  <c r="E165" i="20"/>
  <c r="E166" i="20"/>
  <c r="C167" i="20"/>
  <c r="D167" i="20"/>
  <c r="D170" i="20" s="1"/>
  <c r="E168" i="20"/>
  <c r="E169" i="20"/>
  <c r="E171" i="20"/>
  <c r="E172" i="20"/>
  <c r="E173" i="20"/>
  <c r="E174" i="20"/>
  <c r="E175" i="20"/>
  <c r="E176" i="20"/>
  <c r="E177" i="20"/>
  <c r="C178" i="20"/>
  <c r="D178" i="20"/>
  <c r="E184" i="20"/>
  <c r="E185" i="20"/>
  <c r="E186" i="20"/>
  <c r="E187" i="20"/>
  <c r="E188" i="20"/>
  <c r="E189" i="20"/>
  <c r="D134" i="20" l="1"/>
  <c r="D135" i="20" s="1"/>
  <c r="E132" i="20"/>
  <c r="J107" i="46"/>
  <c r="D42" i="20"/>
  <c r="I54" i="48"/>
  <c r="H66" i="48"/>
  <c r="H63" i="48"/>
  <c r="I64" i="48" s="1"/>
  <c r="H55" i="48"/>
  <c r="H60" i="48" s="1"/>
  <c r="H61" i="48" s="1"/>
  <c r="J55" i="48"/>
  <c r="J63" i="48"/>
  <c r="J66" i="48"/>
  <c r="J104" i="46"/>
  <c r="J96" i="46" s="1"/>
  <c r="K104" i="46" s="1"/>
  <c r="K96" i="46" s="1"/>
  <c r="J103" i="46"/>
  <c r="R108" i="46"/>
  <c r="S110" i="46"/>
  <c r="S111" i="46"/>
  <c r="S109" i="46"/>
  <c r="S112" i="46"/>
  <c r="H214" i="46"/>
  <c r="H99" i="46"/>
  <c r="H106" i="46"/>
  <c r="Q35" i="34"/>
  <c r="Q33" i="34" s="1"/>
  <c r="U35" i="34"/>
  <c r="U33" i="34" s="1"/>
  <c r="Y35" i="34"/>
  <c r="Y33" i="34" s="1"/>
  <c r="AC35" i="34"/>
  <c r="AC33" i="34" s="1"/>
  <c r="T35" i="34"/>
  <c r="T33" i="34" s="1"/>
  <c r="X35" i="34"/>
  <c r="X33" i="34" s="1"/>
  <c r="AB35" i="34"/>
  <c r="AB33" i="34" s="1"/>
  <c r="S35" i="34"/>
  <c r="S33" i="34" s="1"/>
  <c r="W35" i="34"/>
  <c r="W33" i="34" s="1"/>
  <c r="AA35" i="34"/>
  <c r="AA33" i="34" s="1"/>
  <c r="R35" i="34"/>
  <c r="R33" i="34" s="1"/>
  <c r="V35" i="34"/>
  <c r="V33" i="34" s="1"/>
  <c r="Z35" i="34"/>
  <c r="Z33" i="34" s="1"/>
  <c r="T46" i="34"/>
  <c r="T44" i="34" s="1"/>
  <c r="X46" i="34"/>
  <c r="X44" i="34" s="1"/>
  <c r="AB46" i="34"/>
  <c r="AB44" i="34" s="1"/>
  <c r="S46" i="34"/>
  <c r="S44" i="34" s="1"/>
  <c r="W46" i="34"/>
  <c r="W44" i="34" s="1"/>
  <c r="AA46" i="34"/>
  <c r="AA44" i="34" s="1"/>
  <c r="R46" i="34"/>
  <c r="R44" i="34" s="1"/>
  <c r="V46" i="34"/>
  <c r="V44" i="34" s="1"/>
  <c r="Z46" i="34"/>
  <c r="Z44" i="34" s="1"/>
  <c r="Q46" i="34"/>
  <c r="Q44" i="34" s="1"/>
  <c r="Q53" i="24" s="1"/>
  <c r="U46" i="34"/>
  <c r="U44" i="34" s="1"/>
  <c r="Y46" i="34"/>
  <c r="Y44" i="34" s="1"/>
  <c r="AC46" i="34"/>
  <c r="AC44" i="34" s="1"/>
  <c r="Q39" i="34"/>
  <c r="Q37" i="34" s="1"/>
  <c r="U39" i="34"/>
  <c r="U37" i="34" s="1"/>
  <c r="Y39" i="34"/>
  <c r="Y37" i="34" s="1"/>
  <c r="AC39" i="34"/>
  <c r="AC37" i="34" s="1"/>
  <c r="T39" i="34"/>
  <c r="T37" i="34" s="1"/>
  <c r="X39" i="34"/>
  <c r="X37" i="34" s="1"/>
  <c r="AB39" i="34"/>
  <c r="AB37" i="34" s="1"/>
  <c r="S39" i="34"/>
  <c r="S37" i="34" s="1"/>
  <c r="W39" i="34"/>
  <c r="W37" i="34" s="1"/>
  <c r="AA39" i="34"/>
  <c r="AA37" i="34" s="1"/>
  <c r="R39" i="34"/>
  <c r="R37" i="34" s="1"/>
  <c r="V39" i="34"/>
  <c r="V37" i="34" s="1"/>
  <c r="Z39" i="34"/>
  <c r="Z37" i="34" s="1"/>
  <c r="S31" i="34"/>
  <c r="W31" i="34"/>
  <c r="AA31" i="34"/>
  <c r="R31" i="34"/>
  <c r="V31" i="34"/>
  <c r="Z31" i="34"/>
  <c r="Q31" i="34"/>
  <c r="U31" i="34"/>
  <c r="Y31" i="34"/>
  <c r="AC31" i="34"/>
  <c r="T31" i="34"/>
  <c r="X31" i="34"/>
  <c r="AB31" i="34"/>
  <c r="R43" i="34"/>
  <c r="R41" i="34" s="1"/>
  <c r="V43" i="34"/>
  <c r="V41" i="34" s="1"/>
  <c r="Z43" i="34"/>
  <c r="Z41" i="34" s="1"/>
  <c r="Q43" i="34"/>
  <c r="Q41" i="34" s="1"/>
  <c r="U43" i="34"/>
  <c r="U41" i="34" s="1"/>
  <c r="Y43" i="34"/>
  <c r="Y41" i="34" s="1"/>
  <c r="AC43" i="34"/>
  <c r="AC41" i="34" s="1"/>
  <c r="T43" i="34"/>
  <c r="T41" i="34" s="1"/>
  <c r="X43" i="34"/>
  <c r="X41" i="34" s="1"/>
  <c r="AB43" i="34"/>
  <c r="AB41" i="34" s="1"/>
  <c r="S43" i="34"/>
  <c r="S41" i="34" s="1"/>
  <c r="W43" i="34"/>
  <c r="W41" i="34" s="1"/>
  <c r="AA43" i="34"/>
  <c r="AA41" i="34" s="1"/>
  <c r="D12" i="37"/>
  <c r="T26" i="34"/>
  <c r="T24" i="34" s="1"/>
  <c r="X26" i="34"/>
  <c r="X24" i="34" s="1"/>
  <c r="AB26" i="34"/>
  <c r="AB24" i="34" s="1"/>
  <c r="S26" i="34"/>
  <c r="S24" i="34" s="1"/>
  <c r="W26" i="34"/>
  <c r="W24" i="34" s="1"/>
  <c r="AA26" i="34"/>
  <c r="AA24" i="34" s="1"/>
  <c r="R26" i="34"/>
  <c r="R24" i="34" s="1"/>
  <c r="V26" i="34"/>
  <c r="V24" i="34" s="1"/>
  <c r="Z26" i="34"/>
  <c r="Z24" i="34" s="1"/>
  <c r="Q26" i="34"/>
  <c r="U26" i="34"/>
  <c r="U24" i="34" s="1"/>
  <c r="Y26" i="34"/>
  <c r="Y24" i="34" s="1"/>
  <c r="AC26" i="34"/>
  <c r="AC24" i="34" s="1"/>
  <c r="AC52" i="35" s="1"/>
  <c r="O39" i="34"/>
  <c r="O37" i="34" s="1"/>
  <c r="J39" i="34"/>
  <c r="J37" i="34" s="1"/>
  <c r="E39" i="34"/>
  <c r="I39" i="34"/>
  <c r="I37" i="34" s="1"/>
  <c r="M39" i="34"/>
  <c r="M37" i="34" s="1"/>
  <c r="H39" i="34"/>
  <c r="H37" i="34" s="1"/>
  <c r="L39" i="34"/>
  <c r="L37" i="34" s="1"/>
  <c r="P39" i="34"/>
  <c r="P37" i="34" s="1"/>
  <c r="F39" i="34"/>
  <c r="F37" i="34" s="1"/>
  <c r="K39" i="34"/>
  <c r="K37" i="34" s="1"/>
  <c r="G39" i="34"/>
  <c r="G37" i="34" s="1"/>
  <c r="N39" i="34"/>
  <c r="N37" i="34" s="1"/>
  <c r="O43" i="34"/>
  <c r="O41" i="34" s="1"/>
  <c r="E43" i="34"/>
  <c r="N43" i="34"/>
  <c r="N41" i="34" s="1"/>
  <c r="G43" i="34"/>
  <c r="G41" i="34" s="1"/>
  <c r="I43" i="34"/>
  <c r="I41" i="34" s="1"/>
  <c r="M43" i="34"/>
  <c r="M41" i="34" s="1"/>
  <c r="H43" i="34"/>
  <c r="H41" i="34" s="1"/>
  <c r="L43" i="34"/>
  <c r="L41" i="34" s="1"/>
  <c r="P43" i="34"/>
  <c r="P41" i="34" s="1"/>
  <c r="F43" i="34"/>
  <c r="F41" i="34" s="1"/>
  <c r="K43" i="34"/>
  <c r="K41" i="34" s="1"/>
  <c r="J43" i="34"/>
  <c r="J41" i="34" s="1"/>
  <c r="P26" i="34"/>
  <c r="K26" i="34"/>
  <c r="G26" i="34"/>
  <c r="G24" i="34" s="1"/>
  <c r="G27" i="24" s="1"/>
  <c r="J26" i="34"/>
  <c r="N26" i="34"/>
  <c r="E26" i="34"/>
  <c r="I26" i="34"/>
  <c r="M26" i="34"/>
  <c r="H26" i="34"/>
  <c r="L26" i="34"/>
  <c r="F26" i="34"/>
  <c r="F24" i="34" s="1"/>
  <c r="F27" i="24" s="1"/>
  <c r="O26" i="34"/>
  <c r="K46" i="34"/>
  <c r="K44" i="34" s="1"/>
  <c r="K53" i="24" s="1"/>
  <c r="G46" i="34"/>
  <c r="G44" i="34" s="1"/>
  <c r="G53" i="24" s="1"/>
  <c r="N46" i="34"/>
  <c r="N44" i="34" s="1"/>
  <c r="N53" i="24" s="1"/>
  <c r="E46" i="34"/>
  <c r="I46" i="34"/>
  <c r="I44" i="34" s="1"/>
  <c r="I53" i="24" s="1"/>
  <c r="M46" i="34"/>
  <c r="M44" i="34" s="1"/>
  <c r="M53" i="24" s="1"/>
  <c r="H46" i="34"/>
  <c r="H44" i="34" s="1"/>
  <c r="H53" i="24" s="1"/>
  <c r="L46" i="34"/>
  <c r="L44" i="34" s="1"/>
  <c r="L53" i="24" s="1"/>
  <c r="P46" i="34"/>
  <c r="P44" i="34" s="1"/>
  <c r="P53" i="24" s="1"/>
  <c r="F46" i="34"/>
  <c r="F44" i="34" s="1"/>
  <c r="F53" i="24" s="1"/>
  <c r="O46" i="34"/>
  <c r="O44" i="34" s="1"/>
  <c r="O53" i="24" s="1"/>
  <c r="J46" i="34"/>
  <c r="J44" i="34" s="1"/>
  <c r="J53" i="24" s="1"/>
  <c r="E31" i="34"/>
  <c r="N31" i="34"/>
  <c r="G31" i="34"/>
  <c r="M31" i="34"/>
  <c r="H31" i="34"/>
  <c r="L31" i="34"/>
  <c r="P31" i="34"/>
  <c r="F31" i="34"/>
  <c r="K31" i="34"/>
  <c r="O31" i="34"/>
  <c r="J31" i="34"/>
  <c r="I31" i="34"/>
  <c r="F35" i="34"/>
  <c r="F33" i="34" s="1"/>
  <c r="F38" i="24" s="1"/>
  <c r="J35" i="34"/>
  <c r="J33" i="34" s="1"/>
  <c r="J38" i="24" s="1"/>
  <c r="G35" i="34"/>
  <c r="G33" i="34" s="1"/>
  <c r="G38" i="24" s="1"/>
  <c r="I35" i="34"/>
  <c r="I33" i="34" s="1"/>
  <c r="I38" i="24" s="1"/>
  <c r="M35" i="34"/>
  <c r="M33" i="34" s="1"/>
  <c r="M38" i="24" s="1"/>
  <c r="H35" i="34"/>
  <c r="H33" i="34" s="1"/>
  <c r="H38" i="24" s="1"/>
  <c r="L35" i="34"/>
  <c r="L33" i="34" s="1"/>
  <c r="L38" i="24" s="1"/>
  <c r="P35" i="34"/>
  <c r="P33" i="34" s="1"/>
  <c r="P38" i="24" s="1"/>
  <c r="K35" i="34"/>
  <c r="K33" i="34" s="1"/>
  <c r="K38" i="24" s="1"/>
  <c r="O35" i="34"/>
  <c r="O33" i="34" s="1"/>
  <c r="O38" i="24" s="1"/>
  <c r="E35" i="34"/>
  <c r="N35" i="34"/>
  <c r="N33" i="34" s="1"/>
  <c r="N38" i="24" s="1"/>
  <c r="E164" i="20"/>
  <c r="D179" i="20"/>
  <c r="D180" i="20" s="1"/>
  <c r="E153" i="20"/>
  <c r="E178" i="20"/>
  <c r="E167" i="20"/>
  <c r="C170" i="20"/>
  <c r="C179" i="20" s="1"/>
  <c r="C180" i="20" s="1"/>
  <c r="E192" i="20"/>
  <c r="E193" i="20"/>
  <c r="E196" i="20"/>
  <c r="C197" i="20"/>
  <c r="C198" i="20" s="1"/>
  <c r="E200" i="20"/>
  <c r="E201" i="20"/>
  <c r="E202" i="20"/>
  <c r="E203" i="20"/>
  <c r="E204" i="20"/>
  <c r="E205" i="20"/>
  <c r="E206" i="20"/>
  <c r="E207" i="20"/>
  <c r="E210" i="20"/>
  <c r="C212" i="20"/>
  <c r="E213" i="20"/>
  <c r="E214" i="20"/>
  <c r="E216" i="20"/>
  <c r="E217" i="20"/>
  <c r="E219" i="20"/>
  <c r="E220" i="20"/>
  <c r="E221" i="20"/>
  <c r="E222" i="20"/>
  <c r="C223" i="20"/>
  <c r="E133" i="20" l="1"/>
  <c r="J128" i="49" s="1"/>
  <c r="I84" i="23"/>
  <c r="H64" i="48"/>
  <c r="H54" i="48"/>
  <c r="H57" i="48" s="1"/>
  <c r="H101" i="23"/>
  <c r="I102" i="23" s="1"/>
  <c r="J95" i="46"/>
  <c r="K103" i="46" s="1"/>
  <c r="J98" i="46"/>
  <c r="J54" i="48"/>
  <c r="J101" i="23"/>
  <c r="J64" i="48"/>
  <c r="L104" i="46"/>
  <c r="L96" i="46" s="1"/>
  <c r="I106" i="46"/>
  <c r="I107" i="46" s="1"/>
  <c r="I93" i="46"/>
  <c r="J93" i="46" s="1"/>
  <c r="H216" i="46"/>
  <c r="H107" i="46"/>
  <c r="T105" i="34"/>
  <c r="T103" i="34" s="1"/>
  <c r="X105" i="34"/>
  <c r="X103" i="34" s="1"/>
  <c r="AB105" i="34"/>
  <c r="AB103" i="34" s="1"/>
  <c r="S105" i="34"/>
  <c r="S103" i="34" s="1"/>
  <c r="W105" i="34"/>
  <c r="W103" i="34" s="1"/>
  <c r="AA105" i="34"/>
  <c r="AA103" i="34" s="1"/>
  <c r="R105" i="34"/>
  <c r="R103" i="34" s="1"/>
  <c r="V105" i="34"/>
  <c r="V103" i="34" s="1"/>
  <c r="Z105" i="34"/>
  <c r="Z103" i="34" s="1"/>
  <c r="Q105" i="34"/>
  <c r="Q103" i="34" s="1"/>
  <c r="U105" i="34"/>
  <c r="U103" i="34" s="1"/>
  <c r="Y105" i="34"/>
  <c r="Y103" i="34" s="1"/>
  <c r="AC105" i="34"/>
  <c r="AC103" i="34" s="1"/>
  <c r="S118" i="34"/>
  <c r="W118" i="34"/>
  <c r="AA118" i="34"/>
  <c r="R118" i="34"/>
  <c r="V118" i="34"/>
  <c r="Z118" i="34"/>
  <c r="Q118" i="34"/>
  <c r="U118" i="34"/>
  <c r="Y118" i="34"/>
  <c r="AC118" i="34"/>
  <c r="T118" i="34"/>
  <c r="X118" i="34"/>
  <c r="AB118" i="34"/>
  <c r="R101" i="34"/>
  <c r="R99" i="34" s="1"/>
  <c r="V101" i="34"/>
  <c r="V99" i="34" s="1"/>
  <c r="Z101" i="34"/>
  <c r="Z99" i="34" s="1"/>
  <c r="Q101" i="34"/>
  <c r="U101" i="34"/>
  <c r="U99" i="34" s="1"/>
  <c r="Y101" i="34"/>
  <c r="Y99" i="34" s="1"/>
  <c r="AC101" i="34"/>
  <c r="AC99" i="34" s="1"/>
  <c r="T101" i="34"/>
  <c r="T99" i="34" s="1"/>
  <c r="X101" i="34"/>
  <c r="X99" i="34" s="1"/>
  <c r="AB101" i="34"/>
  <c r="AB99" i="34" s="1"/>
  <c r="S101" i="34"/>
  <c r="S99" i="34" s="1"/>
  <c r="W101" i="34"/>
  <c r="W99" i="34" s="1"/>
  <c r="AA101" i="34"/>
  <c r="AA99" i="34" s="1"/>
  <c r="Q87" i="34"/>
  <c r="Q85" i="34" s="1"/>
  <c r="Q109" i="24" s="1"/>
  <c r="U87" i="34"/>
  <c r="U85" i="34" s="1"/>
  <c r="Y87" i="34"/>
  <c r="Y85" i="34" s="1"/>
  <c r="AC87" i="34"/>
  <c r="AC85" i="34" s="1"/>
  <c r="T87" i="34"/>
  <c r="T85" i="34" s="1"/>
  <c r="X87" i="34"/>
  <c r="X85" i="34" s="1"/>
  <c r="AB87" i="34"/>
  <c r="AB85" i="34" s="1"/>
  <c r="S87" i="34"/>
  <c r="S85" i="34" s="1"/>
  <c r="W87" i="34"/>
  <c r="W85" i="34" s="1"/>
  <c r="AA87" i="34"/>
  <c r="AA85" i="34" s="1"/>
  <c r="R87" i="34"/>
  <c r="R85" i="34" s="1"/>
  <c r="V87" i="34"/>
  <c r="V85" i="34" s="1"/>
  <c r="Z87" i="34"/>
  <c r="Z85" i="34" s="1"/>
  <c r="S70" i="34"/>
  <c r="S68" i="34" s="1"/>
  <c r="W70" i="34"/>
  <c r="W68" i="34" s="1"/>
  <c r="AA70" i="34"/>
  <c r="AA68" i="34" s="1"/>
  <c r="R70" i="34"/>
  <c r="R68" i="34" s="1"/>
  <c r="V70" i="34"/>
  <c r="V68" i="34" s="1"/>
  <c r="Z70" i="34"/>
  <c r="Z68" i="34" s="1"/>
  <c r="Q70" i="34"/>
  <c r="Q68" i="34" s="1"/>
  <c r="Q85" i="24" s="1"/>
  <c r="U70" i="34"/>
  <c r="U68" i="34" s="1"/>
  <c r="Y70" i="34"/>
  <c r="Y68" i="34" s="1"/>
  <c r="AC70" i="34"/>
  <c r="AC68" i="34" s="1"/>
  <c r="T70" i="34"/>
  <c r="T68" i="34" s="1"/>
  <c r="X70" i="34"/>
  <c r="X68" i="34" s="1"/>
  <c r="AB70" i="34"/>
  <c r="AB68" i="34" s="1"/>
  <c r="U52" i="35"/>
  <c r="V50" i="35" s="1"/>
  <c r="R52" i="35"/>
  <c r="S50" i="35" s="1"/>
  <c r="AB52" i="35"/>
  <c r="AC50" i="35" s="1"/>
  <c r="Q38" i="24"/>
  <c r="T122" i="34"/>
  <c r="X122" i="34"/>
  <c r="AB122" i="34"/>
  <c r="S122" i="34"/>
  <c r="W122" i="34"/>
  <c r="AA122" i="34"/>
  <c r="R122" i="34"/>
  <c r="V122" i="34"/>
  <c r="Z122" i="34"/>
  <c r="Q122" i="34"/>
  <c r="U122" i="34"/>
  <c r="Y122" i="34"/>
  <c r="AC122" i="34"/>
  <c r="Y52" i="35"/>
  <c r="Z50" i="35" s="1"/>
  <c r="V52" i="35"/>
  <c r="W50" i="35" s="1"/>
  <c r="S52" i="35"/>
  <c r="T50" i="35" s="1"/>
  <c r="R90" i="34"/>
  <c r="R88" i="34" s="1"/>
  <c r="V90" i="34"/>
  <c r="V88" i="34" s="1"/>
  <c r="Z90" i="34"/>
  <c r="Z88" i="34" s="1"/>
  <c r="Q90" i="34"/>
  <c r="Q88" i="34" s="1"/>
  <c r="Q114" i="24" s="1"/>
  <c r="U90" i="34"/>
  <c r="U88" i="34" s="1"/>
  <c r="Y90" i="34"/>
  <c r="Y88" i="34" s="1"/>
  <c r="AC90" i="34"/>
  <c r="AC88" i="34" s="1"/>
  <c r="T90" i="34"/>
  <c r="T88" i="34" s="1"/>
  <c r="X90" i="34"/>
  <c r="X88" i="34" s="1"/>
  <c r="AB90" i="34"/>
  <c r="AB88" i="34" s="1"/>
  <c r="S90" i="34"/>
  <c r="S88" i="34" s="1"/>
  <c r="W90" i="34"/>
  <c r="W88" i="34" s="1"/>
  <c r="AA90" i="34"/>
  <c r="AA88" i="34" s="1"/>
  <c r="R110" i="34"/>
  <c r="V110" i="34"/>
  <c r="Z110" i="34"/>
  <c r="Q110" i="34"/>
  <c r="U110" i="34"/>
  <c r="Y110" i="34"/>
  <c r="AC110" i="34"/>
  <c r="T110" i="34"/>
  <c r="X110" i="34"/>
  <c r="AB110" i="34"/>
  <c r="S110" i="34"/>
  <c r="W110" i="34"/>
  <c r="AA110" i="34"/>
  <c r="R93" i="34"/>
  <c r="R91" i="34" s="1"/>
  <c r="V93" i="34"/>
  <c r="V91" i="34" s="1"/>
  <c r="Z93" i="34"/>
  <c r="Z91" i="34" s="1"/>
  <c r="Q93" i="34"/>
  <c r="Q91" i="34" s="1"/>
  <c r="Q119" i="24" s="1"/>
  <c r="U93" i="34"/>
  <c r="U91" i="34" s="1"/>
  <c r="Y93" i="34"/>
  <c r="Y91" i="34" s="1"/>
  <c r="AC93" i="34"/>
  <c r="AC91" i="34" s="1"/>
  <c r="T93" i="34"/>
  <c r="T91" i="34" s="1"/>
  <c r="X93" i="34"/>
  <c r="X91" i="34" s="1"/>
  <c r="AB93" i="34"/>
  <c r="AB91" i="34" s="1"/>
  <c r="S93" i="34"/>
  <c r="S91" i="34" s="1"/>
  <c r="W93" i="34"/>
  <c r="W91" i="34" s="1"/>
  <c r="AA93" i="34"/>
  <c r="AA91" i="34" s="1"/>
  <c r="Q80" i="34"/>
  <c r="Q78" i="34" s="1"/>
  <c r="Q99" i="24" s="1"/>
  <c r="U80" i="34"/>
  <c r="U78" i="34" s="1"/>
  <c r="Y80" i="34"/>
  <c r="Y78" i="34" s="1"/>
  <c r="AC80" i="34"/>
  <c r="AC78" i="34" s="1"/>
  <c r="T80" i="34"/>
  <c r="T78" i="34" s="1"/>
  <c r="X80" i="34"/>
  <c r="X78" i="34" s="1"/>
  <c r="AB80" i="34"/>
  <c r="AB78" i="34" s="1"/>
  <c r="S80" i="34"/>
  <c r="S78" i="34" s="1"/>
  <c r="W80" i="34"/>
  <c r="W78" i="34" s="1"/>
  <c r="AA80" i="34"/>
  <c r="AA78" i="34" s="1"/>
  <c r="R80" i="34"/>
  <c r="R78" i="34" s="1"/>
  <c r="V80" i="34"/>
  <c r="V78" i="34" s="1"/>
  <c r="Z80" i="34"/>
  <c r="Z78" i="34" s="1"/>
  <c r="Q53" i="34"/>
  <c r="Q51" i="34" s="1"/>
  <c r="Q65" i="24" s="1"/>
  <c r="U53" i="34"/>
  <c r="U51" i="34" s="1"/>
  <c r="Y53" i="34"/>
  <c r="Y51" i="34" s="1"/>
  <c r="AC53" i="34"/>
  <c r="AC51" i="34" s="1"/>
  <c r="T53" i="34"/>
  <c r="T51" i="34" s="1"/>
  <c r="X53" i="34"/>
  <c r="X51" i="34" s="1"/>
  <c r="AB53" i="34"/>
  <c r="AB51" i="34" s="1"/>
  <c r="S53" i="34"/>
  <c r="S51" i="34" s="1"/>
  <c r="W53" i="34"/>
  <c r="W51" i="34" s="1"/>
  <c r="AA53" i="34"/>
  <c r="AA51" i="34" s="1"/>
  <c r="R53" i="34"/>
  <c r="R51" i="34" s="1"/>
  <c r="V53" i="34"/>
  <c r="V51" i="34" s="1"/>
  <c r="Z53" i="34"/>
  <c r="Z51" i="34" s="1"/>
  <c r="Z52" i="35"/>
  <c r="AA50" i="35" s="1"/>
  <c r="W52" i="35"/>
  <c r="X50" i="35" s="1"/>
  <c r="T52" i="35"/>
  <c r="U50" i="35" s="1"/>
  <c r="Q48" i="24"/>
  <c r="Q43" i="24"/>
  <c r="S97" i="34"/>
  <c r="W97" i="34"/>
  <c r="AA97" i="34"/>
  <c r="R97" i="34"/>
  <c r="V97" i="34"/>
  <c r="Z97" i="34"/>
  <c r="Q97" i="34"/>
  <c r="U97" i="34"/>
  <c r="Y97" i="34"/>
  <c r="AC97" i="34"/>
  <c r="T97" i="34"/>
  <c r="X97" i="34"/>
  <c r="AB97" i="34"/>
  <c r="S84" i="34"/>
  <c r="S82" i="34" s="1"/>
  <c r="W84" i="34"/>
  <c r="W82" i="34" s="1"/>
  <c r="AA84" i="34"/>
  <c r="AA82" i="34" s="1"/>
  <c r="R84" i="34"/>
  <c r="R82" i="34" s="1"/>
  <c r="V84" i="34"/>
  <c r="V82" i="34" s="1"/>
  <c r="Z84" i="34"/>
  <c r="Z82" i="34" s="1"/>
  <c r="Q84" i="34"/>
  <c r="Q82" i="34" s="1"/>
  <c r="Q104" i="24" s="1"/>
  <c r="U84" i="34"/>
  <c r="U82" i="34" s="1"/>
  <c r="Y84" i="34"/>
  <c r="Y82" i="34" s="1"/>
  <c r="AC84" i="34"/>
  <c r="AC82" i="34" s="1"/>
  <c r="T84" i="34"/>
  <c r="T82" i="34" s="1"/>
  <c r="X84" i="34"/>
  <c r="X82" i="34" s="1"/>
  <c r="AB84" i="34"/>
  <c r="AB82" i="34" s="1"/>
  <c r="R57" i="34"/>
  <c r="V57" i="34"/>
  <c r="Z57" i="34"/>
  <c r="Q57" i="34"/>
  <c r="U57" i="34"/>
  <c r="Y57" i="34"/>
  <c r="AC57" i="34"/>
  <c r="T57" i="34"/>
  <c r="X57" i="34"/>
  <c r="AB57" i="34"/>
  <c r="S57" i="34"/>
  <c r="W57" i="34"/>
  <c r="AA57" i="34"/>
  <c r="AA52" i="35"/>
  <c r="AB50" i="35" s="1"/>
  <c r="X52" i="35"/>
  <c r="Y50" i="35" s="1"/>
  <c r="N48" i="24"/>
  <c r="N43" i="24"/>
  <c r="P48" i="24"/>
  <c r="P43" i="24"/>
  <c r="I48" i="24"/>
  <c r="I43" i="24"/>
  <c r="F48" i="24"/>
  <c r="F43" i="24"/>
  <c r="M48" i="24"/>
  <c r="M43" i="24"/>
  <c r="O48" i="24"/>
  <c r="O43" i="24"/>
  <c r="G48" i="24"/>
  <c r="G43" i="24"/>
  <c r="L48" i="24"/>
  <c r="L43" i="24"/>
  <c r="K48" i="24"/>
  <c r="K43" i="24"/>
  <c r="H48" i="24"/>
  <c r="H43" i="24"/>
  <c r="J48" i="24"/>
  <c r="J43" i="24"/>
  <c r="D18" i="39"/>
  <c r="H105" i="34"/>
  <c r="H103" i="34" s="1"/>
  <c r="L105" i="34"/>
  <c r="L103" i="34" s="1"/>
  <c r="P105" i="34"/>
  <c r="P103" i="34" s="1"/>
  <c r="K105" i="34"/>
  <c r="K103" i="34" s="1"/>
  <c r="G105" i="34"/>
  <c r="G103" i="34" s="1"/>
  <c r="J105" i="34"/>
  <c r="J103" i="34" s="1"/>
  <c r="N105" i="34"/>
  <c r="N103" i="34" s="1"/>
  <c r="E105" i="34"/>
  <c r="I105" i="34"/>
  <c r="I103" i="34" s="1"/>
  <c r="M105" i="34"/>
  <c r="M103" i="34" s="1"/>
  <c r="F105" i="34"/>
  <c r="F103" i="34" s="1"/>
  <c r="O105" i="34"/>
  <c r="O103" i="34" s="1"/>
  <c r="H90" i="34"/>
  <c r="H88" i="34" s="1"/>
  <c r="H114" i="24" s="1"/>
  <c r="L90" i="34"/>
  <c r="L88" i="34" s="1"/>
  <c r="L114" i="24" s="1"/>
  <c r="P90" i="34"/>
  <c r="P88" i="34" s="1"/>
  <c r="P114" i="24" s="1"/>
  <c r="K90" i="34"/>
  <c r="K88" i="34" s="1"/>
  <c r="K114" i="24" s="1"/>
  <c r="E90" i="34"/>
  <c r="E88" i="34" s="1"/>
  <c r="E114" i="24" s="1"/>
  <c r="J90" i="34"/>
  <c r="J88" i="34" s="1"/>
  <c r="J114" i="24" s="1"/>
  <c r="N90" i="34"/>
  <c r="N88" i="34" s="1"/>
  <c r="N114" i="24" s="1"/>
  <c r="G90" i="34"/>
  <c r="G88" i="34" s="1"/>
  <c r="G114" i="24" s="1"/>
  <c r="I90" i="34"/>
  <c r="I88" i="34" s="1"/>
  <c r="I114" i="24" s="1"/>
  <c r="M90" i="34"/>
  <c r="M88" i="34" s="1"/>
  <c r="M114" i="24" s="1"/>
  <c r="F90" i="34"/>
  <c r="F88" i="34" s="1"/>
  <c r="F114" i="24" s="1"/>
  <c r="O90" i="34"/>
  <c r="O88" i="34" s="1"/>
  <c r="O114" i="24" s="1"/>
  <c r="G122" i="34"/>
  <c r="I122" i="34"/>
  <c r="H122" i="34"/>
  <c r="L122" i="34"/>
  <c r="P122" i="34"/>
  <c r="F122" i="34"/>
  <c r="K122" i="34"/>
  <c r="O122" i="34"/>
  <c r="J122" i="34"/>
  <c r="N122" i="34"/>
  <c r="E122" i="34"/>
  <c r="E120" i="34" s="1"/>
  <c r="M122" i="34"/>
  <c r="H97" i="34"/>
  <c r="L97" i="34"/>
  <c r="P97" i="34"/>
  <c r="O97" i="34"/>
  <c r="E97" i="34"/>
  <c r="E95" i="34" s="1"/>
  <c r="J97" i="34"/>
  <c r="N97" i="34"/>
  <c r="G97" i="34"/>
  <c r="I97" i="34"/>
  <c r="M97" i="34"/>
  <c r="F97" i="34"/>
  <c r="K97" i="34"/>
  <c r="E84" i="34"/>
  <c r="E82" i="34" s="1"/>
  <c r="E104" i="24" s="1"/>
  <c r="N84" i="34"/>
  <c r="N82" i="34" s="1"/>
  <c r="N104" i="24" s="1"/>
  <c r="G84" i="34"/>
  <c r="G82" i="34" s="1"/>
  <c r="G104" i="24" s="1"/>
  <c r="M84" i="34"/>
  <c r="M82" i="34" s="1"/>
  <c r="M104" i="24" s="1"/>
  <c r="H84" i="34"/>
  <c r="H82" i="34" s="1"/>
  <c r="H104" i="24" s="1"/>
  <c r="L84" i="34"/>
  <c r="L82" i="34" s="1"/>
  <c r="L104" i="24" s="1"/>
  <c r="P84" i="34"/>
  <c r="P82" i="34" s="1"/>
  <c r="P104" i="24" s="1"/>
  <c r="F84" i="34"/>
  <c r="F82" i="34" s="1"/>
  <c r="F104" i="24" s="1"/>
  <c r="K84" i="34"/>
  <c r="K82" i="34" s="1"/>
  <c r="K104" i="24" s="1"/>
  <c r="O84" i="34"/>
  <c r="O82" i="34" s="1"/>
  <c r="O104" i="24" s="1"/>
  <c r="J84" i="34"/>
  <c r="J82" i="34" s="1"/>
  <c r="J104" i="24" s="1"/>
  <c r="I84" i="34"/>
  <c r="I82" i="34" s="1"/>
  <c r="I104" i="24" s="1"/>
  <c r="G57" i="34"/>
  <c r="N57" i="34"/>
  <c r="E57" i="34"/>
  <c r="I57" i="34"/>
  <c r="M57" i="34"/>
  <c r="H57" i="34"/>
  <c r="L57" i="34"/>
  <c r="P57" i="34"/>
  <c r="F57" i="34"/>
  <c r="K57" i="34"/>
  <c r="O57" i="34"/>
  <c r="J57" i="34"/>
  <c r="N101" i="34"/>
  <c r="I101" i="34"/>
  <c r="H101" i="34"/>
  <c r="L101" i="34"/>
  <c r="P101" i="34"/>
  <c r="F101" i="34"/>
  <c r="F99" i="34" s="1"/>
  <c r="F129" i="24" s="1"/>
  <c r="K101" i="34"/>
  <c r="O101" i="34"/>
  <c r="G101" i="34"/>
  <c r="G99" i="34" s="1"/>
  <c r="G129" i="24" s="1"/>
  <c r="J101" i="34"/>
  <c r="E101" i="34"/>
  <c r="M101" i="34"/>
  <c r="H87" i="34"/>
  <c r="H85" i="34" s="1"/>
  <c r="H109" i="24" s="1"/>
  <c r="L87" i="34"/>
  <c r="L85" i="34" s="1"/>
  <c r="L109" i="24" s="1"/>
  <c r="P87" i="34"/>
  <c r="P85" i="34" s="1"/>
  <c r="P109" i="24" s="1"/>
  <c r="F87" i="34"/>
  <c r="F85" i="34" s="1"/>
  <c r="F109" i="24" s="1"/>
  <c r="O87" i="34"/>
  <c r="O85" i="34" s="1"/>
  <c r="O109" i="24" s="1"/>
  <c r="E87" i="34"/>
  <c r="E85" i="34" s="1"/>
  <c r="E109" i="24" s="1"/>
  <c r="J87" i="34"/>
  <c r="J85" i="34" s="1"/>
  <c r="J109" i="24" s="1"/>
  <c r="N87" i="34"/>
  <c r="N85" i="34" s="1"/>
  <c r="N109" i="24" s="1"/>
  <c r="G87" i="34"/>
  <c r="G85" i="34" s="1"/>
  <c r="G109" i="24" s="1"/>
  <c r="I87" i="34"/>
  <c r="I85" i="34" s="1"/>
  <c r="I109" i="24" s="1"/>
  <c r="M87" i="34"/>
  <c r="M85" i="34" s="1"/>
  <c r="M109" i="24" s="1"/>
  <c r="K87" i="34"/>
  <c r="K85" i="34" s="1"/>
  <c r="K109" i="24" s="1"/>
  <c r="O70" i="34"/>
  <c r="O68" i="34" s="1"/>
  <c r="O85" i="24" s="1"/>
  <c r="J70" i="34"/>
  <c r="J68" i="34" s="1"/>
  <c r="J85" i="24" s="1"/>
  <c r="G70" i="34"/>
  <c r="G68" i="34" s="1"/>
  <c r="G85" i="24" s="1"/>
  <c r="I70" i="34"/>
  <c r="I68" i="34" s="1"/>
  <c r="I85" i="24" s="1"/>
  <c r="M70" i="34"/>
  <c r="M68" i="34" s="1"/>
  <c r="M85" i="24" s="1"/>
  <c r="H70" i="34"/>
  <c r="H68" i="34" s="1"/>
  <c r="H85" i="24" s="1"/>
  <c r="L70" i="34"/>
  <c r="L68" i="34" s="1"/>
  <c r="L85" i="24" s="1"/>
  <c r="P70" i="34"/>
  <c r="P68" i="34" s="1"/>
  <c r="P85" i="24" s="1"/>
  <c r="F70" i="34"/>
  <c r="F68" i="34" s="1"/>
  <c r="F85" i="24" s="1"/>
  <c r="K70" i="34"/>
  <c r="K68" i="34" s="1"/>
  <c r="K85" i="24" s="1"/>
  <c r="E70" i="34"/>
  <c r="N70" i="34"/>
  <c r="N68" i="34" s="1"/>
  <c r="N85" i="24" s="1"/>
  <c r="F118" i="34"/>
  <c r="J118" i="34"/>
  <c r="E118" i="34"/>
  <c r="E116" i="34" s="1"/>
  <c r="I118" i="34"/>
  <c r="M118" i="34"/>
  <c r="H118" i="34"/>
  <c r="L118" i="34"/>
  <c r="P118" i="34"/>
  <c r="K118" i="34"/>
  <c r="O118" i="34"/>
  <c r="G118" i="34"/>
  <c r="N118" i="34"/>
  <c r="N110" i="34"/>
  <c r="I110" i="34"/>
  <c r="H110" i="34"/>
  <c r="L110" i="34"/>
  <c r="P110" i="34"/>
  <c r="F110" i="34"/>
  <c r="K110" i="34"/>
  <c r="O110" i="34"/>
  <c r="G110" i="34"/>
  <c r="J110" i="34"/>
  <c r="E110" i="34"/>
  <c r="E108" i="34" s="1"/>
  <c r="M110" i="34"/>
  <c r="H93" i="34"/>
  <c r="H91" i="34" s="1"/>
  <c r="H119" i="24" s="1"/>
  <c r="L93" i="34"/>
  <c r="L91" i="34" s="1"/>
  <c r="L119" i="24" s="1"/>
  <c r="P93" i="34"/>
  <c r="P91" i="34" s="1"/>
  <c r="P119" i="24" s="1"/>
  <c r="K93" i="34"/>
  <c r="K91" i="34" s="1"/>
  <c r="K119" i="24" s="1"/>
  <c r="E93" i="34"/>
  <c r="E91" i="34" s="1"/>
  <c r="E119" i="24" s="1"/>
  <c r="J93" i="34"/>
  <c r="J91" i="34" s="1"/>
  <c r="J119" i="24" s="1"/>
  <c r="N93" i="34"/>
  <c r="N91" i="34" s="1"/>
  <c r="N119" i="24" s="1"/>
  <c r="G93" i="34"/>
  <c r="G91" i="34" s="1"/>
  <c r="G119" i="24" s="1"/>
  <c r="I93" i="34"/>
  <c r="I91" i="34" s="1"/>
  <c r="I119" i="24" s="1"/>
  <c r="M93" i="34"/>
  <c r="M91" i="34" s="1"/>
  <c r="M119" i="24" s="1"/>
  <c r="F93" i="34"/>
  <c r="F91" i="34" s="1"/>
  <c r="F119" i="24" s="1"/>
  <c r="O93" i="34"/>
  <c r="O91" i="34" s="1"/>
  <c r="O119" i="24" s="1"/>
  <c r="H80" i="34"/>
  <c r="H78" i="34" s="1"/>
  <c r="H99" i="24" s="1"/>
  <c r="P80" i="34"/>
  <c r="P78" i="34" s="1"/>
  <c r="P99" i="24" s="1"/>
  <c r="K80" i="34"/>
  <c r="K78" i="34" s="1"/>
  <c r="K99" i="24" s="1"/>
  <c r="G80" i="34"/>
  <c r="G78" i="34" s="1"/>
  <c r="G99" i="24" s="1"/>
  <c r="J80" i="34"/>
  <c r="J78" i="34" s="1"/>
  <c r="J99" i="24" s="1"/>
  <c r="N80" i="34"/>
  <c r="N78" i="34" s="1"/>
  <c r="N99" i="24" s="1"/>
  <c r="E80" i="34"/>
  <c r="E78" i="34" s="1"/>
  <c r="E99" i="24" s="1"/>
  <c r="I80" i="34"/>
  <c r="I78" i="34" s="1"/>
  <c r="I99" i="24" s="1"/>
  <c r="M80" i="34"/>
  <c r="M78" i="34" s="1"/>
  <c r="M99" i="24" s="1"/>
  <c r="L80" i="34"/>
  <c r="L78" i="34" s="1"/>
  <c r="L99" i="24" s="1"/>
  <c r="F80" i="34"/>
  <c r="F78" i="34" s="1"/>
  <c r="F99" i="24" s="1"/>
  <c r="O80" i="34"/>
  <c r="O78" i="34" s="1"/>
  <c r="O99" i="24" s="1"/>
  <c r="J53" i="34"/>
  <c r="J51" i="34" s="1"/>
  <c r="J65" i="24" s="1"/>
  <c r="E53" i="34"/>
  <c r="M53" i="34"/>
  <c r="M51" i="34" s="1"/>
  <c r="M65" i="24" s="1"/>
  <c r="H53" i="34"/>
  <c r="H51" i="34" s="1"/>
  <c r="H65" i="24" s="1"/>
  <c r="L53" i="34"/>
  <c r="L51" i="34" s="1"/>
  <c r="L65" i="24" s="1"/>
  <c r="P53" i="34"/>
  <c r="P51" i="34" s="1"/>
  <c r="P65" i="24" s="1"/>
  <c r="F53" i="34"/>
  <c r="F51" i="34" s="1"/>
  <c r="F65" i="24" s="1"/>
  <c r="K53" i="34"/>
  <c r="K51" i="34" s="1"/>
  <c r="K65" i="24" s="1"/>
  <c r="O53" i="34"/>
  <c r="O51" i="34" s="1"/>
  <c r="O65" i="24" s="1"/>
  <c r="G53" i="34"/>
  <c r="G51" i="34" s="1"/>
  <c r="G65" i="24" s="1"/>
  <c r="N53" i="34"/>
  <c r="N51" i="34" s="1"/>
  <c r="N65" i="24" s="1"/>
  <c r="I53" i="34"/>
  <c r="I51" i="34" s="1"/>
  <c r="I65" i="24" s="1"/>
  <c r="E209" i="20"/>
  <c r="E170" i="20"/>
  <c r="E179" i="20" s="1"/>
  <c r="E180" i="20" s="1"/>
  <c r="C215" i="20"/>
  <c r="C224" i="20" s="1"/>
  <c r="C225" i="20" s="1"/>
  <c r="Q128" i="49" l="1"/>
  <c r="O128" i="49"/>
  <c r="E128" i="49"/>
  <c r="G128" i="49"/>
  <c r="E134" i="20"/>
  <c r="E135" i="20" s="1"/>
  <c r="F128" i="49"/>
  <c r="P128" i="49"/>
  <c r="N128" i="49"/>
  <c r="H128" i="49"/>
  <c r="M128" i="49"/>
  <c r="I128" i="49"/>
  <c r="K128" i="49"/>
  <c r="L128" i="49"/>
  <c r="R106" i="46"/>
  <c r="I82" i="23"/>
  <c r="H85" i="48"/>
  <c r="H25" i="50" s="1"/>
  <c r="H59" i="48"/>
  <c r="H58" i="48"/>
  <c r="H73" i="48"/>
  <c r="H23" i="50"/>
  <c r="S106" i="46"/>
  <c r="R93" i="46"/>
  <c r="S94" i="46"/>
  <c r="H84" i="23"/>
  <c r="H92" i="23" s="1"/>
  <c r="H93" i="23" s="1"/>
  <c r="H102" i="23"/>
  <c r="H97" i="23"/>
  <c r="I98" i="23" s="1"/>
  <c r="K95" i="46"/>
  <c r="L103" i="46" s="1"/>
  <c r="K98" i="46"/>
  <c r="J215" i="46"/>
  <c r="K65" i="48"/>
  <c r="J84" i="23"/>
  <c r="J102" i="23"/>
  <c r="J97" i="23"/>
  <c r="M104" i="46"/>
  <c r="M96" i="46" s="1"/>
  <c r="I91" i="46"/>
  <c r="R91" i="46" s="1"/>
  <c r="I216" i="46"/>
  <c r="Q132" i="24"/>
  <c r="Q134" i="24"/>
  <c r="F98" i="34"/>
  <c r="F95" i="34" s="1"/>
  <c r="E124" i="24"/>
  <c r="I134" i="24"/>
  <c r="G134" i="24"/>
  <c r="H134" i="24"/>
  <c r="M132" i="24"/>
  <c r="M134" i="24"/>
  <c r="J134" i="24"/>
  <c r="L134" i="24"/>
  <c r="F111" i="34"/>
  <c r="F108" i="34" s="1"/>
  <c r="E141" i="24"/>
  <c r="F119" i="34"/>
  <c r="F116" i="34" s="1"/>
  <c r="E151" i="24"/>
  <c r="F123" i="34"/>
  <c r="F120" i="34" s="1"/>
  <c r="E156" i="24"/>
  <c r="F134" i="24"/>
  <c r="N132" i="24"/>
  <c r="N134" i="24"/>
  <c r="P134" i="24"/>
  <c r="P132" i="24"/>
  <c r="O134" i="24"/>
  <c r="O132" i="24"/>
  <c r="K134" i="24"/>
  <c r="E51" i="20"/>
  <c r="E52" i="20"/>
  <c r="E53" i="20"/>
  <c r="E54" i="20"/>
  <c r="E57" i="20"/>
  <c r="E60" i="20"/>
  <c r="E61" i="20"/>
  <c r="E66" i="20"/>
  <c r="E67" i="20"/>
  <c r="E68" i="20"/>
  <c r="E69" i="20"/>
  <c r="E70" i="20"/>
  <c r="H74" i="48" l="1"/>
  <c r="H75" i="48"/>
  <c r="H98" i="23"/>
  <c r="H82" i="23"/>
  <c r="H87" i="23" s="1"/>
  <c r="K215" i="46"/>
  <c r="L65" i="48"/>
  <c r="J82" i="23"/>
  <c r="J98" i="23"/>
  <c r="K55" i="48"/>
  <c r="K66" i="48"/>
  <c r="K63" i="48"/>
  <c r="K101" i="23" s="1"/>
  <c r="K97" i="23" s="1"/>
  <c r="L95" i="46"/>
  <c r="M103" i="46" s="1"/>
  <c r="L98" i="46"/>
  <c r="N104" i="46"/>
  <c r="N96" i="46" s="1"/>
  <c r="I214" i="46"/>
  <c r="I54" i="49" s="1"/>
  <c r="I51" i="49" s="1"/>
  <c r="I64" i="24" s="1"/>
  <c r="I99" i="46"/>
  <c r="K93" i="46"/>
  <c r="J91" i="46"/>
  <c r="Q96" i="30"/>
  <c r="E94" i="49"/>
  <c r="Q86" i="30"/>
  <c r="Q84" i="30" s="1"/>
  <c r="Q107" i="24" s="1"/>
  <c r="L84" i="49"/>
  <c r="L108" i="24" s="1"/>
  <c r="K84" i="49"/>
  <c r="K108" i="24" s="1"/>
  <c r="G84" i="49"/>
  <c r="G108" i="24" s="1"/>
  <c r="E84" i="49"/>
  <c r="E108" i="24" s="1"/>
  <c r="J84" i="49"/>
  <c r="J108" i="24" s="1"/>
  <c r="N84" i="49"/>
  <c r="N108" i="24" s="1"/>
  <c r="F84" i="49"/>
  <c r="F108" i="24" s="1"/>
  <c r="I84" i="49"/>
  <c r="I108" i="24" s="1"/>
  <c r="M84" i="49"/>
  <c r="M108" i="24" s="1"/>
  <c r="Q84" i="49"/>
  <c r="Q108" i="24" s="1"/>
  <c r="H84" i="49"/>
  <c r="H108" i="24" s="1"/>
  <c r="P84" i="49"/>
  <c r="P108" i="24" s="1"/>
  <c r="O84" i="49"/>
  <c r="O108" i="24" s="1"/>
  <c r="Q53" i="30"/>
  <c r="Q51" i="30" s="1"/>
  <c r="F51" i="49"/>
  <c r="F64" i="24" s="1"/>
  <c r="G51" i="49"/>
  <c r="G64" i="24" s="1"/>
  <c r="E51" i="49"/>
  <c r="E64" i="24" s="1"/>
  <c r="Q35" i="30"/>
  <c r="Q33" i="30" s="1"/>
  <c r="Q36" i="24" s="1"/>
  <c r="P33" i="49"/>
  <c r="P37" i="24" s="1"/>
  <c r="O33" i="49"/>
  <c r="O37" i="24" s="1"/>
  <c r="G33" i="49"/>
  <c r="E33" i="49"/>
  <c r="J33" i="49"/>
  <c r="J37" i="24" s="1"/>
  <c r="N33" i="49"/>
  <c r="N37" i="24" s="1"/>
  <c r="F33" i="49"/>
  <c r="I33" i="49"/>
  <c r="M33" i="49"/>
  <c r="M37" i="24" s="1"/>
  <c r="Q33" i="49"/>
  <c r="Q37" i="24" s="1"/>
  <c r="H33" i="49"/>
  <c r="L33" i="49"/>
  <c r="L37" i="24" s="1"/>
  <c r="K33" i="49"/>
  <c r="K37" i="24" s="1"/>
  <c r="Q46" i="30"/>
  <c r="Q44" i="30" s="1"/>
  <c r="Q51" i="24" s="1"/>
  <c r="Q44" i="49"/>
  <c r="Q52" i="24" s="1"/>
  <c r="H44" i="49"/>
  <c r="H52" i="24" s="1"/>
  <c r="G44" i="49"/>
  <c r="G52" i="24" s="1"/>
  <c r="E44" i="49"/>
  <c r="E52" i="24" s="1"/>
  <c r="F44" i="49"/>
  <c r="F52" i="24" s="1"/>
  <c r="Q89" i="30"/>
  <c r="Q87" i="30" s="1"/>
  <c r="Q112" i="24" s="1"/>
  <c r="F87" i="49"/>
  <c r="F113" i="24" s="1"/>
  <c r="M87" i="49"/>
  <c r="M113" i="24" s="1"/>
  <c r="Q87" i="49"/>
  <c r="Q113" i="24" s="1"/>
  <c r="H87" i="49"/>
  <c r="H113" i="24" s="1"/>
  <c r="L87" i="49"/>
  <c r="L113" i="24" s="1"/>
  <c r="P87" i="49"/>
  <c r="P113" i="24" s="1"/>
  <c r="G87" i="49"/>
  <c r="G113" i="24" s="1"/>
  <c r="K87" i="49"/>
  <c r="K113" i="24" s="1"/>
  <c r="O87" i="49"/>
  <c r="O113" i="24" s="1"/>
  <c r="E87" i="49"/>
  <c r="E113" i="24" s="1"/>
  <c r="J87" i="49"/>
  <c r="J113" i="24" s="1"/>
  <c r="N87" i="49"/>
  <c r="N113" i="24" s="1"/>
  <c r="I87" i="49"/>
  <c r="I113" i="24" s="1"/>
  <c r="Q65" i="30"/>
  <c r="Q63" i="30" s="1"/>
  <c r="Q78" i="24" s="1"/>
  <c r="M63" i="49"/>
  <c r="M79" i="24" s="1"/>
  <c r="L63" i="49"/>
  <c r="L79" i="24" s="1"/>
  <c r="G63" i="49"/>
  <c r="G79" i="24" s="1"/>
  <c r="K63" i="49"/>
  <c r="K79" i="24" s="1"/>
  <c r="O63" i="49"/>
  <c r="O79" i="24" s="1"/>
  <c r="E63" i="49"/>
  <c r="E79" i="24" s="1"/>
  <c r="J63" i="49"/>
  <c r="J79" i="24" s="1"/>
  <c r="N63" i="49"/>
  <c r="N79" i="24" s="1"/>
  <c r="F63" i="49"/>
  <c r="F79" i="24" s="1"/>
  <c r="I63" i="49"/>
  <c r="I79" i="24" s="1"/>
  <c r="K81" i="24" s="1"/>
  <c r="L81" i="24" s="1"/>
  <c r="M81" i="24" s="1"/>
  <c r="N81" i="24" s="1"/>
  <c r="O81" i="24" s="1"/>
  <c r="P81" i="24" s="1"/>
  <c r="Q63" i="49"/>
  <c r="Q79" i="24" s="1"/>
  <c r="H63" i="49"/>
  <c r="H79" i="24" s="1"/>
  <c r="P63" i="49"/>
  <c r="P79" i="24" s="1"/>
  <c r="Q39" i="30"/>
  <c r="Q37" i="30" s="1"/>
  <c r="Q41" i="24" s="1"/>
  <c r="H37" i="49"/>
  <c r="H42" i="24" s="1"/>
  <c r="G37" i="49"/>
  <c r="G42" i="24" s="1"/>
  <c r="E37" i="49"/>
  <c r="E42" i="24" s="1"/>
  <c r="F37" i="49"/>
  <c r="F42" i="24" s="1"/>
  <c r="Q37" i="49"/>
  <c r="Q42" i="24" s="1"/>
  <c r="Q83" i="30"/>
  <c r="Q81" i="30" s="1"/>
  <c r="Q102" i="24" s="1"/>
  <c r="H81" i="49"/>
  <c r="H103" i="24" s="1"/>
  <c r="G81" i="49"/>
  <c r="G103" i="24" s="1"/>
  <c r="K81" i="49"/>
  <c r="K103" i="24" s="1"/>
  <c r="O81" i="49"/>
  <c r="O103" i="24" s="1"/>
  <c r="E81" i="49"/>
  <c r="E103" i="24" s="1"/>
  <c r="J81" i="49"/>
  <c r="J103" i="24" s="1"/>
  <c r="N81" i="49"/>
  <c r="N103" i="24" s="1"/>
  <c r="F81" i="49"/>
  <c r="F103" i="24" s="1"/>
  <c r="I81" i="49"/>
  <c r="I103" i="24" s="1"/>
  <c r="M81" i="49"/>
  <c r="M103" i="24" s="1"/>
  <c r="Q81" i="49"/>
  <c r="Q103" i="24" s="1"/>
  <c r="L81" i="49"/>
  <c r="L103" i="24" s="1"/>
  <c r="P81" i="49"/>
  <c r="P103" i="24" s="1"/>
  <c r="Q92" i="30"/>
  <c r="Q90" i="30" s="1"/>
  <c r="Q117" i="24" s="1"/>
  <c r="J90" i="49"/>
  <c r="J118" i="24" s="1"/>
  <c r="I90" i="49"/>
  <c r="I118" i="24" s="1"/>
  <c r="F90" i="49"/>
  <c r="F118" i="24" s="1"/>
  <c r="H90" i="49"/>
  <c r="H118" i="24" s="1"/>
  <c r="L90" i="49"/>
  <c r="L118" i="24" s="1"/>
  <c r="P90" i="49"/>
  <c r="P118" i="24" s="1"/>
  <c r="G90" i="49"/>
  <c r="G118" i="24" s="1"/>
  <c r="K90" i="49"/>
  <c r="K118" i="24" s="1"/>
  <c r="O90" i="49"/>
  <c r="O118" i="24" s="1"/>
  <c r="E90" i="49"/>
  <c r="E118" i="24" s="1"/>
  <c r="N90" i="49"/>
  <c r="N118" i="24" s="1"/>
  <c r="M90" i="49"/>
  <c r="M118" i="24" s="1"/>
  <c r="Q90" i="49"/>
  <c r="Q118" i="24" s="1"/>
  <c r="Q69" i="30"/>
  <c r="Q67" i="30" s="1"/>
  <c r="Q83" i="24" s="1"/>
  <c r="J67" i="49"/>
  <c r="J84" i="24" s="1"/>
  <c r="F67" i="49"/>
  <c r="F84" i="24" s="1"/>
  <c r="I67" i="49"/>
  <c r="I84" i="24" s="1"/>
  <c r="M67" i="49"/>
  <c r="M84" i="24" s="1"/>
  <c r="Q67" i="49"/>
  <c r="Q84" i="24" s="1"/>
  <c r="H67" i="49"/>
  <c r="H84" i="24" s="1"/>
  <c r="L67" i="49"/>
  <c r="L84" i="24" s="1"/>
  <c r="P67" i="49"/>
  <c r="P84" i="24" s="1"/>
  <c r="G67" i="49"/>
  <c r="G84" i="24" s="1"/>
  <c r="K67" i="49"/>
  <c r="K84" i="24" s="1"/>
  <c r="O67" i="49"/>
  <c r="O84" i="24" s="1"/>
  <c r="E67" i="49"/>
  <c r="E84" i="24" s="1"/>
  <c r="N67" i="49"/>
  <c r="N84" i="24" s="1"/>
  <c r="Q43" i="30"/>
  <c r="Q41" i="30" s="1"/>
  <c r="G41" i="49"/>
  <c r="G47" i="24" s="1"/>
  <c r="K41" i="49"/>
  <c r="K47" i="24" s="1"/>
  <c r="O41" i="49"/>
  <c r="O47" i="24" s="1"/>
  <c r="E41" i="49"/>
  <c r="E47" i="24" s="1"/>
  <c r="J41" i="49"/>
  <c r="J47" i="24" s="1"/>
  <c r="N41" i="49"/>
  <c r="N47" i="24" s="1"/>
  <c r="F41" i="49"/>
  <c r="F47" i="24" s="1"/>
  <c r="I41" i="49"/>
  <c r="I47" i="24" s="1"/>
  <c r="M41" i="49"/>
  <c r="M47" i="24" s="1"/>
  <c r="Q41" i="49"/>
  <c r="Q47" i="24" s="1"/>
  <c r="H41" i="49"/>
  <c r="H47" i="24" s="1"/>
  <c r="L41" i="49"/>
  <c r="L47" i="24" s="1"/>
  <c r="P41" i="49"/>
  <c r="P47" i="24" s="1"/>
  <c r="N92" i="30"/>
  <c r="N90" i="30" s="1"/>
  <c r="N117" i="24" s="1"/>
  <c r="K92" i="30"/>
  <c r="K90" i="30" s="1"/>
  <c r="K117" i="24" s="1"/>
  <c r="L92" i="30"/>
  <c r="L90" i="30" s="1"/>
  <c r="L117" i="24" s="1"/>
  <c r="O92" i="30"/>
  <c r="O90" i="30" s="1"/>
  <c r="O117" i="24" s="1"/>
  <c r="H92" i="30"/>
  <c r="H90" i="30" s="1"/>
  <c r="H117" i="24" s="1"/>
  <c r="I92" i="30"/>
  <c r="I90" i="30" s="1"/>
  <c r="I117" i="24" s="1"/>
  <c r="F92" i="30"/>
  <c r="P92" i="30"/>
  <c r="P90" i="30" s="1"/>
  <c r="P117" i="24" s="1"/>
  <c r="M92" i="30"/>
  <c r="M90" i="30" s="1"/>
  <c r="M117" i="24" s="1"/>
  <c r="J92" i="30"/>
  <c r="J90" i="30" s="1"/>
  <c r="J117" i="24" s="1"/>
  <c r="G92" i="30"/>
  <c r="G90" i="30" s="1"/>
  <c r="G117" i="24" s="1"/>
  <c r="O65" i="30"/>
  <c r="O63" i="30" s="1"/>
  <c r="I65" i="30"/>
  <c r="I63" i="30" s="1"/>
  <c r="P65" i="30"/>
  <c r="P63" i="30" s="1"/>
  <c r="M65" i="30"/>
  <c r="M63" i="30" s="1"/>
  <c r="F65" i="30"/>
  <c r="F63" i="30" s="1"/>
  <c r="G65" i="30"/>
  <c r="G63" i="30" s="1"/>
  <c r="J65" i="30"/>
  <c r="J63" i="30" s="1"/>
  <c r="H65" i="30"/>
  <c r="H63" i="30" s="1"/>
  <c r="K65" i="30"/>
  <c r="K63" i="30" s="1"/>
  <c r="N65" i="30"/>
  <c r="N63" i="30" s="1"/>
  <c r="L65" i="30"/>
  <c r="L63" i="30" s="1"/>
  <c r="F26" i="35"/>
  <c r="F151" i="24"/>
  <c r="G98" i="34"/>
  <c r="G95" i="34" s="1"/>
  <c r="G74" i="34" s="1"/>
  <c r="F124" i="24"/>
  <c r="F83" i="30"/>
  <c r="F81" i="30" s="1"/>
  <c r="E83" i="30"/>
  <c r="E81" i="30" s="1"/>
  <c r="E102" i="24" s="1"/>
  <c r="I83" i="30"/>
  <c r="I81" i="30" s="1"/>
  <c r="M83" i="30"/>
  <c r="M81" i="30" s="1"/>
  <c r="H83" i="30"/>
  <c r="H81" i="30" s="1"/>
  <c r="L83" i="30"/>
  <c r="L81" i="30" s="1"/>
  <c r="P83" i="30"/>
  <c r="P81" i="30" s="1"/>
  <c r="P102" i="24" s="1"/>
  <c r="G83" i="30"/>
  <c r="G81" i="30" s="1"/>
  <c r="K83" i="30"/>
  <c r="K81" i="30" s="1"/>
  <c r="O83" i="30"/>
  <c r="O81" i="30" s="1"/>
  <c r="J83" i="30"/>
  <c r="J81" i="30" s="1"/>
  <c r="N83" i="30"/>
  <c r="N81" i="30" s="1"/>
  <c r="G89" i="30"/>
  <c r="G87" i="30" s="1"/>
  <c r="G112" i="24" s="1"/>
  <c r="K89" i="30"/>
  <c r="K87" i="30" s="1"/>
  <c r="K112" i="24" s="1"/>
  <c r="O89" i="30"/>
  <c r="O87" i="30" s="1"/>
  <c r="O112" i="24" s="1"/>
  <c r="F89" i="30"/>
  <c r="F87" i="30" s="1"/>
  <c r="F112" i="24" s="1"/>
  <c r="J89" i="30"/>
  <c r="J87" i="30" s="1"/>
  <c r="J112" i="24" s="1"/>
  <c r="N89" i="30"/>
  <c r="N87" i="30" s="1"/>
  <c r="N112" i="24" s="1"/>
  <c r="E89" i="30"/>
  <c r="E87" i="30" s="1"/>
  <c r="E112" i="24" s="1"/>
  <c r="I89" i="30"/>
  <c r="I87" i="30" s="1"/>
  <c r="I112" i="24" s="1"/>
  <c r="M89" i="30"/>
  <c r="M87" i="30" s="1"/>
  <c r="M112" i="24" s="1"/>
  <c r="H89" i="30"/>
  <c r="H87" i="30" s="1"/>
  <c r="H112" i="24" s="1"/>
  <c r="L89" i="30"/>
  <c r="L87" i="30" s="1"/>
  <c r="L112" i="24" s="1"/>
  <c r="P89" i="30"/>
  <c r="P87" i="30" s="1"/>
  <c r="P112" i="24" s="1"/>
  <c r="F90" i="30"/>
  <c r="F117" i="24" s="1"/>
  <c r="E92" i="30"/>
  <c r="E90" i="30" s="1"/>
  <c r="J96" i="30"/>
  <c r="E96" i="30"/>
  <c r="E94" i="30" s="1"/>
  <c r="E122" i="24" s="1"/>
  <c r="I96" i="30"/>
  <c r="M96" i="30"/>
  <c r="H96" i="30"/>
  <c r="L96" i="30"/>
  <c r="P96" i="30"/>
  <c r="G96" i="30"/>
  <c r="K96" i="30"/>
  <c r="O96" i="30"/>
  <c r="F96" i="30"/>
  <c r="N96" i="30"/>
  <c r="G111" i="34"/>
  <c r="G108" i="34" s="1"/>
  <c r="G141" i="24" s="1"/>
  <c r="F141" i="24"/>
  <c r="O86" i="30"/>
  <c r="O84" i="30" s="1"/>
  <c r="O107" i="24" s="1"/>
  <c r="F86" i="30"/>
  <c r="F84" i="30" s="1"/>
  <c r="F107" i="24" s="1"/>
  <c r="J86" i="30"/>
  <c r="J84" i="30" s="1"/>
  <c r="J107" i="24" s="1"/>
  <c r="N86" i="30"/>
  <c r="N84" i="30" s="1"/>
  <c r="N107" i="24" s="1"/>
  <c r="E86" i="30"/>
  <c r="E84" i="30" s="1"/>
  <c r="E107" i="24" s="1"/>
  <c r="I86" i="30"/>
  <c r="I84" i="30" s="1"/>
  <c r="I107" i="24" s="1"/>
  <c r="M86" i="30"/>
  <c r="M84" i="30" s="1"/>
  <c r="M107" i="24" s="1"/>
  <c r="H86" i="30"/>
  <c r="H84" i="30" s="1"/>
  <c r="H107" i="24" s="1"/>
  <c r="L86" i="30"/>
  <c r="L84" i="30" s="1"/>
  <c r="L107" i="24" s="1"/>
  <c r="P86" i="30"/>
  <c r="P84" i="30" s="1"/>
  <c r="P107" i="24" s="1"/>
  <c r="G86" i="30"/>
  <c r="G84" i="30" s="1"/>
  <c r="G107" i="24" s="1"/>
  <c r="K86" i="30"/>
  <c r="K84" i="30" s="1"/>
  <c r="K107" i="24" s="1"/>
  <c r="G123" i="34"/>
  <c r="G120" i="34" s="1"/>
  <c r="F156" i="24"/>
  <c r="G119" i="34"/>
  <c r="G116" i="34" s="1"/>
  <c r="F74" i="34"/>
  <c r="E51" i="34"/>
  <c r="E65" i="24" s="1"/>
  <c r="E33" i="34"/>
  <c r="E38" i="24" s="1"/>
  <c r="E37" i="34"/>
  <c r="E44" i="34"/>
  <c r="E53" i="24" s="1"/>
  <c r="E68" i="34"/>
  <c r="E85" i="24" s="1"/>
  <c r="E41" i="34"/>
  <c r="G46" i="30"/>
  <c r="G44" i="30" s="1"/>
  <c r="K46" i="30"/>
  <c r="K44" i="30" s="1"/>
  <c r="O46" i="30"/>
  <c r="O44" i="30" s="1"/>
  <c r="F46" i="30"/>
  <c r="F44" i="30" s="1"/>
  <c r="J46" i="30"/>
  <c r="J44" i="30" s="1"/>
  <c r="N46" i="30"/>
  <c r="N44" i="30" s="1"/>
  <c r="E46" i="30"/>
  <c r="E44" i="30" s="1"/>
  <c r="I46" i="30"/>
  <c r="I44" i="30" s="1"/>
  <c r="M46" i="30"/>
  <c r="M44" i="30" s="1"/>
  <c r="H46" i="30"/>
  <c r="H44" i="30" s="1"/>
  <c r="L46" i="30"/>
  <c r="L44" i="30" s="1"/>
  <c r="P46" i="30"/>
  <c r="P44" i="30" s="1"/>
  <c r="G53" i="30"/>
  <c r="G51" i="30" s="1"/>
  <c r="K53" i="30"/>
  <c r="K51" i="30" s="1"/>
  <c r="O53" i="30"/>
  <c r="O51" i="30" s="1"/>
  <c r="E53" i="30"/>
  <c r="E51" i="30" s="1"/>
  <c r="E63" i="24" s="1"/>
  <c r="J53" i="30"/>
  <c r="J51" i="30" s="1"/>
  <c r="N53" i="30"/>
  <c r="N51" i="30" s="1"/>
  <c r="F53" i="30"/>
  <c r="F51" i="30" s="1"/>
  <c r="I53" i="30"/>
  <c r="I51" i="30" s="1"/>
  <c r="M53" i="30"/>
  <c r="M51" i="30" s="1"/>
  <c r="H53" i="30"/>
  <c r="H51" i="30" s="1"/>
  <c r="L53" i="30"/>
  <c r="L51" i="30" s="1"/>
  <c r="L63" i="24" s="1"/>
  <c r="P53" i="30"/>
  <c r="P51" i="30" s="1"/>
  <c r="G35" i="30"/>
  <c r="G33" i="30" s="1"/>
  <c r="K35" i="30"/>
  <c r="K33" i="30" s="1"/>
  <c r="O35" i="30"/>
  <c r="O33" i="30" s="1"/>
  <c r="E35" i="30"/>
  <c r="E33" i="30" s="1"/>
  <c r="E36" i="24" s="1"/>
  <c r="J35" i="30"/>
  <c r="J33" i="30" s="1"/>
  <c r="N35" i="30"/>
  <c r="N33" i="30" s="1"/>
  <c r="F35" i="30"/>
  <c r="F33" i="30" s="1"/>
  <c r="I35" i="30"/>
  <c r="I33" i="30" s="1"/>
  <c r="M35" i="30"/>
  <c r="M33" i="30" s="1"/>
  <c r="H35" i="30"/>
  <c r="H33" i="30" s="1"/>
  <c r="L35" i="30"/>
  <c r="L33" i="30" s="1"/>
  <c r="P35" i="30"/>
  <c r="P33" i="30" s="1"/>
  <c r="E65" i="30"/>
  <c r="G39" i="30"/>
  <c r="G37" i="30" s="1"/>
  <c r="K39" i="30"/>
  <c r="K37" i="30" s="1"/>
  <c r="O39" i="30"/>
  <c r="O37" i="30" s="1"/>
  <c r="F39" i="30"/>
  <c r="F37" i="30" s="1"/>
  <c r="J39" i="30"/>
  <c r="J37" i="30" s="1"/>
  <c r="N39" i="30"/>
  <c r="N37" i="30" s="1"/>
  <c r="E39" i="30"/>
  <c r="E37" i="30" s="1"/>
  <c r="E41" i="24" s="1"/>
  <c r="I39" i="30"/>
  <c r="I37" i="30" s="1"/>
  <c r="M39" i="30"/>
  <c r="M37" i="30" s="1"/>
  <c r="H39" i="30"/>
  <c r="H37" i="30" s="1"/>
  <c r="L39" i="30"/>
  <c r="L37" i="30" s="1"/>
  <c r="P39" i="30"/>
  <c r="P37" i="30" s="1"/>
  <c r="G69" i="30"/>
  <c r="G67" i="30" s="1"/>
  <c r="K69" i="30"/>
  <c r="K67" i="30" s="1"/>
  <c r="O69" i="30"/>
  <c r="O67" i="30" s="1"/>
  <c r="E69" i="30"/>
  <c r="E67" i="30" s="1"/>
  <c r="E83" i="24" s="1"/>
  <c r="J69" i="30"/>
  <c r="J67" i="30" s="1"/>
  <c r="N69" i="30"/>
  <c r="N67" i="30" s="1"/>
  <c r="F69" i="30"/>
  <c r="F67" i="30" s="1"/>
  <c r="I69" i="30"/>
  <c r="I67" i="30" s="1"/>
  <c r="M69" i="30"/>
  <c r="M67" i="30" s="1"/>
  <c r="H69" i="30"/>
  <c r="H67" i="30" s="1"/>
  <c r="L69" i="30"/>
  <c r="L67" i="30" s="1"/>
  <c r="P69" i="30"/>
  <c r="P67" i="30" s="1"/>
  <c r="G43" i="30"/>
  <c r="G41" i="30" s="1"/>
  <c r="G46" i="24" s="1"/>
  <c r="K43" i="30"/>
  <c r="K41" i="30" s="1"/>
  <c r="K46" i="24" s="1"/>
  <c r="O43" i="30"/>
  <c r="O41" i="30" s="1"/>
  <c r="O46" i="24" s="1"/>
  <c r="F43" i="30"/>
  <c r="F41" i="30" s="1"/>
  <c r="F46" i="24" s="1"/>
  <c r="J43" i="30"/>
  <c r="J41" i="30" s="1"/>
  <c r="J46" i="24" s="1"/>
  <c r="N43" i="30"/>
  <c r="N41" i="30" s="1"/>
  <c r="N46" i="24" s="1"/>
  <c r="E43" i="30"/>
  <c r="E41" i="30" s="1"/>
  <c r="I43" i="30"/>
  <c r="I41" i="30" s="1"/>
  <c r="I46" i="24" s="1"/>
  <c r="M43" i="30"/>
  <c r="M41" i="30" s="1"/>
  <c r="M46" i="24" s="1"/>
  <c r="H43" i="30"/>
  <c r="H41" i="30" s="1"/>
  <c r="H46" i="24" s="1"/>
  <c r="L43" i="30"/>
  <c r="L41" i="30" s="1"/>
  <c r="L46" i="24" s="1"/>
  <c r="P43" i="30"/>
  <c r="P41" i="30" s="1"/>
  <c r="P46" i="24" s="1"/>
  <c r="E65" i="20"/>
  <c r="G106" i="24" l="1"/>
  <c r="H106" i="24"/>
  <c r="J54" i="49"/>
  <c r="J51" i="49" s="1"/>
  <c r="J64" i="24" s="1"/>
  <c r="H54" i="49"/>
  <c r="H51" i="49" s="1"/>
  <c r="H64" i="24" s="1"/>
  <c r="H18" i="1"/>
  <c r="H88" i="23"/>
  <c r="H89" i="23"/>
  <c r="H23" i="25"/>
  <c r="H62" i="1" s="1"/>
  <c r="H115" i="23"/>
  <c r="K54" i="48"/>
  <c r="K64" i="48"/>
  <c r="M95" i="46"/>
  <c r="N103" i="46" s="1"/>
  <c r="M98" i="46"/>
  <c r="L215" i="46"/>
  <c r="M65" i="48"/>
  <c r="L55" i="48"/>
  <c r="L66" i="48"/>
  <c r="L63" i="48"/>
  <c r="O104" i="46"/>
  <c r="K106" i="24"/>
  <c r="F106" i="24"/>
  <c r="P111" i="24"/>
  <c r="J111" i="24"/>
  <c r="G111" i="24"/>
  <c r="O116" i="24"/>
  <c r="N106" i="24"/>
  <c r="F116" i="24"/>
  <c r="G116" i="24"/>
  <c r="Q111" i="24"/>
  <c r="P101" i="24"/>
  <c r="N116" i="24"/>
  <c r="Q82" i="24"/>
  <c r="Q43" i="1" s="1"/>
  <c r="Q50" i="24"/>
  <c r="Q37" i="1" s="1"/>
  <c r="P106" i="24"/>
  <c r="I106" i="24"/>
  <c r="H111" i="24"/>
  <c r="N111" i="24"/>
  <c r="K111" i="24"/>
  <c r="J214" i="46"/>
  <c r="K54" i="49" s="1"/>
  <c r="K51" i="49" s="1"/>
  <c r="K64" i="24" s="1"/>
  <c r="J99" i="46"/>
  <c r="L106" i="24"/>
  <c r="O106" i="24"/>
  <c r="L116" i="24"/>
  <c r="Q46" i="24"/>
  <c r="Q45" i="24" s="1"/>
  <c r="Q36" i="1" s="1"/>
  <c r="Q116" i="24"/>
  <c r="Q40" i="24"/>
  <c r="Q35" i="1" s="1"/>
  <c r="L93" i="46"/>
  <c r="K91" i="46"/>
  <c r="I111" i="24"/>
  <c r="F111" i="24"/>
  <c r="J116" i="24"/>
  <c r="M106" i="24"/>
  <c r="J106" i="24"/>
  <c r="L111" i="24"/>
  <c r="O111" i="24"/>
  <c r="Q101" i="24"/>
  <c r="I116" i="24"/>
  <c r="K116" i="24"/>
  <c r="E117" i="24"/>
  <c r="E116" i="24" s="1"/>
  <c r="Q35" i="24"/>
  <c r="P116" i="24"/>
  <c r="H37" i="24"/>
  <c r="F37" i="24"/>
  <c r="G37" i="24"/>
  <c r="F97" i="49"/>
  <c r="F94" i="49" s="1"/>
  <c r="E123" i="24"/>
  <c r="E121" i="24" s="1"/>
  <c r="F125" i="24" s="1"/>
  <c r="E111" i="24"/>
  <c r="M116" i="24"/>
  <c r="H116" i="24"/>
  <c r="I37" i="24"/>
  <c r="E37" i="24"/>
  <c r="E35" i="24" s="1"/>
  <c r="Q106" i="24"/>
  <c r="E106" i="24"/>
  <c r="M111" i="24"/>
  <c r="G28" i="50"/>
  <c r="F28" i="50"/>
  <c r="R28" i="31"/>
  <c r="R31" i="31" s="1"/>
  <c r="Q63" i="24"/>
  <c r="Q79" i="30"/>
  <c r="Q77" i="30" s="1"/>
  <c r="Q97" i="24" s="1"/>
  <c r="G77" i="49"/>
  <c r="G98" i="24" s="1"/>
  <c r="F77" i="49"/>
  <c r="F98" i="24" s="1"/>
  <c r="Q77" i="49"/>
  <c r="Q98" i="24" s="1"/>
  <c r="H77" i="49"/>
  <c r="H98" i="24" s="1"/>
  <c r="E77" i="49"/>
  <c r="E98" i="24" s="1"/>
  <c r="M28" i="31"/>
  <c r="G28" i="31"/>
  <c r="H28" i="31"/>
  <c r="K28" i="31"/>
  <c r="L28" i="31"/>
  <c r="O28" i="31"/>
  <c r="P28" i="31"/>
  <c r="Q28" i="31"/>
  <c r="J28" i="31"/>
  <c r="N28" i="31"/>
  <c r="I28" i="31"/>
  <c r="P79" i="30"/>
  <c r="P77" i="30" s="1"/>
  <c r="P97" i="24" s="1"/>
  <c r="J79" i="30"/>
  <c r="J77" i="30" s="1"/>
  <c r="J97" i="24" s="1"/>
  <c r="G79" i="30"/>
  <c r="G77" i="30" s="1"/>
  <c r="G97" i="24" s="1"/>
  <c r="N79" i="30"/>
  <c r="N77" i="30" s="1"/>
  <c r="N97" i="24" s="1"/>
  <c r="K79" i="30"/>
  <c r="K77" i="30" s="1"/>
  <c r="K97" i="24" s="1"/>
  <c r="H79" i="30"/>
  <c r="H77" i="30" s="1"/>
  <c r="H97" i="24" s="1"/>
  <c r="O79" i="30"/>
  <c r="O77" i="30" s="1"/>
  <c r="O97" i="24" s="1"/>
  <c r="I79" i="30"/>
  <c r="I77" i="30" s="1"/>
  <c r="I97" i="24" s="1"/>
  <c r="L79" i="30"/>
  <c r="L77" i="30" s="1"/>
  <c r="L97" i="24" s="1"/>
  <c r="F79" i="30"/>
  <c r="F77" i="30" s="1"/>
  <c r="F97" i="24" s="1"/>
  <c r="M79" i="30"/>
  <c r="M77" i="30" s="1"/>
  <c r="M97" i="24" s="1"/>
  <c r="K102" i="24"/>
  <c r="K101" i="24" s="1"/>
  <c r="F102" i="24"/>
  <c r="F101" i="24" s="1"/>
  <c r="G26" i="35"/>
  <c r="G151" i="24"/>
  <c r="F97" i="30"/>
  <c r="F94" i="30" s="1"/>
  <c r="O102" i="24"/>
  <c r="O101" i="24" s="1"/>
  <c r="L102" i="24"/>
  <c r="L101" i="24" s="1"/>
  <c r="H123" i="34"/>
  <c r="H120" i="34" s="1"/>
  <c r="G156" i="24"/>
  <c r="J102" i="24"/>
  <c r="J101" i="24" s="1"/>
  <c r="I102" i="24"/>
  <c r="I101" i="24" s="1"/>
  <c r="H98" i="34"/>
  <c r="H95" i="34" s="1"/>
  <c r="H24" i="35" s="1"/>
  <c r="G124" i="24"/>
  <c r="H102" i="24"/>
  <c r="H101" i="24" s="1"/>
  <c r="E101" i="24"/>
  <c r="E79" i="30"/>
  <c r="E77" i="30" s="1"/>
  <c r="E48" i="24"/>
  <c r="E43" i="24"/>
  <c r="N102" i="24"/>
  <c r="N101" i="24" s="1"/>
  <c r="G102" i="24"/>
  <c r="G101" i="24" s="1"/>
  <c r="M102" i="24"/>
  <c r="M101" i="24" s="1"/>
  <c r="H111" i="34"/>
  <c r="H108" i="34" s="1"/>
  <c r="H141" i="24" s="1"/>
  <c r="H45" i="24"/>
  <c r="H36" i="1" s="1"/>
  <c r="K45" i="24"/>
  <c r="K36" i="1" s="1"/>
  <c r="N83" i="24"/>
  <c r="N82" i="24" s="1"/>
  <c r="N43" i="1" s="1"/>
  <c r="H41" i="24"/>
  <c r="H40" i="24" s="1"/>
  <c r="H35" i="1" s="1"/>
  <c r="K41" i="24"/>
  <c r="N78" i="24"/>
  <c r="H36" i="24"/>
  <c r="N36" i="24"/>
  <c r="N35" i="24" s="1"/>
  <c r="H63" i="24"/>
  <c r="H51" i="24"/>
  <c r="H50" i="24" s="1"/>
  <c r="H37" i="1" s="1"/>
  <c r="K51" i="24"/>
  <c r="E46" i="24"/>
  <c r="L83" i="24"/>
  <c r="L82" i="24" s="1"/>
  <c r="L43" i="1" s="1"/>
  <c r="O83" i="24"/>
  <c r="O82" i="24" s="1"/>
  <c r="O43" i="1" s="1"/>
  <c r="O41" i="24"/>
  <c r="F78" i="24"/>
  <c r="L36" i="24"/>
  <c r="L35" i="24" s="1"/>
  <c r="O36" i="24"/>
  <c r="O35" i="24" s="1"/>
  <c r="F63" i="24"/>
  <c r="F62" i="24" s="1"/>
  <c r="O63" i="24"/>
  <c r="E51" i="24"/>
  <c r="E50" i="24" s="1"/>
  <c r="E37" i="1" s="1"/>
  <c r="O51" i="24"/>
  <c r="P45" i="24"/>
  <c r="P36" i="1" s="1"/>
  <c r="I45" i="24"/>
  <c r="I36" i="1" s="1"/>
  <c r="F45" i="24"/>
  <c r="F36" i="1" s="1"/>
  <c r="P83" i="24"/>
  <c r="P82" i="24" s="1"/>
  <c r="P43" i="1" s="1"/>
  <c r="I83" i="24"/>
  <c r="I82" i="24" s="1"/>
  <c r="I43" i="1" s="1"/>
  <c r="E82" i="24"/>
  <c r="E43" i="1" s="1"/>
  <c r="P41" i="24"/>
  <c r="I41" i="24"/>
  <c r="F41" i="24"/>
  <c r="F40" i="24" s="1"/>
  <c r="F35" i="1" s="1"/>
  <c r="P78" i="24"/>
  <c r="I78" i="24"/>
  <c r="P36" i="24"/>
  <c r="P35" i="24" s="1"/>
  <c r="I36" i="24"/>
  <c r="P63" i="24"/>
  <c r="I63" i="24"/>
  <c r="I62" i="24" s="1"/>
  <c r="E62" i="24"/>
  <c r="E39" i="1" s="1"/>
  <c r="P51" i="24"/>
  <c r="I51" i="24"/>
  <c r="F51" i="24"/>
  <c r="F50" i="24" s="1"/>
  <c r="F37" i="1" s="1"/>
  <c r="N45" i="24"/>
  <c r="N36" i="1" s="1"/>
  <c r="H83" i="24"/>
  <c r="H82" i="24" s="1"/>
  <c r="H43" i="1" s="1"/>
  <c r="K83" i="24"/>
  <c r="K82" i="24" s="1"/>
  <c r="K43" i="1" s="1"/>
  <c r="N41" i="24"/>
  <c r="H78" i="24"/>
  <c r="K78" i="24"/>
  <c r="K36" i="24"/>
  <c r="K35" i="24" s="1"/>
  <c r="N63" i="24"/>
  <c r="K63" i="24"/>
  <c r="N51" i="24"/>
  <c r="L45" i="24"/>
  <c r="L36" i="1" s="1"/>
  <c r="O45" i="24"/>
  <c r="O36" i="1" s="1"/>
  <c r="F83" i="24"/>
  <c r="F82" i="24" s="1"/>
  <c r="F43" i="1" s="1"/>
  <c r="L41" i="24"/>
  <c r="L78" i="24"/>
  <c r="O78" i="24"/>
  <c r="F36" i="24"/>
  <c r="L51" i="24"/>
  <c r="M45" i="24"/>
  <c r="M36" i="1" s="1"/>
  <c r="J45" i="24"/>
  <c r="J36" i="1" s="1"/>
  <c r="G45" i="24"/>
  <c r="G36" i="1" s="1"/>
  <c r="M83" i="24"/>
  <c r="M82" i="24" s="1"/>
  <c r="M43" i="1" s="1"/>
  <c r="J83" i="24"/>
  <c r="J82" i="24" s="1"/>
  <c r="J43" i="1" s="1"/>
  <c r="G83" i="24"/>
  <c r="G82" i="24" s="1"/>
  <c r="G43" i="1" s="1"/>
  <c r="M41" i="24"/>
  <c r="J41" i="24"/>
  <c r="G41" i="24"/>
  <c r="G40" i="24" s="1"/>
  <c r="G35" i="1" s="1"/>
  <c r="M78" i="24"/>
  <c r="J78" i="24"/>
  <c r="G78" i="24"/>
  <c r="M36" i="24"/>
  <c r="M35" i="24" s="1"/>
  <c r="J36" i="24"/>
  <c r="J35" i="24" s="1"/>
  <c r="G36" i="24"/>
  <c r="M63" i="24"/>
  <c r="J63" i="24"/>
  <c r="G63" i="24"/>
  <c r="G62" i="24" s="1"/>
  <c r="M51" i="24"/>
  <c r="J51" i="24"/>
  <c r="G51" i="24"/>
  <c r="G50" i="24" s="1"/>
  <c r="G37" i="1" s="1"/>
  <c r="H119" i="34"/>
  <c r="H116" i="34" s="1"/>
  <c r="F24" i="35"/>
  <c r="G24" i="35"/>
  <c r="D8" i="1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H62" i="24" l="1"/>
  <c r="H39" i="1" s="1"/>
  <c r="I28" i="50"/>
  <c r="I31" i="50" s="1"/>
  <c r="H28" i="50"/>
  <c r="H31" i="50" s="1"/>
  <c r="K62" i="24"/>
  <c r="K39" i="1" s="1"/>
  <c r="H21" i="1"/>
  <c r="H117" i="23"/>
  <c r="H116" i="23"/>
  <c r="H19" i="1"/>
  <c r="H20" i="1"/>
  <c r="J28" i="50"/>
  <c r="M215" i="46"/>
  <c r="N65" i="48"/>
  <c r="L64" i="48"/>
  <c r="L54" i="48"/>
  <c r="L101" i="23"/>
  <c r="K84" i="23"/>
  <c r="K102" i="23"/>
  <c r="N95" i="46"/>
  <c r="O103" i="46" s="1"/>
  <c r="N98" i="46"/>
  <c r="M66" i="48"/>
  <c r="M55" i="48"/>
  <c r="M63" i="48"/>
  <c r="O96" i="46"/>
  <c r="P104" i="46" s="1"/>
  <c r="P98" i="46" s="1"/>
  <c r="J62" i="24"/>
  <c r="J39" i="1" s="1"/>
  <c r="K28" i="50"/>
  <c r="K214" i="46"/>
  <c r="L54" i="49" s="1"/>
  <c r="L51" i="49" s="1"/>
  <c r="L64" i="24" s="1"/>
  <c r="K99" i="46"/>
  <c r="M93" i="46"/>
  <c r="L91" i="46"/>
  <c r="G35" i="24"/>
  <c r="G34" i="1" s="1"/>
  <c r="F96" i="24"/>
  <c r="F48" i="1" s="1"/>
  <c r="H96" i="24"/>
  <c r="H48" i="1" s="1"/>
  <c r="E97" i="24"/>
  <c r="E96" i="24" s="1"/>
  <c r="E48" i="1" s="1"/>
  <c r="I35" i="24"/>
  <c r="Q34" i="1"/>
  <c r="G96" i="24"/>
  <c r="G48" i="1" s="1"/>
  <c r="G97" i="49"/>
  <c r="G94" i="49" s="1"/>
  <c r="F123" i="24"/>
  <c r="F35" i="24"/>
  <c r="H35" i="24"/>
  <c r="Q96" i="24"/>
  <c r="Q48" i="1" s="1"/>
  <c r="G31" i="50"/>
  <c r="F31" i="50"/>
  <c r="E45" i="24"/>
  <c r="E36" i="1" s="1"/>
  <c r="P34" i="1"/>
  <c r="O34" i="1"/>
  <c r="N34" i="1"/>
  <c r="I39" i="1"/>
  <c r="E34" i="1"/>
  <c r="F39" i="1"/>
  <c r="M34" i="1"/>
  <c r="G39" i="1"/>
  <c r="J34" i="1"/>
  <c r="K34" i="1"/>
  <c r="L34" i="1"/>
  <c r="E40" i="24"/>
  <c r="E35" i="1" s="1"/>
  <c r="H151" i="24"/>
  <c r="I123" i="34"/>
  <c r="I120" i="34" s="1"/>
  <c r="H156" i="24"/>
  <c r="F24" i="31"/>
  <c r="I111" i="34"/>
  <c r="I108" i="34" s="1"/>
  <c r="I141" i="24" s="1"/>
  <c r="I98" i="34"/>
  <c r="I95" i="34" s="1"/>
  <c r="H124" i="24"/>
  <c r="F122" i="24"/>
  <c r="G97" i="30"/>
  <c r="G94" i="30" s="1"/>
  <c r="I119" i="34"/>
  <c r="I116" i="34" s="1"/>
  <c r="I151" i="24" s="1"/>
  <c r="H26" i="35"/>
  <c r="M8" i="10"/>
  <c r="L15" i="10"/>
  <c r="L10" i="10"/>
  <c r="L17" i="10"/>
  <c r="L14" i="10"/>
  <c r="L12" i="10"/>
  <c r="L25" i="10" s="1"/>
  <c r="L19" i="10"/>
  <c r="L11" i="10"/>
  <c r="L13" i="10"/>
  <c r="L18" i="10"/>
  <c r="P96" i="46" l="1"/>
  <c r="S96" i="46" s="1"/>
  <c r="J31" i="50"/>
  <c r="O95" i="46"/>
  <c r="P103" i="46" s="1"/>
  <c r="P95" i="46" s="1"/>
  <c r="S95" i="46" s="1"/>
  <c r="S104" i="46"/>
  <c r="H22" i="1"/>
  <c r="H23" i="1"/>
  <c r="P215" i="46"/>
  <c r="P138" i="46"/>
  <c r="M101" i="23"/>
  <c r="M54" i="48"/>
  <c r="M64" i="48"/>
  <c r="N215" i="46"/>
  <c r="O65" i="48"/>
  <c r="O98" i="46"/>
  <c r="Q65" i="48" s="1"/>
  <c r="K98" i="23"/>
  <c r="K82" i="23"/>
  <c r="N66" i="48"/>
  <c r="N63" i="48"/>
  <c r="N55" i="48"/>
  <c r="L84" i="23"/>
  <c r="L102" i="23"/>
  <c r="L97" i="23"/>
  <c r="F171" i="24"/>
  <c r="K31" i="50"/>
  <c r="I34" i="1"/>
  <c r="F34" i="1"/>
  <c r="F121" i="24"/>
  <c r="G125" i="24" s="1"/>
  <c r="N93" i="46"/>
  <c r="M91" i="46"/>
  <c r="G171" i="24"/>
  <c r="L62" i="24"/>
  <c r="L39" i="1" s="1"/>
  <c r="L28" i="50"/>
  <c r="O28" i="54" s="1"/>
  <c r="O29" i="54" s="1"/>
  <c r="L214" i="46"/>
  <c r="M54" i="49" s="1"/>
  <c r="M51" i="49" s="1"/>
  <c r="L99" i="46"/>
  <c r="Q171" i="24"/>
  <c r="R24" i="25" s="1"/>
  <c r="H34" i="1"/>
  <c r="H171" i="24"/>
  <c r="E171" i="24"/>
  <c r="H97" i="49"/>
  <c r="H94" i="49" s="1"/>
  <c r="G123" i="24"/>
  <c r="J111" i="34"/>
  <c r="J108" i="34" s="1"/>
  <c r="J141" i="24" s="1"/>
  <c r="J98" i="34"/>
  <c r="J95" i="34" s="1"/>
  <c r="I124" i="24"/>
  <c r="I24" i="35"/>
  <c r="J123" i="34"/>
  <c r="J120" i="34" s="1"/>
  <c r="I156" i="24"/>
  <c r="G122" i="24"/>
  <c r="H97" i="30"/>
  <c r="H94" i="30" s="1"/>
  <c r="G24" i="31"/>
  <c r="I26" i="35"/>
  <c r="J119" i="34"/>
  <c r="J116" i="34" s="1"/>
  <c r="L23" i="10"/>
  <c r="N8" i="10"/>
  <c r="M18" i="10"/>
  <c r="M19" i="10"/>
  <c r="M14" i="10"/>
  <c r="M13" i="10"/>
  <c r="M11" i="10"/>
  <c r="M15" i="10"/>
  <c r="M10" i="10"/>
  <c r="M12" i="10"/>
  <c r="M25" i="10" s="1"/>
  <c r="M17" i="10"/>
  <c r="L28" i="54" l="1"/>
  <c r="L29" i="54" s="1"/>
  <c r="N28" i="54"/>
  <c r="N29" i="54" s="1"/>
  <c r="M28" i="54"/>
  <c r="P139" i="46"/>
  <c r="P146" i="46"/>
  <c r="P149" i="46" s="1"/>
  <c r="P148" i="46" s="1"/>
  <c r="P155" i="46" s="1"/>
  <c r="S103" i="46"/>
  <c r="Q55" i="48"/>
  <c r="Q60" i="48" s="1"/>
  <c r="Q61" i="48" s="1"/>
  <c r="Q63" i="48"/>
  <c r="N101" i="23"/>
  <c r="N54" i="48"/>
  <c r="N64" i="48"/>
  <c r="O55" i="48"/>
  <c r="O66" i="48"/>
  <c r="O63" i="48"/>
  <c r="L82" i="23"/>
  <c r="L98" i="23"/>
  <c r="O215" i="46"/>
  <c r="S98" i="46"/>
  <c r="P65" i="48"/>
  <c r="Q66" i="48" s="1"/>
  <c r="M84" i="23"/>
  <c r="M102" i="23"/>
  <c r="M97" i="23"/>
  <c r="G24" i="25"/>
  <c r="F24" i="25"/>
  <c r="F63" i="1" s="1"/>
  <c r="G24" i="52"/>
  <c r="G35" i="52" s="1"/>
  <c r="G20" i="51" s="1"/>
  <c r="H24" i="25"/>
  <c r="M64" i="24"/>
  <c r="M62" i="24" s="1"/>
  <c r="M39" i="1" s="1"/>
  <c r="M28" i="50"/>
  <c r="Q28" i="54" s="1"/>
  <c r="M214" i="46"/>
  <c r="N54" i="49" s="1"/>
  <c r="N51" i="49" s="1"/>
  <c r="M99" i="46"/>
  <c r="L31" i="50"/>
  <c r="O93" i="46"/>
  <c r="N91" i="46"/>
  <c r="I97" i="49"/>
  <c r="I94" i="49" s="1"/>
  <c r="H123" i="24"/>
  <c r="K111" i="34"/>
  <c r="K108" i="34" s="1"/>
  <c r="K141" i="24" s="1"/>
  <c r="G121" i="24"/>
  <c r="K119" i="34"/>
  <c r="K116" i="34" s="1"/>
  <c r="K151" i="24" s="1"/>
  <c r="J151" i="24"/>
  <c r="K123" i="34"/>
  <c r="K120" i="34" s="1"/>
  <c r="J156" i="24"/>
  <c r="K98" i="34"/>
  <c r="K95" i="34" s="1"/>
  <c r="J124" i="24"/>
  <c r="J24" i="35"/>
  <c r="H122" i="24"/>
  <c r="I97" i="30"/>
  <c r="I94" i="30" s="1"/>
  <c r="H24" i="31"/>
  <c r="J26" i="35"/>
  <c r="D23" i="21"/>
  <c r="M23" i="10"/>
  <c r="O8" i="10"/>
  <c r="N17" i="10"/>
  <c r="N15" i="10"/>
  <c r="N13" i="10"/>
  <c r="N12" i="10"/>
  <c r="N25" i="10" s="1"/>
  <c r="N10" i="10"/>
  <c r="N18" i="10"/>
  <c r="N19" i="10"/>
  <c r="N11" i="10"/>
  <c r="N14" i="10"/>
  <c r="D24" i="52" l="1"/>
  <c r="D35" i="52" s="1"/>
  <c r="D20" i="51" s="1"/>
  <c r="F24" i="52"/>
  <c r="F35" i="52" s="1"/>
  <c r="F20" i="51" s="1"/>
  <c r="M29" i="54"/>
  <c r="E24" i="52"/>
  <c r="E35" i="52" s="1"/>
  <c r="E20" i="51" s="1"/>
  <c r="R28" i="54"/>
  <c r="J24" i="52" s="1"/>
  <c r="J35" i="52" s="1"/>
  <c r="P28" i="54"/>
  <c r="S28" i="54"/>
  <c r="K24" i="52" s="1"/>
  <c r="K35" i="52" s="1"/>
  <c r="Q29" i="54"/>
  <c r="I24" i="52"/>
  <c r="I35" i="52" s="1"/>
  <c r="Q54" i="48"/>
  <c r="Q57" i="48" s="1"/>
  <c r="Q101" i="23"/>
  <c r="M98" i="23"/>
  <c r="M82" i="23"/>
  <c r="O64" i="48"/>
  <c r="O54" i="48"/>
  <c r="O101" i="23"/>
  <c r="P55" i="48"/>
  <c r="P66" i="48"/>
  <c r="P63" i="48"/>
  <c r="Q64" i="48" s="1"/>
  <c r="N84" i="23"/>
  <c r="N102" i="23"/>
  <c r="N97" i="23"/>
  <c r="G85" i="52"/>
  <c r="G87" i="52" s="1"/>
  <c r="N214" i="46"/>
  <c r="O54" i="49" s="1"/>
  <c r="O51" i="49" s="1"/>
  <c r="N99" i="46"/>
  <c r="P93" i="46"/>
  <c r="P91" i="46" s="1"/>
  <c r="O91" i="46"/>
  <c r="M31" i="50"/>
  <c r="N64" i="24"/>
  <c r="N62" i="24" s="1"/>
  <c r="N39" i="1" s="1"/>
  <c r="N28" i="50"/>
  <c r="V28" i="54" s="1"/>
  <c r="J97" i="49"/>
  <c r="J94" i="49" s="1"/>
  <c r="I123" i="24"/>
  <c r="G63" i="1"/>
  <c r="D34" i="21"/>
  <c r="L111" i="34"/>
  <c r="L108" i="34" s="1"/>
  <c r="L141" i="24" s="1"/>
  <c r="H125" i="24"/>
  <c r="H121" i="24" s="1"/>
  <c r="L123" i="34"/>
  <c r="L120" i="34" s="1"/>
  <c r="K156" i="24"/>
  <c r="L98" i="34"/>
  <c r="L95" i="34" s="1"/>
  <c r="K124" i="24"/>
  <c r="K24" i="35"/>
  <c r="I122" i="24"/>
  <c r="J97" i="30"/>
  <c r="J94" i="30" s="1"/>
  <c r="I24" i="31"/>
  <c r="K26" i="35"/>
  <c r="L119" i="34"/>
  <c r="L116" i="34" s="1"/>
  <c r="L151" i="24" s="1"/>
  <c r="E23" i="21"/>
  <c r="N23" i="10"/>
  <c r="P8" i="10"/>
  <c r="O17" i="10"/>
  <c r="O15" i="10"/>
  <c r="O10" i="10"/>
  <c r="O18" i="10"/>
  <c r="O14" i="10"/>
  <c r="O13" i="10"/>
  <c r="O19" i="10"/>
  <c r="O11" i="10"/>
  <c r="O12" i="10"/>
  <c r="O25" i="10" s="1"/>
  <c r="R29" i="54" l="1"/>
  <c r="S29" i="54"/>
  <c r="H24" i="52"/>
  <c r="H35" i="52" s="1"/>
  <c r="P29" i="54"/>
  <c r="T28" i="54"/>
  <c r="U28" i="54"/>
  <c r="W28" i="54"/>
  <c r="W29" i="54" s="1"/>
  <c r="I20" i="51"/>
  <c r="I85" i="52"/>
  <c r="I87" i="52" s="1"/>
  <c r="Q73" i="48"/>
  <c r="Q23" i="50"/>
  <c r="Q59" i="48"/>
  <c r="Q84" i="23"/>
  <c r="Q92" i="23" s="1"/>
  <c r="Q93" i="23" s="1"/>
  <c r="Q97" i="23"/>
  <c r="N82" i="23"/>
  <c r="N98" i="23"/>
  <c r="P54" i="48"/>
  <c r="P101" i="23"/>
  <c r="Q102" i="23" s="1"/>
  <c r="P64" i="48"/>
  <c r="O84" i="23"/>
  <c r="O102" i="23"/>
  <c r="O97" i="23"/>
  <c r="O214" i="46"/>
  <c r="P54" i="49" s="1"/>
  <c r="P51" i="49" s="1"/>
  <c r="O99" i="46"/>
  <c r="J20" i="51"/>
  <c r="J85" i="52"/>
  <c r="J87" i="52" s="1"/>
  <c r="V29" i="54"/>
  <c r="N24" i="52"/>
  <c r="N35" i="52" s="1"/>
  <c r="P214" i="46"/>
  <c r="Q54" i="49" s="1"/>
  <c r="Q51" i="49" s="1"/>
  <c r="S91" i="46"/>
  <c r="P99" i="46"/>
  <c r="K20" i="51"/>
  <c r="K85" i="52"/>
  <c r="K87" i="52" s="1"/>
  <c r="N31" i="50"/>
  <c r="O64" i="24"/>
  <c r="O62" i="24" s="1"/>
  <c r="O39" i="1" s="1"/>
  <c r="O28" i="50"/>
  <c r="Y28" i="54" s="1"/>
  <c r="Q24" i="52" s="1"/>
  <c r="Q35" i="52" s="1"/>
  <c r="K97" i="49"/>
  <c r="K94" i="49" s="1"/>
  <c r="J123" i="24"/>
  <c r="M111" i="34"/>
  <c r="M108" i="34" s="1"/>
  <c r="N111" i="34" s="1"/>
  <c r="N108" i="34" s="1"/>
  <c r="E34" i="21"/>
  <c r="M119" i="34"/>
  <c r="M116" i="34" s="1"/>
  <c r="M151" i="24" s="1"/>
  <c r="L26" i="35"/>
  <c r="J122" i="24"/>
  <c r="K97" i="30"/>
  <c r="K94" i="30" s="1"/>
  <c r="J24" i="31"/>
  <c r="M123" i="34"/>
  <c r="M120" i="34" s="1"/>
  <c r="L156" i="24"/>
  <c r="M98" i="34"/>
  <c r="M95" i="34" s="1"/>
  <c r="L124" i="24"/>
  <c r="L24" i="35"/>
  <c r="I125" i="24"/>
  <c r="I121" i="24" s="1"/>
  <c r="H63" i="1"/>
  <c r="F23" i="21"/>
  <c r="O23" i="10"/>
  <c r="Q8" i="10"/>
  <c r="P19" i="10"/>
  <c r="P17" i="10"/>
  <c r="P13" i="10"/>
  <c r="P12" i="10"/>
  <c r="P25" i="10" s="1"/>
  <c r="P15" i="10"/>
  <c r="P10" i="10"/>
  <c r="P11" i="10"/>
  <c r="P14" i="10"/>
  <c r="P18" i="10"/>
  <c r="O24" i="52" l="1"/>
  <c r="O35" i="52" s="1"/>
  <c r="O20" i="51" s="1"/>
  <c r="Z28" i="54"/>
  <c r="R24" i="52" s="1"/>
  <c r="R35" i="52" s="1"/>
  <c r="T29" i="54"/>
  <c r="L24" i="52"/>
  <c r="L35" i="52" s="1"/>
  <c r="AA28" i="54"/>
  <c r="AA29" i="54" s="1"/>
  <c r="X28" i="54"/>
  <c r="U29" i="54"/>
  <c r="M24" i="52"/>
  <c r="M35" i="52" s="1"/>
  <c r="H85" i="52"/>
  <c r="H87" i="52" s="1"/>
  <c r="H20" i="51"/>
  <c r="Q85" i="48"/>
  <c r="Q25" i="50" s="1"/>
  <c r="Q75" i="48"/>
  <c r="Q82" i="23"/>
  <c r="Q87" i="23" s="1"/>
  <c r="AO23" i="54"/>
  <c r="AG23" i="52" s="1"/>
  <c r="AG34" i="52" s="1"/>
  <c r="AG15" i="51" s="1"/>
  <c r="AN23" i="54"/>
  <c r="AF23" i="52" s="1"/>
  <c r="AF34" i="52" s="1"/>
  <c r="AF15" i="51" s="1"/>
  <c r="O82" i="23"/>
  <c r="O98" i="23"/>
  <c r="P84" i="23"/>
  <c r="P102" i="23"/>
  <c r="P97" i="23"/>
  <c r="P82" i="23" s="1"/>
  <c r="AP25" i="54"/>
  <c r="Y29" i="54"/>
  <c r="O31" i="50"/>
  <c r="N20" i="51"/>
  <c r="N85" i="52"/>
  <c r="N87" i="52" s="1"/>
  <c r="P64" i="24"/>
  <c r="P62" i="24" s="1"/>
  <c r="P39" i="1" s="1"/>
  <c r="P28" i="50"/>
  <c r="AD28" i="54" s="1"/>
  <c r="Q64" i="24"/>
  <c r="Q62" i="24" s="1"/>
  <c r="Q39" i="1" s="1"/>
  <c r="R28" i="50"/>
  <c r="R31" i="50" s="1"/>
  <c r="Q28" i="50"/>
  <c r="Q20" i="51"/>
  <c r="Q85" i="52"/>
  <c r="Q87" i="52" s="1"/>
  <c r="L97" i="49"/>
  <c r="L94" i="49" s="1"/>
  <c r="K123" i="24"/>
  <c r="M141" i="24"/>
  <c r="F34" i="21"/>
  <c r="M26" i="35"/>
  <c r="N119" i="34"/>
  <c r="N116" i="34" s="1"/>
  <c r="N151" i="24" s="1"/>
  <c r="J125" i="24"/>
  <c r="J121" i="24" s="1"/>
  <c r="N98" i="34"/>
  <c r="N95" i="34" s="1"/>
  <c r="M124" i="24"/>
  <c r="M24" i="35"/>
  <c r="K122" i="24"/>
  <c r="L97" i="30"/>
  <c r="L94" i="30" s="1"/>
  <c r="K24" i="31"/>
  <c r="O111" i="34"/>
  <c r="O108" i="34" s="1"/>
  <c r="N141" i="24"/>
  <c r="N123" i="34"/>
  <c r="N120" i="34" s="1"/>
  <c r="M156" i="24"/>
  <c r="G23" i="21"/>
  <c r="P23" i="10"/>
  <c r="R8" i="10"/>
  <c r="Q15" i="10"/>
  <c r="Q14" i="10"/>
  <c r="Q12" i="10"/>
  <c r="Q25" i="10" s="1"/>
  <c r="Q11" i="10"/>
  <c r="Q18" i="10"/>
  <c r="Q19" i="10"/>
  <c r="Q10" i="10"/>
  <c r="Q13" i="10"/>
  <c r="Q17" i="10"/>
  <c r="O85" i="52" l="1"/>
  <c r="O87" i="52" s="1"/>
  <c r="Z29" i="54"/>
  <c r="S24" i="52"/>
  <c r="S35" i="52" s="1"/>
  <c r="S85" i="52" s="1"/>
  <c r="S87" i="52" s="1"/>
  <c r="AG28" i="54"/>
  <c r="Y24" i="52" s="1"/>
  <c r="Y35" i="52" s="1"/>
  <c r="AP28" i="54"/>
  <c r="AP29" i="54" s="1"/>
  <c r="AB28" i="54"/>
  <c r="AE28" i="54"/>
  <c r="AE29" i="54" s="1"/>
  <c r="M85" i="52"/>
  <c r="M87" i="52" s="1"/>
  <c r="M20" i="51"/>
  <c r="AC28" i="54"/>
  <c r="L20" i="51"/>
  <c r="L85" i="52"/>
  <c r="L87" i="52" s="1"/>
  <c r="P24" i="52"/>
  <c r="P35" i="52" s="1"/>
  <c r="X29" i="54"/>
  <c r="Q23" i="25"/>
  <c r="Q62" i="1" s="1"/>
  <c r="Q115" i="23"/>
  <c r="Q18" i="1"/>
  <c r="Q89" i="23"/>
  <c r="AO25" i="54"/>
  <c r="AN25" i="54"/>
  <c r="Q98" i="23"/>
  <c r="AP23" i="54"/>
  <c r="P98" i="23"/>
  <c r="AF28" i="54"/>
  <c r="AF29" i="54" s="1"/>
  <c r="AH28" i="54"/>
  <c r="AI28" i="54"/>
  <c r="P31" i="50"/>
  <c r="AJ28" i="54"/>
  <c r="AK28" i="54"/>
  <c r="AO28" i="54"/>
  <c r="AM28" i="54"/>
  <c r="Q31" i="50"/>
  <c r="AN28" i="54"/>
  <c r="AL28" i="54"/>
  <c r="R20" i="51"/>
  <c r="R85" i="52"/>
  <c r="R87" i="52" s="1"/>
  <c r="AD29" i="54"/>
  <c r="V24" i="52"/>
  <c r="V35" i="52" s="1"/>
  <c r="M97" i="49"/>
  <c r="M94" i="49" s="1"/>
  <c r="L123" i="24"/>
  <c r="G34" i="21"/>
  <c r="O119" i="34"/>
  <c r="O116" i="34" s="1"/>
  <c r="O151" i="24" s="1"/>
  <c r="N26" i="35"/>
  <c r="M97" i="30"/>
  <c r="M94" i="30" s="1"/>
  <c r="L122" i="24"/>
  <c r="L24" i="31"/>
  <c r="N24" i="10" s="1"/>
  <c r="O98" i="34"/>
  <c r="O95" i="34" s="1"/>
  <c r="N124" i="24"/>
  <c r="N24" i="35"/>
  <c r="O123" i="34"/>
  <c r="O120" i="34" s="1"/>
  <c r="N156" i="24"/>
  <c r="K125" i="24"/>
  <c r="K121" i="24" s="1"/>
  <c r="P111" i="34"/>
  <c r="P108" i="34" s="1"/>
  <c r="O141" i="24"/>
  <c r="H23" i="21"/>
  <c r="Q23" i="10"/>
  <c r="S8" i="10"/>
  <c r="R12" i="10"/>
  <c r="R25" i="10" s="1"/>
  <c r="R19" i="10"/>
  <c r="R18" i="10"/>
  <c r="R13" i="10"/>
  <c r="R11" i="10"/>
  <c r="R10" i="10"/>
  <c r="R17" i="10"/>
  <c r="R15" i="10"/>
  <c r="R14" i="10"/>
  <c r="S20" i="51" l="1"/>
  <c r="AG29" i="54"/>
  <c r="W24" i="52"/>
  <c r="W35" i="52" s="1"/>
  <c r="W85" i="52" s="1"/>
  <c r="W87" i="52" s="1"/>
  <c r="L24" i="10"/>
  <c r="D23" i="22" s="1"/>
  <c r="M24" i="10"/>
  <c r="O24" i="10"/>
  <c r="U24" i="52"/>
  <c r="U35" i="52" s="1"/>
  <c r="AC29" i="54"/>
  <c r="AB29" i="54"/>
  <c r="T24" i="52"/>
  <c r="T35" i="52" s="1"/>
  <c r="P20" i="51"/>
  <c r="P85" i="52"/>
  <c r="P87" i="52" s="1"/>
  <c r="Q21" i="1"/>
  <c r="Q117" i="23"/>
  <c r="Q20" i="1"/>
  <c r="X24" i="52"/>
  <c r="X35" i="52" s="1"/>
  <c r="X85" i="52" s="1"/>
  <c r="X87" i="52" s="1"/>
  <c r="AO29" i="54"/>
  <c r="AG24" i="52"/>
  <c r="AG35" i="52" s="1"/>
  <c r="AB24" i="52"/>
  <c r="AB35" i="52" s="1"/>
  <c r="AJ29" i="54"/>
  <c r="AF24" i="52"/>
  <c r="AF35" i="52" s="1"/>
  <c r="AN29" i="54"/>
  <c r="AD24" i="52"/>
  <c r="AD35" i="52" s="1"/>
  <c r="AL29" i="54"/>
  <c r="V20" i="51"/>
  <c r="V85" i="52"/>
  <c r="V87" i="52" s="1"/>
  <c r="AA24" i="52"/>
  <c r="AA35" i="52" s="1"/>
  <c r="AI29" i="54"/>
  <c r="Y20" i="51"/>
  <c r="Y85" i="52"/>
  <c r="Y87" i="52" s="1"/>
  <c r="AE24" i="52"/>
  <c r="AE35" i="52" s="1"/>
  <c r="AM29" i="54"/>
  <c r="AC24" i="52"/>
  <c r="AC35" i="52" s="1"/>
  <c r="AK29" i="54"/>
  <c r="Z24" i="52"/>
  <c r="Z35" i="52" s="1"/>
  <c r="AH29" i="54"/>
  <c r="N97" i="49"/>
  <c r="N94" i="49" s="1"/>
  <c r="M123" i="24"/>
  <c r="P141" i="24"/>
  <c r="Q111" i="34"/>
  <c r="Q108" i="34" s="1"/>
  <c r="H34" i="21"/>
  <c r="O26" i="35"/>
  <c r="P119" i="34"/>
  <c r="P116" i="34" s="1"/>
  <c r="L125" i="24"/>
  <c r="L121" i="24" s="1"/>
  <c r="N97" i="30"/>
  <c r="N94" i="30" s="1"/>
  <c r="M122" i="24"/>
  <c r="M24" i="31"/>
  <c r="Q24" i="10" s="1"/>
  <c r="P123" i="34"/>
  <c r="P120" i="34" s="1"/>
  <c r="O156" i="24"/>
  <c r="P98" i="34"/>
  <c r="P95" i="34" s="1"/>
  <c r="Q98" i="34" s="1"/>
  <c r="Q95" i="34" s="1"/>
  <c r="O124" i="24"/>
  <c r="O24" i="35"/>
  <c r="I23" i="21"/>
  <c r="R23" i="10"/>
  <c r="T8" i="10"/>
  <c r="S14" i="10"/>
  <c r="S15" i="10"/>
  <c r="S19" i="10"/>
  <c r="S11" i="10"/>
  <c r="S18" i="10"/>
  <c r="S17" i="10"/>
  <c r="S13" i="10"/>
  <c r="S10" i="10"/>
  <c r="S12" i="10"/>
  <c r="S25" i="10" s="1"/>
  <c r="W20" i="51" l="1"/>
  <c r="T20" i="51"/>
  <c r="T85" i="52"/>
  <c r="T87" i="52" s="1"/>
  <c r="S24" i="10"/>
  <c r="R24" i="10"/>
  <c r="P24" i="10"/>
  <c r="U85" i="52"/>
  <c r="U87" i="52" s="1"/>
  <c r="U20" i="51"/>
  <c r="Q23" i="1"/>
  <c r="X20" i="51"/>
  <c r="AG85" i="52"/>
  <c r="AG87" i="52" s="1"/>
  <c r="AG20" i="51"/>
  <c r="Z85" i="52"/>
  <c r="Z87" i="52" s="1"/>
  <c r="Z20" i="51"/>
  <c r="AE20" i="51"/>
  <c r="AE85" i="52"/>
  <c r="AE87" i="52" s="1"/>
  <c r="AA20" i="51"/>
  <c r="AA85" i="52"/>
  <c r="AA87" i="52" s="1"/>
  <c r="AD85" i="52"/>
  <c r="AD87" i="52" s="1"/>
  <c r="AD20" i="51"/>
  <c r="AF20" i="51"/>
  <c r="AF85" i="52"/>
  <c r="AF87" i="52" s="1"/>
  <c r="AC20" i="51"/>
  <c r="AC85" i="52"/>
  <c r="AC87" i="52" s="1"/>
  <c r="AB85" i="52"/>
  <c r="AB87" i="52" s="1"/>
  <c r="AB20" i="51"/>
  <c r="O97" i="49"/>
  <c r="O94" i="49" s="1"/>
  <c r="N123" i="24"/>
  <c r="P156" i="24"/>
  <c r="Q123" i="34"/>
  <c r="Q120" i="34" s="1"/>
  <c r="P151" i="24"/>
  <c r="Q119" i="34"/>
  <c r="Q116" i="34" s="1"/>
  <c r="Q26" i="35" s="1"/>
  <c r="Q141" i="24"/>
  <c r="R111" i="34"/>
  <c r="R108" i="34" s="1"/>
  <c r="S111" i="34" s="1"/>
  <c r="S108" i="34" s="1"/>
  <c r="T111" i="34" s="1"/>
  <c r="T108" i="34" s="1"/>
  <c r="U111" i="34" s="1"/>
  <c r="U108" i="34" s="1"/>
  <c r="V111" i="34" s="1"/>
  <c r="V108" i="34" s="1"/>
  <c r="W111" i="34" s="1"/>
  <c r="W108" i="34" s="1"/>
  <c r="X111" i="34" s="1"/>
  <c r="X108" i="34" s="1"/>
  <c r="Y111" i="34" s="1"/>
  <c r="Y108" i="34" s="1"/>
  <c r="Z111" i="34" s="1"/>
  <c r="Z108" i="34" s="1"/>
  <c r="AA111" i="34" s="1"/>
  <c r="AA108" i="34" s="1"/>
  <c r="AB111" i="34" s="1"/>
  <c r="AB108" i="34" s="1"/>
  <c r="AC111" i="34" s="1"/>
  <c r="AC108" i="34" s="1"/>
  <c r="Q124" i="24"/>
  <c r="R98" i="34"/>
  <c r="R95" i="34" s="1"/>
  <c r="I34" i="21"/>
  <c r="P26" i="35"/>
  <c r="M125" i="24"/>
  <c r="M121" i="24" s="1"/>
  <c r="P124" i="24"/>
  <c r="Q24" i="35"/>
  <c r="P24" i="35"/>
  <c r="O97" i="30"/>
  <c r="O94" i="30" s="1"/>
  <c r="N122" i="24"/>
  <c r="N24" i="31"/>
  <c r="J23" i="21"/>
  <c r="S23" i="10"/>
  <c r="U8" i="10"/>
  <c r="T14" i="10"/>
  <c r="T12" i="10"/>
  <c r="T25" i="10" s="1"/>
  <c r="T19" i="10"/>
  <c r="T11" i="10"/>
  <c r="T13" i="10"/>
  <c r="T18" i="10"/>
  <c r="T15" i="10"/>
  <c r="T10" i="10"/>
  <c r="T17" i="10"/>
  <c r="T24" i="10" l="1"/>
  <c r="O123" i="24"/>
  <c r="P97" i="49"/>
  <c r="P94" i="49" s="1"/>
  <c r="Q156" i="24"/>
  <c r="R123" i="34"/>
  <c r="R120" i="34" s="1"/>
  <c r="S123" i="34" s="1"/>
  <c r="S120" i="34" s="1"/>
  <c r="T123" i="34" s="1"/>
  <c r="T120" i="34" s="1"/>
  <c r="U123" i="34" s="1"/>
  <c r="U120" i="34" s="1"/>
  <c r="V123" i="34" s="1"/>
  <c r="V120" i="34" s="1"/>
  <c r="W123" i="34" s="1"/>
  <c r="W120" i="34" s="1"/>
  <c r="X123" i="34" s="1"/>
  <c r="X120" i="34" s="1"/>
  <c r="Y123" i="34" s="1"/>
  <c r="Y120" i="34" s="1"/>
  <c r="Z123" i="34" s="1"/>
  <c r="Z120" i="34" s="1"/>
  <c r="AA123" i="34" s="1"/>
  <c r="AA120" i="34" s="1"/>
  <c r="AB123" i="34" s="1"/>
  <c r="AB120" i="34" s="1"/>
  <c r="AC123" i="34" s="1"/>
  <c r="AC120" i="34" s="1"/>
  <c r="S98" i="34"/>
  <c r="S95" i="34" s="1"/>
  <c r="R24" i="35"/>
  <c r="R74" i="34"/>
  <c r="Q151" i="24"/>
  <c r="R119" i="34"/>
  <c r="R116" i="34" s="1"/>
  <c r="J34" i="21"/>
  <c r="O122" i="24"/>
  <c r="P97" i="30"/>
  <c r="P94" i="30" s="1"/>
  <c r="Q97" i="30" s="1"/>
  <c r="Q94" i="30" s="1"/>
  <c r="O24" i="31"/>
  <c r="N125" i="24"/>
  <c r="N121" i="24" s="1"/>
  <c r="K23" i="21"/>
  <c r="T23" i="10"/>
  <c r="V8" i="10"/>
  <c r="U13" i="10"/>
  <c r="U11" i="10"/>
  <c r="U24" i="10" s="1"/>
  <c r="U12" i="10"/>
  <c r="U25" i="10" s="1"/>
  <c r="U17" i="10"/>
  <c r="U18" i="10"/>
  <c r="U19" i="10"/>
  <c r="U14" i="10"/>
  <c r="U15" i="10"/>
  <c r="U10" i="10"/>
  <c r="Q97" i="49" l="1"/>
  <c r="Q94" i="49" s="1"/>
  <c r="P123" i="24"/>
  <c r="S119" i="34"/>
  <c r="S116" i="34" s="1"/>
  <c r="R26" i="35"/>
  <c r="R27" i="35" s="1"/>
  <c r="T98" i="34"/>
  <c r="T95" i="34" s="1"/>
  <c r="S24" i="35"/>
  <c r="S74" i="34"/>
  <c r="Q122" i="24"/>
  <c r="R24" i="31"/>
  <c r="K34" i="21"/>
  <c r="O125" i="24"/>
  <c r="O121" i="24" s="1"/>
  <c r="P122" i="24"/>
  <c r="Q24" i="31"/>
  <c r="P24" i="31"/>
  <c r="U23" i="10"/>
  <c r="L23" i="21"/>
  <c r="W8" i="10"/>
  <c r="V11" i="10"/>
  <c r="V24" i="10" s="1"/>
  <c r="V14" i="10"/>
  <c r="V17" i="10"/>
  <c r="V15" i="10"/>
  <c r="V13" i="10"/>
  <c r="V12" i="10"/>
  <c r="V25" i="10" s="1"/>
  <c r="V19" i="10"/>
  <c r="V18" i="10"/>
  <c r="V10" i="10"/>
  <c r="Q123" i="24" l="1"/>
  <c r="R24" i="50"/>
  <c r="T119" i="34"/>
  <c r="T116" i="34" s="1"/>
  <c r="S26" i="35"/>
  <c r="U98" i="34"/>
  <c r="U95" i="34" s="1"/>
  <c r="T24" i="35"/>
  <c r="T74" i="34"/>
  <c r="S27" i="35"/>
  <c r="L34" i="21"/>
  <c r="P125" i="24"/>
  <c r="P121" i="24" s="1"/>
  <c r="M23" i="21"/>
  <c r="V23" i="10"/>
  <c r="X8" i="10"/>
  <c r="W14" i="10"/>
  <c r="W13" i="10"/>
  <c r="W19" i="10"/>
  <c r="W11" i="10"/>
  <c r="W24" i="10" s="1"/>
  <c r="W12" i="10"/>
  <c r="W25" i="10" s="1"/>
  <c r="W17" i="10"/>
  <c r="W18" i="10"/>
  <c r="W10" i="10"/>
  <c r="W15" i="10"/>
  <c r="Q125" i="24" l="1"/>
  <c r="Q121" i="24" s="1"/>
  <c r="U119" i="34"/>
  <c r="U116" i="34" s="1"/>
  <c r="T26" i="35"/>
  <c r="T27" i="35" s="1"/>
  <c r="V98" i="34"/>
  <c r="V95" i="34" s="1"/>
  <c r="U24" i="35"/>
  <c r="U74" i="34"/>
  <c r="M34" i="21"/>
  <c r="N23" i="21"/>
  <c r="W23" i="10"/>
  <c r="Y8" i="10"/>
  <c r="X13" i="10"/>
  <c r="X12" i="10"/>
  <c r="X25" i="10" s="1"/>
  <c r="X15" i="10"/>
  <c r="X10" i="10"/>
  <c r="X11" i="10"/>
  <c r="X24" i="10" s="1"/>
  <c r="X14" i="10"/>
  <c r="X18" i="10"/>
  <c r="X19" i="10"/>
  <c r="X17" i="10"/>
  <c r="W98" i="34" l="1"/>
  <c r="W95" i="34" s="1"/>
  <c r="V74" i="34"/>
  <c r="V24" i="35"/>
  <c r="V119" i="34"/>
  <c r="V116" i="34" s="1"/>
  <c r="U26" i="35"/>
  <c r="U27" i="35" s="1"/>
  <c r="N34" i="21"/>
  <c r="O23" i="21"/>
  <c r="X23" i="10"/>
  <c r="Z8" i="10"/>
  <c r="Y17" i="10"/>
  <c r="Y15" i="10"/>
  <c r="Y14" i="10"/>
  <c r="Y12" i="10"/>
  <c r="Y25" i="10" s="1"/>
  <c r="Y11" i="10"/>
  <c r="Y24" i="10" s="1"/>
  <c r="Y18" i="10"/>
  <c r="Y19" i="10"/>
  <c r="Y10" i="10"/>
  <c r="Y13" i="10"/>
  <c r="X98" i="34" l="1"/>
  <c r="X95" i="34" s="1"/>
  <c r="W24" i="35"/>
  <c r="W74" i="34"/>
  <c r="W119" i="34"/>
  <c r="W116" i="34" s="1"/>
  <c r="V26" i="35"/>
  <c r="V27" i="35" s="1"/>
  <c r="O34" i="21"/>
  <c r="P23" i="21"/>
  <c r="Y23" i="10"/>
  <c r="AA8" i="10"/>
  <c r="Z12" i="10"/>
  <c r="Z25" i="10" s="1"/>
  <c r="Z13" i="10"/>
  <c r="Z18" i="10"/>
  <c r="Z10" i="10"/>
  <c r="Z11" i="10"/>
  <c r="Z24" i="10" s="1"/>
  <c r="Z19" i="10"/>
  <c r="Z17" i="10"/>
  <c r="Z15" i="10"/>
  <c r="Z14" i="10"/>
  <c r="Y98" i="34" l="1"/>
  <c r="Y95" i="34" s="1"/>
  <c r="X24" i="35"/>
  <c r="X74" i="34"/>
  <c r="X119" i="34"/>
  <c r="X116" i="34" s="1"/>
  <c r="W26" i="35"/>
  <c r="W27" i="35" s="1"/>
  <c r="P34" i="21"/>
  <c r="Q23" i="21"/>
  <c r="Z23" i="10"/>
  <c r="AB8" i="10"/>
  <c r="AC8" i="10" s="1"/>
  <c r="AD8" i="10" s="1"/>
  <c r="AE8" i="10" s="1"/>
  <c r="AF8" i="10" s="1"/>
  <c r="AG8" i="10" s="1"/>
  <c r="AH8" i="10" s="1"/>
  <c r="AI8" i="10" s="1"/>
  <c r="AJ8" i="10" s="1"/>
  <c r="AK8" i="10" s="1"/>
  <c r="AA14" i="10"/>
  <c r="AA12" i="10"/>
  <c r="AA25" i="10" s="1"/>
  <c r="AA17" i="10"/>
  <c r="AA13" i="10"/>
  <c r="AA10" i="10"/>
  <c r="AA23" i="10" s="1"/>
  <c r="AA15" i="10"/>
  <c r="AA19" i="10"/>
  <c r="AA11" i="10"/>
  <c r="AA24" i="10" s="1"/>
  <c r="AA18" i="10"/>
  <c r="Y119" i="34" l="1"/>
  <c r="Y116" i="34" s="1"/>
  <c r="X26" i="35"/>
  <c r="Z98" i="34"/>
  <c r="Z95" i="34" s="1"/>
  <c r="Y74" i="34"/>
  <c r="Y24" i="35"/>
  <c r="X27" i="35"/>
  <c r="AL8" i="10"/>
  <c r="AK18" i="10"/>
  <c r="AK15" i="10"/>
  <c r="AK28" i="10" s="1"/>
  <c r="AK13" i="10"/>
  <c r="AK11" i="10"/>
  <c r="AK24" i="10" s="1"/>
  <c r="AC23" i="22" s="1"/>
  <c r="AK19" i="10"/>
  <c r="AK17" i="10"/>
  <c r="AK14" i="10"/>
  <c r="AK12" i="10"/>
  <c r="AK25" i="10" s="1"/>
  <c r="AK10" i="10"/>
  <c r="AK23" i="10" s="1"/>
  <c r="AC23" i="21" s="1"/>
  <c r="Q34" i="21"/>
  <c r="V35" i="39"/>
  <c r="R23" i="21"/>
  <c r="S23" i="21"/>
  <c r="AB13" i="10"/>
  <c r="AB18" i="10"/>
  <c r="AB15" i="10"/>
  <c r="AB10" i="10"/>
  <c r="AB23" i="10" s="1"/>
  <c r="AB17" i="10"/>
  <c r="AB14" i="10"/>
  <c r="AB12" i="10"/>
  <c r="AB25" i="10" s="1"/>
  <c r="AB19" i="10"/>
  <c r="AB11" i="10"/>
  <c r="AB24" i="10" s="1"/>
  <c r="AC24" i="21" l="1"/>
  <c r="AK29" i="10"/>
  <c r="Z119" i="34"/>
  <c r="Z116" i="34" s="1"/>
  <c r="Y26" i="35"/>
  <c r="Y27" i="35" s="1"/>
  <c r="AM8" i="10"/>
  <c r="AL15" i="10"/>
  <c r="AL28" i="10" s="1"/>
  <c r="AL13" i="10"/>
  <c r="AL11" i="10"/>
  <c r="AL24" i="10" s="1"/>
  <c r="AD23" i="22" s="1"/>
  <c r="AL19" i="10"/>
  <c r="AL17" i="10"/>
  <c r="AL14" i="10"/>
  <c r="AL12" i="10"/>
  <c r="AL25" i="10" s="1"/>
  <c r="AL10" i="10"/>
  <c r="AL23" i="10" s="1"/>
  <c r="AD23" i="21" s="1"/>
  <c r="AL18" i="10"/>
  <c r="AA98" i="34"/>
  <c r="AA95" i="34" s="1"/>
  <c r="Z74" i="34"/>
  <c r="Z24" i="35"/>
  <c r="AC34" i="21"/>
  <c r="AC15" i="22" s="1"/>
  <c r="S34" i="21"/>
  <c r="R34" i="21"/>
  <c r="V85" i="39"/>
  <c r="V87" i="39" s="1"/>
  <c r="W35" i="39"/>
  <c r="T23" i="21"/>
  <c r="AC12" i="10"/>
  <c r="AC25" i="10" s="1"/>
  <c r="AC17" i="10"/>
  <c r="AC18" i="10"/>
  <c r="AC19" i="10"/>
  <c r="AC14" i="10"/>
  <c r="AC13" i="10"/>
  <c r="AC11" i="10"/>
  <c r="AC24" i="10" s="1"/>
  <c r="AC15" i="10"/>
  <c r="AC10" i="10"/>
  <c r="AC23" i="10" s="1"/>
  <c r="AC35" i="21" l="1"/>
  <c r="AD34" i="21"/>
  <c r="AD15" i="22" s="1"/>
  <c r="AN8" i="10"/>
  <c r="AO8" i="10" s="1"/>
  <c r="AM17" i="10"/>
  <c r="AM14" i="10"/>
  <c r="AM12" i="10"/>
  <c r="AM25" i="10" s="1"/>
  <c r="AM10" i="10"/>
  <c r="AM23" i="10" s="1"/>
  <c r="AE23" i="21" s="1"/>
  <c r="AM18" i="10"/>
  <c r="AM15" i="10"/>
  <c r="AM28" i="10" s="1"/>
  <c r="AM13" i="10"/>
  <c r="AM11" i="10"/>
  <c r="AM24" i="10" s="1"/>
  <c r="AE23" i="22" s="1"/>
  <c r="AM19" i="10"/>
  <c r="AD24" i="21"/>
  <c r="AL29" i="10"/>
  <c r="AA119" i="34"/>
  <c r="AA116" i="34" s="1"/>
  <c r="Z26" i="35"/>
  <c r="Z27" i="35" s="1"/>
  <c r="AB98" i="34"/>
  <c r="AB95" i="34" s="1"/>
  <c r="AA74" i="34"/>
  <c r="AA24" i="35"/>
  <c r="T34" i="21"/>
  <c r="W85" i="39"/>
  <c r="W87" i="39" s="1"/>
  <c r="X35" i="39"/>
  <c r="U23" i="21"/>
  <c r="AD11" i="10"/>
  <c r="AD24" i="10" s="1"/>
  <c r="AD14" i="10"/>
  <c r="AD17" i="10"/>
  <c r="AD15" i="10"/>
  <c r="AD13" i="10"/>
  <c r="AD12" i="10"/>
  <c r="AD25" i="10" s="1"/>
  <c r="AD10" i="10"/>
  <c r="AD23" i="10" s="1"/>
  <c r="AD18" i="10"/>
  <c r="AD19" i="10"/>
  <c r="AO10" i="10" l="1"/>
  <c r="AO23" i="10" s="1"/>
  <c r="AG23" i="21" s="1"/>
  <c r="AO17" i="10"/>
  <c r="AO14" i="10"/>
  <c r="AO13" i="10"/>
  <c r="AO19" i="10"/>
  <c r="AO18" i="10"/>
  <c r="AO12" i="10"/>
  <c r="AO25" i="10" s="1"/>
  <c r="AO15" i="10"/>
  <c r="AO28" i="10" s="1"/>
  <c r="AO11" i="10"/>
  <c r="AO24" i="10" s="1"/>
  <c r="AG23" i="22" s="1"/>
  <c r="AE34" i="21"/>
  <c r="AE15" i="22" s="1"/>
  <c r="AN11" i="10"/>
  <c r="AN24" i="10" s="1"/>
  <c r="AF23" i="22" s="1"/>
  <c r="AN19" i="10"/>
  <c r="AN17" i="10"/>
  <c r="AN14" i="10"/>
  <c r="AN12" i="10"/>
  <c r="AN25" i="10" s="1"/>
  <c r="AN10" i="10"/>
  <c r="AN23" i="10" s="1"/>
  <c r="AF23" i="21" s="1"/>
  <c r="AN18" i="10"/>
  <c r="AN15" i="10"/>
  <c r="AN28" i="10" s="1"/>
  <c r="AN13" i="10"/>
  <c r="AB119" i="34"/>
  <c r="AB116" i="34" s="1"/>
  <c r="AA26" i="35"/>
  <c r="AA27" i="35" s="1"/>
  <c r="AC85" i="21"/>
  <c r="AC87" i="21" s="1"/>
  <c r="AC20" i="22"/>
  <c r="AE24" i="21"/>
  <c r="AM29" i="10"/>
  <c r="AC98" i="34"/>
  <c r="AC95" i="34" s="1"/>
  <c r="AB24" i="35"/>
  <c r="AB74" i="34"/>
  <c r="AD35" i="21"/>
  <c r="U34" i="21"/>
  <c r="X85" i="39"/>
  <c r="X87" i="39" s="1"/>
  <c r="Y35" i="39"/>
  <c r="V23" i="21"/>
  <c r="AE17" i="10"/>
  <c r="AE15" i="10"/>
  <c r="AE18" i="10"/>
  <c r="AE11" i="10"/>
  <c r="AE24" i="10" s="1"/>
  <c r="AE10" i="10"/>
  <c r="AE23" i="10" s="1"/>
  <c r="AE13" i="10"/>
  <c r="AE14" i="10"/>
  <c r="AE19" i="10"/>
  <c r="AE12" i="10"/>
  <c r="AE25" i="10" s="1"/>
  <c r="AG24" i="21" l="1"/>
  <c r="AO29" i="10"/>
  <c r="AG34" i="21"/>
  <c r="AG15" i="22" s="1"/>
  <c r="AE35" i="21"/>
  <c r="AC119" i="34"/>
  <c r="AC116" i="34" s="1"/>
  <c r="AC26" i="35" s="1"/>
  <c r="AB26" i="35"/>
  <c r="AB27" i="35" s="1"/>
  <c r="AF24" i="21"/>
  <c r="AN29" i="10"/>
  <c r="AD20" i="22"/>
  <c r="AD85" i="21"/>
  <c r="AD87" i="21" s="1"/>
  <c r="AC74" i="34"/>
  <c r="AC24" i="35"/>
  <c r="AF34" i="21"/>
  <c r="AF15" i="22" s="1"/>
  <c r="V34" i="21"/>
  <c r="Y85" i="39"/>
  <c r="Y87" i="39" s="1"/>
  <c r="Z35" i="39"/>
  <c r="W23" i="21"/>
  <c r="AF14" i="10"/>
  <c r="AF17" i="10"/>
  <c r="AF18" i="10"/>
  <c r="AF13" i="10"/>
  <c r="AF12" i="10"/>
  <c r="AF25" i="10" s="1"/>
  <c r="AF15" i="10"/>
  <c r="AF10" i="10"/>
  <c r="AF23" i="10" s="1"/>
  <c r="AF11" i="10"/>
  <c r="AF24" i="10" s="1"/>
  <c r="AF19" i="10"/>
  <c r="AG35" i="21" l="1"/>
  <c r="AC27" i="35"/>
  <c r="AE20" i="22"/>
  <c r="AE85" i="21"/>
  <c r="AE87" i="21" s="1"/>
  <c r="AF35" i="21"/>
  <c r="W34" i="21"/>
  <c r="Z85" i="39"/>
  <c r="Z87" i="39" s="1"/>
  <c r="AA35" i="39"/>
  <c r="X23" i="21"/>
  <c r="AG18" i="10"/>
  <c r="AG19" i="10"/>
  <c r="AG10" i="10"/>
  <c r="AG23" i="10" s="1"/>
  <c r="AG13" i="10"/>
  <c r="AG17" i="10"/>
  <c r="AG15" i="10"/>
  <c r="AG14" i="10"/>
  <c r="AG12" i="10"/>
  <c r="AG25" i="10" s="1"/>
  <c r="AG11" i="10"/>
  <c r="AG24" i="10" s="1"/>
  <c r="AG85" i="21" l="1"/>
  <c r="AG87" i="21" s="1"/>
  <c r="AG20" i="22"/>
  <c r="AF85" i="21"/>
  <c r="AF87" i="21" s="1"/>
  <c r="AF20" i="22"/>
  <c r="X34" i="21"/>
  <c r="AA85" i="39"/>
  <c r="AA87" i="39" s="1"/>
  <c r="AB35" i="39"/>
  <c r="Y23" i="21"/>
  <c r="AH12" i="10"/>
  <c r="AH25" i="10" s="1"/>
  <c r="AH19" i="10"/>
  <c r="AH17" i="10"/>
  <c r="AH15" i="10"/>
  <c r="AH14" i="10"/>
  <c r="AH18" i="10"/>
  <c r="AH13" i="10"/>
  <c r="AH11" i="10"/>
  <c r="AH24" i="10" s="1"/>
  <c r="AH10" i="10"/>
  <c r="AH23" i="10" s="1"/>
  <c r="Y34" i="21" l="1"/>
  <c r="AB85" i="39"/>
  <c r="AB87" i="39" s="1"/>
  <c r="Z23" i="21"/>
  <c r="AI17" i="10"/>
  <c r="AI12" i="10"/>
  <c r="AI25" i="10" s="1"/>
  <c r="AI19" i="10"/>
  <c r="AI10" i="10"/>
  <c r="AI23" i="10" s="1"/>
  <c r="AI15" i="10"/>
  <c r="AI14" i="10"/>
  <c r="AI18" i="10"/>
  <c r="AI11" i="10"/>
  <c r="AI24" i="10" s="1"/>
  <c r="AI13" i="10"/>
  <c r="Z34" i="21" l="1"/>
  <c r="AA23" i="21"/>
  <c r="AJ19" i="10"/>
  <c r="AJ18" i="10"/>
  <c r="AJ13" i="10"/>
  <c r="AJ11" i="10"/>
  <c r="AJ24" i="10" s="1"/>
  <c r="AJ15" i="10"/>
  <c r="AJ28" i="10" s="1"/>
  <c r="AJ10" i="10"/>
  <c r="AJ23" i="10" s="1"/>
  <c r="AJ17" i="10"/>
  <c r="AJ14" i="10"/>
  <c r="AJ12" i="10"/>
  <c r="AJ25" i="10" s="1"/>
  <c r="AA34" i="21" l="1"/>
  <c r="AJ29" i="10"/>
  <c r="AB24" i="21"/>
  <c r="AB23" i="21"/>
  <c r="F10" i="24"/>
  <c r="F10" i="23" s="1"/>
  <c r="E49" i="20"/>
  <c r="Q26" i="30" l="1"/>
  <c r="D18" i="52"/>
  <c r="G24" i="49"/>
  <c r="G26" i="24" s="1"/>
  <c r="E24" i="49"/>
  <c r="E26" i="24" s="1"/>
  <c r="F24" i="49"/>
  <c r="F26" i="24" s="1"/>
  <c r="AB35" i="21"/>
  <c r="AB34" i="21"/>
  <c r="E26" i="30"/>
  <c r="E24" i="30" s="1"/>
  <c r="E25" i="24" s="1"/>
  <c r="E24" i="34"/>
  <c r="E27" i="24" s="1"/>
  <c r="F52" i="35"/>
  <c r="G52" i="35"/>
  <c r="G26" i="30"/>
  <c r="G24" i="30" s="1"/>
  <c r="K26" i="30"/>
  <c r="O26" i="30"/>
  <c r="F26" i="30"/>
  <c r="F24" i="30" s="1"/>
  <c r="J26" i="30"/>
  <c r="N26" i="30"/>
  <c r="I26" i="30"/>
  <c r="M26" i="30"/>
  <c r="H26" i="30"/>
  <c r="L26" i="30"/>
  <c r="P26" i="30"/>
  <c r="F35" i="25"/>
  <c r="F70" i="1" s="1"/>
  <c r="D13" i="11"/>
  <c r="D18" i="43" s="1"/>
  <c r="G52" i="50" l="1"/>
  <c r="H50" i="50" s="1"/>
  <c r="D31" i="52"/>
  <c r="D13" i="51"/>
  <c r="F52" i="50"/>
  <c r="G50" i="50" s="1"/>
  <c r="E52" i="50"/>
  <c r="F50" i="50" s="1"/>
  <c r="E51" i="50"/>
  <c r="G31" i="39"/>
  <c r="G13" i="40"/>
  <c r="E24" i="24"/>
  <c r="F25" i="24"/>
  <c r="F24" i="24" s="1"/>
  <c r="G25" i="24"/>
  <c r="G24" i="24" s="1"/>
  <c r="E52" i="35"/>
  <c r="F50" i="35" s="1"/>
  <c r="E51" i="35"/>
  <c r="H50" i="35"/>
  <c r="G50" i="35"/>
  <c r="G52" i="31"/>
  <c r="H50" i="31" s="1"/>
  <c r="F52" i="31"/>
  <c r="G50" i="31" s="1"/>
  <c r="E51" i="31"/>
  <c r="E52" i="31"/>
  <c r="F50" i="31" s="1"/>
  <c r="E50" i="20"/>
  <c r="E58" i="20"/>
  <c r="E59" i="20"/>
  <c r="C62" i="20"/>
  <c r="Q61" i="30" l="1"/>
  <c r="E59" i="49"/>
  <c r="Q31" i="30"/>
  <c r="E29" i="49"/>
  <c r="Q57" i="30"/>
  <c r="E55" i="49"/>
  <c r="E69" i="24" s="1"/>
  <c r="G32" i="1"/>
  <c r="G85" i="1" s="1"/>
  <c r="F32" i="1"/>
  <c r="F85" i="1" s="1"/>
  <c r="E32" i="1"/>
  <c r="E85" i="1" s="1"/>
  <c r="G52" i="25"/>
  <c r="H50" i="25" s="1"/>
  <c r="H84" i="1" s="1"/>
  <c r="F52" i="25"/>
  <c r="G50" i="25" s="1"/>
  <c r="G84" i="1" s="1"/>
  <c r="E52" i="25"/>
  <c r="F50" i="25" s="1"/>
  <c r="F84" i="1" s="1"/>
  <c r="E51" i="25"/>
  <c r="E56" i="20"/>
  <c r="E29" i="34"/>
  <c r="E55" i="34"/>
  <c r="G31" i="30"/>
  <c r="K31" i="30"/>
  <c r="O31" i="30"/>
  <c r="E31" i="30"/>
  <c r="E29" i="30" s="1"/>
  <c r="E31" i="24" s="1"/>
  <c r="J31" i="30"/>
  <c r="N31" i="30"/>
  <c r="F31" i="30"/>
  <c r="I31" i="30"/>
  <c r="M31" i="30"/>
  <c r="H31" i="30"/>
  <c r="L31" i="30"/>
  <c r="P31" i="30"/>
  <c r="G61" i="30"/>
  <c r="K61" i="30"/>
  <c r="O61" i="30"/>
  <c r="F61" i="30"/>
  <c r="J61" i="30"/>
  <c r="N61" i="30"/>
  <c r="E61" i="30"/>
  <c r="I61" i="30"/>
  <c r="M61" i="30"/>
  <c r="H61" i="30"/>
  <c r="L61" i="30"/>
  <c r="P61" i="30"/>
  <c r="G57" i="30"/>
  <c r="K57" i="30"/>
  <c r="O57" i="30"/>
  <c r="F57" i="30"/>
  <c r="J57" i="30"/>
  <c r="N57" i="30"/>
  <c r="E57" i="30"/>
  <c r="E55" i="30" s="1"/>
  <c r="E68" i="24" s="1"/>
  <c r="I57" i="30"/>
  <c r="M57" i="30"/>
  <c r="H57" i="30"/>
  <c r="L57" i="30"/>
  <c r="P57" i="30"/>
  <c r="E62" i="20"/>
  <c r="C63" i="20"/>
  <c r="F62" i="49" l="1"/>
  <c r="F59" i="49" s="1"/>
  <c r="E74" i="24"/>
  <c r="E32" i="24"/>
  <c r="F32" i="49"/>
  <c r="F29" i="49" s="1"/>
  <c r="E23" i="49"/>
  <c r="F58" i="49"/>
  <c r="F55" i="49" s="1"/>
  <c r="F69" i="24" s="1"/>
  <c r="E50" i="49"/>
  <c r="F32" i="34"/>
  <c r="F29" i="34" s="1"/>
  <c r="F33" i="24" s="1"/>
  <c r="E33" i="24"/>
  <c r="F58" i="34"/>
  <c r="F55" i="34" s="1"/>
  <c r="F70" i="24" s="1"/>
  <c r="E70" i="24"/>
  <c r="F58" i="30"/>
  <c r="F55" i="30" s="1"/>
  <c r="F32" i="30"/>
  <c r="F29" i="30" s="1"/>
  <c r="E23" i="30"/>
  <c r="E63" i="20"/>
  <c r="G62" i="49" l="1"/>
  <c r="G59" i="49" s="1"/>
  <c r="F74" i="24"/>
  <c r="F32" i="24"/>
  <c r="F32" i="50"/>
  <c r="F33" i="50" s="1"/>
  <c r="E71" i="49"/>
  <c r="G32" i="49"/>
  <c r="G29" i="49" s="1"/>
  <c r="F23" i="49"/>
  <c r="G58" i="49"/>
  <c r="G55" i="49" s="1"/>
  <c r="G69" i="24" s="1"/>
  <c r="F50" i="49"/>
  <c r="E30" i="24"/>
  <c r="G58" i="34"/>
  <c r="G55" i="34" s="1"/>
  <c r="G70" i="24" s="1"/>
  <c r="G32" i="34"/>
  <c r="G29" i="34" s="1"/>
  <c r="G33" i="24" s="1"/>
  <c r="E67" i="24"/>
  <c r="E40" i="1" s="1"/>
  <c r="F31" i="24"/>
  <c r="F68" i="24"/>
  <c r="F67" i="24" s="1"/>
  <c r="F40" i="1" s="1"/>
  <c r="G58" i="30"/>
  <c r="G55" i="30" s="1"/>
  <c r="G32" i="30"/>
  <c r="G29" i="30" s="1"/>
  <c r="F23" i="30"/>
  <c r="D26" i="20"/>
  <c r="D27" i="20"/>
  <c r="F30" i="24" l="1"/>
  <c r="F33" i="1" s="1"/>
  <c r="F31" i="1" s="1"/>
  <c r="H62" i="49"/>
  <c r="H59" i="49" s="1"/>
  <c r="G74" i="24"/>
  <c r="G32" i="24"/>
  <c r="G32" i="50"/>
  <c r="G33" i="50" s="1"/>
  <c r="F71" i="49"/>
  <c r="H58" i="49"/>
  <c r="H55" i="49" s="1"/>
  <c r="H69" i="24" s="1"/>
  <c r="G50" i="49"/>
  <c r="H32" i="49"/>
  <c r="H29" i="49" s="1"/>
  <c r="G23" i="49"/>
  <c r="E33" i="1"/>
  <c r="E31" i="1" s="1"/>
  <c r="H58" i="34"/>
  <c r="H55" i="34" s="1"/>
  <c r="H70" i="24" s="1"/>
  <c r="H32" i="34"/>
  <c r="H29" i="34" s="1"/>
  <c r="H33" i="24" s="1"/>
  <c r="G31" i="24"/>
  <c r="G68" i="24"/>
  <c r="G67" i="24" s="1"/>
  <c r="G40" i="1" s="1"/>
  <c r="H32" i="30"/>
  <c r="H29" i="30" s="1"/>
  <c r="G23" i="30"/>
  <c r="H58" i="30"/>
  <c r="H55" i="30" s="1"/>
  <c r="E72" i="20"/>
  <c r="E27" i="20"/>
  <c r="E71" i="20"/>
  <c r="E75" i="20"/>
  <c r="C77" i="20"/>
  <c r="H32" i="24" l="1"/>
  <c r="I62" i="49"/>
  <c r="I59" i="49" s="1"/>
  <c r="H74" i="24"/>
  <c r="G30" i="24"/>
  <c r="G33" i="1" s="1"/>
  <c r="G31" i="1" s="1"/>
  <c r="H32" i="50"/>
  <c r="H33" i="50" s="1"/>
  <c r="G71" i="49"/>
  <c r="Q109" i="30"/>
  <c r="E107" i="49"/>
  <c r="E140" i="24" s="1"/>
  <c r="Q104" i="30"/>
  <c r="Q102" i="30" s="1"/>
  <c r="E102" i="49"/>
  <c r="E133" i="24" s="1"/>
  <c r="J102" i="49"/>
  <c r="J133" i="24" s="1"/>
  <c r="N102" i="49"/>
  <c r="N133" i="24" s="1"/>
  <c r="N131" i="24" s="1"/>
  <c r="N47" i="1" s="1"/>
  <c r="F102" i="49"/>
  <c r="F133" i="24" s="1"/>
  <c r="I102" i="49"/>
  <c r="I133" i="24" s="1"/>
  <c r="M102" i="49"/>
  <c r="M133" i="24" s="1"/>
  <c r="M131" i="24" s="1"/>
  <c r="M47" i="1" s="1"/>
  <c r="Q102" i="49"/>
  <c r="Q133" i="24" s="1"/>
  <c r="Q131" i="24" s="1"/>
  <c r="Q47" i="1" s="1"/>
  <c r="H102" i="49"/>
  <c r="H133" i="24" s="1"/>
  <c r="L102" i="49"/>
  <c r="L133" i="24" s="1"/>
  <c r="P102" i="49"/>
  <c r="P133" i="24" s="1"/>
  <c r="P131" i="24" s="1"/>
  <c r="P47" i="1" s="1"/>
  <c r="G102" i="49"/>
  <c r="G133" i="24" s="1"/>
  <c r="K102" i="49"/>
  <c r="K133" i="24" s="1"/>
  <c r="O102" i="49"/>
  <c r="O133" i="24" s="1"/>
  <c r="O131" i="24" s="1"/>
  <c r="O47" i="1" s="1"/>
  <c r="I58" i="49"/>
  <c r="I55" i="49" s="1"/>
  <c r="I69" i="24" s="1"/>
  <c r="H50" i="49"/>
  <c r="Q100" i="30"/>
  <c r="G98" i="49"/>
  <c r="G128" i="24" s="1"/>
  <c r="E98" i="49"/>
  <c r="E128" i="24" s="1"/>
  <c r="F98" i="49"/>
  <c r="F128" i="24" s="1"/>
  <c r="I32" i="49"/>
  <c r="I29" i="49" s="1"/>
  <c r="I58" i="34"/>
  <c r="I55" i="34" s="1"/>
  <c r="I70" i="24" s="1"/>
  <c r="I32" i="34"/>
  <c r="I29" i="34" s="1"/>
  <c r="I33" i="24" s="1"/>
  <c r="G100" i="30"/>
  <c r="K100" i="30"/>
  <c r="O100" i="30"/>
  <c r="F100" i="30"/>
  <c r="J100" i="30"/>
  <c r="N100" i="30"/>
  <c r="E100" i="30"/>
  <c r="I100" i="30"/>
  <c r="M100" i="30"/>
  <c r="H100" i="30"/>
  <c r="L100" i="30"/>
  <c r="P100" i="30"/>
  <c r="E109" i="30"/>
  <c r="E107" i="30" s="1"/>
  <c r="E139" i="24" s="1"/>
  <c r="I109" i="30"/>
  <c r="H109" i="30"/>
  <c r="L109" i="30"/>
  <c r="P109" i="30"/>
  <c r="G109" i="30"/>
  <c r="K109" i="30"/>
  <c r="O109" i="30"/>
  <c r="F109" i="30"/>
  <c r="J109" i="30"/>
  <c r="N109" i="30"/>
  <c r="M109" i="30"/>
  <c r="F104" i="30"/>
  <c r="F102" i="30" s="1"/>
  <c r="J104" i="30"/>
  <c r="J102" i="30" s="1"/>
  <c r="N104" i="30"/>
  <c r="N102" i="30" s="1"/>
  <c r="E104" i="30"/>
  <c r="E102" i="30" s="1"/>
  <c r="E132" i="24" s="1"/>
  <c r="I104" i="30"/>
  <c r="I102" i="30" s="1"/>
  <c r="M104" i="30"/>
  <c r="M102" i="30" s="1"/>
  <c r="H104" i="30"/>
  <c r="H102" i="30" s="1"/>
  <c r="L104" i="30"/>
  <c r="L102" i="30" s="1"/>
  <c r="P104" i="30"/>
  <c r="G104" i="30"/>
  <c r="G102" i="30" s="1"/>
  <c r="K104" i="30"/>
  <c r="K102" i="30" s="1"/>
  <c r="O104" i="30"/>
  <c r="O102" i="30" s="1"/>
  <c r="H31" i="24"/>
  <c r="H68" i="24"/>
  <c r="H67" i="24" s="1"/>
  <c r="H40" i="1" s="1"/>
  <c r="E103" i="34"/>
  <c r="I32" i="30"/>
  <c r="I29" i="30" s="1"/>
  <c r="I58" i="30"/>
  <c r="I55" i="30" s="1"/>
  <c r="E76" i="20"/>
  <c r="D29" i="20"/>
  <c r="E26" i="20"/>
  <c r="D77" i="20"/>
  <c r="H30" i="24" l="1"/>
  <c r="H33" i="1" s="1"/>
  <c r="I32" i="24"/>
  <c r="I32" i="50"/>
  <c r="I33" i="50" s="1"/>
  <c r="J62" i="49"/>
  <c r="J59" i="49" s="1"/>
  <c r="I74" i="24"/>
  <c r="Q113" i="30"/>
  <c r="F111" i="49"/>
  <c r="F145" i="24" s="1"/>
  <c r="E111" i="49"/>
  <c r="E145" i="24" s="1"/>
  <c r="G111" i="49"/>
  <c r="G145" i="24" s="1"/>
  <c r="J58" i="49"/>
  <c r="J55" i="49" s="1"/>
  <c r="J69" i="24" s="1"/>
  <c r="I50" i="49"/>
  <c r="F110" i="49"/>
  <c r="F107" i="49" s="1"/>
  <c r="F140" i="24" s="1"/>
  <c r="J32" i="49"/>
  <c r="J29" i="49" s="1"/>
  <c r="H132" i="24"/>
  <c r="H131" i="24" s="1"/>
  <c r="H47" i="1" s="1"/>
  <c r="L132" i="24"/>
  <c r="L131" i="24" s="1"/>
  <c r="L47" i="1" s="1"/>
  <c r="K132" i="24"/>
  <c r="K131" i="24" s="1"/>
  <c r="K47" i="1" s="1"/>
  <c r="I132" i="24"/>
  <c r="I131" i="24" s="1"/>
  <c r="I47" i="1" s="1"/>
  <c r="F132" i="24"/>
  <c r="F131" i="24" s="1"/>
  <c r="F47" i="1" s="1"/>
  <c r="G132" i="24"/>
  <c r="G131" i="24" s="1"/>
  <c r="G47" i="1" s="1"/>
  <c r="J132" i="24"/>
  <c r="J131" i="24" s="1"/>
  <c r="J47" i="1" s="1"/>
  <c r="J58" i="34"/>
  <c r="J55" i="34" s="1"/>
  <c r="J70" i="24" s="1"/>
  <c r="J32" i="34"/>
  <c r="J29" i="34" s="1"/>
  <c r="J33" i="24" s="1"/>
  <c r="E138" i="24"/>
  <c r="E51" i="1" s="1"/>
  <c r="F110" i="30"/>
  <c r="F107" i="30" s="1"/>
  <c r="E113" i="30"/>
  <c r="F113" i="30"/>
  <c r="G113" i="30"/>
  <c r="H113" i="30"/>
  <c r="I113" i="30"/>
  <c r="J113" i="30"/>
  <c r="K113" i="30"/>
  <c r="L113" i="30"/>
  <c r="M113" i="30"/>
  <c r="N113" i="30"/>
  <c r="O113" i="30"/>
  <c r="P113" i="30"/>
  <c r="E134" i="24"/>
  <c r="D28" i="20"/>
  <c r="E28" i="20" s="1"/>
  <c r="I31" i="24"/>
  <c r="I68" i="24"/>
  <c r="I67" i="24" s="1"/>
  <c r="I40" i="1" s="1"/>
  <c r="P102" i="30"/>
  <c r="E99" i="34"/>
  <c r="E129" i="24" s="1"/>
  <c r="D10" i="20"/>
  <c r="E73" i="20"/>
  <c r="D74" i="20"/>
  <c r="D80" i="20" s="1"/>
  <c r="J58" i="30"/>
  <c r="J55" i="30" s="1"/>
  <c r="J32" i="30"/>
  <c r="J29" i="30" s="1"/>
  <c r="F98" i="30"/>
  <c r="G98" i="30"/>
  <c r="E98" i="30"/>
  <c r="E127" i="24" s="1"/>
  <c r="E77" i="20"/>
  <c r="E29" i="20"/>
  <c r="E78" i="20"/>
  <c r="E79" i="20"/>
  <c r="C80" i="20"/>
  <c r="I30" i="24" l="1"/>
  <c r="I33" i="1" s="1"/>
  <c r="J32" i="50"/>
  <c r="J33" i="50" s="1"/>
  <c r="D84" i="53"/>
  <c r="E75" i="49"/>
  <c r="E74" i="49" s="1"/>
  <c r="F75" i="49"/>
  <c r="F74" i="49" s="1"/>
  <c r="G75" i="49"/>
  <c r="G74" i="49" s="1"/>
  <c r="H75" i="49"/>
  <c r="I75" i="49"/>
  <c r="J75" i="49"/>
  <c r="K75" i="49"/>
  <c r="L75" i="49"/>
  <c r="M75" i="49"/>
  <c r="N75" i="49"/>
  <c r="O75" i="49"/>
  <c r="P75" i="49"/>
  <c r="Q75" i="49"/>
  <c r="J32" i="24"/>
  <c r="K62" i="49"/>
  <c r="K59" i="49" s="1"/>
  <c r="J74" i="24"/>
  <c r="K32" i="49"/>
  <c r="K29" i="49" s="1"/>
  <c r="G110" i="49"/>
  <c r="G107" i="49" s="1"/>
  <c r="G140" i="24" s="1"/>
  <c r="Q117" i="30"/>
  <c r="E115" i="49"/>
  <c r="E150" i="24" s="1"/>
  <c r="K58" i="49"/>
  <c r="K55" i="49" s="1"/>
  <c r="K69" i="24" s="1"/>
  <c r="J50" i="49"/>
  <c r="Q121" i="30"/>
  <c r="E119" i="49"/>
  <c r="D84" i="11"/>
  <c r="Q75" i="30"/>
  <c r="K32" i="34"/>
  <c r="K29" i="34" s="1"/>
  <c r="K33" i="24" s="1"/>
  <c r="K58" i="34"/>
  <c r="K55" i="34" s="1"/>
  <c r="K70" i="24" s="1"/>
  <c r="H121" i="30"/>
  <c r="L121" i="30"/>
  <c r="P121" i="30"/>
  <c r="G121" i="30"/>
  <c r="K121" i="30"/>
  <c r="O121" i="30"/>
  <c r="F121" i="30"/>
  <c r="J121" i="30"/>
  <c r="N121" i="30"/>
  <c r="E121" i="30"/>
  <c r="E119" i="30" s="1"/>
  <c r="E154" i="24" s="1"/>
  <c r="I121" i="30"/>
  <c r="M121" i="30"/>
  <c r="E131" i="24"/>
  <c r="E47" i="1" s="1"/>
  <c r="M117" i="30"/>
  <c r="H117" i="30"/>
  <c r="L117" i="30"/>
  <c r="P117" i="30"/>
  <c r="G117" i="30"/>
  <c r="K117" i="30"/>
  <c r="O117" i="30"/>
  <c r="F117" i="30"/>
  <c r="J117" i="30"/>
  <c r="N117" i="30"/>
  <c r="E117" i="30"/>
  <c r="E115" i="30" s="1"/>
  <c r="E149" i="24" s="1"/>
  <c r="I117" i="30"/>
  <c r="F139" i="24"/>
  <c r="F138" i="24" s="1"/>
  <c r="G110" i="30"/>
  <c r="G107" i="30" s="1"/>
  <c r="J68" i="24"/>
  <c r="J67" i="24" s="1"/>
  <c r="J40" i="1" s="1"/>
  <c r="J31" i="24"/>
  <c r="G127" i="24"/>
  <c r="G126" i="24" s="1"/>
  <c r="G46" i="1" s="1"/>
  <c r="F127" i="24"/>
  <c r="F126" i="24" s="1"/>
  <c r="F46" i="1" s="1"/>
  <c r="E126" i="24"/>
  <c r="E46" i="1" s="1"/>
  <c r="E10" i="20"/>
  <c r="D191" i="20"/>
  <c r="E190" i="20"/>
  <c r="E191" i="20" s="1"/>
  <c r="E75" i="34"/>
  <c r="E75" i="30"/>
  <c r="E74" i="30" s="1"/>
  <c r="E92" i="24" s="1"/>
  <c r="F75" i="30"/>
  <c r="F74" i="30" s="1"/>
  <c r="G75" i="30"/>
  <c r="G74" i="30" s="1"/>
  <c r="H75" i="30"/>
  <c r="I75" i="30"/>
  <c r="J75" i="30"/>
  <c r="K75" i="30"/>
  <c r="L75" i="30"/>
  <c r="M75" i="30"/>
  <c r="N75" i="30"/>
  <c r="O75" i="30"/>
  <c r="P75" i="30"/>
  <c r="E74" i="20"/>
  <c r="E80" i="20" s="1"/>
  <c r="K32" i="30"/>
  <c r="K29" i="30" s="1"/>
  <c r="K58" i="30"/>
  <c r="K55" i="30" s="1"/>
  <c r="F111" i="30"/>
  <c r="G111" i="30"/>
  <c r="E111" i="30"/>
  <c r="E144" i="24" s="1"/>
  <c r="G41" i="50" l="1"/>
  <c r="G93" i="24"/>
  <c r="G136" i="49"/>
  <c r="G73" i="49"/>
  <c r="E93" i="24"/>
  <c r="E136" i="49"/>
  <c r="E73" i="49"/>
  <c r="F93" i="24"/>
  <c r="F41" i="50"/>
  <c r="F136" i="49"/>
  <c r="F73" i="49"/>
  <c r="F122" i="49"/>
  <c r="F119" i="49" s="1"/>
  <c r="E155" i="24"/>
  <c r="E153" i="24" s="1"/>
  <c r="E54" i="1" s="1"/>
  <c r="K32" i="24"/>
  <c r="K32" i="50"/>
  <c r="K33" i="50" s="1"/>
  <c r="L62" i="49"/>
  <c r="L59" i="49" s="1"/>
  <c r="K74" i="24"/>
  <c r="J30" i="24"/>
  <c r="J33" i="1" s="1"/>
  <c r="L32" i="49"/>
  <c r="L29" i="49" s="1"/>
  <c r="L58" i="49"/>
  <c r="L55" i="49" s="1"/>
  <c r="L69" i="24" s="1"/>
  <c r="K50" i="49"/>
  <c r="F118" i="49"/>
  <c r="F115" i="49" s="1"/>
  <c r="E106" i="49"/>
  <c r="H110" i="49"/>
  <c r="H107" i="49" s="1"/>
  <c r="L32" i="34"/>
  <c r="L29" i="34" s="1"/>
  <c r="L33" i="24" s="1"/>
  <c r="F51" i="1"/>
  <c r="L58" i="34"/>
  <c r="L55" i="34" s="1"/>
  <c r="L70" i="24" s="1"/>
  <c r="G139" i="24"/>
  <c r="G138" i="24" s="1"/>
  <c r="H110" i="30"/>
  <c r="H107" i="30" s="1"/>
  <c r="E148" i="24"/>
  <c r="E53" i="1" s="1"/>
  <c r="F118" i="30"/>
  <c r="F115" i="30" s="1"/>
  <c r="F122" i="30"/>
  <c r="F119" i="30" s="1"/>
  <c r="F43" i="31" s="1"/>
  <c r="E74" i="34"/>
  <c r="E94" i="24"/>
  <c r="K31" i="24"/>
  <c r="K68" i="24"/>
  <c r="K67" i="24" s="1"/>
  <c r="K40" i="1" s="1"/>
  <c r="F144" i="24"/>
  <c r="G144" i="24"/>
  <c r="G48" i="34"/>
  <c r="G92" i="24"/>
  <c r="F48" i="34"/>
  <c r="F92" i="24"/>
  <c r="E106" i="30"/>
  <c r="E73" i="30"/>
  <c r="E48" i="34"/>
  <c r="G73" i="30"/>
  <c r="F41" i="31"/>
  <c r="G41" i="31"/>
  <c r="F73" i="30"/>
  <c r="L32" i="30"/>
  <c r="L29" i="30" s="1"/>
  <c r="L58" i="30"/>
  <c r="L55" i="30" s="1"/>
  <c r="G91" i="24" l="1"/>
  <c r="G90" i="24" s="1"/>
  <c r="G45" i="1" s="1"/>
  <c r="G49" i="1" s="1"/>
  <c r="E91" i="24"/>
  <c r="E90" i="24" s="1"/>
  <c r="E45" i="1" s="1"/>
  <c r="K30" i="24"/>
  <c r="K33" i="1" s="1"/>
  <c r="F91" i="24"/>
  <c r="F90" i="24" s="1"/>
  <c r="F45" i="1" s="1"/>
  <c r="F49" i="1" s="1"/>
  <c r="M32" i="34"/>
  <c r="M29" i="34" s="1"/>
  <c r="M33" i="24" s="1"/>
  <c r="G24" i="50"/>
  <c r="F24" i="50"/>
  <c r="E124" i="49"/>
  <c r="H140" i="24"/>
  <c r="F150" i="24"/>
  <c r="F26" i="50"/>
  <c r="G122" i="49"/>
  <c r="G119" i="49" s="1"/>
  <c r="F155" i="24"/>
  <c r="F43" i="50"/>
  <c r="M62" i="49"/>
  <c r="M59" i="49" s="1"/>
  <c r="L74" i="24"/>
  <c r="L32" i="24"/>
  <c r="L32" i="50"/>
  <c r="L33" i="50" s="1"/>
  <c r="I110" i="49"/>
  <c r="I107" i="49" s="1"/>
  <c r="M32" i="49"/>
  <c r="M29" i="49" s="1"/>
  <c r="G118" i="49"/>
  <c r="G115" i="49" s="1"/>
  <c r="F106" i="49"/>
  <c r="F124" i="49" s="1"/>
  <c r="M58" i="49"/>
  <c r="M55" i="49" s="1"/>
  <c r="M69" i="24" s="1"/>
  <c r="L50" i="49"/>
  <c r="G51" i="1"/>
  <c r="M58" i="34"/>
  <c r="M55" i="34" s="1"/>
  <c r="M70" i="24" s="1"/>
  <c r="F106" i="30"/>
  <c r="F154" i="24"/>
  <c r="G122" i="30"/>
  <c r="G119" i="30" s="1"/>
  <c r="G118" i="30"/>
  <c r="G115" i="30" s="1"/>
  <c r="F149" i="24"/>
  <c r="F26" i="31"/>
  <c r="H139" i="24"/>
  <c r="I110" i="30"/>
  <c r="I107" i="30" s="1"/>
  <c r="L31" i="24"/>
  <c r="L68" i="24"/>
  <c r="L67" i="24" s="1"/>
  <c r="L40" i="1" s="1"/>
  <c r="G41" i="35"/>
  <c r="E23" i="34"/>
  <c r="E58" i="24"/>
  <c r="E55" i="24" s="1"/>
  <c r="E23" i="24" s="1"/>
  <c r="G23" i="34"/>
  <c r="G58" i="24"/>
  <c r="G55" i="24" s="1"/>
  <c r="G23" i="24" s="1"/>
  <c r="F23" i="34"/>
  <c r="F58" i="24"/>
  <c r="F55" i="24" s="1"/>
  <c r="F23" i="24" s="1"/>
  <c r="E124" i="30"/>
  <c r="F41" i="35"/>
  <c r="M32" i="30"/>
  <c r="M29" i="30" s="1"/>
  <c r="M58" i="30"/>
  <c r="M55" i="30" s="1"/>
  <c r="N32" i="34" l="1"/>
  <c r="N29" i="34" s="1"/>
  <c r="O32" i="34" s="1"/>
  <c r="O29" i="34" s="1"/>
  <c r="H138" i="24"/>
  <c r="H51" i="1" s="1"/>
  <c r="F153" i="24"/>
  <c r="F54" i="1" s="1"/>
  <c r="L30" i="24"/>
  <c r="L33" i="1" s="1"/>
  <c r="F148" i="24"/>
  <c r="F26" i="25" s="1"/>
  <c r="F65" i="1" s="1"/>
  <c r="M32" i="50"/>
  <c r="M33" i="50" s="1"/>
  <c r="F27" i="50"/>
  <c r="F34" i="50" s="1"/>
  <c r="G26" i="50"/>
  <c r="G27" i="50" s="1"/>
  <c r="G150" i="24"/>
  <c r="G155" i="24"/>
  <c r="G43" i="50"/>
  <c r="H122" i="49"/>
  <c r="H119" i="49" s="1"/>
  <c r="I140" i="24"/>
  <c r="M32" i="24"/>
  <c r="N62" i="49"/>
  <c r="N59" i="49" s="1"/>
  <c r="M74" i="24"/>
  <c r="N58" i="49"/>
  <c r="N55" i="49" s="1"/>
  <c r="N69" i="24" s="1"/>
  <c r="M50" i="49"/>
  <c r="N32" i="49"/>
  <c r="N29" i="49" s="1"/>
  <c r="H118" i="49"/>
  <c r="H115" i="49" s="1"/>
  <c r="G106" i="49"/>
  <c r="G124" i="49" s="1"/>
  <c r="J110" i="49"/>
  <c r="J107" i="49" s="1"/>
  <c r="J140" i="24" s="1"/>
  <c r="F76" i="1"/>
  <c r="G76" i="1"/>
  <c r="N58" i="34"/>
  <c r="N55" i="34" s="1"/>
  <c r="N70" i="24" s="1"/>
  <c r="F124" i="30"/>
  <c r="F27" i="31"/>
  <c r="N33" i="24"/>
  <c r="I139" i="24"/>
  <c r="J110" i="30"/>
  <c r="J107" i="30" s="1"/>
  <c r="G149" i="24"/>
  <c r="G26" i="31"/>
  <c r="H118" i="30"/>
  <c r="H115" i="30" s="1"/>
  <c r="G106" i="30"/>
  <c r="G154" i="24"/>
  <c r="H122" i="30"/>
  <c r="H119" i="30" s="1"/>
  <c r="G43" i="31"/>
  <c r="M68" i="24"/>
  <c r="M67" i="24" s="1"/>
  <c r="M40" i="1" s="1"/>
  <c r="M31" i="24"/>
  <c r="E49" i="1"/>
  <c r="N32" i="30"/>
  <c r="N29" i="30" s="1"/>
  <c r="N58" i="30"/>
  <c r="N55" i="30" s="1"/>
  <c r="E82" i="20"/>
  <c r="E83" i="20"/>
  <c r="E84" i="20"/>
  <c r="E85" i="20"/>
  <c r="E86" i="20"/>
  <c r="C88" i="20"/>
  <c r="G148" i="24" l="1"/>
  <c r="G53" i="1" s="1"/>
  <c r="F53" i="1"/>
  <c r="I138" i="24"/>
  <c r="I51" i="1" s="1"/>
  <c r="N32" i="50"/>
  <c r="N33" i="50" s="1"/>
  <c r="M30" i="24"/>
  <c r="M33" i="1" s="1"/>
  <c r="I122" i="49"/>
  <c r="I119" i="49" s="1"/>
  <c r="H155" i="24"/>
  <c r="N32" i="24"/>
  <c r="O62" i="49"/>
  <c r="O59" i="49" s="1"/>
  <c r="N74" i="24"/>
  <c r="G153" i="24"/>
  <c r="G54" i="1" s="1"/>
  <c r="H150" i="24"/>
  <c r="H26" i="50"/>
  <c r="G34" i="50"/>
  <c r="O58" i="49"/>
  <c r="O55" i="49" s="1"/>
  <c r="O69" i="24" s="1"/>
  <c r="N50" i="49"/>
  <c r="I118" i="49"/>
  <c r="I115" i="49" s="1"/>
  <c r="K110" i="49"/>
  <c r="K107" i="49" s="1"/>
  <c r="K140" i="24" s="1"/>
  <c r="O32" i="49"/>
  <c r="O29" i="49" s="1"/>
  <c r="O58" i="34"/>
  <c r="O55" i="34" s="1"/>
  <c r="O70" i="24" s="1"/>
  <c r="G124" i="30"/>
  <c r="J139" i="24"/>
  <c r="J138" i="24" s="1"/>
  <c r="K110" i="30"/>
  <c r="K107" i="30" s="1"/>
  <c r="P32" i="34"/>
  <c r="P29" i="34" s="1"/>
  <c r="Q32" i="34" s="1"/>
  <c r="Q29" i="34" s="1"/>
  <c r="O33" i="24"/>
  <c r="H154" i="24"/>
  <c r="I122" i="30"/>
  <c r="I119" i="30" s="1"/>
  <c r="G27" i="31"/>
  <c r="I118" i="30"/>
  <c r="I115" i="30" s="1"/>
  <c r="H26" i="31"/>
  <c r="H149" i="24"/>
  <c r="N68" i="24"/>
  <c r="N67" i="24" s="1"/>
  <c r="N40" i="1" s="1"/>
  <c r="N31" i="24"/>
  <c r="C89" i="20"/>
  <c r="C90" i="20" s="1"/>
  <c r="O32" i="30"/>
  <c r="O29" i="30" s="1"/>
  <c r="O58" i="30"/>
  <c r="O55" i="30" s="1"/>
  <c r="D264" i="20"/>
  <c r="D262" i="20"/>
  <c r="E81" i="20"/>
  <c r="D37" i="20" l="1"/>
  <c r="E37" i="20" s="1"/>
  <c r="D268" i="20"/>
  <c r="G26" i="25"/>
  <c r="G65" i="1" s="1"/>
  <c r="H148" i="24"/>
  <c r="H53" i="1" s="1"/>
  <c r="N30" i="24"/>
  <c r="N33" i="1" s="1"/>
  <c r="H153" i="24"/>
  <c r="H54" i="1" s="1"/>
  <c r="J122" i="49"/>
  <c r="J119" i="49" s="1"/>
  <c r="I155" i="24"/>
  <c r="P62" i="49"/>
  <c r="P59" i="49" s="1"/>
  <c r="O74" i="24"/>
  <c r="O32" i="24"/>
  <c r="I26" i="50"/>
  <c r="I150" i="24"/>
  <c r="O32" i="50"/>
  <c r="O33" i="50" s="1"/>
  <c r="P32" i="49"/>
  <c r="P29" i="49" s="1"/>
  <c r="L110" i="49"/>
  <c r="L107" i="49" s="1"/>
  <c r="L140" i="24" s="1"/>
  <c r="J118" i="49"/>
  <c r="J115" i="49" s="1"/>
  <c r="P58" i="49"/>
  <c r="P55" i="49" s="1"/>
  <c r="P69" i="24" s="1"/>
  <c r="O50" i="49"/>
  <c r="Q33" i="24"/>
  <c r="R32" i="34"/>
  <c r="R29" i="34" s="1"/>
  <c r="J51" i="1"/>
  <c r="P58" i="34"/>
  <c r="P55" i="34" s="1"/>
  <c r="D39" i="20"/>
  <c r="E39" i="20" s="1"/>
  <c r="K139" i="24"/>
  <c r="K138" i="24" s="1"/>
  <c r="L110" i="30"/>
  <c r="L107" i="30" s="1"/>
  <c r="D40" i="20"/>
  <c r="E40" i="20" s="1"/>
  <c r="J118" i="30"/>
  <c r="J115" i="30" s="1"/>
  <c r="I26" i="31"/>
  <c r="I149" i="24"/>
  <c r="I154" i="24"/>
  <c r="J122" i="30"/>
  <c r="J119" i="30" s="1"/>
  <c r="E266" i="20"/>
  <c r="D41" i="20"/>
  <c r="E41" i="20" s="1"/>
  <c r="H27" i="31"/>
  <c r="P33" i="24"/>
  <c r="O68" i="24"/>
  <c r="O67" i="24" s="1"/>
  <c r="O40" i="1" s="1"/>
  <c r="O31" i="24"/>
  <c r="P32" i="30"/>
  <c r="P29" i="30" s="1"/>
  <c r="Q32" i="30" s="1"/>
  <c r="Q29" i="30" s="1"/>
  <c r="P58" i="30"/>
  <c r="P55" i="30" s="1"/>
  <c r="Q58" i="30" s="1"/>
  <c r="Q55" i="30" s="1"/>
  <c r="D88" i="20"/>
  <c r="D89" i="20" s="1"/>
  <c r="D90" i="20" s="1"/>
  <c r="E265" i="20"/>
  <c r="E264" i="20"/>
  <c r="E261" i="20"/>
  <c r="E263" i="20"/>
  <c r="E262" i="20"/>
  <c r="E87" i="20"/>
  <c r="H26" i="25" l="1"/>
  <c r="H65" i="1" s="1"/>
  <c r="O30" i="24"/>
  <c r="O33" i="1" s="1"/>
  <c r="I153" i="24"/>
  <c r="I54" i="1" s="1"/>
  <c r="P32" i="24"/>
  <c r="K122" i="49"/>
  <c r="K119" i="49" s="1"/>
  <c r="J155" i="24"/>
  <c r="J150" i="24"/>
  <c r="J26" i="50"/>
  <c r="Q62" i="49"/>
  <c r="Q59" i="49" s="1"/>
  <c r="Q74" i="24" s="1"/>
  <c r="P74" i="24"/>
  <c r="P32" i="50"/>
  <c r="P33" i="50" s="1"/>
  <c r="I148" i="24"/>
  <c r="I26" i="25" s="1"/>
  <c r="I65" i="1" s="1"/>
  <c r="K118" i="49"/>
  <c r="K115" i="49" s="1"/>
  <c r="Q32" i="49"/>
  <c r="Q29" i="49" s="1"/>
  <c r="Q32" i="24" s="1"/>
  <c r="M110" i="49"/>
  <c r="M107" i="49" s="1"/>
  <c r="M140" i="24" s="1"/>
  <c r="Q58" i="49"/>
  <c r="Q55" i="49" s="1"/>
  <c r="P50" i="49"/>
  <c r="P70" i="24"/>
  <c r="Q58" i="34"/>
  <c r="Q55" i="34" s="1"/>
  <c r="S32" i="34"/>
  <c r="S29" i="34" s="1"/>
  <c r="R23" i="34"/>
  <c r="Q68" i="24"/>
  <c r="Q31" i="24"/>
  <c r="K51" i="1"/>
  <c r="J154" i="24"/>
  <c r="K122" i="30"/>
  <c r="K119" i="30" s="1"/>
  <c r="I27" i="31"/>
  <c r="L139" i="24"/>
  <c r="L138" i="24" s="1"/>
  <c r="M110" i="30"/>
  <c r="M107" i="30" s="1"/>
  <c r="J149" i="24"/>
  <c r="J26" i="31"/>
  <c r="K118" i="30"/>
  <c r="K115" i="30" s="1"/>
  <c r="P31" i="24"/>
  <c r="P68" i="24"/>
  <c r="E36" i="20"/>
  <c r="E88" i="20"/>
  <c r="P30" i="24" l="1"/>
  <c r="P33" i="1" s="1"/>
  <c r="I53" i="1"/>
  <c r="Q30" i="24"/>
  <c r="Q33" i="1" s="1"/>
  <c r="J153" i="24"/>
  <c r="J54" i="1" s="1"/>
  <c r="Q50" i="49"/>
  <c r="Q69" i="24"/>
  <c r="Q32" i="50"/>
  <c r="Q33" i="50" s="1"/>
  <c r="K26" i="50"/>
  <c r="K150" i="24"/>
  <c r="L122" i="49"/>
  <c r="L119" i="49" s="1"/>
  <c r="K155" i="24"/>
  <c r="J148" i="24"/>
  <c r="J26" i="25" s="1"/>
  <c r="J65" i="1" s="1"/>
  <c r="N110" i="49"/>
  <c r="N107" i="49" s="1"/>
  <c r="N140" i="24" s="1"/>
  <c r="L118" i="49"/>
  <c r="L115" i="49" s="1"/>
  <c r="E126" i="49"/>
  <c r="R32" i="50"/>
  <c r="R33" i="50" s="1"/>
  <c r="P67" i="24"/>
  <c r="P40" i="1" s="1"/>
  <c r="Q70" i="24"/>
  <c r="R58" i="34"/>
  <c r="R55" i="34" s="1"/>
  <c r="T32" i="34"/>
  <c r="T29" i="34" s="1"/>
  <c r="S23" i="34"/>
  <c r="Q128" i="30"/>
  <c r="L51" i="1"/>
  <c r="J27" i="31"/>
  <c r="M139" i="24"/>
  <c r="M138" i="24" s="1"/>
  <c r="N110" i="30"/>
  <c r="N107" i="30" s="1"/>
  <c r="K154" i="24"/>
  <c r="L122" i="30"/>
  <c r="L119" i="30" s="1"/>
  <c r="K149" i="24"/>
  <c r="K26" i="31"/>
  <c r="L118" i="30"/>
  <c r="L115" i="30" s="1"/>
  <c r="E89" i="20"/>
  <c r="E90" i="20" s="1"/>
  <c r="F128" i="30"/>
  <c r="E128" i="30"/>
  <c r="G128" i="30"/>
  <c r="H128" i="30"/>
  <c r="I128" i="30"/>
  <c r="J128" i="30"/>
  <c r="K128" i="30"/>
  <c r="L128" i="30"/>
  <c r="M128" i="30"/>
  <c r="N128" i="30"/>
  <c r="O128" i="30"/>
  <c r="P128" i="30"/>
  <c r="D269" i="20"/>
  <c r="E267" i="20"/>
  <c r="E268" i="20" s="1"/>
  <c r="E269" i="20" s="1"/>
  <c r="K153" i="24" l="1"/>
  <c r="K54" i="1" s="1"/>
  <c r="Q67" i="24"/>
  <c r="Q40" i="1" s="1"/>
  <c r="J53" i="1"/>
  <c r="M122" i="49"/>
  <c r="M119" i="49" s="1"/>
  <c r="L155" i="24"/>
  <c r="L150" i="24"/>
  <c r="L26" i="50"/>
  <c r="L26" i="54" s="1"/>
  <c r="D22" i="51" s="1"/>
  <c r="K148" i="24"/>
  <c r="K53" i="1" s="1"/>
  <c r="E63" i="34"/>
  <c r="E163" i="24"/>
  <c r="S58" i="34"/>
  <c r="S55" i="34" s="1"/>
  <c r="M118" i="49"/>
  <c r="M115" i="49" s="1"/>
  <c r="E133" i="49"/>
  <c r="O110" i="49"/>
  <c r="O107" i="49" s="1"/>
  <c r="O140" i="24" s="1"/>
  <c r="U32" i="34"/>
  <c r="U29" i="34" s="1"/>
  <c r="T23" i="34"/>
  <c r="M51" i="1"/>
  <c r="L149" i="24"/>
  <c r="M118" i="30"/>
  <c r="M115" i="30" s="1"/>
  <c r="L26" i="31"/>
  <c r="L26" i="10" s="1"/>
  <c r="L154" i="24"/>
  <c r="M122" i="30"/>
  <c r="M119" i="30" s="1"/>
  <c r="N139" i="24"/>
  <c r="N138" i="24" s="1"/>
  <c r="N51" i="1" s="1"/>
  <c r="O110" i="30"/>
  <c r="O107" i="30" s="1"/>
  <c r="K27" i="31"/>
  <c r="E42" i="20"/>
  <c r="N26" i="10" l="1"/>
  <c r="N27" i="10" s="1"/>
  <c r="N26" i="54"/>
  <c r="F22" i="51" s="1"/>
  <c r="O26" i="10"/>
  <c r="O27" i="10" s="1"/>
  <c r="M26" i="54"/>
  <c r="E22" i="51" s="1"/>
  <c r="M26" i="10"/>
  <c r="M27" i="10" s="1"/>
  <c r="L148" i="24"/>
  <c r="L26" i="25" s="1"/>
  <c r="L65" i="1" s="1"/>
  <c r="N122" i="49"/>
  <c r="N119" i="49" s="1"/>
  <c r="M155" i="24"/>
  <c r="K26" i="25"/>
  <c r="K65" i="1" s="1"/>
  <c r="L153" i="24"/>
  <c r="L54" i="1" s="1"/>
  <c r="M26" i="50"/>
  <c r="S26" i="54" s="1"/>
  <c r="M150" i="24"/>
  <c r="T58" i="34"/>
  <c r="T55" i="34" s="1"/>
  <c r="U58" i="34" s="1"/>
  <c r="U55" i="34" s="1"/>
  <c r="V58" i="34" s="1"/>
  <c r="V55" i="34" s="1"/>
  <c r="W58" i="34" s="1"/>
  <c r="W55" i="34" s="1"/>
  <c r="X58" i="34" s="1"/>
  <c r="X55" i="34" s="1"/>
  <c r="Y58" i="34" s="1"/>
  <c r="Y55" i="34" s="1"/>
  <c r="Z58" i="34" s="1"/>
  <c r="Z55" i="34" s="1"/>
  <c r="AA58" i="34" s="1"/>
  <c r="AA55" i="34" s="1"/>
  <c r="AB58" i="34" s="1"/>
  <c r="AB55" i="34" s="1"/>
  <c r="AC58" i="34" s="1"/>
  <c r="AC55" i="34" s="1"/>
  <c r="P110" i="49"/>
  <c r="P107" i="49" s="1"/>
  <c r="P140" i="24" s="1"/>
  <c r="N118" i="49"/>
  <c r="N115" i="49" s="1"/>
  <c r="V32" i="34"/>
  <c r="V29" i="34" s="1"/>
  <c r="U23" i="34"/>
  <c r="O139" i="24"/>
  <c r="O138" i="24" s="1"/>
  <c r="O51" i="1" s="1"/>
  <c r="P110" i="30"/>
  <c r="P107" i="30" s="1"/>
  <c r="Q110" i="30" s="1"/>
  <c r="Q107" i="30" s="1"/>
  <c r="Q139" i="24" s="1"/>
  <c r="M154" i="24"/>
  <c r="N122" i="30"/>
  <c r="N119" i="30" s="1"/>
  <c r="M149" i="24"/>
  <c r="M26" i="31"/>
  <c r="S26" i="10" s="1"/>
  <c r="S27" i="10" s="1"/>
  <c r="N118" i="30"/>
  <c r="N115" i="30" s="1"/>
  <c r="L27" i="31"/>
  <c r="R26" i="54" l="1"/>
  <c r="J22" i="51" s="1"/>
  <c r="M148" i="24"/>
  <c r="M26" i="25" s="1"/>
  <c r="M65" i="1" s="1"/>
  <c r="P26" i="10"/>
  <c r="P27" i="10" s="1"/>
  <c r="Q26" i="10"/>
  <c r="Q27" i="10" s="1"/>
  <c r="R26" i="10"/>
  <c r="R27" i="10" s="1"/>
  <c r="M153" i="24"/>
  <c r="M54" i="1" s="1"/>
  <c r="L53" i="1"/>
  <c r="N150" i="24"/>
  <c r="N26" i="50"/>
  <c r="V26" i="54" s="1"/>
  <c r="O122" i="49"/>
  <c r="O119" i="49" s="1"/>
  <c r="N155" i="24"/>
  <c r="O118" i="49"/>
  <c r="O115" i="49" s="1"/>
  <c r="K22" i="51"/>
  <c r="Q110" i="49"/>
  <c r="Q107" i="49" s="1"/>
  <c r="Q140" i="24" s="1"/>
  <c r="Q138" i="24" s="1"/>
  <c r="Q51" i="1" s="1"/>
  <c r="W32" i="34"/>
  <c r="W29" i="34" s="1"/>
  <c r="V23" i="34"/>
  <c r="M27" i="31"/>
  <c r="N154" i="24"/>
  <c r="O122" i="30"/>
  <c r="O119" i="30" s="1"/>
  <c r="N149" i="24"/>
  <c r="N26" i="31"/>
  <c r="V26" i="10" s="1"/>
  <c r="V27" i="10" s="1"/>
  <c r="O118" i="30"/>
  <c r="O115" i="30" s="1"/>
  <c r="P139" i="24"/>
  <c r="P138" i="24" s="1"/>
  <c r="P51" i="1" s="1"/>
  <c r="M53" i="1" l="1"/>
  <c r="U26" i="54"/>
  <c r="M22" i="51" s="1"/>
  <c r="W26" i="10"/>
  <c r="W27" i="10" s="1"/>
  <c r="W26" i="54"/>
  <c r="O22" i="51" s="1"/>
  <c r="T26" i="54"/>
  <c r="L22" i="51" s="1"/>
  <c r="T26" i="10"/>
  <c r="T27" i="10" s="1"/>
  <c r="U26" i="10"/>
  <c r="U27" i="10" s="1"/>
  <c r="N153" i="24"/>
  <c r="N54" i="1" s="1"/>
  <c r="P122" i="49"/>
  <c r="P119" i="49" s="1"/>
  <c r="O155" i="24"/>
  <c r="N148" i="24"/>
  <c r="N26" i="25" s="1"/>
  <c r="N65" i="1" s="1"/>
  <c r="O26" i="50"/>
  <c r="Y26" i="54" s="1"/>
  <c r="O150" i="24"/>
  <c r="N22" i="51"/>
  <c r="P118" i="49"/>
  <c r="P115" i="49" s="1"/>
  <c r="X32" i="34"/>
  <c r="X29" i="34" s="1"/>
  <c r="W23" i="34"/>
  <c r="O149" i="24"/>
  <c r="P118" i="30"/>
  <c r="P115" i="30" s="1"/>
  <c r="Q118" i="30" s="1"/>
  <c r="Q115" i="30" s="1"/>
  <c r="O26" i="31"/>
  <c r="X26" i="10" s="1"/>
  <c r="X27" i="10" s="1"/>
  <c r="O154" i="24"/>
  <c r="P122" i="30"/>
  <c r="P119" i="30" s="1"/>
  <c r="Q122" i="30" s="1"/>
  <c r="Q119" i="30" s="1"/>
  <c r="Q154" i="24" s="1"/>
  <c r="N27" i="31"/>
  <c r="Z26" i="10"/>
  <c r="Z27" i="10" s="1"/>
  <c r="AA26" i="10"/>
  <c r="AA27" i="10" s="1"/>
  <c r="E59" i="30"/>
  <c r="E73" i="24" s="1"/>
  <c r="Z26" i="54" l="1"/>
  <c r="R22" i="51" s="1"/>
  <c r="AA26" i="54"/>
  <c r="S22" i="51" s="1"/>
  <c r="X26" i="54"/>
  <c r="P22" i="51" s="1"/>
  <c r="Y26" i="10"/>
  <c r="Y27" i="10" s="1"/>
  <c r="O153" i="24"/>
  <c r="O54" i="1" s="1"/>
  <c r="N53" i="1"/>
  <c r="O148" i="24"/>
  <c r="O26" i="25" s="1"/>
  <c r="O65" i="1" s="1"/>
  <c r="Q122" i="49"/>
  <c r="Q119" i="49" s="1"/>
  <c r="Q155" i="24" s="1"/>
  <c r="Q153" i="24" s="1"/>
  <c r="Q54" i="1" s="1"/>
  <c r="P155" i="24"/>
  <c r="P150" i="24"/>
  <c r="P26" i="50"/>
  <c r="AD26" i="54" s="1"/>
  <c r="Q118" i="49"/>
  <c r="Q115" i="49" s="1"/>
  <c r="Q22" i="51"/>
  <c r="Y32" i="34"/>
  <c r="Y29" i="34" s="1"/>
  <c r="X23" i="34"/>
  <c r="Q149" i="24"/>
  <c r="R26" i="31"/>
  <c r="R27" i="31" s="1"/>
  <c r="P154" i="24"/>
  <c r="Q26" i="31"/>
  <c r="AO26" i="10" s="1"/>
  <c r="P149" i="24"/>
  <c r="P26" i="31"/>
  <c r="O27" i="31"/>
  <c r="AD26" i="10"/>
  <c r="AD27" i="10" s="1"/>
  <c r="AE26" i="10"/>
  <c r="AE27" i="10" s="1"/>
  <c r="F62" i="30"/>
  <c r="F59" i="30" s="1"/>
  <c r="O53" i="1" l="1"/>
  <c r="AC26" i="54"/>
  <c r="U22" i="51" s="1"/>
  <c r="AE26" i="54"/>
  <c r="W22" i="51" s="1"/>
  <c r="AF26" i="10"/>
  <c r="AF27" i="10" s="1"/>
  <c r="AG26" i="10"/>
  <c r="AG27" i="10" s="1"/>
  <c r="AB26" i="10"/>
  <c r="AB27" i="10" s="1"/>
  <c r="AP26" i="54"/>
  <c r="AB26" i="54"/>
  <c r="T22" i="51" s="1"/>
  <c r="AC26" i="10"/>
  <c r="AC27" i="10" s="1"/>
  <c r="AO27" i="10"/>
  <c r="AO30" i="10" s="1"/>
  <c r="AG22" i="21" s="1"/>
  <c r="AG33" i="21" s="1"/>
  <c r="AG22" i="22"/>
  <c r="P153" i="24"/>
  <c r="P54" i="1" s="1"/>
  <c r="P148" i="24"/>
  <c r="P26" i="25" s="1"/>
  <c r="P65" i="1" s="1"/>
  <c r="Q26" i="50"/>
  <c r="AH26" i="54" s="1"/>
  <c r="Q150" i="24"/>
  <c r="Q148" i="24" s="1"/>
  <c r="R26" i="50"/>
  <c r="V22" i="51"/>
  <c r="AG26" i="54"/>
  <c r="AJ26" i="54"/>
  <c r="Z32" i="34"/>
  <c r="Z29" i="34" s="1"/>
  <c r="Y23" i="34"/>
  <c r="Q27" i="31"/>
  <c r="AK26" i="10"/>
  <c r="AM26" i="10"/>
  <c r="AL26" i="10"/>
  <c r="AN26" i="10"/>
  <c r="AJ26" i="10"/>
  <c r="AJ27" i="10" s="1"/>
  <c r="AJ30" i="10" s="1"/>
  <c r="AI26" i="10"/>
  <c r="AI27" i="10" s="1"/>
  <c r="AH26" i="10"/>
  <c r="AH27" i="10" s="1"/>
  <c r="P27" i="31"/>
  <c r="F73" i="24"/>
  <c r="F50" i="30"/>
  <c r="F71" i="30" s="1"/>
  <c r="F32" i="31"/>
  <c r="G62" i="30"/>
  <c r="G59" i="30" s="1"/>
  <c r="AI26" i="54" l="1"/>
  <c r="AA22" i="51" s="1"/>
  <c r="AO26" i="54"/>
  <c r="AG22" i="51" s="1"/>
  <c r="AF26" i="54"/>
  <c r="X22" i="51" s="1"/>
  <c r="P53" i="1"/>
  <c r="AG9" i="11"/>
  <c r="R26" i="25"/>
  <c r="Q26" i="25"/>
  <c r="Q65" i="1" s="1"/>
  <c r="Q53" i="1"/>
  <c r="Y22" i="51"/>
  <c r="O26" i="54"/>
  <c r="P26" i="54"/>
  <c r="Q26" i="54"/>
  <c r="R27" i="50"/>
  <c r="Z22" i="51"/>
  <c r="AK26" i="54"/>
  <c r="AL26" i="54"/>
  <c r="AM26" i="54"/>
  <c r="AN26" i="54"/>
  <c r="AB22" i="51"/>
  <c r="AA32" i="34"/>
  <c r="AA29" i="34" s="1"/>
  <c r="Z23" i="34"/>
  <c r="AF22" i="22"/>
  <c r="AN27" i="10"/>
  <c r="AN30" i="10" s="1"/>
  <c r="AC22" i="22"/>
  <c r="AK27" i="10"/>
  <c r="AK30" i="10" s="1"/>
  <c r="AE22" i="22"/>
  <c r="AM27" i="10"/>
  <c r="AM30" i="10" s="1"/>
  <c r="AD22" i="22"/>
  <c r="AL27" i="10"/>
  <c r="AL30" i="10" s="1"/>
  <c r="G73" i="24"/>
  <c r="G50" i="30"/>
  <c r="G71" i="30" s="1"/>
  <c r="H62" i="30"/>
  <c r="H59" i="30" s="1"/>
  <c r="G32" i="31"/>
  <c r="AE22" i="51" l="1"/>
  <c r="I22" i="51"/>
  <c r="AF22" i="51"/>
  <c r="R34" i="50"/>
  <c r="AC22" i="51"/>
  <c r="G22" i="51"/>
  <c r="AD22" i="51"/>
  <c r="H22" i="51"/>
  <c r="AB32" i="34"/>
  <c r="AB29" i="34" s="1"/>
  <c r="AA23" i="34"/>
  <c r="AE9" i="11"/>
  <c r="AE22" i="21"/>
  <c r="AF9" i="11"/>
  <c r="AF22" i="21"/>
  <c r="AD22" i="21"/>
  <c r="AD9" i="11"/>
  <c r="AC22" i="21"/>
  <c r="AC9" i="11"/>
  <c r="H73" i="24"/>
  <c r="H50" i="30"/>
  <c r="I62" i="30"/>
  <c r="I59" i="30" s="1"/>
  <c r="H32" i="31"/>
  <c r="AC32" i="34" l="1"/>
  <c r="AC29" i="34" s="1"/>
  <c r="AC23" i="34" s="1"/>
  <c r="AB23" i="34"/>
  <c r="AF33" i="21"/>
  <c r="AD33" i="21"/>
  <c r="AE33" i="21"/>
  <c r="AC33" i="21"/>
  <c r="I73" i="24"/>
  <c r="I50" i="30"/>
  <c r="J62" i="30"/>
  <c r="J59" i="30" s="1"/>
  <c r="I32" i="31"/>
  <c r="J73" i="24" l="1"/>
  <c r="J50" i="30"/>
  <c r="K62" i="30"/>
  <c r="K59" i="30" s="1"/>
  <c r="J32" i="31"/>
  <c r="D18" i="21"/>
  <c r="D31" i="21" l="1"/>
  <c r="D13" i="22"/>
  <c r="K73" i="24"/>
  <c r="K50" i="30"/>
  <c r="L62" i="30"/>
  <c r="L59" i="30" s="1"/>
  <c r="K32" i="31"/>
  <c r="L73" i="24" l="1"/>
  <c r="L50" i="30"/>
  <c r="M62" i="30"/>
  <c r="M59" i="30" s="1"/>
  <c r="L32" i="31"/>
  <c r="M73" i="24" l="1"/>
  <c r="M50" i="30"/>
  <c r="N62" i="30"/>
  <c r="N59" i="30" s="1"/>
  <c r="M32" i="31"/>
  <c r="S128" i="23"/>
  <c r="S25" i="25" s="1"/>
  <c r="S27" i="25" s="1"/>
  <c r="S34" i="25" s="1"/>
  <c r="R128" i="23"/>
  <c r="R25" i="25" s="1"/>
  <c r="R27" i="25" s="1"/>
  <c r="U128" i="23"/>
  <c r="U25" i="25" s="1"/>
  <c r="U27" i="25" s="1"/>
  <c r="U34" i="25" s="1"/>
  <c r="T128" i="23"/>
  <c r="T25" i="25" s="1"/>
  <c r="T27" i="25" s="1"/>
  <c r="T34" i="25" s="1"/>
  <c r="N73" i="24" l="1"/>
  <c r="N50" i="30"/>
  <c r="O62" i="30"/>
  <c r="O59" i="30" s="1"/>
  <c r="N32" i="31"/>
  <c r="O73" i="24" l="1"/>
  <c r="O50" i="30"/>
  <c r="P62" i="30"/>
  <c r="P59" i="30" s="1"/>
  <c r="Q62" i="30" s="1"/>
  <c r="Q59" i="30" s="1"/>
  <c r="O32" i="31"/>
  <c r="Q73" i="24" l="1"/>
  <c r="R32" i="31"/>
  <c r="R33" i="31" s="1"/>
  <c r="R34" i="31" s="1"/>
  <c r="Q50" i="30"/>
  <c r="P73" i="24"/>
  <c r="P50" i="30"/>
  <c r="Q32" i="31"/>
  <c r="P32" i="31"/>
  <c r="F128" i="23" l="1"/>
  <c r="F37" i="25"/>
  <c r="F72" i="1" s="1"/>
  <c r="F124" i="23"/>
  <c r="F125" i="23" s="1"/>
  <c r="F25" i="25" l="1"/>
  <c r="F126" i="23"/>
  <c r="F140" i="23"/>
  <c r="F129" i="23"/>
  <c r="F27" i="25" l="1"/>
  <c r="F64" i="1"/>
  <c r="F66" i="1" s="1"/>
  <c r="F141" i="23"/>
  <c r="F24" i="1"/>
  <c r="F25" i="1" s="1"/>
  <c r="F142" i="23"/>
  <c r="F26" i="1" l="1"/>
  <c r="AB22" i="22" l="1"/>
  <c r="AA22" i="22"/>
  <c r="AB23" i="22"/>
  <c r="M22" i="22" l="1"/>
  <c r="Z22" i="22"/>
  <c r="K22" i="22"/>
  <c r="L22" i="22"/>
  <c r="Y22" i="22"/>
  <c r="W22" i="22"/>
  <c r="H22" i="22"/>
  <c r="U22" i="22"/>
  <c r="S22" i="22"/>
  <c r="Q22" i="22"/>
  <c r="R22" i="22"/>
  <c r="X22" i="22"/>
  <c r="J22" i="22"/>
  <c r="P22" i="22"/>
  <c r="G22" i="22"/>
  <c r="E22" i="22"/>
  <c r="F22" i="22"/>
  <c r="D22" i="22"/>
  <c r="I22" i="22"/>
  <c r="T22" i="22"/>
  <c r="N22" i="22"/>
  <c r="O22" i="22"/>
  <c r="V22" i="22"/>
  <c r="L27" i="10"/>
  <c r="Z23" i="22"/>
  <c r="M23" i="22"/>
  <c r="K23" i="22"/>
  <c r="R23" i="22"/>
  <c r="S23" i="22"/>
  <c r="J23" i="22"/>
  <c r="I23" i="22"/>
  <c r="H23" i="22"/>
  <c r="N23" i="22"/>
  <c r="Y23" i="22"/>
  <c r="O23" i="22"/>
  <c r="L23" i="22"/>
  <c r="P23" i="22"/>
  <c r="Q23" i="22"/>
  <c r="T23" i="22"/>
  <c r="AA23" i="22"/>
  <c r="F23" i="22"/>
  <c r="E23" i="22"/>
  <c r="G23" i="22"/>
  <c r="X23" i="22"/>
  <c r="W23" i="22"/>
  <c r="V23" i="22"/>
  <c r="U23" i="22"/>
  <c r="D21" i="21" l="1"/>
  <c r="AB9" i="11"/>
  <c r="AB15" i="22"/>
  <c r="AA15" i="22"/>
  <c r="D32" i="21" l="1"/>
  <c r="X15" i="22"/>
  <c r="H15" i="22"/>
  <c r="J15" i="22"/>
  <c r="E15" i="22"/>
  <c r="W15" i="22"/>
  <c r="O15" i="22"/>
  <c r="Q15" i="22"/>
  <c r="Z15" i="22"/>
  <c r="L15" i="22"/>
  <c r="M15" i="22"/>
  <c r="F15" i="22"/>
  <c r="R15" i="22"/>
  <c r="N15" i="22"/>
  <c r="I15" i="22"/>
  <c r="D15" i="22"/>
  <c r="P15" i="22"/>
  <c r="K15" i="22"/>
  <c r="Y15" i="22"/>
  <c r="AB22" i="21"/>
  <c r="G15" i="22"/>
  <c r="V15" i="22"/>
  <c r="AB33" i="21" l="1"/>
  <c r="T15" i="22"/>
  <c r="U15" i="22"/>
  <c r="S15" i="22"/>
  <c r="D80" i="11" l="1"/>
  <c r="D81" i="11" s="1"/>
  <c r="D24" i="22" l="1"/>
  <c r="E76" i="11"/>
  <c r="E77" i="11" l="1"/>
  <c r="E79" i="11" s="1"/>
  <c r="D106" i="11" l="1"/>
  <c r="P18" i="2" l="1"/>
  <c r="P27" i="2"/>
  <c r="P36" i="2"/>
  <c r="P45" i="2"/>
  <c r="P52" i="2"/>
  <c r="G74" i="11" l="1"/>
  <c r="G16" i="11"/>
  <c r="G17" i="11" s="1"/>
  <c r="G57" i="11"/>
  <c r="G58" i="11" s="1"/>
  <c r="G29" i="11"/>
  <c r="G30" i="11" s="1"/>
  <c r="G42" i="11"/>
  <c r="G43" i="11" s="1"/>
  <c r="D40" i="22" l="1"/>
  <c r="D42" i="22" l="1"/>
  <c r="D44" i="22" l="1"/>
  <c r="D28" i="21"/>
  <c r="D39" i="21" s="1"/>
  <c r="G128" i="23" l="1"/>
  <c r="G37" i="25"/>
  <c r="G72" i="1" s="1"/>
  <c r="G124" i="23"/>
  <c r="G25" i="25" l="1"/>
  <c r="G64" i="1" s="1"/>
  <c r="G66" i="1" s="1"/>
  <c r="G129" i="23"/>
  <c r="G126" i="23"/>
  <c r="G125" i="23"/>
  <c r="G140" i="23"/>
  <c r="G24" i="1" s="1"/>
  <c r="G25" i="1" s="1"/>
  <c r="G27" i="25" l="1"/>
  <c r="G26" i="1"/>
  <c r="G142" i="23"/>
  <c r="G141" i="23"/>
  <c r="E63" i="30" l="1"/>
  <c r="F28" i="31" l="1"/>
  <c r="E78" i="24"/>
  <c r="E50" i="30"/>
  <c r="E71" i="30" s="1"/>
  <c r="AA28" i="10" l="1"/>
  <c r="S24" i="21" s="1"/>
  <c r="AB28" i="10"/>
  <c r="AC28" i="10"/>
  <c r="AD28" i="10"/>
  <c r="AE28" i="10"/>
  <c r="AF28" i="10"/>
  <c r="AG28" i="10"/>
  <c r="AH28" i="10"/>
  <c r="AI28" i="10"/>
  <c r="N28" i="10"/>
  <c r="M28" i="10"/>
  <c r="L28" i="10"/>
  <c r="O28" i="10"/>
  <c r="R28" i="10"/>
  <c r="Q28" i="10"/>
  <c r="P28" i="10"/>
  <c r="S28" i="10"/>
  <c r="V28" i="10"/>
  <c r="U28" i="10"/>
  <c r="T28" i="10"/>
  <c r="W28" i="10"/>
  <c r="Z28" i="10"/>
  <c r="Y28" i="10"/>
  <c r="X28" i="10"/>
  <c r="Q31" i="31"/>
  <c r="Q33" i="31"/>
  <c r="H33" i="31"/>
  <c r="H31" i="31"/>
  <c r="N33" i="31"/>
  <c r="N31" i="31"/>
  <c r="K33" i="31"/>
  <c r="K31" i="31"/>
  <c r="J33" i="31"/>
  <c r="J31" i="31"/>
  <c r="G31" i="31"/>
  <c r="G33" i="31"/>
  <c r="P33" i="31"/>
  <c r="P31" i="31"/>
  <c r="M33" i="31"/>
  <c r="M31" i="31"/>
  <c r="O31" i="31"/>
  <c r="O33" i="31"/>
  <c r="L33" i="31"/>
  <c r="L31" i="31"/>
  <c r="I31" i="31"/>
  <c r="I33" i="31"/>
  <c r="F33" i="31"/>
  <c r="F31" i="31"/>
  <c r="S35" i="21" l="1"/>
  <c r="AA29" i="10"/>
  <c r="AA30" i="10" s="1"/>
  <c r="S22" i="21" s="1"/>
  <c r="AF29" i="10"/>
  <c r="AF30" i="10" s="1"/>
  <c r="X24" i="21"/>
  <c r="AB29" i="10"/>
  <c r="AB30" i="10" s="1"/>
  <c r="T24" i="21"/>
  <c r="AG29" i="10"/>
  <c r="AG30" i="10" s="1"/>
  <c r="Y24" i="21"/>
  <c r="AC29" i="10"/>
  <c r="AC30" i="10" s="1"/>
  <c r="U24" i="21"/>
  <c r="AH29" i="10"/>
  <c r="AH30" i="10" s="1"/>
  <c r="Z24" i="21"/>
  <c r="AD29" i="10"/>
  <c r="AD30" i="10" s="1"/>
  <c r="V24" i="21"/>
  <c r="AA24" i="21"/>
  <c r="AI29" i="10"/>
  <c r="AI30" i="10" s="1"/>
  <c r="AE29" i="10"/>
  <c r="AE30" i="10" s="1"/>
  <c r="W24" i="21"/>
  <c r="Z29" i="10"/>
  <c r="Z30" i="10" s="1"/>
  <c r="U35" i="39"/>
  <c r="N29" i="10"/>
  <c r="N30" i="10" s="1"/>
  <c r="W29" i="10"/>
  <c r="W30" i="10" s="1"/>
  <c r="S29" i="10"/>
  <c r="S30" i="10" s="1"/>
  <c r="K22" i="21" s="1"/>
  <c r="O29" i="10"/>
  <c r="O30" i="10" s="1"/>
  <c r="V29" i="10"/>
  <c r="V30" i="10" s="1"/>
  <c r="N9" i="11" s="1"/>
  <c r="Y29" i="10"/>
  <c r="Y30" i="10" s="1"/>
  <c r="T35" i="39"/>
  <c r="U29" i="10"/>
  <c r="U30" i="10" s="1"/>
  <c r="M9" i="11" s="1"/>
  <c r="Q29" i="10"/>
  <c r="Q30" i="10" s="1"/>
  <c r="M29" i="10"/>
  <c r="M30" i="10" s="1"/>
  <c r="R29" i="10"/>
  <c r="R30" i="10" s="1"/>
  <c r="X29" i="10"/>
  <c r="X30" i="10" s="1"/>
  <c r="T29" i="10"/>
  <c r="T30" i="10" s="1"/>
  <c r="L9" i="11" s="1"/>
  <c r="O35" i="39"/>
  <c r="P29" i="10"/>
  <c r="P30" i="10" s="1"/>
  <c r="D24" i="21"/>
  <c r="G24" i="21"/>
  <c r="Q24" i="21"/>
  <c r="K24" i="21"/>
  <c r="P24" i="21"/>
  <c r="H24" i="21"/>
  <c r="O24" i="21"/>
  <c r="I24" i="21"/>
  <c r="R24" i="21"/>
  <c r="F24" i="21"/>
  <c r="E24" i="21"/>
  <c r="J24" i="21"/>
  <c r="N24" i="21"/>
  <c r="M24" i="21"/>
  <c r="P34" i="31"/>
  <c r="J34" i="31"/>
  <c r="N34" i="31"/>
  <c r="I34" i="31"/>
  <c r="O34" i="31"/>
  <c r="Q34" i="31"/>
  <c r="F34" i="31"/>
  <c r="L34" i="31"/>
  <c r="M34" i="31"/>
  <c r="K34" i="31"/>
  <c r="H34" i="31"/>
  <c r="G34" i="31"/>
  <c r="L24" i="21"/>
  <c r="L29" i="10"/>
  <c r="L30" i="10" s="1"/>
  <c r="M22" i="21"/>
  <c r="M33" i="21" l="1"/>
  <c r="N35" i="21"/>
  <c r="R35" i="21"/>
  <c r="P35" i="21"/>
  <c r="D35" i="21"/>
  <c r="D20" i="22" s="1"/>
  <c r="Z35" i="21"/>
  <c r="Y35" i="21"/>
  <c r="X35" i="21"/>
  <c r="M35" i="21"/>
  <c r="F35" i="21"/>
  <c r="F20" i="22" s="1"/>
  <c r="H35" i="21"/>
  <c r="G35" i="21"/>
  <c r="L35" i="21"/>
  <c r="E35" i="21"/>
  <c r="E20" i="22" s="1"/>
  <c r="O35" i="21"/>
  <c r="Q35" i="21"/>
  <c r="W35" i="21"/>
  <c r="V35" i="21"/>
  <c r="V85" i="21" s="1"/>
  <c r="V87" i="21" s="1"/>
  <c r="U35" i="21"/>
  <c r="T35" i="21"/>
  <c r="S33" i="21"/>
  <c r="J35" i="21"/>
  <c r="I35" i="21"/>
  <c r="K35" i="21"/>
  <c r="K33" i="21"/>
  <c r="AA35" i="21"/>
  <c r="S9" i="11"/>
  <c r="O85" i="39"/>
  <c r="O87" i="39" s="1"/>
  <c r="U85" i="39"/>
  <c r="U87" i="39" s="1"/>
  <c r="T85" i="39"/>
  <c r="T87" i="39" s="1"/>
  <c r="W9" i="11"/>
  <c r="W22" i="21"/>
  <c r="V9" i="11"/>
  <c r="V22" i="21"/>
  <c r="U9" i="11"/>
  <c r="U22" i="21"/>
  <c r="T22" i="21"/>
  <c r="T9" i="11"/>
  <c r="Z9" i="11"/>
  <c r="Z22" i="21"/>
  <c r="Y9" i="11"/>
  <c r="Y22" i="21"/>
  <c r="X9" i="11"/>
  <c r="X22" i="21"/>
  <c r="AA22" i="21"/>
  <c r="AA9" i="11"/>
  <c r="M35" i="39"/>
  <c r="J35" i="39"/>
  <c r="G35" i="39"/>
  <c r="D35" i="39"/>
  <c r="F35" i="39"/>
  <c r="E35" i="39"/>
  <c r="L35" i="39"/>
  <c r="R35" i="39"/>
  <c r="K35" i="39"/>
  <c r="S35" i="39"/>
  <c r="H35" i="39"/>
  <c r="P35" i="39"/>
  <c r="Q35" i="39"/>
  <c r="N35" i="39"/>
  <c r="I35" i="39"/>
  <c r="L22" i="21"/>
  <c r="N22" i="21"/>
  <c r="K9" i="11"/>
  <c r="G9" i="11"/>
  <c r="G22" i="21"/>
  <c r="H9" i="11"/>
  <c r="H22" i="21"/>
  <c r="I9" i="11"/>
  <c r="I22" i="21"/>
  <c r="E22" i="21"/>
  <c r="E9" i="11"/>
  <c r="P22" i="21"/>
  <c r="P9" i="11"/>
  <c r="Q9" i="11"/>
  <c r="Q22" i="21"/>
  <c r="F9" i="11"/>
  <c r="F22" i="21"/>
  <c r="O9" i="11"/>
  <c r="O22" i="21"/>
  <c r="R22" i="21"/>
  <c r="R9" i="11"/>
  <c r="J9" i="11"/>
  <c r="J22" i="21"/>
  <c r="D22" i="21"/>
  <c r="D9" i="11"/>
  <c r="E33" i="21" l="1"/>
  <c r="G33" i="21"/>
  <c r="L33" i="21"/>
  <c r="Y33" i="21"/>
  <c r="V33" i="21"/>
  <c r="J33" i="21"/>
  <c r="O33" i="21"/>
  <c r="Q33" i="21"/>
  <c r="N33" i="21"/>
  <c r="F33" i="21"/>
  <c r="I33" i="21"/>
  <c r="AA33" i="21"/>
  <c r="T33" i="21"/>
  <c r="D33" i="21"/>
  <c r="R33" i="21"/>
  <c r="P33" i="21"/>
  <c r="H33" i="21"/>
  <c r="X33" i="21"/>
  <c r="Z33" i="21"/>
  <c r="U33" i="21"/>
  <c r="W33" i="21"/>
  <c r="V20" i="22"/>
  <c r="H85" i="39"/>
  <c r="H87" i="39" s="1"/>
  <c r="G85" i="39"/>
  <c r="G87" i="39" s="1"/>
  <c r="P85" i="39"/>
  <c r="P87" i="39" s="1"/>
  <c r="R85" i="39"/>
  <c r="R87" i="39" s="1"/>
  <c r="I85" i="39"/>
  <c r="I87" i="39" s="1"/>
  <c r="L85" i="39"/>
  <c r="L87" i="39" s="1"/>
  <c r="Q85" i="39"/>
  <c r="Q87" i="39" s="1"/>
  <c r="K85" i="39"/>
  <c r="K87" i="39" s="1"/>
  <c r="M85" i="39"/>
  <c r="M87" i="39" s="1"/>
  <c r="N85" i="39"/>
  <c r="N87" i="39" s="1"/>
  <c r="S85" i="39"/>
  <c r="S87" i="39" s="1"/>
  <c r="J85" i="39"/>
  <c r="J87" i="39" s="1"/>
  <c r="K85" i="21"/>
  <c r="K87" i="21" s="1"/>
  <c r="K20" i="22"/>
  <c r="I85" i="21"/>
  <c r="I87" i="21" s="1"/>
  <c r="I20" i="22"/>
  <c r="L85" i="21"/>
  <c r="L87" i="21" s="1"/>
  <c r="L20" i="22"/>
  <c r="G85" i="21"/>
  <c r="G87" i="21" s="1"/>
  <c r="G20" i="22"/>
  <c r="N85" i="21"/>
  <c r="N87" i="21" s="1"/>
  <c r="N20" i="22"/>
  <c r="X85" i="21"/>
  <c r="X87" i="21" s="1"/>
  <c r="X20" i="22"/>
  <c r="AB85" i="21"/>
  <c r="AB87" i="21" s="1"/>
  <c r="AB20" i="22"/>
  <c r="M85" i="21"/>
  <c r="M87" i="21" s="1"/>
  <c r="M20" i="22"/>
  <c r="R85" i="21"/>
  <c r="R87" i="21" s="1"/>
  <c r="R20" i="22"/>
  <c r="H85" i="21"/>
  <c r="H87" i="21" s="1"/>
  <c r="H20" i="22"/>
  <c r="U85" i="21"/>
  <c r="U87" i="21" s="1"/>
  <c r="U20" i="22"/>
  <c r="S85" i="21"/>
  <c r="S87" i="21" s="1"/>
  <c r="S20" i="22"/>
  <c r="Q85" i="21"/>
  <c r="Q87" i="21" s="1"/>
  <c r="Q20" i="22"/>
  <c r="Z85" i="21"/>
  <c r="Z87" i="21" s="1"/>
  <c r="Z20" i="22"/>
  <c r="J85" i="21"/>
  <c r="J87" i="21" s="1"/>
  <c r="J20" i="22"/>
  <c r="T85" i="21"/>
  <c r="T87" i="21" s="1"/>
  <c r="T20" i="22"/>
  <c r="O85" i="21"/>
  <c r="O87" i="21" s="1"/>
  <c r="O20" i="22"/>
  <c r="Y85" i="21"/>
  <c r="Y87" i="21" s="1"/>
  <c r="Y20" i="22"/>
  <c r="P85" i="21"/>
  <c r="P87" i="21" s="1"/>
  <c r="P20" i="22"/>
  <c r="W85" i="21"/>
  <c r="W87" i="21" s="1"/>
  <c r="W20" i="22"/>
  <c r="AA85" i="21"/>
  <c r="AA87" i="21" s="1"/>
  <c r="AA20" i="22"/>
  <c r="S124" i="23" l="1"/>
  <c r="U124" i="23" l="1"/>
  <c r="S140" i="23"/>
  <c r="S144" i="23" s="1"/>
  <c r="S44" i="25" s="1"/>
  <c r="S126" i="23"/>
  <c r="S125" i="23"/>
  <c r="S129" i="23"/>
  <c r="S142" i="23" l="1"/>
  <c r="S141" i="23"/>
  <c r="U126" i="23"/>
  <c r="U125" i="23"/>
  <c r="U140" i="23"/>
  <c r="U144" i="23" s="1"/>
  <c r="U44" i="25" s="1"/>
  <c r="U129" i="23"/>
  <c r="R124" i="23"/>
  <c r="S145" i="23" l="1"/>
  <c r="R125" i="23"/>
  <c r="R140" i="23"/>
  <c r="R126" i="23"/>
  <c r="R129" i="23"/>
  <c r="U142" i="23"/>
  <c r="U141" i="23"/>
  <c r="T124" i="23"/>
  <c r="U145" i="23" l="1"/>
  <c r="T126" i="23"/>
  <c r="T125" i="23"/>
  <c r="T140" i="23"/>
  <c r="T144" i="23" s="1"/>
  <c r="T44" i="25" s="1"/>
  <c r="T129" i="23"/>
  <c r="R141" i="23"/>
  <c r="R142" i="23"/>
  <c r="T142" i="23" l="1"/>
  <c r="T141" i="23"/>
  <c r="T145" i="23" l="1"/>
  <c r="E126" i="30" l="1"/>
  <c r="E162" i="24" s="1"/>
  <c r="E62" i="34" l="1"/>
  <c r="E133" i="30"/>
  <c r="G31" i="43" l="1"/>
  <c r="L75" i="34" l="1"/>
  <c r="L94" i="24" s="1"/>
  <c r="H37" i="25" l="1"/>
  <c r="H72" i="1" s="1"/>
  <c r="I37" i="25" l="1"/>
  <c r="I72" i="1" s="1"/>
  <c r="M75" i="34" l="1"/>
  <c r="M94" i="24" s="1"/>
  <c r="J37" i="25" l="1"/>
  <c r="J72" i="1" s="1"/>
  <c r="N75" i="34" l="1"/>
  <c r="N94" i="24" s="1"/>
  <c r="K37" i="25" l="1"/>
  <c r="K72" i="1" s="1"/>
  <c r="O75" i="34" l="1"/>
  <c r="O94" i="24" s="1"/>
  <c r="L37" i="25" l="1"/>
  <c r="L72" i="1" s="1"/>
  <c r="M72" i="1" l="1"/>
  <c r="F26" i="33" l="1"/>
  <c r="F33" i="33" s="1"/>
  <c r="G26" i="33"/>
  <c r="G33" i="33" s="1"/>
  <c r="H26" i="33"/>
  <c r="H33" i="33" s="1"/>
  <c r="I26" i="33"/>
  <c r="I33" i="33" s="1"/>
  <c r="J26" i="33"/>
  <c r="K26" i="33"/>
  <c r="K33" i="33" s="1"/>
  <c r="L26" i="33"/>
  <c r="L33" i="33" s="1"/>
  <c r="M26" i="33"/>
  <c r="N26" i="33"/>
  <c r="O26" i="33"/>
  <c r="O33" i="33" s="1"/>
  <c r="P26" i="33"/>
  <c r="P33" i="33" s="1"/>
  <c r="Q26" i="33"/>
  <c r="F27" i="33"/>
  <c r="F30" i="33"/>
  <c r="G30" i="33"/>
  <c r="H30" i="33"/>
  <c r="I30" i="33"/>
  <c r="J30" i="33"/>
  <c r="K30" i="33"/>
  <c r="L30" i="33"/>
  <c r="M30" i="33"/>
  <c r="N30" i="33"/>
  <c r="O30" i="33"/>
  <c r="P30" i="33"/>
  <c r="Q30" i="33"/>
  <c r="F40" i="33"/>
  <c r="G40" i="33"/>
  <c r="H40" i="33"/>
  <c r="I40" i="33"/>
  <c r="J40" i="33"/>
  <c r="K40" i="33"/>
  <c r="L40" i="33"/>
  <c r="M40" i="33"/>
  <c r="N40" i="33"/>
  <c r="O40" i="33"/>
  <c r="P40" i="33"/>
  <c r="Q40" i="33"/>
  <c r="H36" i="33" l="1"/>
  <c r="P27" i="33"/>
  <c r="L36" i="33"/>
  <c r="L38" i="33" s="1"/>
  <c r="P36" i="33"/>
  <c r="O36" i="33"/>
  <c r="O38" i="33" s="1"/>
  <c r="G36" i="33"/>
  <c r="G23" i="35" s="1"/>
  <c r="G27" i="35" s="1"/>
  <c r="Q27" i="33"/>
  <c r="Q33" i="33"/>
  <c r="N27" i="33"/>
  <c r="M33" i="33"/>
  <c r="O27" i="33"/>
  <c r="N33" i="33"/>
  <c r="K27" i="33"/>
  <c r="J33" i="33"/>
  <c r="K36" i="33"/>
  <c r="P38" i="33"/>
  <c r="H23" i="35"/>
  <c r="Q36" i="33"/>
  <c r="M36" i="33"/>
  <c r="I36" i="33"/>
  <c r="N36" i="33"/>
  <c r="J36" i="33"/>
  <c r="F36" i="33"/>
  <c r="F38" i="33" s="1"/>
  <c r="J27" i="33"/>
  <c r="M27" i="33"/>
  <c r="I27" i="33"/>
  <c r="L27" i="33"/>
  <c r="G27" i="33"/>
  <c r="H27" i="33"/>
  <c r="K38" i="33" l="1"/>
  <c r="K37" i="33"/>
  <c r="H37" i="33"/>
  <c r="H38" i="33"/>
  <c r="I37" i="33"/>
  <c r="K23" i="35"/>
  <c r="P23" i="35"/>
  <c r="P37" i="33"/>
  <c r="G48" i="33"/>
  <c r="G50" i="33" s="1"/>
  <c r="G38" i="33"/>
  <c r="L23" i="35"/>
  <c r="J37" i="33"/>
  <c r="O23" i="35"/>
  <c r="L37" i="33"/>
  <c r="G37" i="33"/>
  <c r="J23" i="35"/>
  <c r="J38" i="33"/>
  <c r="Q23" i="35"/>
  <c r="Q38" i="33"/>
  <c r="M23" i="35"/>
  <c r="M38" i="33"/>
  <c r="I23" i="35"/>
  <c r="I38" i="33"/>
  <c r="M37" i="33"/>
  <c r="F48" i="33"/>
  <c r="F50" i="33" s="1"/>
  <c r="N23" i="35"/>
  <c r="N38" i="33"/>
  <c r="O37" i="33"/>
  <c r="F23" i="35"/>
  <c r="F27" i="35" s="1"/>
  <c r="F37" i="33"/>
  <c r="N37" i="33"/>
  <c r="Q37" i="33"/>
  <c r="G49" i="33" l="1"/>
  <c r="G54" i="33"/>
  <c r="G59" i="33" s="1"/>
  <c r="F54" i="33"/>
  <c r="F67" i="33" s="1"/>
  <c r="F69" i="33" s="1"/>
  <c r="F49" i="33"/>
  <c r="G67" i="33" l="1"/>
  <c r="G69" i="33" s="1"/>
  <c r="G56" i="33"/>
  <c r="F55" i="33"/>
  <c r="G55" i="33"/>
  <c r="F59" i="33"/>
  <c r="F56" i="33"/>
  <c r="F68" i="33"/>
  <c r="G68" i="33" l="1"/>
  <c r="D39" i="39" l="1"/>
  <c r="D39" i="40"/>
  <c r="D22" i="37" s="1"/>
  <c r="D25" i="37" l="1"/>
  <c r="D24" i="37"/>
  <c r="E17" i="37" l="1"/>
  <c r="E19" i="37" l="1"/>
  <c r="E23" i="37"/>
  <c r="E20" i="37"/>
  <c r="E21" i="37" s="1"/>
  <c r="E38" i="40" l="1"/>
  <c r="D41" i="40"/>
  <c r="D35" i="37" s="1"/>
  <c r="D37" i="37" s="1"/>
  <c r="E30" i="37" l="1"/>
  <c r="D38" i="37"/>
  <c r="E32" i="37" l="1"/>
  <c r="E33" i="37"/>
  <c r="E34" i="37" s="1"/>
  <c r="E36" i="37"/>
  <c r="E40" i="40" l="1"/>
  <c r="D11" i="20" l="1"/>
  <c r="E4" i="20"/>
  <c r="E11" i="20" s="1"/>
  <c r="E31" i="20" l="1"/>
  <c r="E32" i="20" s="1"/>
  <c r="E35" i="20" s="1"/>
  <c r="E211" i="20"/>
  <c r="D212" i="20"/>
  <c r="D215" i="20" s="1"/>
  <c r="D224" i="20" s="1"/>
  <c r="D194" i="20" s="1"/>
  <c r="H114" i="34" l="1"/>
  <c r="T114" i="34"/>
  <c r="T112" i="34" s="1"/>
  <c r="X114" i="34"/>
  <c r="X112" i="34" s="1"/>
  <c r="AB114" i="34"/>
  <c r="AB112" i="34" s="1"/>
  <c r="W114" i="34"/>
  <c r="W112" i="34" s="1"/>
  <c r="R114" i="34"/>
  <c r="R112" i="34" s="1"/>
  <c r="Z114" i="34"/>
  <c r="Z112" i="34" s="1"/>
  <c r="Q114" i="34"/>
  <c r="U114" i="34"/>
  <c r="U112" i="34" s="1"/>
  <c r="Y114" i="34"/>
  <c r="Y112" i="34" s="1"/>
  <c r="AC114" i="34"/>
  <c r="AC112" i="34" s="1"/>
  <c r="AC107" i="34" s="1"/>
  <c r="AC125" i="34" s="1"/>
  <c r="S114" i="34"/>
  <c r="S112" i="34" s="1"/>
  <c r="AA114" i="34"/>
  <c r="AA112" i="34" s="1"/>
  <c r="V114" i="34"/>
  <c r="V112" i="34" s="1"/>
  <c r="D32" i="20"/>
  <c r="D35" i="20" s="1"/>
  <c r="E212" i="20"/>
  <c r="E215" i="20" s="1"/>
  <c r="P114" i="34"/>
  <c r="G114" i="34"/>
  <c r="G112" i="34" s="1"/>
  <c r="K114" i="34"/>
  <c r="O114" i="34"/>
  <c r="F114" i="34"/>
  <c r="F112" i="34" s="1"/>
  <c r="J114" i="34"/>
  <c r="N114" i="34"/>
  <c r="I114" i="34"/>
  <c r="E114" i="34"/>
  <c r="E112" i="34" s="1"/>
  <c r="M114" i="34"/>
  <c r="L114" i="34"/>
  <c r="X107" i="34" l="1"/>
  <c r="X125" i="34" s="1"/>
  <c r="Y43" i="35"/>
  <c r="Y47" i="35" s="1"/>
  <c r="AA107" i="34"/>
  <c r="AA125" i="34" s="1"/>
  <c r="AB43" i="35"/>
  <c r="AB47" i="35" s="1"/>
  <c r="U107" i="34"/>
  <c r="U125" i="34" s="1"/>
  <c r="V43" i="35"/>
  <c r="V47" i="35" s="1"/>
  <c r="W107" i="34"/>
  <c r="W125" i="34" s="1"/>
  <c r="X43" i="35"/>
  <c r="X47" i="35" s="1"/>
  <c r="V107" i="34"/>
  <c r="V125" i="34" s="1"/>
  <c r="W43" i="35"/>
  <c r="W47" i="35" s="1"/>
  <c r="Y107" i="34"/>
  <c r="Y125" i="34" s="1"/>
  <c r="Z43" i="35"/>
  <c r="Z47" i="35" s="1"/>
  <c r="R107" i="34"/>
  <c r="R125" i="34" s="1"/>
  <c r="S43" i="35"/>
  <c r="S47" i="35" s="1"/>
  <c r="T107" i="34"/>
  <c r="T125" i="34" s="1"/>
  <c r="U43" i="35"/>
  <c r="U47" i="35" s="1"/>
  <c r="Z107" i="34"/>
  <c r="Z125" i="34" s="1"/>
  <c r="AA43" i="35"/>
  <c r="AA47" i="35" s="1"/>
  <c r="S107" i="34"/>
  <c r="S125" i="34" s="1"/>
  <c r="T43" i="35"/>
  <c r="T47" i="35" s="1"/>
  <c r="AB107" i="34"/>
  <c r="AB125" i="34" s="1"/>
  <c r="AC43" i="35"/>
  <c r="AC47" i="35" s="1"/>
  <c r="E146" i="24"/>
  <c r="E143" i="24" s="1"/>
  <c r="E107" i="34"/>
  <c r="E125" i="34" s="1"/>
  <c r="F146" i="24"/>
  <c r="F143" i="24" s="1"/>
  <c r="F107" i="34"/>
  <c r="F125" i="34" s="1"/>
  <c r="F43" i="35"/>
  <c r="F47" i="35" s="1"/>
  <c r="G107" i="34"/>
  <c r="G125" i="34" s="1"/>
  <c r="G146" i="24"/>
  <c r="G143" i="24" s="1"/>
  <c r="G43" i="35"/>
  <c r="G47" i="35" s="1"/>
  <c r="F43" i="25" l="1"/>
  <c r="F77" i="1" s="1"/>
  <c r="G43" i="25"/>
  <c r="G77" i="1" s="1"/>
  <c r="F52" i="1"/>
  <c r="G52" i="1"/>
  <c r="E137" i="24"/>
  <c r="E52" i="1"/>
  <c r="G137" i="24"/>
  <c r="F137" i="24"/>
  <c r="D19" i="53" l="1"/>
  <c r="AM15" i="47"/>
  <c r="AI15" i="47"/>
  <c r="AE15" i="47"/>
  <c r="AA15" i="47"/>
  <c r="W15" i="47"/>
  <c r="S15" i="47"/>
  <c r="O15" i="47"/>
  <c r="AN15" i="47"/>
  <c r="AJ15" i="47"/>
  <c r="AF15" i="47"/>
  <c r="AB15" i="47"/>
  <c r="X15" i="47"/>
  <c r="T15" i="47"/>
  <c r="P15" i="47"/>
  <c r="F14" i="47"/>
  <c r="AH15" i="47"/>
  <c r="Z15" i="47"/>
  <c r="R15" i="47"/>
  <c r="AL15" i="47"/>
  <c r="AD15" i="47"/>
  <c r="V15" i="47"/>
  <c r="N15" i="47"/>
  <c r="AK15" i="47"/>
  <c r="U15" i="47"/>
  <c r="AO15" i="47"/>
  <c r="Y15" i="47"/>
  <c r="AC15" i="47"/>
  <c r="AG15" i="47"/>
  <c r="Q15" i="47"/>
  <c r="E159" i="24"/>
  <c r="E50" i="1"/>
  <c r="E55" i="1" s="1"/>
  <c r="F159" i="24"/>
  <c r="F50" i="1"/>
  <c r="F55" i="1" s="1"/>
  <c r="G159" i="24"/>
  <c r="G50" i="1"/>
  <c r="G55" i="1" s="1"/>
  <c r="D10" i="53" l="1"/>
  <c r="D98" i="53"/>
  <c r="D20" i="53"/>
  <c r="D99" i="53" s="1"/>
  <c r="D21" i="53"/>
  <c r="D24" i="53"/>
  <c r="F20" i="47"/>
  <c r="AJ15" i="2"/>
  <c r="AN15" i="2"/>
  <c r="AI15" i="2"/>
  <c r="AM15" i="2"/>
  <c r="AO15" i="2"/>
  <c r="AH15" i="2"/>
  <c r="AL15" i="2"/>
  <c r="AK15" i="2"/>
  <c r="D19" i="11"/>
  <c r="Q15" i="2"/>
  <c r="U15" i="2"/>
  <c r="Y15" i="2"/>
  <c r="AC15" i="2"/>
  <c r="AG15" i="2"/>
  <c r="O15" i="2"/>
  <c r="S15" i="2"/>
  <c r="W15" i="2"/>
  <c r="AA15" i="2"/>
  <c r="AE15" i="2"/>
  <c r="D5" i="3"/>
  <c r="E5" i="3" s="1"/>
  <c r="N15" i="2"/>
  <c r="V15" i="2"/>
  <c r="AD15" i="2"/>
  <c r="F14" i="2"/>
  <c r="T15" i="2"/>
  <c r="AB15" i="2"/>
  <c r="R15" i="2"/>
  <c r="Z15" i="2"/>
  <c r="P15" i="2"/>
  <c r="X15" i="2"/>
  <c r="AF15" i="2"/>
  <c r="D38" i="51" l="1"/>
  <c r="D39" i="51" s="1"/>
  <c r="D23" i="53" s="1"/>
  <c r="D27" i="52"/>
  <c r="D38" i="52" s="1"/>
  <c r="D101" i="53"/>
  <c r="F40" i="50"/>
  <c r="F47" i="50" s="1"/>
  <c r="D100" i="53"/>
  <c r="D25" i="52"/>
  <c r="D91" i="53"/>
  <c r="F20" i="2"/>
  <c r="D10" i="11"/>
  <c r="D12" i="11" s="1"/>
  <c r="D20" i="11"/>
  <c r="D24" i="11"/>
  <c r="D25" i="43" s="1"/>
  <c r="D26" i="43" s="1"/>
  <c r="D98" i="11"/>
  <c r="D21" i="11"/>
  <c r="D27" i="43" s="1"/>
  <c r="G40" i="50" l="1"/>
  <c r="G47" i="50" s="1"/>
  <c r="D41" i="51"/>
  <c r="D36" i="53" s="1"/>
  <c r="D38" i="53" s="1"/>
  <c r="E31" i="53" s="1"/>
  <c r="D107" i="53"/>
  <c r="D19" i="51"/>
  <c r="D26" i="52"/>
  <c r="D37" i="52" s="1"/>
  <c r="D36" i="52"/>
  <c r="D26" i="53"/>
  <c r="D18" i="51"/>
  <c r="D25" i="53"/>
  <c r="F40" i="31"/>
  <c r="G40" i="31" s="1"/>
  <c r="D38" i="22"/>
  <c r="D39" i="22" s="1"/>
  <c r="D23" i="11" s="1"/>
  <c r="D99" i="11"/>
  <c r="D25" i="21"/>
  <c r="D36" i="21" s="1"/>
  <c r="D100" i="11"/>
  <c r="D18" i="40" s="1"/>
  <c r="D91" i="11"/>
  <c r="D27" i="21"/>
  <c r="D38" i="21" s="1"/>
  <c r="D101" i="11"/>
  <c r="D19" i="40" s="1"/>
  <c r="D39" i="53" l="1"/>
  <c r="D43" i="51"/>
  <c r="D49" i="53" s="1"/>
  <c r="D52" i="53" s="1"/>
  <c r="E33" i="53"/>
  <c r="E34" i="53"/>
  <c r="E35" i="53" s="1"/>
  <c r="E37" i="53"/>
  <c r="E18" i="53"/>
  <c r="D26" i="11"/>
  <c r="F47" i="31"/>
  <c r="G47" i="31"/>
  <c r="D41" i="22"/>
  <c r="D36" i="11" s="1"/>
  <c r="D36" i="39"/>
  <c r="D38" i="43"/>
  <c r="D19" i="22"/>
  <c r="D18" i="22"/>
  <c r="D21" i="22"/>
  <c r="D107" i="11"/>
  <c r="D26" i="21"/>
  <c r="D37" i="21" s="1"/>
  <c r="D25" i="11"/>
  <c r="D51" i="53" l="1"/>
  <c r="E44" i="53" s="1"/>
  <c r="E50" i="53" s="1"/>
  <c r="D45" i="51"/>
  <c r="D64" i="53" s="1"/>
  <c r="D67" i="53" s="1"/>
  <c r="D16" i="52" s="1"/>
  <c r="E40" i="51"/>
  <c r="E20" i="53"/>
  <c r="E24" i="53"/>
  <c r="E21" i="53"/>
  <c r="E22" i="53" s="1"/>
  <c r="D39" i="11"/>
  <c r="D38" i="11"/>
  <c r="E31" i="11" s="1"/>
  <c r="E33" i="11" s="1"/>
  <c r="D43" i="22"/>
  <c r="E18" i="11"/>
  <c r="D37" i="39"/>
  <c r="E46" i="53" l="1"/>
  <c r="E47" i="53"/>
  <c r="E48" i="53" s="1"/>
  <c r="D103" i="53"/>
  <c r="D15" i="52"/>
  <c r="D17" i="52" s="1"/>
  <c r="E59" i="53"/>
  <c r="E65" i="53" s="1"/>
  <c r="D104" i="53"/>
  <c r="D105" i="53" s="1"/>
  <c r="D102" i="53"/>
  <c r="D68" i="53"/>
  <c r="E25" i="52"/>
  <c r="E34" i="11"/>
  <c r="E35" i="11" s="1"/>
  <c r="E37" i="11"/>
  <c r="D49" i="11"/>
  <c r="D45" i="22"/>
  <c r="D64" i="11" s="1"/>
  <c r="E20" i="11"/>
  <c r="E24" i="11"/>
  <c r="E21" i="11"/>
  <c r="E22" i="11" s="1"/>
  <c r="E42" i="51" l="1"/>
  <c r="E27" i="52"/>
  <c r="E38" i="52" s="1"/>
  <c r="E61" i="53"/>
  <c r="E62" i="53"/>
  <c r="E36" i="52"/>
  <c r="E26" i="52"/>
  <c r="E37" i="52" s="1"/>
  <c r="E38" i="51"/>
  <c r="E40" i="22"/>
  <c r="D51" i="11"/>
  <c r="D102" i="11"/>
  <c r="D52" i="11"/>
  <c r="D54" i="11" s="1"/>
  <c r="D67" i="11"/>
  <c r="D68" i="11"/>
  <c r="E38" i="22"/>
  <c r="E63" i="53" l="1"/>
  <c r="E28" i="52" s="1"/>
  <c r="E39" i="52" s="1"/>
  <c r="D70" i="11"/>
  <c r="D85" i="11" s="1"/>
  <c r="E44" i="11"/>
  <c r="D103" i="11"/>
  <c r="D15" i="21"/>
  <c r="D104" i="11"/>
  <c r="D105" i="11" s="1"/>
  <c r="D16" i="21"/>
  <c r="E59" i="11"/>
  <c r="E44" i="51" l="1"/>
  <c r="E101" i="53"/>
  <c r="E19" i="51" s="1"/>
  <c r="D93" i="11"/>
  <c r="D48" i="22" s="1"/>
  <c r="D50" i="22" s="1"/>
  <c r="D52" i="22" s="1"/>
  <c r="L21" i="36" s="1"/>
  <c r="L25" i="36" s="1"/>
  <c r="L29" i="36"/>
  <c r="D86" i="11"/>
  <c r="E84" i="11" s="1"/>
  <c r="E50" i="11"/>
  <c r="E25" i="21" s="1"/>
  <c r="E36" i="21" s="1"/>
  <c r="E47" i="11"/>
  <c r="E48" i="11" s="1"/>
  <c r="E46" i="11"/>
  <c r="D17" i="21"/>
  <c r="E61" i="11"/>
  <c r="E62" i="11"/>
  <c r="E65" i="11"/>
  <c r="E63" i="11" l="1"/>
  <c r="E28" i="21" s="1"/>
  <c r="E39" i="21" s="1"/>
  <c r="D94" i="11"/>
  <c r="D95" i="11" s="1"/>
  <c r="E88" i="11" s="1"/>
  <c r="E26" i="21"/>
  <c r="E37" i="21" s="1"/>
  <c r="E42" i="22"/>
  <c r="E44" i="22" l="1"/>
  <c r="D19" i="21"/>
  <c r="E10" i="11"/>
  <c r="E13" i="11" s="1"/>
  <c r="E18" i="21" s="1"/>
  <c r="D26" i="22"/>
  <c r="D29" i="22" s="1"/>
  <c r="E30" i="22" s="1"/>
  <c r="E39" i="22" s="1"/>
  <c r="E23" i="11" s="1"/>
  <c r="E27" i="21"/>
  <c r="E38" i="21" s="1"/>
  <c r="E101" i="11"/>
  <c r="E19" i="22" s="1"/>
  <c r="E21" i="21"/>
  <c r="E32" i="21" s="1"/>
  <c r="E100" i="11"/>
  <c r="E91" i="11"/>
  <c r="E99" i="11"/>
  <c r="E12" i="11" l="1"/>
  <c r="E31" i="21"/>
  <c r="E13" i="22"/>
  <c r="E41" i="22"/>
  <c r="E25" i="11"/>
  <c r="F18" i="11" s="1"/>
  <c r="E26" i="11"/>
  <c r="E18" i="22"/>
  <c r="E107" i="11"/>
  <c r="E21" i="22"/>
  <c r="E36" i="11" l="1"/>
  <c r="E43" i="22"/>
  <c r="F24" i="11"/>
  <c r="F21" i="11"/>
  <c r="F22" i="11" s="1"/>
  <c r="F20" i="11"/>
  <c r="E49" i="11" l="1"/>
  <c r="E45" i="22"/>
  <c r="E64" i="11" s="1"/>
  <c r="E39" i="11"/>
  <c r="E38" i="11"/>
  <c r="F31" i="11" s="1"/>
  <c r="F38" i="22"/>
  <c r="E52" i="11" l="1"/>
  <c r="E54" i="11" s="1"/>
  <c r="E66" i="11" s="1"/>
  <c r="E51" i="11"/>
  <c r="F44" i="11" s="1"/>
  <c r="E102" i="11"/>
  <c r="F37" i="11"/>
  <c r="F34" i="11"/>
  <c r="F35" i="11" s="1"/>
  <c r="F33" i="11"/>
  <c r="E68" i="11" l="1"/>
  <c r="E70" i="11" s="1"/>
  <c r="E106" i="11"/>
  <c r="F46" i="11"/>
  <c r="F47" i="11"/>
  <c r="F48" i="11" s="1"/>
  <c r="F50" i="11"/>
  <c r="F40" i="22"/>
  <c r="E67" i="11"/>
  <c r="F42" i="22" l="1"/>
  <c r="E78" i="11"/>
  <c r="F27" i="21"/>
  <c r="F38" i="21" s="1"/>
  <c r="E16" i="21"/>
  <c r="F59" i="11"/>
  <c r="E80" i="11" l="1"/>
  <c r="H101" i="30" s="1"/>
  <c r="H98" i="30" s="1"/>
  <c r="E98" i="11"/>
  <c r="F61" i="11"/>
  <c r="F62" i="11"/>
  <c r="F63" i="11" s="1"/>
  <c r="F65" i="11"/>
  <c r="E85" i="11"/>
  <c r="H127" i="24" l="1"/>
  <c r="E93" i="11"/>
  <c r="E48" i="22" s="1"/>
  <c r="E50" i="22" s="1"/>
  <c r="E52" i="22" s="1"/>
  <c r="M29" i="36"/>
  <c r="E86" i="11"/>
  <c r="F28" i="21"/>
  <c r="F39" i="21" s="1"/>
  <c r="E81" i="11"/>
  <c r="F76" i="11"/>
  <c r="F77" i="11" s="1"/>
  <c r="F79" i="11" s="1"/>
  <c r="F25" i="21" s="1"/>
  <c r="F36" i="21" s="1"/>
  <c r="E24" i="22"/>
  <c r="E103" i="11"/>
  <c r="E15" i="21"/>
  <c r="E17" i="21" s="1"/>
  <c r="E104" i="11"/>
  <c r="E105" i="11" s="1"/>
  <c r="H114" i="30" s="1"/>
  <c r="H111" i="30" s="1"/>
  <c r="H144" i="24" l="1"/>
  <c r="H106" i="30"/>
  <c r="F84" i="11"/>
  <c r="H76" i="30"/>
  <c r="H74" i="30" s="1"/>
  <c r="H43" i="31"/>
  <c r="E94" i="11"/>
  <c r="E95" i="11" s="1"/>
  <c r="H27" i="30" s="1"/>
  <c r="H24" i="30" s="1"/>
  <c r="M21" i="36"/>
  <c r="F44" i="22"/>
  <c r="F101" i="11"/>
  <c r="F19" i="22" s="1"/>
  <c r="F26" i="21"/>
  <c r="F37" i="21" s="1"/>
  <c r="H23" i="30" l="1"/>
  <c r="H71" i="30" s="1"/>
  <c r="H25" i="24"/>
  <c r="H52" i="31"/>
  <c r="I50" i="31" s="1"/>
  <c r="H92" i="24"/>
  <c r="H41" i="31"/>
  <c r="H48" i="34"/>
  <c r="H73" i="30"/>
  <c r="H124" i="30" s="1"/>
  <c r="F10" i="11"/>
  <c r="E19" i="21"/>
  <c r="F88" i="11"/>
  <c r="M25" i="36"/>
  <c r="H95" i="24" l="1"/>
  <c r="H59" i="24"/>
  <c r="H58" i="24"/>
  <c r="H41" i="35"/>
  <c r="E26" i="22"/>
  <c r="E29" i="22" s="1"/>
  <c r="F30" i="22" s="1"/>
  <c r="F39" i="22" s="1"/>
  <c r="F23" i="11" s="1"/>
  <c r="F13" i="11"/>
  <c r="F18" i="21" s="1"/>
  <c r="F13" i="22" s="1"/>
  <c r="F12" i="11"/>
  <c r="F21" i="21"/>
  <c r="F99" i="11"/>
  <c r="F100" i="11"/>
  <c r="F18" i="22" s="1"/>
  <c r="F91" i="11"/>
  <c r="H55" i="24" l="1"/>
  <c r="F32" i="21"/>
  <c r="F31" i="21"/>
  <c r="F25" i="11"/>
  <c r="G18" i="11" s="1"/>
  <c r="G24" i="11" s="1"/>
  <c r="F41" i="22"/>
  <c r="F36" i="11" s="1"/>
  <c r="F26" i="11"/>
  <c r="F21" i="22"/>
  <c r="F107" i="11"/>
  <c r="G21" i="11" l="1"/>
  <c r="G22" i="11" s="1"/>
  <c r="F38" i="11"/>
  <c r="G31" i="11" s="1"/>
  <c r="G33" i="11" s="1"/>
  <c r="G20" i="11"/>
  <c r="F43" i="22"/>
  <c r="F49" i="11" s="1"/>
  <c r="F39" i="11"/>
  <c r="G37" i="11" l="1"/>
  <c r="G38" i="22"/>
  <c r="G34" i="11"/>
  <c r="G35" i="11" s="1"/>
  <c r="F52" i="11"/>
  <c r="F54" i="11" s="1"/>
  <c r="F45" i="22"/>
  <c r="F64" i="11" s="1"/>
  <c r="F51" i="11"/>
  <c r="G44" i="11" s="1"/>
  <c r="G47" i="11" s="1"/>
  <c r="G48" i="11" s="1"/>
  <c r="G40" i="22" l="1"/>
  <c r="G27" i="21"/>
  <c r="G38" i="21" s="1"/>
  <c r="F102" i="11"/>
  <c r="F66" i="11"/>
  <c r="F106" i="11" s="1"/>
  <c r="G46" i="11"/>
  <c r="G50" i="11"/>
  <c r="G42" i="22" l="1"/>
  <c r="F68" i="11"/>
  <c r="F70" i="11" s="1"/>
  <c r="F78" i="11" s="1"/>
  <c r="F80" i="11" s="1"/>
  <c r="F15" i="21" s="1"/>
  <c r="F67" i="11"/>
  <c r="G59" i="11" s="1"/>
  <c r="G62" i="11" s="1"/>
  <c r="G63" i="11" l="1"/>
  <c r="G101" i="11" s="1"/>
  <c r="I38" i="31" s="1"/>
  <c r="F81" i="11"/>
  <c r="F24" i="22"/>
  <c r="F85" i="11"/>
  <c r="F86" i="11" s="1"/>
  <c r="G84" i="11" s="1"/>
  <c r="F16" i="21"/>
  <c r="F17" i="21" s="1"/>
  <c r="G76" i="11"/>
  <c r="G77" i="11" s="1"/>
  <c r="G79" i="11" s="1"/>
  <c r="G25" i="21" s="1"/>
  <c r="G36" i="21" s="1"/>
  <c r="G61" i="11"/>
  <c r="F104" i="11"/>
  <c r="F105" i="11" s="1"/>
  <c r="F103" i="11"/>
  <c r="F98" i="11"/>
  <c r="G65" i="11"/>
  <c r="H38" i="31"/>
  <c r="G28" i="21" l="1"/>
  <c r="G39" i="21" s="1"/>
  <c r="G19" i="22"/>
  <c r="N29" i="36"/>
  <c r="F93" i="11"/>
  <c r="F48" i="22" s="1"/>
  <c r="F50" i="22" s="1"/>
  <c r="F52" i="22" s="1"/>
  <c r="N21" i="36" s="1"/>
  <c r="G44" i="22"/>
  <c r="G26" i="21"/>
  <c r="G37" i="21" s="1"/>
  <c r="N25" i="36" l="1"/>
  <c r="F94" i="11"/>
  <c r="F95" i="11" s="1"/>
  <c r="G88" i="11" s="1"/>
  <c r="G99" i="11" s="1"/>
  <c r="G73" i="21"/>
  <c r="G75" i="21" s="1"/>
  <c r="G77" i="21"/>
  <c r="G79" i="21" s="1"/>
  <c r="G61" i="21"/>
  <c r="G63" i="21" s="1"/>
  <c r="G65" i="21"/>
  <c r="G67" i="21" s="1"/>
  <c r="G100" i="11" l="1"/>
  <c r="G18" i="22" s="1"/>
  <c r="G91" i="11"/>
  <c r="G21" i="22" s="1"/>
  <c r="G21" i="21"/>
  <c r="F19" i="21"/>
  <c r="G10" i="11"/>
  <c r="G12" i="11" s="1"/>
  <c r="H77" i="29"/>
  <c r="H121" i="23" s="1"/>
  <c r="I77" i="29"/>
  <c r="I121" i="23" s="1"/>
  <c r="G32" i="21" l="1"/>
  <c r="F26" i="22"/>
  <c r="F29" i="22" s="1"/>
  <c r="G30" i="22" s="1"/>
  <c r="G39" i="22" s="1"/>
  <c r="G23" i="11" s="1"/>
  <c r="H36" i="31"/>
  <c r="I36" i="31"/>
  <c r="G107" i="11"/>
  <c r="I86" i="29"/>
  <c r="I83" i="29" s="1"/>
  <c r="I130" i="23" s="1"/>
  <c r="H86" i="29"/>
  <c r="H83" i="29" s="1"/>
  <c r="G13" i="11"/>
  <c r="G18" i="21" s="1"/>
  <c r="G13" i="22" s="1"/>
  <c r="I79" i="29"/>
  <c r="I35" i="31"/>
  <c r="H35" i="31"/>
  <c r="H79" i="29"/>
  <c r="G25" i="11" l="1"/>
  <c r="H18" i="11" s="1"/>
  <c r="H21" i="11" s="1"/>
  <c r="H22" i="11" s="1"/>
  <c r="G26" i="11"/>
  <c r="G41" i="22"/>
  <c r="G36" i="11" s="1"/>
  <c r="G31" i="21"/>
  <c r="G69" i="21" s="1"/>
  <c r="G71" i="21" s="1"/>
  <c r="H37" i="31"/>
  <c r="I37" i="31"/>
  <c r="H130" i="23"/>
  <c r="H84" i="29"/>
  <c r="I84" i="29"/>
  <c r="I90" i="29"/>
  <c r="I80" i="29"/>
  <c r="I81" i="29"/>
  <c r="H81" i="29"/>
  <c r="H90" i="29"/>
  <c r="H44" i="33" s="1"/>
  <c r="H80" i="29"/>
  <c r="G38" i="11" l="1"/>
  <c r="H31" i="11" s="1"/>
  <c r="H34" i="11" s="1"/>
  <c r="H35" i="11" s="1"/>
  <c r="G43" i="22"/>
  <c r="G49" i="11" s="1"/>
  <c r="G81" i="21"/>
  <c r="G83" i="21" s="1"/>
  <c r="G39" i="11"/>
  <c r="H91" i="29"/>
  <c r="H92" i="29"/>
  <c r="I92" i="29"/>
  <c r="I91" i="29"/>
  <c r="I44" i="33"/>
  <c r="G52" i="11" l="1"/>
  <c r="G54" i="11" s="1"/>
  <c r="G45" i="22"/>
  <c r="G64" i="11" s="1"/>
  <c r="G51" i="11"/>
  <c r="H44" i="11" s="1"/>
  <c r="H47" i="11" s="1"/>
  <c r="H48" i="11" s="1"/>
  <c r="H39" i="31"/>
  <c r="I46" i="33"/>
  <c r="H46" i="33"/>
  <c r="G102" i="11" l="1"/>
  <c r="I39" i="31" s="1"/>
  <c r="G66" i="11"/>
  <c r="G106" i="11" s="1"/>
  <c r="H42" i="31" s="1"/>
  <c r="H27" i="21"/>
  <c r="H38" i="21" s="1"/>
  <c r="I42" i="31" l="1"/>
  <c r="G68" i="11"/>
  <c r="G70" i="11" s="1"/>
  <c r="G78" i="11" s="1"/>
  <c r="G98" i="11" s="1"/>
  <c r="H40" i="31" s="1"/>
  <c r="G67" i="11"/>
  <c r="G16" i="21" s="1"/>
  <c r="G80" i="11" l="1"/>
  <c r="H76" i="11" s="1"/>
  <c r="H77" i="11" s="1"/>
  <c r="G85" i="11"/>
  <c r="G86" i="11" s="1"/>
  <c r="H59" i="11"/>
  <c r="H62" i="11" s="1"/>
  <c r="I40" i="31"/>
  <c r="H47" i="31"/>
  <c r="H63" i="11" l="1"/>
  <c r="H28" i="21" s="1"/>
  <c r="H39" i="21" s="1"/>
  <c r="I101" i="30"/>
  <c r="I98" i="30" s="1"/>
  <c r="G81" i="11"/>
  <c r="G93" i="11"/>
  <c r="G48" i="22" s="1"/>
  <c r="G50" i="22" s="1"/>
  <c r="G52" i="22" s="1"/>
  <c r="O21" i="36" s="1"/>
  <c r="G103" i="11"/>
  <c r="O29" i="36"/>
  <c r="G15" i="21"/>
  <c r="G17" i="21" s="1"/>
  <c r="G24" i="22"/>
  <c r="G104" i="11"/>
  <c r="G105" i="11" s="1"/>
  <c r="I114" i="30" s="1"/>
  <c r="I111" i="30" s="1"/>
  <c r="I106" i="30" s="1"/>
  <c r="H84" i="11"/>
  <c r="I76" i="30"/>
  <c r="I74" i="30" s="1"/>
  <c r="I43" i="31" l="1"/>
  <c r="H101" i="11"/>
  <c r="H19" i="22" s="1"/>
  <c r="I127" i="24"/>
  <c r="I144" i="24"/>
  <c r="G94" i="11"/>
  <c r="G95" i="11" s="1"/>
  <c r="H88" i="11" s="1"/>
  <c r="H21" i="21" s="1"/>
  <c r="I27" i="30"/>
  <c r="I24" i="30" s="1"/>
  <c r="O25" i="36"/>
  <c r="I41" i="31"/>
  <c r="I92" i="24"/>
  <c r="I59" i="24" s="1"/>
  <c r="I73" i="30"/>
  <c r="I124" i="30" s="1"/>
  <c r="I48" i="34"/>
  <c r="I47" i="31" l="1"/>
  <c r="I60" i="33"/>
  <c r="H60" i="33"/>
  <c r="H32" i="21"/>
  <c r="H10" i="11"/>
  <c r="H12" i="11" s="1"/>
  <c r="G19" i="21"/>
  <c r="G47" i="21" s="1"/>
  <c r="G26" i="22"/>
  <c r="I52" i="31"/>
  <c r="J50" i="31" s="1"/>
  <c r="I23" i="30"/>
  <c r="I71" i="30" s="1"/>
  <c r="I25" i="24"/>
  <c r="I41" i="35"/>
  <c r="I58" i="24"/>
  <c r="G52" i="21" l="1"/>
  <c r="G54" i="21" s="1"/>
  <c r="G43" i="21"/>
  <c r="P17" i="2" s="1"/>
  <c r="Q18" i="2" s="1"/>
  <c r="H16" i="11" s="1"/>
  <c r="G56" i="21"/>
  <c r="G58" i="21" s="1"/>
  <c r="H13" i="11"/>
  <c r="H18" i="21" s="1"/>
  <c r="H13" i="22" s="1"/>
  <c r="I55" i="24"/>
  <c r="I95" i="24"/>
  <c r="G49" i="21"/>
  <c r="P51" i="2"/>
  <c r="Q52" i="2" s="1"/>
  <c r="H74" i="11" s="1"/>
  <c r="H79" i="11" s="1"/>
  <c r="P44" i="2"/>
  <c r="Q45" i="2" s="1"/>
  <c r="H57" i="11" s="1"/>
  <c r="G27" i="22"/>
  <c r="G28" i="22" s="1"/>
  <c r="G29" i="22" s="1"/>
  <c r="H30" i="22" s="1"/>
  <c r="P35" i="2"/>
  <c r="Q36" i="2" s="1"/>
  <c r="H42" i="11" s="1"/>
  <c r="P26" i="2"/>
  <c r="Q27" i="2" s="1"/>
  <c r="H29" i="11" s="1"/>
  <c r="G45" i="21" l="1"/>
  <c r="H31" i="21"/>
  <c r="H61" i="11"/>
  <c r="H58" i="11"/>
  <c r="H65" i="11" s="1"/>
  <c r="H17" i="11"/>
  <c r="H24" i="11" s="1"/>
  <c r="H20" i="11"/>
  <c r="H46" i="11"/>
  <c r="H43" i="11"/>
  <c r="H50" i="11" s="1"/>
  <c r="H30" i="11"/>
  <c r="H37" i="11" s="1"/>
  <c r="H33" i="11"/>
  <c r="H44" i="22" l="1"/>
  <c r="H91" i="11"/>
  <c r="H40" i="22"/>
  <c r="H100" i="11"/>
  <c r="H18" i="22" s="1"/>
  <c r="H25" i="21"/>
  <c r="H36" i="21" s="1"/>
  <c r="H42" i="22"/>
  <c r="H38" i="22"/>
  <c r="H39" i="22" s="1"/>
  <c r="H99" i="11"/>
  <c r="H26" i="21" l="1"/>
  <c r="H37" i="21" s="1"/>
  <c r="H21" i="22"/>
  <c r="H107" i="11"/>
  <c r="H23" i="11"/>
  <c r="H41" i="22"/>
  <c r="H36" i="11" s="1"/>
  <c r="H43" i="22" l="1"/>
  <c r="H49" i="11" s="1"/>
  <c r="H61" i="21"/>
  <c r="H63" i="21" s="1"/>
  <c r="H65" i="21"/>
  <c r="H67" i="21" s="1"/>
  <c r="H69" i="21"/>
  <c r="H71" i="21" s="1"/>
  <c r="H73" i="21"/>
  <c r="H75" i="21" s="1"/>
  <c r="H77" i="21"/>
  <c r="H79" i="21" s="1"/>
  <c r="H81" i="21"/>
  <c r="H83" i="21" s="1"/>
  <c r="H26" i="11"/>
  <c r="H25" i="11"/>
  <c r="I18" i="11" s="1"/>
  <c r="I21" i="11" s="1"/>
  <c r="I22" i="11" s="1"/>
  <c r="H39" i="11"/>
  <c r="H38" i="11"/>
  <c r="I31" i="11" s="1"/>
  <c r="I34" i="11" s="1"/>
  <c r="I35" i="11" s="1"/>
  <c r="H52" i="11" l="1"/>
  <c r="H54" i="11" s="1"/>
  <c r="H51" i="11"/>
  <c r="I44" i="11" s="1"/>
  <c r="I47" i="11" s="1"/>
  <c r="I48" i="11" s="1"/>
  <c r="H45" i="22"/>
  <c r="H64" i="11" s="1"/>
  <c r="H102" i="11" l="1"/>
  <c r="H66" i="11"/>
  <c r="H106" i="11" s="1"/>
  <c r="I27" i="21"/>
  <c r="I38" i="21" s="1"/>
  <c r="H67" i="11" l="1"/>
  <c r="H16" i="21" s="1"/>
  <c r="H68" i="11"/>
  <c r="H70" i="11" s="1"/>
  <c r="H78" i="11" s="1"/>
  <c r="H80" i="11" s="1"/>
  <c r="H15" i="21" s="1"/>
  <c r="I59" i="11" l="1"/>
  <c r="I62" i="11" s="1"/>
  <c r="H104" i="11"/>
  <c r="H105" i="11" s="1"/>
  <c r="H81" i="11"/>
  <c r="I76" i="11"/>
  <c r="I77" i="11" s="1"/>
  <c r="H85" i="11"/>
  <c r="H86" i="11" s="1"/>
  <c r="I84" i="11" s="1"/>
  <c r="H24" i="22"/>
  <c r="H103" i="11"/>
  <c r="H98" i="11"/>
  <c r="H17" i="21"/>
  <c r="I63" i="11" l="1"/>
  <c r="I101" i="11" s="1"/>
  <c r="I19" i="22" s="1"/>
  <c r="H93" i="11"/>
  <c r="H48" i="22" s="1"/>
  <c r="H50" i="22" s="1"/>
  <c r="H52" i="22" s="1"/>
  <c r="H94" i="11" s="1"/>
  <c r="H95" i="11" s="1"/>
  <c r="I88" i="11" s="1"/>
  <c r="I21" i="21" s="1"/>
  <c r="P29" i="36"/>
  <c r="I28" i="21" l="1"/>
  <c r="I39" i="21" s="1"/>
  <c r="I32" i="21"/>
  <c r="H19" i="21"/>
  <c r="I10" i="11"/>
  <c r="I13" i="11" s="1"/>
  <c r="I18" i="21" s="1"/>
  <c r="I13" i="22" s="1"/>
  <c r="P21" i="36"/>
  <c r="H47" i="21" l="1"/>
  <c r="Q35" i="2" s="1"/>
  <c r="R36" i="2" s="1"/>
  <c r="I42" i="11" s="1"/>
  <c r="H26" i="22"/>
  <c r="I31" i="21"/>
  <c r="I12" i="11"/>
  <c r="H56" i="21"/>
  <c r="H58" i="21" s="1"/>
  <c r="P25" i="36"/>
  <c r="H52" i="21"/>
  <c r="H54" i="21" s="1"/>
  <c r="H43" i="21"/>
  <c r="H45" i="21" s="1"/>
  <c r="Q51" i="2" l="1"/>
  <c r="R52" i="2" s="1"/>
  <c r="I74" i="11" s="1"/>
  <c r="I79" i="11" s="1"/>
  <c r="H49" i="21"/>
  <c r="Q44" i="2"/>
  <c r="R45" i="2" s="1"/>
  <c r="I57" i="11" s="1"/>
  <c r="I58" i="11" s="1"/>
  <c r="I65" i="11" s="1"/>
  <c r="H27" i="22"/>
  <c r="H28" i="22" s="1"/>
  <c r="H29" i="22" s="1"/>
  <c r="I30" i="22" s="1"/>
  <c r="Q26" i="2"/>
  <c r="R27" i="2" s="1"/>
  <c r="I29" i="11" s="1"/>
  <c r="I30" i="11" s="1"/>
  <c r="I37" i="11" s="1"/>
  <c r="Q17" i="2"/>
  <c r="R18" i="2" s="1"/>
  <c r="I16" i="11" s="1"/>
  <c r="I17" i="11" s="1"/>
  <c r="I24" i="11" s="1"/>
  <c r="I46" i="11"/>
  <c r="I43" i="11"/>
  <c r="I50" i="11" s="1"/>
  <c r="I33" i="11" l="1"/>
  <c r="I40" i="22" s="1"/>
  <c r="I61" i="11"/>
  <c r="I44" i="22" s="1"/>
  <c r="I20" i="11"/>
  <c r="I42" i="22"/>
  <c r="I100" i="11"/>
  <c r="I18" i="22" s="1"/>
  <c r="I25" i="21"/>
  <c r="I36" i="21" s="1"/>
  <c r="I91" i="11" l="1"/>
  <c r="I107" i="11" s="1"/>
  <c r="I99" i="11"/>
  <c r="I38" i="22"/>
  <c r="I39" i="22" s="1"/>
  <c r="I23" i="11" s="1"/>
  <c r="I26" i="21"/>
  <c r="I37" i="21" s="1"/>
  <c r="I21" i="22" l="1"/>
  <c r="I41" i="22"/>
  <c r="I43" i="22" s="1"/>
  <c r="I49" i="11" s="1"/>
  <c r="I81" i="21"/>
  <c r="I83" i="21" s="1"/>
  <c r="I77" i="21"/>
  <c r="I79" i="21" s="1"/>
  <c r="I73" i="21"/>
  <c r="I75" i="21" s="1"/>
  <c r="I61" i="21"/>
  <c r="I63" i="21" s="1"/>
  <c r="I65" i="21"/>
  <c r="I67" i="21" s="1"/>
  <c r="I69" i="21"/>
  <c r="I71" i="21" s="1"/>
  <c r="I26" i="11"/>
  <c r="I25" i="11"/>
  <c r="J18" i="11" s="1"/>
  <c r="J21" i="11" s="1"/>
  <c r="J22" i="11" s="1"/>
  <c r="I52" i="11" l="1"/>
  <c r="I36" i="11"/>
  <c r="I45" i="22"/>
  <c r="I64" i="11" s="1"/>
  <c r="I51" i="11"/>
  <c r="J44" i="11" s="1"/>
  <c r="J47" i="11" s="1"/>
  <c r="J48" i="11" s="1"/>
  <c r="I38" i="11" l="1"/>
  <c r="J31" i="11" s="1"/>
  <c r="J34" i="11" s="1"/>
  <c r="J35" i="11" s="1"/>
  <c r="J27" i="21" s="1"/>
  <c r="J38" i="21" s="1"/>
  <c r="I39" i="11"/>
  <c r="I54" i="11" s="1"/>
  <c r="I66" i="11" s="1"/>
  <c r="I67" i="11" s="1"/>
  <c r="I102" i="11"/>
  <c r="I68" i="11" l="1"/>
  <c r="I70" i="11" s="1"/>
  <c r="I78" i="11" s="1"/>
  <c r="I106" i="11"/>
  <c r="I16" i="21"/>
  <c r="J59" i="11"/>
  <c r="J62" i="11" s="1"/>
  <c r="J63" i="11" l="1"/>
  <c r="J28" i="21" s="1"/>
  <c r="J39" i="21" s="1"/>
  <c r="I85" i="11"/>
  <c r="I98" i="11"/>
  <c r="I80" i="11"/>
  <c r="J101" i="11" l="1"/>
  <c r="J19" i="22" s="1"/>
  <c r="I86" i="11"/>
  <c r="J84" i="11" s="1"/>
  <c r="Q29" i="36"/>
  <c r="J76" i="11"/>
  <c r="J77" i="11" s="1"/>
  <c r="I103" i="11"/>
  <c r="I81" i="11"/>
  <c r="I104" i="11"/>
  <c r="I105" i="11" s="1"/>
  <c r="I24" i="22"/>
  <c r="I15" i="21"/>
  <c r="I17" i="21" s="1"/>
  <c r="I93" i="11"/>
  <c r="I48" i="22" s="1"/>
  <c r="I50" i="22" s="1"/>
  <c r="I52" i="22" s="1"/>
  <c r="I94" i="11" l="1"/>
  <c r="I95" i="11" s="1"/>
  <c r="Q21" i="36"/>
  <c r="I19" i="21" l="1"/>
  <c r="J88" i="11"/>
  <c r="J21" i="21" s="1"/>
  <c r="J10" i="11"/>
  <c r="Q25" i="36"/>
  <c r="J32" i="21" l="1"/>
  <c r="I26" i="22"/>
  <c r="I43" i="21"/>
  <c r="I47" i="21"/>
  <c r="I52" i="21"/>
  <c r="I54" i="21" s="1"/>
  <c r="I56" i="21"/>
  <c r="I58" i="21" s="1"/>
  <c r="J12" i="11"/>
  <c r="J13" i="11"/>
  <c r="J18" i="21" s="1"/>
  <c r="J13" i="22" s="1"/>
  <c r="J31" i="21" l="1"/>
  <c r="R17" i="2"/>
  <c r="S18" i="2" s="1"/>
  <c r="J16" i="11" s="1"/>
  <c r="I45" i="21"/>
  <c r="I27" i="22"/>
  <c r="I28" i="22" s="1"/>
  <c r="I29" i="22" s="1"/>
  <c r="J30" i="22" s="1"/>
  <c r="R51" i="2"/>
  <c r="S52" i="2" s="1"/>
  <c r="J74" i="11" s="1"/>
  <c r="J79" i="11" s="1"/>
  <c r="R44" i="2"/>
  <c r="S45" i="2" s="1"/>
  <c r="J57" i="11" s="1"/>
  <c r="R26" i="2"/>
  <c r="S27" i="2" s="1"/>
  <c r="J29" i="11" s="1"/>
  <c r="I49" i="21"/>
  <c r="R35" i="2"/>
  <c r="S36" i="2" s="1"/>
  <c r="J42" i="11" s="1"/>
  <c r="J61" i="11" l="1"/>
  <c r="J58" i="11"/>
  <c r="J65" i="11" s="1"/>
  <c r="J33" i="11"/>
  <c r="J30" i="11"/>
  <c r="J37" i="11" s="1"/>
  <c r="J20" i="11"/>
  <c r="J17" i="11"/>
  <c r="J24" i="11" s="1"/>
  <c r="J46" i="11"/>
  <c r="J43" i="11"/>
  <c r="J50" i="11" s="1"/>
  <c r="J42" i="22" l="1"/>
  <c r="J40" i="22"/>
  <c r="J38" i="22"/>
  <c r="J39" i="22" s="1"/>
  <c r="J99" i="11"/>
  <c r="J44" i="22"/>
  <c r="J91" i="11"/>
  <c r="J100" i="11"/>
  <c r="J18" i="22" s="1"/>
  <c r="J25" i="21"/>
  <c r="J36" i="21" s="1"/>
  <c r="J23" i="11" l="1"/>
  <c r="J41" i="22"/>
  <c r="J26" i="21"/>
  <c r="J37" i="21" s="1"/>
  <c r="J21" i="22"/>
  <c r="J107" i="11"/>
  <c r="J77" i="21" l="1"/>
  <c r="J79" i="21" s="1"/>
  <c r="J81" i="21"/>
  <c r="J83" i="21" s="1"/>
  <c r="J36" i="11"/>
  <c r="J43" i="22"/>
  <c r="J65" i="21"/>
  <c r="J67" i="21" s="1"/>
  <c r="J61" i="21"/>
  <c r="J63" i="21" s="1"/>
  <c r="J69" i="21"/>
  <c r="J71" i="21" s="1"/>
  <c r="J26" i="11"/>
  <c r="J25" i="11"/>
  <c r="K18" i="11" s="1"/>
  <c r="K21" i="11" s="1"/>
  <c r="K22" i="11" s="1"/>
  <c r="J73" i="21" l="1"/>
  <c r="J75" i="21" s="1"/>
  <c r="J38" i="11"/>
  <c r="K31" i="11" s="1"/>
  <c r="K34" i="11" s="1"/>
  <c r="K35" i="11" s="1"/>
  <c r="J39" i="11"/>
  <c r="J49" i="11"/>
  <c r="J45" i="22"/>
  <c r="J64" i="11" s="1"/>
  <c r="J51" i="11" l="1"/>
  <c r="K44" i="11" s="1"/>
  <c r="K47" i="11" s="1"/>
  <c r="K48" i="11" s="1"/>
  <c r="J52" i="11"/>
  <c r="J54" i="11" s="1"/>
  <c r="J66" i="11" s="1"/>
  <c r="J102" i="11"/>
  <c r="J106" i="11" l="1"/>
  <c r="J68" i="11"/>
  <c r="J70" i="11" s="1"/>
  <c r="J78" i="11" s="1"/>
  <c r="J85" i="11" s="1"/>
  <c r="J86" i="11" s="1"/>
  <c r="K84" i="11" s="1"/>
  <c r="J67" i="11"/>
  <c r="K27" i="21"/>
  <c r="K38" i="21" s="1"/>
  <c r="J80" i="11" l="1"/>
  <c r="K76" i="11" s="1"/>
  <c r="K59" i="11"/>
  <c r="K62" i="11" s="1"/>
  <c r="J16" i="21"/>
  <c r="R29" i="36"/>
  <c r="J93" i="11"/>
  <c r="J98" i="11"/>
  <c r="K63" i="11" l="1"/>
  <c r="K101" i="11" s="1"/>
  <c r="K19" i="22" s="1"/>
  <c r="J48" i="22"/>
  <c r="J50" i="22" s="1"/>
  <c r="J52" i="22" s="1"/>
  <c r="R21" i="36" s="1"/>
  <c r="J81" i="11"/>
  <c r="J15" i="21"/>
  <c r="J17" i="21" s="1"/>
  <c r="J24" i="22"/>
  <c r="J103" i="11"/>
  <c r="J104" i="11"/>
  <c r="J105" i="11" s="1"/>
  <c r="K77" i="11"/>
  <c r="J38" i="31"/>
  <c r="K28" i="21" l="1"/>
  <c r="K39" i="21" s="1"/>
  <c r="R25" i="36"/>
  <c r="J94" i="11"/>
  <c r="J95" i="11" s="1"/>
  <c r="J19" i="21" s="1"/>
  <c r="K10" i="11" l="1"/>
  <c r="K13" i="11" s="1"/>
  <c r="K18" i="21" s="1"/>
  <c r="K13" i="22" s="1"/>
  <c r="K88" i="11"/>
  <c r="K21" i="21" s="1"/>
  <c r="J56" i="21"/>
  <c r="J58" i="21" s="1"/>
  <c r="J26" i="22"/>
  <c r="J47" i="21"/>
  <c r="J43" i="21"/>
  <c r="J52" i="21"/>
  <c r="J54" i="21" s="1"/>
  <c r="K32" i="21" l="1"/>
  <c r="K31" i="21"/>
  <c r="K12" i="11"/>
  <c r="J27" i="22"/>
  <c r="J28" i="22" s="1"/>
  <c r="J29" i="22" s="1"/>
  <c r="K30" i="22" s="1"/>
  <c r="J49" i="21"/>
  <c r="S35" i="2"/>
  <c r="T36" i="2" s="1"/>
  <c r="K42" i="11" s="1"/>
  <c r="S51" i="2"/>
  <c r="T52" i="2" s="1"/>
  <c r="K74" i="11" s="1"/>
  <c r="K79" i="11" s="1"/>
  <c r="S26" i="2"/>
  <c r="T27" i="2" s="1"/>
  <c r="K29" i="11" s="1"/>
  <c r="S44" i="2"/>
  <c r="T45" i="2" s="1"/>
  <c r="K57" i="11" s="1"/>
  <c r="J45" i="21"/>
  <c r="S17" i="2"/>
  <c r="T18" i="2" s="1"/>
  <c r="K16" i="11" s="1"/>
  <c r="K43" i="11" l="1"/>
  <c r="K50" i="11" s="1"/>
  <c r="K46" i="11"/>
  <c r="K17" i="11"/>
  <c r="K24" i="11" s="1"/>
  <c r="K20" i="11"/>
  <c r="K30" i="11"/>
  <c r="K37" i="11" s="1"/>
  <c r="K33" i="11"/>
  <c r="K58" i="11"/>
  <c r="K65" i="11" s="1"/>
  <c r="K61" i="11"/>
  <c r="K91" i="11" l="1"/>
  <c r="K21" i="22" s="1"/>
  <c r="K40" i="22"/>
  <c r="K42" i="22"/>
  <c r="K44" i="22"/>
  <c r="K25" i="21"/>
  <c r="K36" i="21" s="1"/>
  <c r="K100" i="11"/>
  <c r="K99" i="11"/>
  <c r="K38" i="22"/>
  <c r="K39" i="22" s="1"/>
  <c r="J86" i="29" l="1"/>
  <c r="J83" i="29" s="1"/>
  <c r="K107" i="11"/>
  <c r="K26" i="21"/>
  <c r="K37" i="21" s="1"/>
  <c r="J36" i="31"/>
  <c r="K18" i="22"/>
  <c r="K23" i="11"/>
  <c r="K41" i="22"/>
  <c r="K36" i="11" s="1"/>
  <c r="J37" i="31" l="1"/>
  <c r="J130" i="23"/>
  <c r="K26" i="11"/>
  <c r="K25" i="11"/>
  <c r="K65" i="21"/>
  <c r="K67" i="21" s="1"/>
  <c r="K61" i="21"/>
  <c r="K63" i="21" s="1"/>
  <c r="K69" i="21"/>
  <c r="K71" i="21" s="1"/>
  <c r="K39" i="11"/>
  <c r="K38" i="11"/>
  <c r="L31" i="11" s="1"/>
  <c r="K43" i="22"/>
  <c r="K49" i="11" s="1"/>
  <c r="K52" i="11" l="1"/>
  <c r="K54" i="11" s="1"/>
  <c r="K51" i="11"/>
  <c r="L44" i="11" s="1"/>
  <c r="K73" i="21"/>
  <c r="K75" i="21" s="1"/>
  <c r="K77" i="21"/>
  <c r="K79" i="21" s="1"/>
  <c r="K81" i="21"/>
  <c r="K83" i="21" s="1"/>
  <c r="L18" i="11"/>
  <c r="K45" i="22"/>
  <c r="K64" i="11" s="1"/>
  <c r="L34" i="11"/>
  <c r="L35" i="11" s="1"/>
  <c r="K102" i="11" l="1"/>
  <c r="L21" i="11"/>
  <c r="L22" i="11" s="1"/>
  <c r="L47" i="11"/>
  <c r="L48" i="11" s="1"/>
  <c r="K66" i="11"/>
  <c r="K106" i="11" s="1"/>
  <c r="K68" i="11" l="1"/>
  <c r="K70" i="11" s="1"/>
  <c r="K78" i="11" s="1"/>
  <c r="K67" i="11"/>
  <c r="K16" i="21" s="1"/>
  <c r="L59" i="11" l="1"/>
  <c r="L62" i="11" s="1"/>
  <c r="L63" i="11" s="1"/>
  <c r="L27" i="21"/>
  <c r="L38" i="21" s="1"/>
  <c r="K85" i="11"/>
  <c r="K86" i="11" s="1"/>
  <c r="K98" i="11"/>
  <c r="K80" i="11"/>
  <c r="K93" i="11" l="1"/>
  <c r="K48" i="22" s="1"/>
  <c r="K50" i="22" s="1"/>
  <c r="K52" i="22" s="1"/>
  <c r="S21" i="36" s="1"/>
  <c r="S29" i="36"/>
  <c r="L101" i="11"/>
  <c r="J101" i="30"/>
  <c r="J98" i="30" s="1"/>
  <c r="K24" i="22"/>
  <c r="K81" i="11"/>
  <c r="L76" i="11"/>
  <c r="K15" i="21"/>
  <c r="K103" i="11"/>
  <c r="K104" i="11"/>
  <c r="K105" i="11" s="1"/>
  <c r="J114" i="30" s="1"/>
  <c r="J111" i="30" s="1"/>
  <c r="J144" i="24" s="1"/>
  <c r="J76" i="30"/>
  <c r="J74" i="30" s="1"/>
  <c r="L84" i="11"/>
  <c r="K94" i="11" l="1"/>
  <c r="K95" i="11" s="1"/>
  <c r="L19" i="22"/>
  <c r="J127" i="24"/>
  <c r="J43" i="31"/>
  <c r="L28" i="21"/>
  <c r="L39" i="21" s="1"/>
  <c r="J106" i="30"/>
  <c r="J73" i="30"/>
  <c r="J92" i="24"/>
  <c r="J48" i="34"/>
  <c r="J41" i="31"/>
  <c r="L77" i="11"/>
  <c r="S25" i="36"/>
  <c r="K17" i="21"/>
  <c r="J60" i="33" l="1"/>
  <c r="J59" i="24"/>
  <c r="J58" i="24"/>
  <c r="J41" i="35"/>
  <c r="J27" i="30"/>
  <c r="J24" i="30" s="1"/>
  <c r="K19" i="21"/>
  <c r="L10" i="11"/>
  <c r="L88" i="11"/>
  <c r="L21" i="21" s="1"/>
  <c r="J124" i="30"/>
  <c r="L32" i="21" l="1"/>
  <c r="K52" i="21"/>
  <c r="K54" i="21" s="1"/>
  <c r="K26" i="22"/>
  <c r="J55" i="24"/>
  <c r="J95" i="24"/>
  <c r="K56" i="21"/>
  <c r="K58" i="21" s="1"/>
  <c r="J23" i="30"/>
  <c r="J71" i="30" s="1"/>
  <c r="J25" i="24"/>
  <c r="J52" i="31"/>
  <c r="K47" i="21"/>
  <c r="K43" i="21"/>
  <c r="L12" i="11"/>
  <c r="L13" i="11"/>
  <c r="L18" i="21" s="1"/>
  <c r="L13" i="22" s="1"/>
  <c r="L31" i="21" l="1"/>
  <c r="K45" i="21"/>
  <c r="T17" i="2"/>
  <c r="U18" i="2" s="1"/>
  <c r="L16" i="11" s="1"/>
  <c r="K27" i="22"/>
  <c r="K28" i="22" s="1"/>
  <c r="K29" i="22" s="1"/>
  <c r="L30" i="22" s="1"/>
  <c r="K49" i="21"/>
  <c r="T44" i="2"/>
  <c r="U45" i="2" s="1"/>
  <c r="L57" i="11" s="1"/>
  <c r="T26" i="2"/>
  <c r="U27" i="2" s="1"/>
  <c r="L29" i="11" s="1"/>
  <c r="T35" i="2"/>
  <c r="U36" i="2" s="1"/>
  <c r="L42" i="11" s="1"/>
  <c r="T51" i="2"/>
  <c r="U52" i="2" s="1"/>
  <c r="L74" i="11" s="1"/>
  <c r="L79" i="11" s="1"/>
  <c r="K50" i="31"/>
  <c r="L30" i="11" l="1"/>
  <c r="L37" i="11" s="1"/>
  <c r="L33" i="11"/>
  <c r="L43" i="11"/>
  <c r="L50" i="11" s="1"/>
  <c r="L46" i="11"/>
  <c r="L17" i="11"/>
  <c r="L24" i="11" s="1"/>
  <c r="L20" i="11"/>
  <c r="L58" i="11"/>
  <c r="L65" i="11" s="1"/>
  <c r="L61" i="11"/>
  <c r="L91" i="11" l="1"/>
  <c r="L107" i="11" s="1"/>
  <c r="L25" i="21"/>
  <c r="L36" i="21" s="1"/>
  <c r="L100" i="11"/>
  <c r="L44" i="22"/>
  <c r="L99" i="11"/>
  <c r="L38" i="22"/>
  <c r="L39" i="22" s="1"/>
  <c r="L40" i="22"/>
  <c r="L42" i="22"/>
  <c r="L21" i="22" l="1"/>
  <c r="L26" i="21"/>
  <c r="L37" i="21" s="1"/>
  <c r="L23" i="11"/>
  <c r="L41" i="22"/>
  <c r="L36" i="11" s="1"/>
  <c r="L18" i="22"/>
  <c r="L43" i="22" l="1"/>
  <c r="L49" i="11" s="1"/>
  <c r="L39" i="11"/>
  <c r="L38" i="11"/>
  <c r="M31" i="11" s="1"/>
  <c r="L26" i="11"/>
  <c r="L25" i="11"/>
  <c r="L61" i="21"/>
  <c r="L63" i="21" s="1"/>
  <c r="L65" i="21"/>
  <c r="L67" i="21" s="1"/>
  <c r="L69" i="21"/>
  <c r="L71" i="21" s="1"/>
  <c r="L45" i="22" l="1"/>
  <c r="L64" i="11" s="1"/>
  <c r="L52" i="11"/>
  <c r="L54" i="11" s="1"/>
  <c r="L51" i="11"/>
  <c r="M44" i="11" s="1"/>
  <c r="L73" i="21"/>
  <c r="L75" i="21" s="1"/>
  <c r="L77" i="21"/>
  <c r="L79" i="21" s="1"/>
  <c r="L81" i="21"/>
  <c r="L83" i="21" s="1"/>
  <c r="M18" i="11"/>
  <c r="M34" i="11"/>
  <c r="M35" i="11" s="1"/>
  <c r="L102" i="11" l="1"/>
  <c r="L66" i="11"/>
  <c r="L68" i="11" s="1"/>
  <c r="L70" i="11" s="1"/>
  <c r="M47" i="11"/>
  <c r="M48" i="11" s="1"/>
  <c r="M21" i="11"/>
  <c r="M22" i="11" s="1"/>
  <c r="L67" i="11" l="1"/>
  <c r="M59" i="11" s="1"/>
  <c r="L106" i="11"/>
  <c r="L78" i="11"/>
  <c r="L16" i="21" l="1"/>
  <c r="M27" i="21"/>
  <c r="M38" i="21" s="1"/>
  <c r="L85" i="11"/>
  <c r="L86" i="11" s="1"/>
  <c r="M84" i="11" s="1"/>
  <c r="M62" i="11"/>
  <c r="M63" i="11" s="1"/>
  <c r="L98" i="11"/>
  <c r="L80" i="11"/>
  <c r="T29" i="36" l="1"/>
  <c r="L93" i="11"/>
  <c r="L48" i="22" s="1"/>
  <c r="L50" i="22" s="1"/>
  <c r="L52" i="22" s="1"/>
  <c r="L94" i="11" s="1"/>
  <c r="L24" i="22"/>
  <c r="M76" i="11"/>
  <c r="L81" i="11"/>
  <c r="L15" i="21"/>
  <c r="L103" i="11"/>
  <c r="L104" i="11"/>
  <c r="L105" i="11" s="1"/>
  <c r="M101" i="11"/>
  <c r="T21" i="36" l="1"/>
  <c r="M19" i="22"/>
  <c r="M77" i="11"/>
  <c r="L95" i="11"/>
  <c r="L17" i="21"/>
  <c r="M28" i="21"/>
  <c r="M39" i="21" s="1"/>
  <c r="T25" i="36" l="1"/>
  <c r="M10" i="11"/>
  <c r="L19" i="21"/>
  <c r="M88" i="11"/>
  <c r="M21" i="21" s="1"/>
  <c r="M32" i="21" l="1"/>
  <c r="L52" i="21"/>
  <c r="L54" i="21" s="1"/>
  <c r="L26" i="22"/>
  <c r="L56" i="21"/>
  <c r="L58" i="21" s="1"/>
  <c r="M12" i="11"/>
  <c r="M13" i="11"/>
  <c r="M18" i="21" s="1"/>
  <c r="M13" i="22" s="1"/>
  <c r="L47" i="21"/>
  <c r="L43" i="21"/>
  <c r="M31" i="21" l="1"/>
  <c r="L45" i="21"/>
  <c r="U17" i="2"/>
  <c r="V18" i="2" s="1"/>
  <c r="M16" i="11" s="1"/>
  <c r="L49" i="21"/>
  <c r="L27" i="22"/>
  <c r="L28" i="22" s="1"/>
  <c r="L29" i="22" s="1"/>
  <c r="M30" i="22" s="1"/>
  <c r="U51" i="2"/>
  <c r="V52" i="2" s="1"/>
  <c r="M74" i="11" s="1"/>
  <c r="M79" i="11" s="1"/>
  <c r="U35" i="2"/>
  <c r="V36" i="2" s="1"/>
  <c r="M42" i="11" s="1"/>
  <c r="U44" i="2"/>
  <c r="V45" i="2" s="1"/>
  <c r="M57" i="11" s="1"/>
  <c r="U26" i="2"/>
  <c r="V27" i="2" s="1"/>
  <c r="M29" i="11" s="1"/>
  <c r="M43" i="11" l="1"/>
  <c r="M50" i="11" s="1"/>
  <c r="M46" i="11"/>
  <c r="M17" i="11"/>
  <c r="M24" i="11" s="1"/>
  <c r="M20" i="11"/>
  <c r="M58" i="11"/>
  <c r="M65" i="11" s="1"/>
  <c r="M61" i="11"/>
  <c r="M30" i="11"/>
  <c r="M37" i="11" s="1"/>
  <c r="M33" i="11"/>
  <c r="M91" i="11" l="1"/>
  <c r="M107" i="11" s="1"/>
  <c r="M42" i="22"/>
  <c r="M40" i="22"/>
  <c r="M44" i="22"/>
  <c r="M25" i="21"/>
  <c r="M36" i="21" s="1"/>
  <c r="M100" i="11"/>
  <c r="M99" i="11"/>
  <c r="M38" i="22"/>
  <c r="M39" i="22" s="1"/>
  <c r="M21" i="22" l="1"/>
  <c r="M23" i="11"/>
  <c r="M41" i="22"/>
  <c r="M36" i="11" s="1"/>
  <c r="M26" i="21"/>
  <c r="M37" i="21" s="1"/>
  <c r="M18" i="22"/>
  <c r="M43" i="22" l="1"/>
  <c r="M49" i="11" s="1"/>
  <c r="M26" i="11"/>
  <c r="M25" i="11"/>
  <c r="M61" i="21"/>
  <c r="M63" i="21" s="1"/>
  <c r="M65" i="21"/>
  <c r="M67" i="21" s="1"/>
  <c r="M69" i="21"/>
  <c r="M71" i="21" s="1"/>
  <c r="M39" i="11"/>
  <c r="M38" i="11"/>
  <c r="N31" i="11" s="1"/>
  <c r="M52" i="11" l="1"/>
  <c r="M54" i="11" s="1"/>
  <c r="M51" i="11"/>
  <c r="N44" i="11" s="1"/>
  <c r="N47" i="11" s="1"/>
  <c r="N48" i="11" s="1"/>
  <c r="M45" i="22"/>
  <c r="M64" i="11" s="1"/>
  <c r="N34" i="11"/>
  <c r="N35" i="11" s="1"/>
  <c r="M77" i="21"/>
  <c r="M79" i="21" s="1"/>
  <c r="M73" i="21"/>
  <c r="M75" i="21" s="1"/>
  <c r="M81" i="21"/>
  <c r="M83" i="21" s="1"/>
  <c r="N18" i="11"/>
  <c r="M102" i="11" l="1"/>
  <c r="M66" i="11"/>
  <c r="M106" i="11" s="1"/>
  <c r="N21" i="11"/>
  <c r="N22" i="11" s="1"/>
  <c r="M67" i="11" l="1"/>
  <c r="M16" i="21" s="1"/>
  <c r="M68" i="11"/>
  <c r="M70" i="11" s="1"/>
  <c r="M78" i="11" s="1"/>
  <c r="M85" i="11" s="1"/>
  <c r="N27" i="21"/>
  <c r="N38" i="21" s="1"/>
  <c r="N59" i="11" l="1"/>
  <c r="N62" i="11" s="1"/>
  <c r="N63" i="11" s="1"/>
  <c r="M98" i="11"/>
  <c r="M80" i="11"/>
  <c r="U29" i="36"/>
  <c r="M86" i="11"/>
  <c r="N84" i="11" s="1"/>
  <c r="M93" i="11"/>
  <c r="M48" i="22" l="1"/>
  <c r="M50" i="22" s="1"/>
  <c r="M52" i="22" s="1"/>
  <c r="U21" i="36" s="1"/>
  <c r="M24" i="22"/>
  <c r="M81" i="11"/>
  <c r="N76" i="11"/>
  <c r="M15" i="21"/>
  <c r="M103" i="11"/>
  <c r="M104" i="11"/>
  <c r="M105" i="11" s="1"/>
  <c r="M94" i="11" l="1"/>
  <c r="M95" i="11" s="1"/>
  <c r="N77" i="11"/>
  <c r="N28" i="21"/>
  <c r="N39" i="21" s="1"/>
  <c r="M17" i="21"/>
  <c r="U25" i="36"/>
  <c r="N101" i="11"/>
  <c r="M19" i="21" l="1"/>
  <c r="N10" i="11"/>
  <c r="N88" i="11"/>
  <c r="N21" i="21" s="1"/>
  <c r="N19" i="22"/>
  <c r="N32" i="21" l="1"/>
  <c r="M56" i="21"/>
  <c r="M58" i="21" s="1"/>
  <c r="M26" i="22"/>
  <c r="M52" i="21"/>
  <c r="M54" i="21" s="1"/>
  <c r="M47" i="21"/>
  <c r="M43" i="21"/>
  <c r="N13" i="11"/>
  <c r="N18" i="21" s="1"/>
  <c r="N13" i="22" s="1"/>
  <c r="N12" i="11"/>
  <c r="N31" i="21" l="1"/>
  <c r="M27" i="22"/>
  <c r="M28" i="22" s="1"/>
  <c r="M29" i="22" s="1"/>
  <c r="N30" i="22" s="1"/>
  <c r="M49" i="21"/>
  <c r="V26" i="2"/>
  <c r="W27" i="2" s="1"/>
  <c r="N29" i="11" s="1"/>
  <c r="V44" i="2"/>
  <c r="W45" i="2" s="1"/>
  <c r="N57" i="11" s="1"/>
  <c r="V35" i="2"/>
  <c r="W36" i="2" s="1"/>
  <c r="N42" i="11" s="1"/>
  <c r="V51" i="2"/>
  <c r="W52" i="2" s="1"/>
  <c r="N74" i="11" s="1"/>
  <c r="N79" i="11" s="1"/>
  <c r="M45" i="21"/>
  <c r="V17" i="2"/>
  <c r="W18" i="2" s="1"/>
  <c r="N16" i="11" s="1"/>
  <c r="N43" i="11" l="1"/>
  <c r="N50" i="11" s="1"/>
  <c r="N46" i="11"/>
  <c r="N30" i="11"/>
  <c r="N37" i="11" s="1"/>
  <c r="N33" i="11"/>
  <c r="N17" i="11"/>
  <c r="N24" i="11" s="1"/>
  <c r="N20" i="11"/>
  <c r="N58" i="11"/>
  <c r="N65" i="11" s="1"/>
  <c r="N61" i="11"/>
  <c r="N99" i="11" l="1"/>
  <c r="N38" i="22"/>
  <c r="N39" i="22" s="1"/>
  <c r="N42" i="22"/>
  <c r="N44" i="22"/>
  <c r="N40" i="22"/>
  <c r="N25" i="21"/>
  <c r="N36" i="21" s="1"/>
  <c r="N100" i="11"/>
  <c r="N91" i="11"/>
  <c r="N26" i="21" l="1"/>
  <c r="N37" i="21" s="1"/>
  <c r="N18" i="22"/>
  <c r="N23" i="11"/>
  <c r="N41" i="22"/>
  <c r="N36" i="11" s="1"/>
  <c r="N107" i="11"/>
  <c r="N21" i="22"/>
  <c r="N43" i="22" l="1"/>
  <c r="N49" i="11" s="1"/>
  <c r="N39" i="11"/>
  <c r="N38" i="11"/>
  <c r="O31" i="11" s="1"/>
  <c r="N61" i="21"/>
  <c r="N63" i="21" s="1"/>
  <c r="N65" i="21"/>
  <c r="N67" i="21" s="1"/>
  <c r="N69" i="21"/>
  <c r="N71" i="21" s="1"/>
  <c r="N26" i="11"/>
  <c r="N25" i="11"/>
  <c r="N51" i="11" l="1"/>
  <c r="O44" i="11" s="1"/>
  <c r="O47" i="11" s="1"/>
  <c r="O48" i="11" s="1"/>
  <c r="N52" i="11"/>
  <c r="N54" i="11" s="1"/>
  <c r="N45" i="22"/>
  <c r="N64" i="11" s="1"/>
  <c r="O18" i="11"/>
  <c r="O34" i="11"/>
  <c r="O35" i="11" s="1"/>
  <c r="N73" i="21"/>
  <c r="N75" i="21" s="1"/>
  <c r="N77" i="21"/>
  <c r="N79" i="21" s="1"/>
  <c r="N81" i="21"/>
  <c r="N83" i="21" s="1"/>
  <c r="N102" i="11" l="1"/>
  <c r="N66" i="11"/>
  <c r="N68" i="11" s="1"/>
  <c r="N70" i="11" s="1"/>
  <c r="N78" i="11" s="1"/>
  <c r="N85" i="11" s="1"/>
  <c r="O21" i="11"/>
  <c r="O22" i="11" s="1"/>
  <c r="N67" i="11" l="1"/>
  <c r="N16" i="21" s="1"/>
  <c r="N106" i="11"/>
  <c r="V29" i="36"/>
  <c r="N86" i="11"/>
  <c r="O84" i="11" s="1"/>
  <c r="N93" i="11"/>
  <c r="N98" i="11"/>
  <c r="N80" i="11"/>
  <c r="O27" i="21"/>
  <c r="O38" i="21" s="1"/>
  <c r="O59" i="11" l="1"/>
  <c r="O62" i="11" s="1"/>
  <c r="N48" i="22"/>
  <c r="N50" i="22" s="1"/>
  <c r="N52" i="22" s="1"/>
  <c r="V21" i="36" s="1"/>
  <c r="N24" i="22"/>
  <c r="O76" i="11"/>
  <c r="N81" i="11"/>
  <c r="N15" i="21"/>
  <c r="N103" i="11"/>
  <c r="N104" i="11"/>
  <c r="N105" i="11" s="1"/>
  <c r="O63" i="11" l="1"/>
  <c r="O28" i="21" s="1"/>
  <c r="O39" i="21" s="1"/>
  <c r="N94" i="11"/>
  <c r="N95" i="11" s="1"/>
  <c r="K38" i="31"/>
  <c r="O77" i="11"/>
  <c r="V25" i="36"/>
  <c r="N17" i="21"/>
  <c r="O101" i="11" l="1"/>
  <c r="O19" i="22" s="1"/>
  <c r="N19" i="21"/>
  <c r="O88" i="11"/>
  <c r="O21" i="21" s="1"/>
  <c r="O10" i="11"/>
  <c r="O32" i="21" l="1"/>
  <c r="N52" i="21"/>
  <c r="N54" i="21" s="1"/>
  <c r="N26" i="22"/>
  <c r="N56" i="21"/>
  <c r="N58" i="21" s="1"/>
  <c r="O12" i="11"/>
  <c r="O13" i="11"/>
  <c r="O18" i="21" s="1"/>
  <c r="O13" i="22" s="1"/>
  <c r="N43" i="21"/>
  <c r="N47" i="21"/>
  <c r="O31" i="21" l="1"/>
  <c r="N27" i="22"/>
  <c r="N28" i="22" s="1"/>
  <c r="N29" i="22" s="1"/>
  <c r="O30" i="22" s="1"/>
  <c r="N49" i="21"/>
  <c r="W35" i="2"/>
  <c r="X36" i="2" s="1"/>
  <c r="O42" i="11" s="1"/>
  <c r="W51" i="2"/>
  <c r="X52" i="2" s="1"/>
  <c r="O74" i="11" s="1"/>
  <c r="O79" i="11" s="1"/>
  <c r="W26" i="2"/>
  <c r="X27" i="2" s="1"/>
  <c r="O29" i="11" s="1"/>
  <c r="W44" i="2"/>
  <c r="X45" i="2" s="1"/>
  <c r="O57" i="11" s="1"/>
  <c r="N45" i="21"/>
  <c r="W17" i="2"/>
  <c r="X18" i="2" s="1"/>
  <c r="O16" i="11" s="1"/>
  <c r="O17" i="11" l="1"/>
  <c r="O24" i="11" s="1"/>
  <c r="O20" i="11"/>
  <c r="O58" i="11"/>
  <c r="O65" i="11" s="1"/>
  <c r="O61" i="11"/>
  <c r="O43" i="11"/>
  <c r="O50" i="11" s="1"/>
  <c r="O46" i="11"/>
  <c r="O30" i="11"/>
  <c r="O37" i="11" s="1"/>
  <c r="O33" i="11"/>
  <c r="O91" i="11" l="1"/>
  <c r="O107" i="11" s="1"/>
  <c r="O42" i="22"/>
  <c r="O99" i="11"/>
  <c r="O38" i="22"/>
  <c r="O39" i="22" s="1"/>
  <c r="O25" i="21"/>
  <c r="O36" i="21" s="1"/>
  <c r="O100" i="11"/>
  <c r="O40" i="22"/>
  <c r="O44" i="22"/>
  <c r="K86" i="29" l="1"/>
  <c r="K83" i="29" s="1"/>
  <c r="O21" i="22"/>
  <c r="K36" i="31"/>
  <c r="O18" i="22"/>
  <c r="O23" i="11"/>
  <c r="O41" i="22"/>
  <c r="O36" i="11" s="1"/>
  <c r="O26" i="21"/>
  <c r="O37" i="21" s="1"/>
  <c r="K37" i="31" l="1"/>
  <c r="O26" i="11"/>
  <c r="O25" i="11"/>
  <c r="O39" i="11"/>
  <c r="O38" i="11"/>
  <c r="P31" i="11" s="1"/>
  <c r="O61" i="21"/>
  <c r="O63" i="21" s="1"/>
  <c r="O65" i="21"/>
  <c r="O67" i="21" s="1"/>
  <c r="O69" i="21"/>
  <c r="O71" i="21" s="1"/>
  <c r="O43" i="22"/>
  <c r="O49" i="11" s="1"/>
  <c r="K130" i="23"/>
  <c r="O45" i="22" l="1"/>
  <c r="O64" i="11" s="1"/>
  <c r="O52" i="11"/>
  <c r="O54" i="11" s="1"/>
  <c r="O51" i="11"/>
  <c r="P44" i="11" s="1"/>
  <c r="P34" i="11"/>
  <c r="P35" i="11" s="1"/>
  <c r="O73" i="21"/>
  <c r="O75" i="21" s="1"/>
  <c r="O77" i="21"/>
  <c r="O79" i="21" s="1"/>
  <c r="O81" i="21"/>
  <c r="O83" i="21" s="1"/>
  <c r="P18" i="11"/>
  <c r="O102" i="11" l="1"/>
  <c r="P47" i="11"/>
  <c r="P48" i="11" s="1"/>
  <c r="P21" i="11"/>
  <c r="P22" i="11" s="1"/>
  <c r="O66" i="11"/>
  <c r="O106" i="11" s="1"/>
  <c r="O68" i="11" l="1"/>
  <c r="O70" i="11" s="1"/>
  <c r="O78" i="11" s="1"/>
  <c r="O67" i="11"/>
  <c r="O16" i="21" s="1"/>
  <c r="P27" i="21" l="1"/>
  <c r="P38" i="21" s="1"/>
  <c r="P59" i="11"/>
  <c r="P62" i="11" s="1"/>
  <c r="P63" i="11" s="1"/>
  <c r="O98" i="11"/>
  <c r="O80" i="11"/>
  <c r="O85" i="11"/>
  <c r="W29" i="36" l="1"/>
  <c r="O86" i="11"/>
  <c r="O93" i="11"/>
  <c r="O48" i="22" s="1"/>
  <c r="O50" i="22" s="1"/>
  <c r="O52" i="22" s="1"/>
  <c r="P28" i="21"/>
  <c r="P39" i="21" s="1"/>
  <c r="O24" i="22"/>
  <c r="K101" i="30"/>
  <c r="K98" i="30" s="1"/>
  <c r="O81" i="11"/>
  <c r="P76" i="11"/>
  <c r="O15" i="21"/>
  <c r="O103" i="11"/>
  <c r="O104" i="11"/>
  <c r="O105" i="11" s="1"/>
  <c r="K114" i="30" s="1"/>
  <c r="K111" i="30" s="1"/>
  <c r="K127" i="24" l="1"/>
  <c r="K43" i="31"/>
  <c r="O94" i="11"/>
  <c r="W21" i="36"/>
  <c r="O17" i="21"/>
  <c r="K76" i="30"/>
  <c r="K74" i="30" s="1"/>
  <c r="P84" i="11"/>
  <c r="K144" i="24"/>
  <c r="K106" i="30"/>
  <c r="P77" i="11"/>
  <c r="P101" i="11"/>
  <c r="W25" i="36" l="1"/>
  <c r="K92" i="24"/>
  <c r="K59" i="24" s="1"/>
  <c r="K48" i="34"/>
  <c r="K73" i="30"/>
  <c r="K41" i="31"/>
  <c r="P19" i="22"/>
  <c r="O95" i="11"/>
  <c r="K60" i="33" l="1"/>
  <c r="K27" i="30"/>
  <c r="K24" i="30" s="1"/>
  <c r="O19" i="21"/>
  <c r="P10" i="11"/>
  <c r="P88" i="11"/>
  <c r="P21" i="21" s="1"/>
  <c r="K58" i="24"/>
  <c r="K41" i="35"/>
  <c r="K124" i="30"/>
  <c r="P32" i="21" l="1"/>
  <c r="O26" i="22"/>
  <c r="K55" i="24"/>
  <c r="K95" i="24"/>
  <c r="K25" i="24"/>
  <c r="K23" i="30"/>
  <c r="K71" i="30" s="1"/>
  <c r="K52" i="31"/>
  <c r="O47" i="21"/>
  <c r="O43" i="21"/>
  <c r="O56" i="21"/>
  <c r="O58" i="21" s="1"/>
  <c r="O52" i="21"/>
  <c r="O54" i="21" s="1"/>
  <c r="P12" i="11"/>
  <c r="P13" i="11"/>
  <c r="P18" i="21" s="1"/>
  <c r="P13" i="22" s="1"/>
  <c r="P31" i="21" l="1"/>
  <c r="L50" i="31"/>
  <c r="O27" i="22"/>
  <c r="O28" i="22" s="1"/>
  <c r="O29" i="22" s="1"/>
  <c r="P30" i="22" s="1"/>
  <c r="O49" i="21"/>
  <c r="X44" i="2"/>
  <c r="Y45" i="2" s="1"/>
  <c r="P57" i="11" s="1"/>
  <c r="X26" i="2"/>
  <c r="Y27" i="2" s="1"/>
  <c r="P29" i="11" s="1"/>
  <c r="X35" i="2"/>
  <c r="Y36" i="2" s="1"/>
  <c r="P42" i="11" s="1"/>
  <c r="X51" i="2"/>
  <c r="Y52" i="2" s="1"/>
  <c r="P74" i="11" s="1"/>
  <c r="P79" i="11" s="1"/>
  <c r="O45" i="21"/>
  <c r="X17" i="2"/>
  <c r="Y18" i="2" s="1"/>
  <c r="P16" i="11" s="1"/>
  <c r="P17" i="11" l="1"/>
  <c r="P24" i="11" s="1"/>
  <c r="P20" i="11"/>
  <c r="P58" i="11"/>
  <c r="P65" i="11" s="1"/>
  <c r="P61" i="11"/>
  <c r="P30" i="11"/>
  <c r="P37" i="11" s="1"/>
  <c r="P33" i="11"/>
  <c r="P43" i="11"/>
  <c r="P50" i="11" s="1"/>
  <c r="P46" i="11"/>
  <c r="P91" i="11" l="1"/>
  <c r="P21" i="22" s="1"/>
  <c r="P42" i="22"/>
  <c r="P25" i="21"/>
  <c r="P36" i="21" s="1"/>
  <c r="P100" i="11"/>
  <c r="P40" i="22"/>
  <c r="P99" i="11"/>
  <c r="P38" i="22"/>
  <c r="P39" i="22" s="1"/>
  <c r="P44" i="22"/>
  <c r="P107" i="11" l="1"/>
  <c r="P23" i="11"/>
  <c r="P41" i="22"/>
  <c r="P36" i="11" s="1"/>
  <c r="P18" i="22"/>
  <c r="P26" i="21"/>
  <c r="P37" i="21" s="1"/>
  <c r="P39" i="11" l="1"/>
  <c r="P38" i="11"/>
  <c r="Q31" i="11" s="1"/>
  <c r="P26" i="11"/>
  <c r="P25" i="11"/>
  <c r="P61" i="21"/>
  <c r="P63" i="21" s="1"/>
  <c r="P65" i="21"/>
  <c r="P67" i="21" s="1"/>
  <c r="P69" i="21"/>
  <c r="P71" i="21" s="1"/>
  <c r="P43" i="22"/>
  <c r="P73" i="21" l="1"/>
  <c r="P75" i="21" s="1"/>
  <c r="P77" i="21"/>
  <c r="P79" i="21" s="1"/>
  <c r="P81" i="21"/>
  <c r="P83" i="21" s="1"/>
  <c r="Q18" i="11"/>
  <c r="Q34" i="11"/>
  <c r="Q35" i="11" s="1"/>
  <c r="P49" i="11"/>
  <c r="P45" i="22"/>
  <c r="P64" i="11" s="1"/>
  <c r="P52" i="11" l="1"/>
  <c r="P54" i="11" s="1"/>
  <c r="P66" i="11" s="1"/>
  <c r="P51" i="11"/>
  <c r="P102" i="11"/>
  <c r="Q21" i="11"/>
  <c r="Q22" i="11" s="1"/>
  <c r="P106" i="11" l="1"/>
  <c r="P67" i="11"/>
  <c r="Q59" i="11" s="1"/>
  <c r="P68" i="11"/>
  <c r="P70" i="11" s="1"/>
  <c r="Q44" i="11"/>
  <c r="P16" i="21" l="1"/>
  <c r="P78" i="11"/>
  <c r="P85" i="11" s="1"/>
  <c r="P93" i="11" s="1"/>
  <c r="Q47" i="11"/>
  <c r="Q48" i="11" s="1"/>
  <c r="Q62" i="11"/>
  <c r="Q63" i="11" s="1"/>
  <c r="P80" i="11" l="1"/>
  <c r="Q76" i="11" s="1"/>
  <c r="P98" i="11"/>
  <c r="X29" i="36"/>
  <c r="P86" i="11"/>
  <c r="Q84" i="11" s="1"/>
  <c r="Q28" i="21"/>
  <c r="Q39" i="21" s="1"/>
  <c r="P81" i="11" l="1"/>
  <c r="P24" i="22"/>
  <c r="P48" i="22"/>
  <c r="P50" i="22" s="1"/>
  <c r="P52" i="22" s="1"/>
  <c r="X21" i="36" s="1"/>
  <c r="P104" i="11"/>
  <c r="P105" i="11" s="1"/>
  <c r="P103" i="11"/>
  <c r="P15" i="21"/>
  <c r="P17" i="21" s="1"/>
  <c r="Q77" i="11"/>
  <c r="Q27" i="21"/>
  <c r="Q38" i="21" s="1"/>
  <c r="Q101" i="11"/>
  <c r="P94" i="11" l="1"/>
  <c r="P95" i="11" s="1"/>
  <c r="Q19" i="22"/>
  <c r="X25" i="36"/>
  <c r="P19" i="21" l="1"/>
  <c r="Q10" i="11"/>
  <c r="Q88" i="11"/>
  <c r="Q21" i="21" s="1"/>
  <c r="Q32" i="21" l="1"/>
  <c r="P26" i="22"/>
  <c r="P47" i="21"/>
  <c r="P43" i="21"/>
  <c r="P56" i="21"/>
  <c r="P58" i="21" s="1"/>
  <c r="P52" i="21"/>
  <c r="P54" i="21" s="1"/>
  <c r="Q12" i="11"/>
  <c r="Q13" i="11"/>
  <c r="Q18" i="21" s="1"/>
  <c r="Q13" i="22" s="1"/>
  <c r="Q31" i="21" l="1"/>
  <c r="P45" i="21"/>
  <c r="Y17" i="2"/>
  <c r="Z18" i="2" s="1"/>
  <c r="Q16" i="11" s="1"/>
  <c r="P27" i="22"/>
  <c r="P28" i="22" s="1"/>
  <c r="P29" i="22" s="1"/>
  <c r="Q30" i="22" s="1"/>
  <c r="P49" i="21"/>
  <c r="Y51" i="2"/>
  <c r="Z52" i="2" s="1"/>
  <c r="Q74" i="11" s="1"/>
  <c r="Q79" i="11" s="1"/>
  <c r="Y35" i="2"/>
  <c r="Z36" i="2" s="1"/>
  <c r="Q42" i="11" s="1"/>
  <c r="Y26" i="2"/>
  <c r="Z27" i="2" s="1"/>
  <c r="Q29" i="11" s="1"/>
  <c r="Y44" i="2"/>
  <c r="Z45" i="2" s="1"/>
  <c r="Q57" i="11" s="1"/>
  <c r="Q58" i="11" l="1"/>
  <c r="Q65" i="11" s="1"/>
  <c r="Q61" i="11"/>
  <c r="Q43" i="11"/>
  <c r="Q50" i="11" s="1"/>
  <c r="Q46" i="11"/>
  <c r="Q30" i="11"/>
  <c r="Q37" i="11" s="1"/>
  <c r="Q33" i="11"/>
  <c r="Q17" i="11"/>
  <c r="Q24" i="11" s="1"/>
  <c r="Q20" i="11"/>
  <c r="Q91" i="11" l="1"/>
  <c r="Q107" i="11" s="1"/>
  <c r="Q44" i="22"/>
  <c r="Q99" i="11"/>
  <c r="Q38" i="22"/>
  <c r="Q39" i="22" s="1"/>
  <c r="Q42" i="22"/>
  <c r="Q40" i="22"/>
  <c r="Q25" i="21"/>
  <c r="Q36" i="21" s="1"/>
  <c r="Q100" i="11"/>
  <c r="Q21" i="22" l="1"/>
  <c r="Q18" i="22"/>
  <c r="Q26" i="21"/>
  <c r="Q37" i="21" s="1"/>
  <c r="Q23" i="11"/>
  <c r="Q41" i="22"/>
  <c r="Q36" i="11" s="1"/>
  <c r="Q43" i="22" l="1"/>
  <c r="Q49" i="11" s="1"/>
  <c r="Q65" i="21"/>
  <c r="Q67" i="21" s="1"/>
  <c r="Q61" i="21"/>
  <c r="Q63" i="21" s="1"/>
  <c r="Q69" i="21"/>
  <c r="Q71" i="21" s="1"/>
  <c r="Q26" i="11"/>
  <c r="Q25" i="11"/>
  <c r="Q39" i="11"/>
  <c r="Q38" i="11"/>
  <c r="R31" i="11" s="1"/>
  <c r="Q52" i="11" l="1"/>
  <c r="Q54" i="11" s="1"/>
  <c r="Q51" i="11"/>
  <c r="R44" i="11" s="1"/>
  <c r="R47" i="11" s="1"/>
  <c r="R48" i="11" s="1"/>
  <c r="Q45" i="22"/>
  <c r="Q64" i="11" s="1"/>
  <c r="R34" i="11"/>
  <c r="R35" i="11" s="1"/>
  <c r="Q73" i="21"/>
  <c r="Q75" i="21" s="1"/>
  <c r="Q77" i="21"/>
  <c r="Q79" i="21" s="1"/>
  <c r="Q81" i="21"/>
  <c r="Q83" i="21" s="1"/>
  <c r="R18" i="11"/>
  <c r="Q66" i="11" l="1"/>
  <c r="Q106" i="11" s="1"/>
  <c r="Q102" i="11"/>
  <c r="R21" i="11"/>
  <c r="R22" i="11" s="1"/>
  <c r="Q68" i="11" l="1"/>
  <c r="Q70" i="11" s="1"/>
  <c r="Q78" i="11" s="1"/>
  <c r="Q67" i="11"/>
  <c r="Q16" i="21" s="1"/>
  <c r="R27" i="21"/>
  <c r="R38" i="21" s="1"/>
  <c r="R59" i="11" l="1"/>
  <c r="R62" i="11" s="1"/>
  <c r="R63" i="11" s="1"/>
  <c r="Q98" i="11"/>
  <c r="Q80" i="11"/>
  <c r="Q85" i="11"/>
  <c r="Y29" i="36" l="1"/>
  <c r="Q86" i="11"/>
  <c r="R84" i="11" s="1"/>
  <c r="R28" i="21"/>
  <c r="R39" i="21" s="1"/>
  <c r="Q24" i="22"/>
  <c r="Q81" i="11"/>
  <c r="R76" i="11"/>
  <c r="Q103" i="11"/>
  <c r="Q15" i="21"/>
  <c r="Q104" i="11"/>
  <c r="Q105" i="11" s="1"/>
  <c r="Q93" i="11"/>
  <c r="Q48" i="22" s="1"/>
  <c r="Q50" i="22" s="1"/>
  <c r="Q52" i="22" s="1"/>
  <c r="Q17" i="21" l="1"/>
  <c r="Q94" i="11"/>
  <c r="Y21" i="36"/>
  <c r="R77" i="11"/>
  <c r="R101" i="11"/>
  <c r="R19" i="22" l="1"/>
  <c r="Q95" i="11"/>
  <c r="Y25" i="36"/>
  <c r="Q19" i="21" l="1"/>
  <c r="R10" i="11"/>
  <c r="R88" i="11"/>
  <c r="R21" i="21" s="1"/>
  <c r="R32" i="21" l="1"/>
  <c r="Q26" i="22"/>
  <c r="Q43" i="21"/>
  <c r="Q47" i="21"/>
  <c r="Q52" i="21"/>
  <c r="Q54" i="21" s="1"/>
  <c r="Q56" i="21"/>
  <c r="Q58" i="21" s="1"/>
  <c r="R12" i="11"/>
  <c r="R13" i="11"/>
  <c r="R18" i="21" s="1"/>
  <c r="R13" i="22" s="1"/>
  <c r="R31" i="21" l="1"/>
  <c r="Q27" i="22"/>
  <c r="Q28" i="22" s="1"/>
  <c r="Q29" i="22" s="1"/>
  <c r="R30" i="22" s="1"/>
  <c r="Z26" i="2"/>
  <c r="AA27" i="2" s="1"/>
  <c r="R29" i="11" s="1"/>
  <c r="Z44" i="2"/>
  <c r="AA45" i="2" s="1"/>
  <c r="R57" i="11" s="1"/>
  <c r="Q49" i="21"/>
  <c r="Z51" i="2"/>
  <c r="AA52" i="2" s="1"/>
  <c r="R74" i="11" s="1"/>
  <c r="R79" i="11" s="1"/>
  <c r="Z35" i="2"/>
  <c r="AA36" i="2" s="1"/>
  <c r="R42" i="11" s="1"/>
  <c r="Q45" i="21"/>
  <c r="Z17" i="2"/>
  <c r="AA18" i="2" s="1"/>
  <c r="R16" i="11" s="1"/>
  <c r="R17" i="11" l="1"/>
  <c r="R24" i="11" s="1"/>
  <c r="R20" i="11"/>
  <c r="R43" i="11"/>
  <c r="R50" i="11" s="1"/>
  <c r="R46" i="11"/>
  <c r="R30" i="11"/>
  <c r="R37" i="11" s="1"/>
  <c r="R33" i="11"/>
  <c r="R58" i="11"/>
  <c r="R65" i="11" s="1"/>
  <c r="R61" i="11"/>
  <c r="R91" i="11" l="1"/>
  <c r="R21" i="22" s="1"/>
  <c r="R40" i="22"/>
  <c r="R99" i="11"/>
  <c r="R38" i="22"/>
  <c r="R39" i="22" s="1"/>
  <c r="R25" i="21"/>
  <c r="R36" i="21" s="1"/>
  <c r="R100" i="11"/>
  <c r="R44" i="22"/>
  <c r="R42" i="22"/>
  <c r="R107" i="11" l="1"/>
  <c r="R23" i="11"/>
  <c r="R41" i="22"/>
  <c r="R36" i="11" s="1"/>
  <c r="R18" i="22"/>
  <c r="R26" i="21"/>
  <c r="R37" i="21" s="1"/>
  <c r="R26" i="11" l="1"/>
  <c r="R25" i="11"/>
  <c r="R61" i="21"/>
  <c r="R63" i="21" s="1"/>
  <c r="R65" i="21"/>
  <c r="R67" i="21" s="1"/>
  <c r="R69" i="21"/>
  <c r="R71" i="21" s="1"/>
  <c r="R39" i="11"/>
  <c r="R38" i="11"/>
  <c r="S31" i="11" s="1"/>
  <c r="R43" i="22"/>
  <c r="R49" i="11" s="1"/>
  <c r="R52" i="11" l="1"/>
  <c r="R54" i="11" s="1"/>
  <c r="R51" i="11"/>
  <c r="S44" i="11" s="1"/>
  <c r="R77" i="21"/>
  <c r="R79" i="21" s="1"/>
  <c r="R73" i="21"/>
  <c r="R75" i="21" s="1"/>
  <c r="R81" i="21"/>
  <c r="R83" i="21" s="1"/>
  <c r="R45" i="22"/>
  <c r="R64" i="11" s="1"/>
  <c r="S34" i="11"/>
  <c r="S35" i="11" s="1"/>
  <c r="S18" i="11"/>
  <c r="S21" i="11" l="1"/>
  <c r="S22" i="11" s="1"/>
  <c r="R66" i="11"/>
  <c r="R106" i="11" s="1"/>
  <c r="S47" i="11"/>
  <c r="S48" i="11" s="1"/>
  <c r="R102" i="11"/>
  <c r="R67" i="11" l="1"/>
  <c r="R16" i="21" s="1"/>
  <c r="R68" i="11"/>
  <c r="R70" i="11" s="1"/>
  <c r="R78" i="11" s="1"/>
  <c r="R85" i="11" s="1"/>
  <c r="S59" i="11" l="1"/>
  <c r="S62" i="11" s="1"/>
  <c r="S63" i="11" s="1"/>
  <c r="Z29" i="36"/>
  <c r="R86" i="11"/>
  <c r="S84" i="11" s="1"/>
  <c r="S27" i="21"/>
  <c r="S38" i="21" s="1"/>
  <c r="R98" i="11"/>
  <c r="R80" i="11"/>
  <c r="R93" i="11"/>
  <c r="R48" i="22" l="1"/>
  <c r="R50" i="22" s="1"/>
  <c r="R52" i="22" s="1"/>
  <c r="Z21" i="36" s="1"/>
  <c r="S101" i="11"/>
  <c r="R24" i="22"/>
  <c r="S76" i="11"/>
  <c r="R81" i="11"/>
  <c r="R15" i="21"/>
  <c r="R103" i="11"/>
  <c r="R104" i="11"/>
  <c r="R105" i="11" s="1"/>
  <c r="S28" i="21" l="1"/>
  <c r="S39" i="21" s="1"/>
  <c r="R94" i="11"/>
  <c r="R95" i="11" s="1"/>
  <c r="Z25" i="36"/>
  <c r="S77" i="11"/>
  <c r="R17" i="21"/>
  <c r="S19" i="22"/>
  <c r="L38" i="31"/>
  <c r="R19" i="21" l="1"/>
  <c r="S88" i="11"/>
  <c r="S21" i="21" s="1"/>
  <c r="S10" i="11"/>
  <c r="S32" i="21" l="1"/>
  <c r="R26" i="22"/>
  <c r="S12" i="11"/>
  <c r="S13" i="11"/>
  <c r="S18" i="21" s="1"/>
  <c r="S13" i="22" s="1"/>
  <c r="R43" i="21"/>
  <c r="R47" i="21"/>
  <c r="R52" i="21"/>
  <c r="R54" i="21" s="1"/>
  <c r="R56" i="21"/>
  <c r="R58" i="21" s="1"/>
  <c r="S31" i="21" l="1"/>
  <c r="R45" i="21"/>
  <c r="AA17" i="2"/>
  <c r="AB18" i="2" s="1"/>
  <c r="S16" i="11" s="1"/>
  <c r="R27" i="22"/>
  <c r="R28" i="22" s="1"/>
  <c r="R29" i="22" s="1"/>
  <c r="S30" i="22" s="1"/>
  <c r="R49" i="21"/>
  <c r="AA35" i="2"/>
  <c r="AB36" i="2" s="1"/>
  <c r="S42" i="11" s="1"/>
  <c r="AA51" i="2"/>
  <c r="AB52" i="2" s="1"/>
  <c r="S74" i="11" s="1"/>
  <c r="S79" i="11" s="1"/>
  <c r="AA26" i="2"/>
  <c r="AB27" i="2" s="1"/>
  <c r="S29" i="11" s="1"/>
  <c r="AA44" i="2"/>
  <c r="AB45" i="2" s="1"/>
  <c r="S57" i="11" s="1"/>
  <c r="S17" i="11" l="1"/>
  <c r="S24" i="11" s="1"/>
  <c r="S20" i="11"/>
  <c r="S43" i="11"/>
  <c r="S50" i="11" s="1"/>
  <c r="S46" i="11"/>
  <c r="S30" i="11"/>
  <c r="S37" i="11" s="1"/>
  <c r="S33" i="11"/>
  <c r="S58" i="11"/>
  <c r="S65" i="11" s="1"/>
  <c r="S61" i="11"/>
  <c r="S44" i="22" l="1"/>
  <c r="S25" i="21"/>
  <c r="S36" i="21" s="1"/>
  <c r="S100" i="11"/>
  <c r="S99" i="11"/>
  <c r="S38" i="22"/>
  <c r="S39" i="22" s="1"/>
  <c r="S42" i="22"/>
  <c r="S40" i="22"/>
  <c r="S91" i="11"/>
  <c r="S23" i="11" l="1"/>
  <c r="S41" i="22"/>
  <c r="S36" i="11" s="1"/>
  <c r="S26" i="21"/>
  <c r="S37" i="21" s="1"/>
  <c r="S107" i="11"/>
  <c r="S21" i="22"/>
  <c r="L86" i="29"/>
  <c r="S18" i="22"/>
  <c r="L36" i="31"/>
  <c r="S43" i="22" l="1"/>
  <c r="S49" i="11" s="1"/>
  <c r="L37" i="31"/>
  <c r="L83" i="29"/>
  <c r="S65" i="21"/>
  <c r="S67" i="21" s="1"/>
  <c r="S61" i="21"/>
  <c r="S63" i="21" s="1"/>
  <c r="S69" i="21"/>
  <c r="S71" i="21" s="1"/>
  <c r="S26" i="11"/>
  <c r="S25" i="11"/>
  <c r="S39" i="11"/>
  <c r="S38" i="11"/>
  <c r="T31" i="11" s="1"/>
  <c r="S52" i="11" l="1"/>
  <c r="S54" i="11" s="1"/>
  <c r="S51" i="11"/>
  <c r="T44" i="11" s="1"/>
  <c r="T47" i="11" s="1"/>
  <c r="T48" i="11" s="1"/>
  <c r="S45" i="22"/>
  <c r="S64" i="11" s="1"/>
  <c r="T34" i="11"/>
  <c r="T35" i="11" s="1"/>
  <c r="S73" i="21"/>
  <c r="S75" i="21" s="1"/>
  <c r="S77" i="21"/>
  <c r="S79" i="21" s="1"/>
  <c r="S81" i="21"/>
  <c r="S83" i="21" s="1"/>
  <c r="T18" i="11"/>
  <c r="L130" i="23"/>
  <c r="S102" i="11" l="1"/>
  <c r="S66" i="11"/>
  <c r="S68" i="11" s="1"/>
  <c r="S70" i="11" s="1"/>
  <c r="T21" i="11"/>
  <c r="T22" i="11" s="1"/>
  <c r="S67" i="11" l="1"/>
  <c r="S16" i="21" s="1"/>
  <c r="S106" i="11"/>
  <c r="S78" i="11"/>
  <c r="S85" i="11" s="1"/>
  <c r="S93" i="11" s="1"/>
  <c r="T27" i="21"/>
  <c r="T38" i="21" s="1"/>
  <c r="T59" i="11" l="1"/>
  <c r="T62" i="11" s="1"/>
  <c r="T63" i="11" s="1"/>
  <c r="AA29" i="36"/>
  <c r="S86" i="11"/>
  <c r="S98" i="11"/>
  <c r="S80" i="11"/>
  <c r="S48" i="22" s="1"/>
  <c r="S50" i="22" s="1"/>
  <c r="S52" i="22" s="1"/>
  <c r="L101" i="30" l="1"/>
  <c r="L98" i="30" s="1"/>
  <c r="S24" i="22"/>
  <c r="S81" i="11"/>
  <c r="T76" i="11"/>
  <c r="S15" i="21"/>
  <c r="S103" i="11"/>
  <c r="S104" i="11"/>
  <c r="S105" i="11" s="1"/>
  <c r="L114" i="30" s="1"/>
  <c r="L111" i="30" s="1"/>
  <c r="S94" i="11"/>
  <c r="AA21" i="36"/>
  <c r="L76" i="30"/>
  <c r="L74" i="30" s="1"/>
  <c r="T84" i="11"/>
  <c r="AA25" i="36" l="1"/>
  <c r="S17" i="21"/>
  <c r="L127" i="24"/>
  <c r="L43" i="31"/>
  <c r="T101" i="11"/>
  <c r="T28" i="21"/>
  <c r="T39" i="21" s="1"/>
  <c r="L48" i="34"/>
  <c r="L73" i="30"/>
  <c r="L92" i="24"/>
  <c r="L59" i="24" s="1"/>
  <c r="L41" i="31"/>
  <c r="L106" i="30"/>
  <c r="L144" i="24"/>
  <c r="S95" i="11"/>
  <c r="T77" i="11"/>
  <c r="L60" i="33" l="1"/>
  <c r="L124" i="30"/>
  <c r="T19" i="22"/>
  <c r="L27" i="30"/>
  <c r="L24" i="30" s="1"/>
  <c r="S19" i="21"/>
  <c r="T10" i="11"/>
  <c r="T88" i="11"/>
  <c r="T21" i="21" s="1"/>
  <c r="L58" i="24"/>
  <c r="L41" i="35"/>
  <c r="T32" i="21" l="1"/>
  <c r="S26" i="22"/>
  <c r="L55" i="24"/>
  <c r="L95" i="24"/>
  <c r="S47" i="21"/>
  <c r="S43" i="21"/>
  <c r="T12" i="11"/>
  <c r="T13" i="11"/>
  <c r="T18" i="21" s="1"/>
  <c r="T13" i="22" s="1"/>
  <c r="L23" i="30"/>
  <c r="L71" i="30" s="1"/>
  <c r="L25" i="24"/>
  <c r="L52" i="31"/>
  <c r="S56" i="21"/>
  <c r="S58" i="21" s="1"/>
  <c r="S52" i="21"/>
  <c r="S54" i="21" s="1"/>
  <c r="T31" i="21" l="1"/>
  <c r="M50" i="31"/>
  <c r="S45" i="21"/>
  <c r="AB17" i="2"/>
  <c r="AC18" i="2" s="1"/>
  <c r="T16" i="11" s="1"/>
  <c r="S27" i="22"/>
  <c r="S28" i="22" s="1"/>
  <c r="S29" i="22" s="1"/>
  <c r="T30" i="22" s="1"/>
  <c r="S49" i="21"/>
  <c r="AB44" i="2"/>
  <c r="AC45" i="2" s="1"/>
  <c r="T57" i="11" s="1"/>
  <c r="AB26" i="2"/>
  <c r="AC27" i="2" s="1"/>
  <c r="T29" i="11" s="1"/>
  <c r="AB35" i="2"/>
  <c r="AC36" i="2" s="1"/>
  <c r="T42" i="11" s="1"/>
  <c r="AB51" i="2"/>
  <c r="AC52" i="2" s="1"/>
  <c r="T74" i="11" s="1"/>
  <c r="T79" i="11" s="1"/>
  <c r="T58" i="11" l="1"/>
  <c r="T65" i="11" s="1"/>
  <c r="T61" i="11"/>
  <c r="T30" i="11"/>
  <c r="T37" i="11" s="1"/>
  <c r="T33" i="11"/>
  <c r="T17" i="11"/>
  <c r="T24" i="11" s="1"/>
  <c r="T20" i="11"/>
  <c r="T43" i="11"/>
  <c r="T50" i="11" s="1"/>
  <c r="T46" i="11"/>
  <c r="T91" i="11" l="1"/>
  <c r="T107" i="11" s="1"/>
  <c r="T44" i="22"/>
  <c r="T42" i="22"/>
  <c r="T25" i="21"/>
  <c r="T36" i="21" s="1"/>
  <c r="T100" i="11"/>
  <c r="T99" i="11"/>
  <c r="T38" i="22"/>
  <c r="T39" i="22" s="1"/>
  <c r="T40" i="22"/>
  <c r="T21" i="22" l="1"/>
  <c r="T26" i="21"/>
  <c r="T37" i="21" s="1"/>
  <c r="T23" i="11"/>
  <c r="T41" i="22"/>
  <c r="T36" i="11" s="1"/>
  <c r="T18" i="22"/>
  <c r="T26" i="11" l="1"/>
  <c r="T25" i="11"/>
  <c r="T39" i="11"/>
  <c r="T38" i="11"/>
  <c r="U31" i="11" s="1"/>
  <c r="T61" i="21"/>
  <c r="T63" i="21" s="1"/>
  <c r="T65" i="21"/>
  <c r="T67" i="21" s="1"/>
  <c r="T69" i="21"/>
  <c r="T71" i="21" s="1"/>
  <c r="T43" i="22"/>
  <c r="T73" i="21" l="1"/>
  <c r="T75" i="21" s="1"/>
  <c r="T77" i="21"/>
  <c r="T79" i="21" s="1"/>
  <c r="T81" i="21"/>
  <c r="T83" i="21" s="1"/>
  <c r="U34" i="11"/>
  <c r="U35" i="11" s="1"/>
  <c r="T49" i="11"/>
  <c r="T45" i="22"/>
  <c r="T64" i="11" s="1"/>
  <c r="U18" i="11"/>
  <c r="U21" i="11" l="1"/>
  <c r="U22" i="11" s="1"/>
  <c r="T52" i="11"/>
  <c r="T54" i="11" s="1"/>
  <c r="T66" i="11" s="1"/>
  <c r="T106" i="11" s="1"/>
  <c r="T51" i="11"/>
  <c r="T102" i="11"/>
  <c r="U44" i="11" l="1"/>
  <c r="T68" i="11"/>
  <c r="T70" i="11" s="1"/>
  <c r="T67" i="11"/>
  <c r="U47" i="11" l="1"/>
  <c r="U48" i="11" s="1"/>
  <c r="T78" i="11"/>
  <c r="T16" i="21"/>
  <c r="U59" i="11"/>
  <c r="U27" i="21" l="1"/>
  <c r="U38" i="21" s="1"/>
  <c r="T98" i="11"/>
  <c r="T80" i="11"/>
  <c r="U62" i="11"/>
  <c r="U63" i="11" s="1"/>
  <c r="T85" i="11"/>
  <c r="T93" i="11" s="1"/>
  <c r="T48" i="22" l="1"/>
  <c r="T50" i="22" s="1"/>
  <c r="T52" i="22" s="1"/>
  <c r="AB21" i="36" s="1"/>
  <c r="U28" i="21"/>
  <c r="U39" i="21" s="1"/>
  <c r="T24" i="22"/>
  <c r="U76" i="11"/>
  <c r="T81" i="11"/>
  <c r="T15" i="21"/>
  <c r="T103" i="11"/>
  <c r="T104" i="11"/>
  <c r="T105" i="11" s="1"/>
  <c r="AB29" i="36"/>
  <c r="T86" i="11"/>
  <c r="U84" i="11" s="1"/>
  <c r="T94" i="11" l="1"/>
  <c r="T95" i="11" s="1"/>
  <c r="U77" i="11"/>
  <c r="T17" i="21"/>
  <c r="AB25" i="36"/>
  <c r="U101" i="11"/>
  <c r="U19" i="22" l="1"/>
  <c r="U10" i="11"/>
  <c r="U88" i="11"/>
  <c r="U21" i="21" s="1"/>
  <c r="T19" i="21"/>
  <c r="U32" i="21" l="1"/>
  <c r="T56" i="21"/>
  <c r="T58" i="21" s="1"/>
  <c r="T26" i="22"/>
  <c r="T52" i="21"/>
  <c r="T54" i="21" s="1"/>
  <c r="T43" i="21"/>
  <c r="T47" i="21"/>
  <c r="U12" i="11"/>
  <c r="U13" i="11"/>
  <c r="U18" i="21" s="1"/>
  <c r="U13" i="22" s="1"/>
  <c r="U31" i="21" l="1"/>
  <c r="T45" i="21"/>
  <c r="AC17" i="2"/>
  <c r="AD18" i="2" s="1"/>
  <c r="U16" i="11" s="1"/>
  <c r="T49" i="21"/>
  <c r="T27" i="22"/>
  <c r="T28" i="22" s="1"/>
  <c r="T29" i="22" s="1"/>
  <c r="U30" i="22" s="1"/>
  <c r="AC51" i="2"/>
  <c r="AD52" i="2" s="1"/>
  <c r="U74" i="11" s="1"/>
  <c r="U79" i="11" s="1"/>
  <c r="AC35" i="2"/>
  <c r="AD36" i="2" s="1"/>
  <c r="U42" i="11" s="1"/>
  <c r="AC44" i="2"/>
  <c r="AD45" i="2" s="1"/>
  <c r="U57" i="11" s="1"/>
  <c r="AC26" i="2"/>
  <c r="AD27" i="2" s="1"/>
  <c r="U29" i="11" s="1"/>
  <c r="U43" i="11" l="1"/>
  <c r="U50" i="11" s="1"/>
  <c r="U46" i="11"/>
  <c r="U17" i="11"/>
  <c r="U24" i="11" s="1"/>
  <c r="U20" i="11"/>
  <c r="U58" i="11"/>
  <c r="U65" i="11" s="1"/>
  <c r="U61" i="11"/>
  <c r="U30" i="11"/>
  <c r="U37" i="11" s="1"/>
  <c r="U33" i="11"/>
  <c r="U91" i="11" l="1"/>
  <c r="U107" i="11" s="1"/>
  <c r="U42" i="22"/>
  <c r="U40" i="22"/>
  <c r="U44" i="22"/>
  <c r="U25" i="21"/>
  <c r="U36" i="21" s="1"/>
  <c r="U100" i="11"/>
  <c r="U99" i="11"/>
  <c r="U38" i="22"/>
  <c r="U39" i="22" s="1"/>
  <c r="U21" i="22" l="1"/>
  <c r="U23" i="11"/>
  <c r="U41" i="22"/>
  <c r="U36" i="11" s="1"/>
  <c r="U26" i="21"/>
  <c r="U37" i="21" s="1"/>
  <c r="U18" i="22"/>
  <c r="U26" i="11" l="1"/>
  <c r="U25" i="11"/>
  <c r="U39" i="11"/>
  <c r="U38" i="11"/>
  <c r="V31" i="11" s="1"/>
  <c r="U61" i="21"/>
  <c r="U63" i="21" s="1"/>
  <c r="U65" i="21"/>
  <c r="U67" i="21" s="1"/>
  <c r="U69" i="21"/>
  <c r="U71" i="21" s="1"/>
  <c r="U43" i="22"/>
  <c r="U49" i="11" s="1"/>
  <c r="U45" i="22" l="1"/>
  <c r="U64" i="11" s="1"/>
  <c r="U77" i="21"/>
  <c r="U79" i="21" s="1"/>
  <c r="U73" i="21"/>
  <c r="U75" i="21" s="1"/>
  <c r="U81" i="21"/>
  <c r="U83" i="21" s="1"/>
  <c r="U52" i="11"/>
  <c r="U54" i="11" s="1"/>
  <c r="U51" i="11"/>
  <c r="V44" i="11" s="1"/>
  <c r="V34" i="11"/>
  <c r="V35" i="11" s="1"/>
  <c r="V18" i="11"/>
  <c r="U102" i="11" l="1"/>
  <c r="U66" i="11"/>
  <c r="U106" i="11" s="1"/>
  <c r="V47" i="11"/>
  <c r="V48" i="11" s="1"/>
  <c r="V21" i="11"/>
  <c r="V22" i="11" s="1"/>
  <c r="U67" i="11" l="1"/>
  <c r="V59" i="11" s="1"/>
  <c r="U68" i="11"/>
  <c r="U70" i="11" s="1"/>
  <c r="U78" i="11" s="1"/>
  <c r="V27" i="21" l="1"/>
  <c r="V38" i="21" s="1"/>
  <c r="U16" i="21"/>
  <c r="V62" i="11"/>
  <c r="V63" i="11" s="1"/>
  <c r="U98" i="11"/>
  <c r="U80" i="11"/>
  <c r="U85" i="11"/>
  <c r="U24" i="22" l="1"/>
  <c r="U81" i="11"/>
  <c r="V76" i="11"/>
  <c r="U103" i="11"/>
  <c r="U15" i="21"/>
  <c r="U104" i="11"/>
  <c r="U105" i="11" s="1"/>
  <c r="V101" i="11"/>
  <c r="AC29" i="36"/>
  <c r="U86" i="11"/>
  <c r="V84" i="11" s="1"/>
  <c r="U93" i="11"/>
  <c r="U48" i="22" s="1"/>
  <c r="U50" i="22" s="1"/>
  <c r="U52" i="22" s="1"/>
  <c r="V28" i="21" l="1"/>
  <c r="V39" i="21" s="1"/>
  <c r="U94" i="11"/>
  <c r="AC21" i="36"/>
  <c r="U17" i="21"/>
  <c r="V19" i="22"/>
  <c r="V77" i="11"/>
  <c r="U95" i="11" l="1"/>
  <c r="AC25" i="36"/>
  <c r="U19" i="21" l="1"/>
  <c r="V10" i="11"/>
  <c r="V88" i="11"/>
  <c r="V21" i="21" s="1"/>
  <c r="V32" i="21" l="1"/>
  <c r="U26" i="22"/>
  <c r="U43" i="21"/>
  <c r="U47" i="21"/>
  <c r="U56" i="21"/>
  <c r="U58" i="21" s="1"/>
  <c r="U52" i="21"/>
  <c r="U54" i="21" s="1"/>
  <c r="V12" i="11"/>
  <c r="V13" i="11"/>
  <c r="V18" i="21" s="1"/>
  <c r="V13" i="22" s="1"/>
  <c r="V31" i="21" l="1"/>
  <c r="U45" i="21"/>
  <c r="AD17" i="2"/>
  <c r="AE18" i="2" s="1"/>
  <c r="V16" i="11" s="1"/>
  <c r="U27" i="22"/>
  <c r="U28" i="22" s="1"/>
  <c r="U29" i="22" s="1"/>
  <c r="V30" i="22" s="1"/>
  <c r="U49" i="21"/>
  <c r="AD26" i="2"/>
  <c r="AE27" i="2" s="1"/>
  <c r="V29" i="11" s="1"/>
  <c r="AD44" i="2"/>
  <c r="AE45" i="2" s="1"/>
  <c r="V57" i="11" s="1"/>
  <c r="AD35" i="2"/>
  <c r="AE36" i="2" s="1"/>
  <c r="V42" i="11" s="1"/>
  <c r="AD51" i="2"/>
  <c r="AE52" i="2" s="1"/>
  <c r="V74" i="11" s="1"/>
  <c r="V79" i="11" s="1"/>
  <c r="V43" i="11" l="1"/>
  <c r="V50" i="11" s="1"/>
  <c r="V46" i="11"/>
  <c r="V30" i="11"/>
  <c r="V37" i="11" s="1"/>
  <c r="V33" i="11"/>
  <c r="V17" i="11"/>
  <c r="V24" i="11" s="1"/>
  <c r="V20" i="11"/>
  <c r="V58" i="11"/>
  <c r="V65" i="11" s="1"/>
  <c r="V61" i="11"/>
  <c r="V25" i="21" l="1"/>
  <c r="V36" i="21" s="1"/>
  <c r="V100" i="11"/>
  <c r="V99" i="11"/>
  <c r="V38" i="22"/>
  <c r="V39" i="22" s="1"/>
  <c r="V40" i="22"/>
  <c r="V42" i="22"/>
  <c r="V44" i="22"/>
  <c r="V91" i="11"/>
  <c r="V26" i="21" l="1"/>
  <c r="V37" i="21" s="1"/>
  <c r="V18" i="22"/>
  <c r="V107" i="11"/>
  <c r="V21" i="22"/>
  <c r="V23" i="11"/>
  <c r="V41" i="22"/>
  <c r="V36" i="11" s="1"/>
  <c r="V43" i="22" l="1"/>
  <c r="V49" i="11" s="1"/>
  <c r="V26" i="11"/>
  <c r="V25" i="11"/>
  <c r="V39" i="11"/>
  <c r="V38" i="11"/>
  <c r="W31" i="11" s="1"/>
  <c r="V61" i="21"/>
  <c r="V63" i="21" s="1"/>
  <c r="V65" i="21"/>
  <c r="V67" i="21" s="1"/>
  <c r="V69" i="21"/>
  <c r="V71" i="21" s="1"/>
  <c r="V52" i="11" l="1"/>
  <c r="V54" i="11" s="1"/>
  <c r="V45" i="22"/>
  <c r="V64" i="11" s="1"/>
  <c r="V51" i="11"/>
  <c r="W44" i="11" s="1"/>
  <c r="W47" i="11" s="1"/>
  <c r="W48" i="11" s="1"/>
  <c r="W34" i="11"/>
  <c r="W35" i="11" s="1"/>
  <c r="V73" i="21"/>
  <c r="V75" i="21" s="1"/>
  <c r="V77" i="21"/>
  <c r="V79" i="21" s="1"/>
  <c r="V81" i="21"/>
  <c r="V83" i="21" s="1"/>
  <c r="W18" i="11"/>
  <c r="V102" i="11" l="1"/>
  <c r="V66" i="11"/>
  <c r="V67" i="11" s="1"/>
  <c r="W21" i="11"/>
  <c r="W22" i="11" s="1"/>
  <c r="V68" i="11" l="1"/>
  <c r="V70" i="11" s="1"/>
  <c r="V78" i="11" s="1"/>
  <c r="V106" i="11"/>
  <c r="W59" i="11"/>
  <c r="V16" i="21"/>
  <c r="V98" i="11" l="1"/>
  <c r="V80" i="11"/>
  <c r="W62" i="11"/>
  <c r="W63" i="11" s="1"/>
  <c r="W27" i="21"/>
  <c r="W38" i="21" s="1"/>
  <c r="V85" i="11"/>
  <c r="AD29" i="36" l="1"/>
  <c r="V86" i="11"/>
  <c r="W84" i="11" s="1"/>
  <c r="V93" i="11"/>
  <c r="V48" i="22" s="1"/>
  <c r="V50" i="22" s="1"/>
  <c r="V52" i="22" s="1"/>
  <c r="W101" i="11"/>
  <c r="V24" i="22"/>
  <c r="W76" i="11"/>
  <c r="V81" i="11"/>
  <c r="V103" i="11"/>
  <c r="V15" i="21"/>
  <c r="V104" i="11"/>
  <c r="V105" i="11" s="1"/>
  <c r="W28" i="21" l="1"/>
  <c r="W39" i="21" s="1"/>
  <c r="W77" i="11"/>
  <c r="V17" i="21"/>
  <c r="M38" i="31"/>
  <c r="W19" i="22"/>
  <c r="V94" i="11"/>
  <c r="AD21" i="36"/>
  <c r="AD25" i="36" l="1"/>
  <c r="V95" i="11"/>
  <c r="V19" i="21" l="1"/>
  <c r="W88" i="11"/>
  <c r="W21" i="21" s="1"/>
  <c r="W10" i="11"/>
  <c r="W32" i="21" l="1"/>
  <c r="V26" i="22"/>
  <c r="V43" i="21"/>
  <c r="V47" i="21"/>
  <c r="V56" i="21"/>
  <c r="V58" i="21" s="1"/>
  <c r="V52" i="21"/>
  <c r="V54" i="21" s="1"/>
  <c r="W12" i="11"/>
  <c r="W13" i="11"/>
  <c r="W18" i="21" s="1"/>
  <c r="W13" i="22" s="1"/>
  <c r="W31" i="21" l="1"/>
  <c r="V27" i="22"/>
  <c r="V28" i="22" s="1"/>
  <c r="V29" i="22" s="1"/>
  <c r="W30" i="22" s="1"/>
  <c r="V49" i="21"/>
  <c r="AE35" i="2"/>
  <c r="AF36" i="2" s="1"/>
  <c r="W42" i="11" s="1"/>
  <c r="AE51" i="2"/>
  <c r="AF52" i="2" s="1"/>
  <c r="W74" i="11" s="1"/>
  <c r="W79" i="11" s="1"/>
  <c r="AE26" i="2"/>
  <c r="AF27" i="2" s="1"/>
  <c r="W29" i="11" s="1"/>
  <c r="AE44" i="2"/>
  <c r="AF45" i="2" s="1"/>
  <c r="W57" i="11" s="1"/>
  <c r="V45" i="21"/>
  <c r="AE17" i="2"/>
  <c r="AF18" i="2" s="1"/>
  <c r="W16" i="11" s="1"/>
  <c r="W30" i="11" l="1"/>
  <c r="W37" i="11" s="1"/>
  <c r="W33" i="11"/>
  <c r="W58" i="11"/>
  <c r="W65" i="11" s="1"/>
  <c r="W61" i="11"/>
  <c r="W17" i="11"/>
  <c r="W24" i="11" s="1"/>
  <c r="W20" i="11"/>
  <c r="W43" i="11"/>
  <c r="W50" i="11" s="1"/>
  <c r="W46" i="11"/>
  <c r="W40" i="22" l="1"/>
  <c r="W99" i="11"/>
  <c r="W38" i="22"/>
  <c r="W39" i="22" s="1"/>
  <c r="W42" i="22"/>
  <c r="W44" i="22"/>
  <c r="W25" i="21"/>
  <c r="W36" i="21" s="1"/>
  <c r="W100" i="11"/>
  <c r="W91" i="11"/>
  <c r="W26" i="21" l="1"/>
  <c r="W37" i="21" s="1"/>
  <c r="W18" i="22"/>
  <c r="M36" i="31"/>
  <c r="W107" i="11"/>
  <c r="M86" i="29"/>
  <c r="W21" i="22"/>
  <c r="W23" i="11"/>
  <c r="W41" i="22"/>
  <c r="W36" i="11" s="1"/>
  <c r="W26" i="11" l="1"/>
  <c r="W25" i="11"/>
  <c r="W61" i="21"/>
  <c r="W63" i="21" s="1"/>
  <c r="W65" i="21"/>
  <c r="W67" i="21" s="1"/>
  <c r="W69" i="21"/>
  <c r="W71" i="21" s="1"/>
  <c r="W43" i="22"/>
  <c r="M37" i="31"/>
  <c r="M83" i="29"/>
  <c r="W39" i="11"/>
  <c r="W38" i="11"/>
  <c r="X31" i="11" s="1"/>
  <c r="M130" i="23" l="1"/>
  <c r="X34" i="11"/>
  <c r="X35" i="11" s="1"/>
  <c r="W73" i="21"/>
  <c r="W75" i="21" s="1"/>
  <c r="W77" i="21"/>
  <c r="W79" i="21" s="1"/>
  <c r="W81" i="21"/>
  <c r="W83" i="21" s="1"/>
  <c r="W49" i="11"/>
  <c r="W45" i="22"/>
  <c r="W64" i="11" s="1"/>
  <c r="X18" i="11"/>
  <c r="W52" i="11" l="1"/>
  <c r="W54" i="11" s="1"/>
  <c r="W66" i="11" s="1"/>
  <c r="W51" i="11"/>
  <c r="W102" i="11"/>
  <c r="X21" i="11"/>
  <c r="X22" i="11" s="1"/>
  <c r="W106" i="11" l="1"/>
  <c r="W68" i="11"/>
  <c r="W70" i="11" s="1"/>
  <c r="W78" i="11" s="1"/>
  <c r="X44" i="11"/>
  <c r="W67" i="11"/>
  <c r="W85" i="11" l="1"/>
  <c r="W86" i="11" s="1"/>
  <c r="W16" i="21"/>
  <c r="X59" i="11"/>
  <c r="X47" i="11"/>
  <c r="X48" i="11" s="1"/>
  <c r="W98" i="11"/>
  <c r="W80" i="11"/>
  <c r="AE29" i="36" l="1"/>
  <c r="W93" i="11"/>
  <c r="W48" i="22" s="1"/>
  <c r="W50" i="22" s="1"/>
  <c r="W52" i="22" s="1"/>
  <c r="M101" i="30"/>
  <c r="M98" i="30" s="1"/>
  <c r="W24" i="22"/>
  <c r="W81" i="11"/>
  <c r="X76" i="11"/>
  <c r="W103" i="11"/>
  <c r="W15" i="21"/>
  <c r="M76" i="30"/>
  <c r="M74" i="30" s="1"/>
  <c r="X84" i="11"/>
  <c r="X27" i="21"/>
  <c r="X38" i="21" s="1"/>
  <c r="X62" i="11"/>
  <c r="X63" i="11" s="1"/>
  <c r="W104" i="11"/>
  <c r="W105" i="11" s="1"/>
  <c r="M114" i="30" s="1"/>
  <c r="M111" i="30" s="1"/>
  <c r="W94" i="11" l="1"/>
  <c r="AE21" i="36"/>
  <c r="M127" i="24"/>
  <c r="M43" i="31"/>
  <c r="M106" i="30"/>
  <c r="M144" i="24"/>
  <c r="W17" i="21"/>
  <c r="M48" i="34"/>
  <c r="M73" i="30"/>
  <c r="M92" i="24"/>
  <c r="M95" i="24" s="1"/>
  <c r="M41" i="31"/>
  <c r="X101" i="11"/>
  <c r="X77" i="11"/>
  <c r="M59" i="24" l="1"/>
  <c r="W95" i="11"/>
  <c r="X19" i="22"/>
  <c r="M58" i="24"/>
  <c r="M41" i="35"/>
  <c r="AE25" i="36"/>
  <c r="M124" i="30"/>
  <c r="X28" i="21"/>
  <c r="X39" i="21" s="1"/>
  <c r="M55" i="24" l="1"/>
  <c r="W19" i="21"/>
  <c r="M27" i="30"/>
  <c r="M24" i="30" s="1"/>
  <c r="X10" i="11"/>
  <c r="X88" i="11"/>
  <c r="X21" i="21" s="1"/>
  <c r="X32" i="21" l="1"/>
  <c r="W26" i="22"/>
  <c r="X12" i="11"/>
  <c r="X13" i="11"/>
  <c r="X18" i="21" s="1"/>
  <c r="X13" i="22" s="1"/>
  <c r="W47" i="21"/>
  <c r="W43" i="21"/>
  <c r="W56" i="21"/>
  <c r="W58" i="21" s="1"/>
  <c r="W52" i="21"/>
  <c r="W54" i="21" s="1"/>
  <c r="M23" i="30"/>
  <c r="M71" i="30" s="1"/>
  <c r="M25" i="24"/>
  <c r="M52" i="31"/>
  <c r="X31" i="21" l="1"/>
  <c r="W27" i="22"/>
  <c r="W28" i="22" s="1"/>
  <c r="W29" i="22" s="1"/>
  <c r="X30" i="22" s="1"/>
  <c r="W49" i="21"/>
  <c r="AF44" i="2"/>
  <c r="AG45" i="2" s="1"/>
  <c r="X57" i="11" s="1"/>
  <c r="AF26" i="2"/>
  <c r="AG27" i="2" s="1"/>
  <c r="X29" i="11" s="1"/>
  <c r="AF35" i="2"/>
  <c r="AG36" i="2" s="1"/>
  <c r="X42" i="11" s="1"/>
  <c r="AF51" i="2"/>
  <c r="AG52" i="2" s="1"/>
  <c r="X74" i="11" s="1"/>
  <c r="X79" i="11" s="1"/>
  <c r="W45" i="21"/>
  <c r="AF17" i="2"/>
  <c r="AG18" i="2" s="1"/>
  <c r="X16" i="11" s="1"/>
  <c r="N50" i="31"/>
  <c r="X43" i="11" l="1"/>
  <c r="X50" i="11" s="1"/>
  <c r="X46" i="11"/>
  <c r="X58" i="11"/>
  <c r="X65" i="11" s="1"/>
  <c r="X61" i="11"/>
  <c r="X17" i="11"/>
  <c r="X24" i="11" s="1"/>
  <c r="X20" i="11"/>
  <c r="X30" i="11"/>
  <c r="X37" i="11" s="1"/>
  <c r="X33" i="11"/>
  <c r="X44" i="22" l="1"/>
  <c r="X42" i="22"/>
  <c r="X99" i="11"/>
  <c r="X38" i="22"/>
  <c r="X39" i="22" s="1"/>
  <c r="X91" i="11"/>
  <c r="X40" i="22"/>
  <c r="X25" i="21"/>
  <c r="X36" i="21" s="1"/>
  <c r="X100" i="11"/>
  <c r="X23" i="11" l="1"/>
  <c r="X41" i="22"/>
  <c r="X36" i="11" s="1"/>
  <c r="X26" i="21"/>
  <c r="X37" i="21" s="1"/>
  <c r="X18" i="22"/>
  <c r="X107" i="11"/>
  <c r="X21" i="22"/>
  <c r="X43" i="22" l="1"/>
  <c r="X49" i="11" s="1"/>
  <c r="X26" i="11"/>
  <c r="X25" i="11"/>
  <c r="X39" i="11"/>
  <c r="X38" i="11"/>
  <c r="Y31" i="11" s="1"/>
  <c r="X61" i="21"/>
  <c r="X63" i="21" s="1"/>
  <c r="X65" i="21"/>
  <c r="X67" i="21" s="1"/>
  <c r="X69" i="21"/>
  <c r="X71" i="21" s="1"/>
  <c r="X51" i="11" l="1"/>
  <c r="Y44" i="11" s="1"/>
  <c r="Y47" i="11" s="1"/>
  <c r="Y48" i="11" s="1"/>
  <c r="X52" i="11"/>
  <c r="X54" i="11" s="1"/>
  <c r="X45" i="22"/>
  <c r="X64" i="11" s="1"/>
  <c r="Y34" i="11"/>
  <c r="Y35" i="11" s="1"/>
  <c r="X73" i="21"/>
  <c r="X75" i="21" s="1"/>
  <c r="X77" i="21"/>
  <c r="X79" i="21" s="1"/>
  <c r="X81" i="21"/>
  <c r="X83" i="21" s="1"/>
  <c r="Y18" i="11"/>
  <c r="X66" i="11" l="1"/>
  <c r="X106" i="11" s="1"/>
  <c r="X102" i="11"/>
  <c r="Y21" i="11"/>
  <c r="Y22" i="11" s="1"/>
  <c r="X68" i="11" l="1"/>
  <c r="X70" i="11" s="1"/>
  <c r="X78" i="11" s="1"/>
  <c r="X67" i="11"/>
  <c r="Y59" i="11" s="1"/>
  <c r="Y27" i="21"/>
  <c r="Y38" i="21" s="1"/>
  <c r="X16" i="21" l="1"/>
  <c r="X98" i="11"/>
  <c r="X80" i="11"/>
  <c r="Y62" i="11"/>
  <c r="Y63" i="11" s="1"/>
  <c r="X85" i="11"/>
  <c r="AF29" i="36" l="1"/>
  <c r="X86" i="11"/>
  <c r="Y84" i="11" s="1"/>
  <c r="X24" i="22"/>
  <c r="Y76" i="11"/>
  <c r="X81" i="11"/>
  <c r="X103" i="11"/>
  <c r="X15" i="21"/>
  <c r="X104" i="11"/>
  <c r="X105" i="11" s="1"/>
  <c r="X93" i="11"/>
  <c r="X48" i="22" s="1"/>
  <c r="X50" i="22" s="1"/>
  <c r="X52" i="22" s="1"/>
  <c r="Y101" i="11" l="1"/>
  <c r="Y19" i="22" s="1"/>
  <c r="X17" i="21"/>
  <c r="Y77" i="11"/>
  <c r="Y28" i="21"/>
  <c r="Y39" i="21" s="1"/>
  <c r="X94" i="11"/>
  <c r="X95" i="11" s="1"/>
  <c r="AF21" i="36"/>
  <c r="AF25" i="36" l="1"/>
  <c r="X19" i="21"/>
  <c r="Y10" i="11"/>
  <c r="Y88" i="11"/>
  <c r="Y21" i="21" s="1"/>
  <c r="Y32" i="21" l="1"/>
  <c r="X52" i="21"/>
  <c r="X54" i="21" s="1"/>
  <c r="X26" i="22"/>
  <c r="Y12" i="11"/>
  <c r="Y13" i="11"/>
  <c r="Y18" i="21" s="1"/>
  <c r="Y13" i="22" s="1"/>
  <c r="X47" i="21"/>
  <c r="X43" i="21"/>
  <c r="X56" i="21"/>
  <c r="X58" i="21" s="1"/>
  <c r="Y31" i="21" l="1"/>
  <c r="X49" i="21"/>
  <c r="X27" i="22"/>
  <c r="X28" i="22" s="1"/>
  <c r="X29" i="22" s="1"/>
  <c r="Y30" i="22" s="1"/>
  <c r="AG51" i="2"/>
  <c r="AH52" i="2" s="1"/>
  <c r="Y74" i="11" s="1"/>
  <c r="Y79" i="11" s="1"/>
  <c r="AG35" i="2"/>
  <c r="AH36" i="2" s="1"/>
  <c r="Y42" i="11" s="1"/>
  <c r="AG26" i="2"/>
  <c r="AH27" i="2" s="1"/>
  <c r="Y29" i="11" s="1"/>
  <c r="AG44" i="2"/>
  <c r="AH45" i="2" s="1"/>
  <c r="Y57" i="11" s="1"/>
  <c r="X45" i="21"/>
  <c r="AG17" i="2"/>
  <c r="Y58" i="11" l="1"/>
  <c r="Y65" i="11" s="1"/>
  <c r="Y61" i="11"/>
  <c r="Y43" i="11"/>
  <c r="Y50" i="11" s="1"/>
  <c r="Y46" i="11"/>
  <c r="AH18" i="2"/>
  <c r="Y16" i="11" s="1"/>
  <c r="Y20" i="11" s="1"/>
  <c r="Y30" i="11"/>
  <c r="Y37" i="11" s="1"/>
  <c r="Y33" i="11"/>
  <c r="Y17" i="11" l="1"/>
  <c r="Y24" i="11" s="1"/>
  <c r="Y100" i="11" s="1"/>
  <c r="Y40" i="22"/>
  <c r="Y42" i="22"/>
  <c r="Y44" i="22"/>
  <c r="Y99" i="11"/>
  <c r="Y25" i="21" l="1"/>
  <c r="Y36" i="21" s="1"/>
  <c r="Y38" i="22"/>
  <c r="Y39" i="22" s="1"/>
  <c r="Y41" i="22" s="1"/>
  <c r="Y36" i="11" s="1"/>
  <c r="Y91" i="11"/>
  <c r="Y21" i="22" s="1"/>
  <c r="Y18" i="22"/>
  <c r="Y23" i="11" l="1"/>
  <c r="Y26" i="21"/>
  <c r="Y37" i="21" s="1"/>
  <c r="Y107" i="11"/>
  <c r="Y43" i="22"/>
  <c r="Y49" i="11" s="1"/>
  <c r="Y39" i="11"/>
  <c r="Y38" i="11"/>
  <c r="Z31" i="11" s="1"/>
  <c r="Y65" i="21"/>
  <c r="Y67" i="21" s="1"/>
  <c r="Y61" i="21"/>
  <c r="Y63" i="21" s="1"/>
  <c r="Y69" i="21"/>
  <c r="Y71" i="21" s="1"/>
  <c r="Y51" i="11" l="1"/>
  <c r="Z44" i="11" s="1"/>
  <c r="Z47" i="11" s="1"/>
  <c r="Z48" i="11" s="1"/>
  <c r="Y25" i="11"/>
  <c r="Z18" i="11" s="1"/>
  <c r="Y26" i="11"/>
  <c r="Y52" i="11"/>
  <c r="Y45" i="22"/>
  <c r="Y64" i="11" s="1"/>
  <c r="Y73" i="21"/>
  <c r="Y75" i="21" s="1"/>
  <c r="Y77" i="21"/>
  <c r="Y79" i="21" s="1"/>
  <c r="Y81" i="21"/>
  <c r="Y83" i="21" s="1"/>
  <c r="Z34" i="11"/>
  <c r="Z35" i="11" s="1"/>
  <c r="Y54" i="11" l="1"/>
  <c r="Y66" i="11" s="1"/>
  <c r="Y106" i="11" s="1"/>
  <c r="Y102" i="11"/>
  <c r="Z21" i="11"/>
  <c r="Z22" i="11" s="1"/>
  <c r="Y68" i="11" l="1"/>
  <c r="Y70" i="11" s="1"/>
  <c r="Y78" i="11" s="1"/>
  <c r="Y80" i="11" s="1"/>
  <c r="Y67" i="11"/>
  <c r="Y98" i="11" l="1"/>
  <c r="Y85" i="11"/>
  <c r="Y93" i="11" s="1"/>
  <c r="Y48" i="22" s="1"/>
  <c r="Y50" i="22" s="1"/>
  <c r="Y52" i="22" s="1"/>
  <c r="Y94" i="11" s="1"/>
  <c r="Y95" i="11" s="1"/>
  <c r="Z59" i="11"/>
  <c r="Y16" i="21"/>
  <c r="Y24" i="22"/>
  <c r="Y81" i="11"/>
  <c r="Z76" i="11"/>
  <c r="Y104" i="11"/>
  <c r="Y105" i="11" s="1"/>
  <c r="Y103" i="11"/>
  <c r="Y15" i="21"/>
  <c r="Z27" i="21"/>
  <c r="Z38" i="21" s="1"/>
  <c r="Y86" i="11" l="1"/>
  <c r="Z84" i="11" s="1"/>
  <c r="AG29" i="36"/>
  <c r="Z62" i="11"/>
  <c r="Z63" i="11" s="1"/>
  <c r="AG21" i="36"/>
  <c r="Y17" i="21"/>
  <c r="Y19" i="21"/>
  <c r="Z10" i="11"/>
  <c r="Z88" i="11"/>
  <c r="Z21" i="21" s="1"/>
  <c r="Z77" i="11"/>
  <c r="Z32" i="21" l="1"/>
  <c r="Y26" i="22"/>
  <c r="AG25" i="36"/>
  <c r="Z13" i="11"/>
  <c r="Z18" i="21" s="1"/>
  <c r="Z13" i="22" s="1"/>
  <c r="Z12" i="11"/>
  <c r="Y43" i="21"/>
  <c r="AH17" i="2" s="1"/>
  <c r="AI18" i="2" s="1"/>
  <c r="Y56" i="21"/>
  <c r="Y58" i="21" s="1"/>
  <c r="Y52" i="21"/>
  <c r="Y54" i="21" s="1"/>
  <c r="Y47" i="21"/>
  <c r="Z31" i="21" l="1"/>
  <c r="AH35" i="2"/>
  <c r="AI36" i="2" s="1"/>
  <c r="Z42" i="11" s="1"/>
  <c r="AH26" i="2"/>
  <c r="AI27" i="2" s="1"/>
  <c r="Z29" i="11" s="1"/>
  <c r="AH44" i="2"/>
  <c r="AI45" i="2" s="1"/>
  <c r="Z57" i="11" s="1"/>
  <c r="AH51" i="2"/>
  <c r="AI52" i="2" s="1"/>
  <c r="Z74" i="11" s="1"/>
  <c r="Z79" i="11" s="1"/>
  <c r="Z101" i="11"/>
  <c r="Z28" i="21"/>
  <c r="Z39" i="21" s="1"/>
  <c r="Y45" i="21"/>
  <c r="Z16" i="11"/>
  <c r="Y27" i="22"/>
  <c r="Y28" i="22" s="1"/>
  <c r="Y29" i="22" s="1"/>
  <c r="Z30" i="22" s="1"/>
  <c r="Y49" i="21"/>
  <c r="Z58" i="11" l="1"/>
  <c r="Z65" i="11" s="1"/>
  <c r="Z61" i="11"/>
  <c r="Z43" i="11"/>
  <c r="Z50" i="11" s="1"/>
  <c r="Z46" i="11"/>
  <c r="Z30" i="11"/>
  <c r="Z37" i="11" s="1"/>
  <c r="Z33" i="11"/>
  <c r="Z19" i="22"/>
  <c r="Z17" i="11"/>
  <c r="Z24" i="11" s="1"/>
  <c r="Z20" i="11"/>
  <c r="Z42" i="22" l="1"/>
  <c r="Z40" i="22"/>
  <c r="Z44" i="22"/>
  <c r="Z25" i="21"/>
  <c r="Z36" i="21" s="1"/>
  <c r="Z100" i="11"/>
  <c r="Z91" i="11"/>
  <c r="Z99" i="11"/>
  <c r="Z38" i="22"/>
  <c r="Z39" i="22" s="1"/>
  <c r="Z18" i="22" l="1"/>
  <c r="Z26" i="21"/>
  <c r="Z37" i="21" s="1"/>
  <c r="Z107" i="11"/>
  <c r="Z21" i="22"/>
  <c r="Z23" i="11"/>
  <c r="Z41" i="22"/>
  <c r="Z36" i="11" s="1"/>
  <c r="Z61" i="21" l="1"/>
  <c r="Z63" i="21" s="1"/>
  <c r="Z65" i="21"/>
  <c r="Z67" i="21" s="1"/>
  <c r="Z69" i="21"/>
  <c r="Z71" i="21" s="1"/>
  <c r="Z73" i="21"/>
  <c r="Z75" i="21" s="1"/>
  <c r="Z81" i="21"/>
  <c r="Z83" i="21" s="1"/>
  <c r="Z77" i="21"/>
  <c r="Z79" i="21" s="1"/>
  <c r="Z39" i="11"/>
  <c r="Z38" i="11"/>
  <c r="AA31" i="11" s="1"/>
  <c r="Z26" i="11"/>
  <c r="Z25" i="11"/>
  <c r="Z43" i="22"/>
  <c r="Z49" i="11" s="1"/>
  <c r="Z45" i="22" l="1"/>
  <c r="Z64" i="11" s="1"/>
  <c r="AA18" i="11"/>
  <c r="AA34" i="11"/>
  <c r="AA35" i="11" s="1"/>
  <c r="Z51" i="11"/>
  <c r="AA44" i="11" s="1"/>
  <c r="Z52" i="11"/>
  <c r="Z54" i="11" s="1"/>
  <c r="Z102" i="11" l="1"/>
  <c r="AA47" i="11"/>
  <c r="AA48" i="11" s="1"/>
  <c r="Z66" i="11"/>
  <c r="Z106" i="11" s="1"/>
  <c r="AA21" i="11"/>
  <c r="AA22" i="11" s="1"/>
  <c r="Z67" i="11" l="1"/>
  <c r="AA59" i="11" s="1"/>
  <c r="Z68" i="11"/>
  <c r="Z70" i="11" s="1"/>
  <c r="Z78" i="11" s="1"/>
  <c r="Z85" i="11" s="1"/>
  <c r="Z16" i="21" l="1"/>
  <c r="AA62" i="11"/>
  <c r="AA63" i="11" s="1"/>
  <c r="AA27" i="21"/>
  <c r="AA38" i="21" s="1"/>
  <c r="AH29" i="36"/>
  <c r="Z86" i="11"/>
  <c r="AA84" i="11" s="1"/>
  <c r="Z98" i="11"/>
  <c r="Z80" i="11"/>
  <c r="Z93" i="11"/>
  <c r="Z48" i="22" l="1"/>
  <c r="Z50" i="22" s="1"/>
  <c r="Z52" i="22" s="1"/>
  <c r="Z94" i="11" s="1"/>
  <c r="Z95" i="11" s="1"/>
  <c r="Z24" i="22"/>
  <c r="AA76" i="11"/>
  <c r="Z81" i="11"/>
  <c r="Z15" i="21"/>
  <c r="Z103" i="11"/>
  <c r="Z104" i="11"/>
  <c r="Z105" i="11" s="1"/>
  <c r="AA28" i="21" l="1"/>
  <c r="AA39" i="21" s="1"/>
  <c r="AA101" i="11"/>
  <c r="AH21" i="36"/>
  <c r="Z19" i="21"/>
  <c r="AA88" i="11"/>
  <c r="AA21" i="21" s="1"/>
  <c r="AA10" i="11"/>
  <c r="Z17" i="21"/>
  <c r="AA77" i="11"/>
  <c r="AA32" i="21" l="1"/>
  <c r="AA19" i="22"/>
  <c r="Z43" i="21"/>
  <c r="Z26" i="22"/>
  <c r="Z47" i="21"/>
  <c r="AH25" i="36"/>
  <c r="Z52" i="21"/>
  <c r="Z54" i="21" s="1"/>
  <c r="Z56" i="21"/>
  <c r="Z58" i="21" s="1"/>
  <c r="AA12" i="11"/>
  <c r="AA13" i="11"/>
  <c r="AA18" i="21" s="1"/>
  <c r="AA13" i="22" s="1"/>
  <c r="AA31" i="21" l="1"/>
  <c r="AI17" i="2"/>
  <c r="AJ18" i="2" s="1"/>
  <c r="AA16" i="11" s="1"/>
  <c r="Z49" i="21"/>
  <c r="AI44" i="2"/>
  <c r="AJ45" i="2" s="1"/>
  <c r="AA57" i="11" s="1"/>
  <c r="AI35" i="2"/>
  <c r="AJ36" i="2" s="1"/>
  <c r="AA42" i="11" s="1"/>
  <c r="AI26" i="2"/>
  <c r="AJ27" i="2" s="1"/>
  <c r="AA29" i="11" s="1"/>
  <c r="AI51" i="2"/>
  <c r="AJ52" i="2" s="1"/>
  <c r="AA74" i="11" s="1"/>
  <c r="AA79" i="11" s="1"/>
  <c r="Z27" i="22"/>
  <c r="Z28" i="22" s="1"/>
  <c r="Z29" i="22" s="1"/>
  <c r="AA30" i="22" s="1"/>
  <c r="Z45" i="21"/>
  <c r="AA20" i="11" l="1"/>
  <c r="AA17" i="11"/>
  <c r="AA24" i="11" s="1"/>
  <c r="AA43" i="11"/>
  <c r="AA50" i="11" s="1"/>
  <c r="AA46" i="11"/>
  <c r="AA30" i="11"/>
  <c r="AA37" i="11" s="1"/>
  <c r="AA33" i="11"/>
  <c r="AA58" i="11"/>
  <c r="AA65" i="11" s="1"/>
  <c r="AA61" i="11"/>
  <c r="AA38" i="22" l="1"/>
  <c r="AA39" i="22" s="1"/>
  <c r="AA23" i="11" s="1"/>
  <c r="AA91" i="11"/>
  <c r="AA21" i="22" s="1"/>
  <c r="AA99" i="11"/>
  <c r="AA25" i="21"/>
  <c r="AA36" i="21" s="1"/>
  <c r="AA100" i="11"/>
  <c r="AA18" i="22" s="1"/>
  <c r="AA44" i="22"/>
  <c r="AA42" i="22"/>
  <c r="AA40" i="22"/>
  <c r="AA41" i="22" l="1"/>
  <c r="AA36" i="11" s="1"/>
  <c r="AA107" i="11"/>
  <c r="AA26" i="21"/>
  <c r="AA37" i="21" s="1"/>
  <c r="AA81" i="21" s="1"/>
  <c r="AA83" i="21" s="1"/>
  <c r="AA61" i="21"/>
  <c r="AA63" i="21" s="1"/>
  <c r="AA65" i="21"/>
  <c r="AA67" i="21" s="1"/>
  <c r="AA69" i="21"/>
  <c r="AA71" i="21" s="1"/>
  <c r="AA26" i="11"/>
  <c r="AA25" i="11"/>
  <c r="AA39" i="11" l="1"/>
  <c r="AA73" i="21"/>
  <c r="AA75" i="21" s="1"/>
  <c r="AA38" i="11"/>
  <c r="AB31" i="11" s="1"/>
  <c r="AB34" i="11" s="1"/>
  <c r="AB35" i="11" s="1"/>
  <c r="AA43" i="22"/>
  <c r="AA49" i="11" s="1"/>
  <c r="AA77" i="21"/>
  <c r="AA79" i="21" s="1"/>
  <c r="AB18" i="11"/>
  <c r="AA51" i="11" l="1"/>
  <c r="AB44" i="11" s="1"/>
  <c r="AB47" i="11" s="1"/>
  <c r="AB48" i="11" s="1"/>
  <c r="AA52" i="11"/>
  <c r="AA54" i="11" s="1"/>
  <c r="AA45" i="22"/>
  <c r="AA64" i="11" s="1"/>
  <c r="AB21" i="11"/>
  <c r="AB22" i="11" s="1"/>
  <c r="AA66" i="11" l="1"/>
  <c r="AA106" i="11" s="1"/>
  <c r="AA102" i="11"/>
  <c r="AA68" i="11" l="1"/>
  <c r="AA70" i="11" s="1"/>
  <c r="AA78" i="11" s="1"/>
  <c r="AA98" i="11" s="1"/>
  <c r="AA67" i="11"/>
  <c r="AA16" i="21" s="1"/>
  <c r="AB27" i="21"/>
  <c r="AB38" i="21" s="1"/>
  <c r="AA80" i="11" l="1"/>
  <c r="N101" i="30" s="1"/>
  <c r="N98" i="30" s="1"/>
  <c r="N127" i="24" s="1"/>
  <c r="AA85" i="11"/>
  <c r="AA93" i="11" s="1"/>
  <c r="AB59" i="11"/>
  <c r="AB62" i="11" s="1"/>
  <c r="AB63" i="11" s="1"/>
  <c r="AA81" i="11" l="1"/>
  <c r="AA103" i="11"/>
  <c r="AA86" i="11"/>
  <c r="AB84" i="11" s="1"/>
  <c r="AA24" i="22"/>
  <c r="AA48" i="22"/>
  <c r="AA50" i="22" s="1"/>
  <c r="AA52" i="22" s="1"/>
  <c r="AA94" i="11" s="1"/>
  <c r="AA95" i="11" s="1"/>
  <c r="N27" i="30" s="1"/>
  <c r="N24" i="30" s="1"/>
  <c r="AA15" i="21"/>
  <c r="AA17" i="21" s="1"/>
  <c r="AA104" i="11"/>
  <c r="AA105" i="11" s="1"/>
  <c r="N114" i="30" s="1"/>
  <c r="N111" i="30" s="1"/>
  <c r="N144" i="24" s="1"/>
  <c r="N43" i="31"/>
  <c r="AI29" i="36"/>
  <c r="AB76" i="11"/>
  <c r="AB77" i="11" s="1"/>
  <c r="N76" i="30"/>
  <c r="N74" i="30" s="1"/>
  <c r="AB28" i="21"/>
  <c r="AB39" i="21" s="1"/>
  <c r="AB101" i="11"/>
  <c r="N106" i="30" l="1"/>
  <c r="AI21" i="36"/>
  <c r="N25" i="24"/>
  <c r="N52" i="31"/>
  <c r="O50" i="31" s="1"/>
  <c r="N23" i="30"/>
  <c r="N71" i="30" s="1"/>
  <c r="N38" i="31"/>
  <c r="AB19" i="22"/>
  <c r="N48" i="34"/>
  <c r="N92" i="24"/>
  <c r="N73" i="30"/>
  <c r="N41" i="31"/>
  <c r="AA19" i="21"/>
  <c r="AB10" i="11"/>
  <c r="AB88" i="11"/>
  <c r="AB21" i="21" s="1"/>
  <c r="AB32" i="21" l="1"/>
  <c r="AA26" i="22"/>
  <c r="AI25" i="36"/>
  <c r="N124" i="30"/>
  <c r="N58" i="24"/>
  <c r="N55" i="24" s="1"/>
  <c r="N41" i="35"/>
  <c r="AA43" i="21"/>
  <c r="AJ17" i="2" s="1"/>
  <c r="AK18" i="2" s="1"/>
  <c r="AB16" i="11" s="1"/>
  <c r="AA47" i="21"/>
  <c r="AB12" i="11"/>
  <c r="AB13" i="11"/>
  <c r="AB18" i="21" s="1"/>
  <c r="AB13" i="22" s="1"/>
  <c r="AA56" i="21"/>
  <c r="AA58" i="21" s="1"/>
  <c r="AA52" i="21"/>
  <c r="AA54" i="21" s="1"/>
  <c r="AB31" i="21" l="1"/>
  <c r="AB17" i="11"/>
  <c r="AB24" i="11" s="1"/>
  <c r="AB20" i="11"/>
  <c r="AJ35" i="2"/>
  <c r="AK36" i="2" s="1"/>
  <c r="AB42" i="11" s="1"/>
  <c r="AJ26" i="2"/>
  <c r="AK27" i="2" s="1"/>
  <c r="AB29" i="11" s="1"/>
  <c r="AJ51" i="2"/>
  <c r="AK52" i="2" s="1"/>
  <c r="AB74" i="11" s="1"/>
  <c r="AB79" i="11" s="1"/>
  <c r="AJ44" i="2"/>
  <c r="AK45" i="2" s="1"/>
  <c r="AB57" i="11" s="1"/>
  <c r="N86" i="29"/>
  <c r="N36" i="31"/>
  <c r="N77" i="29"/>
  <c r="N121" i="23" s="1"/>
  <c r="AA45" i="21"/>
  <c r="AA27" i="22"/>
  <c r="AA28" i="22" s="1"/>
  <c r="AA29" i="22" s="1"/>
  <c r="AB30" i="22" s="1"/>
  <c r="AA49" i="21"/>
  <c r="J77" i="29"/>
  <c r="J121" i="23" s="1"/>
  <c r="K77" i="29"/>
  <c r="K121" i="23" s="1"/>
  <c r="L77" i="29"/>
  <c r="L121" i="23" s="1"/>
  <c r="M77" i="29"/>
  <c r="M121" i="23" s="1"/>
  <c r="AB58" i="11" l="1"/>
  <c r="AB65" i="11" s="1"/>
  <c r="AB61" i="11"/>
  <c r="AB38" i="22"/>
  <c r="AB39" i="22" s="1"/>
  <c r="AB23" i="11" s="1"/>
  <c r="AB43" i="11"/>
  <c r="AB50" i="11" s="1"/>
  <c r="AB46" i="11"/>
  <c r="AB30" i="11"/>
  <c r="AB37" i="11" s="1"/>
  <c r="AB33" i="11"/>
  <c r="N35" i="31"/>
  <c r="N79" i="29"/>
  <c r="N37" i="31"/>
  <c r="N83" i="29"/>
  <c r="M35" i="31"/>
  <c r="M79" i="29"/>
  <c r="K79" i="29"/>
  <c r="K35" i="31"/>
  <c r="L35" i="31"/>
  <c r="L79" i="29"/>
  <c r="J35" i="31"/>
  <c r="J79" i="29"/>
  <c r="AB100" i="11" l="1"/>
  <c r="AB40" i="22"/>
  <c r="AB41" i="22" s="1"/>
  <c r="AB36" i="11" s="1"/>
  <c r="AB25" i="21"/>
  <c r="AB26" i="21" s="1"/>
  <c r="AB37" i="21" s="1"/>
  <c r="AB91" i="11"/>
  <c r="AB44" i="22"/>
  <c r="AB42" i="22"/>
  <c r="AB99" i="11"/>
  <c r="N90" i="29"/>
  <c r="N81" i="29"/>
  <c r="N80" i="29"/>
  <c r="N84" i="29"/>
  <c r="N130" i="23"/>
  <c r="L80" i="29"/>
  <c r="L81" i="29"/>
  <c r="L90" i="29"/>
  <c r="L84" i="29"/>
  <c r="K80" i="29"/>
  <c r="K81" i="29"/>
  <c r="K90" i="29"/>
  <c r="K84" i="29"/>
  <c r="M81" i="29"/>
  <c r="M90" i="29"/>
  <c r="M80" i="29"/>
  <c r="M84" i="29"/>
  <c r="J80" i="29"/>
  <c r="J81" i="29"/>
  <c r="J90" i="29"/>
  <c r="D49" i="22" s="1"/>
  <c r="J84" i="29"/>
  <c r="AB25" i="11"/>
  <c r="AC18" i="11" s="1"/>
  <c r="AB26" i="11"/>
  <c r="AB107" i="11" l="1"/>
  <c r="AB18" i="22"/>
  <c r="I49" i="22"/>
  <c r="AB36" i="21"/>
  <c r="AB69" i="21" s="1"/>
  <c r="AB71" i="21" s="1"/>
  <c r="AB21" i="22"/>
  <c r="AB81" i="21"/>
  <c r="AB83" i="21" s="1"/>
  <c r="AB73" i="21"/>
  <c r="AB75" i="21" s="1"/>
  <c r="AB77" i="21"/>
  <c r="AB79" i="21" s="1"/>
  <c r="AC21" i="11"/>
  <c r="AC22" i="11" s="1"/>
  <c r="H49" i="22"/>
  <c r="G49" i="22"/>
  <c r="F49" i="22"/>
  <c r="E49" i="22"/>
  <c r="K49" i="22"/>
  <c r="J49" i="22"/>
  <c r="N91" i="29"/>
  <c r="N44" i="33"/>
  <c r="N92" i="29"/>
  <c r="AB43" i="22"/>
  <c r="AB49" i="11" s="1"/>
  <c r="M49" i="22"/>
  <c r="L49" i="22"/>
  <c r="O49" i="22"/>
  <c r="N49" i="22"/>
  <c r="J92" i="29"/>
  <c r="J44" i="33"/>
  <c r="J91" i="29"/>
  <c r="Q49" i="22"/>
  <c r="S49" i="22"/>
  <c r="R49" i="22"/>
  <c r="P49" i="22"/>
  <c r="K91" i="29"/>
  <c r="K92" i="29"/>
  <c r="K44" i="33"/>
  <c r="L91" i="29"/>
  <c r="L92" i="29"/>
  <c r="L44" i="33"/>
  <c r="AB39" i="11"/>
  <c r="AB38" i="11"/>
  <c r="AC31" i="11" s="1"/>
  <c r="M92" i="29"/>
  <c r="M44" i="33"/>
  <c r="M91" i="29"/>
  <c r="AB61" i="21" l="1"/>
  <c r="AB63" i="21" s="1"/>
  <c r="AB65" i="21"/>
  <c r="AB67" i="21" s="1"/>
  <c r="AC34" i="11"/>
  <c r="AC35" i="11" s="1"/>
  <c r="AB51" i="11"/>
  <c r="AC44" i="11" s="1"/>
  <c r="N46" i="33"/>
  <c r="AB52" i="11"/>
  <c r="AB54" i="11" s="1"/>
  <c r="AB45" i="22"/>
  <c r="AB64" i="11" s="1"/>
  <c r="L46" i="33"/>
  <c r="J46" i="33"/>
  <c r="J39" i="31"/>
  <c r="K39" i="31"/>
  <c r="L39" i="31"/>
  <c r="M39" i="31"/>
  <c r="M46" i="33"/>
  <c r="K46" i="33"/>
  <c r="AC47" i="11" l="1"/>
  <c r="AC48" i="11" s="1"/>
  <c r="AB66" i="11"/>
  <c r="AB106" i="11" s="1"/>
  <c r="AB102" i="11"/>
  <c r="J42" i="31"/>
  <c r="K42" i="31"/>
  <c r="L42" i="31"/>
  <c r="M42" i="31"/>
  <c r="AC27" i="21" l="1"/>
  <c r="AC38" i="21" s="1"/>
  <c r="AB68" i="11"/>
  <c r="AB70" i="11" s="1"/>
  <c r="AB78" i="11" s="1"/>
  <c r="AB80" i="11" s="1"/>
  <c r="N39" i="31"/>
  <c r="AB67" i="11"/>
  <c r="N42" i="31"/>
  <c r="AC76" i="11" l="1"/>
  <c r="AB16" i="21"/>
  <c r="AC59" i="11"/>
  <c r="AB85" i="11"/>
  <c r="AJ29" i="36" s="1"/>
  <c r="AB98" i="11"/>
  <c r="J40" i="31"/>
  <c r="K40" i="31" s="1"/>
  <c r="L40" i="31" s="1"/>
  <c r="M40" i="31" s="1"/>
  <c r="N40" i="31" s="1"/>
  <c r="AB24" i="22"/>
  <c r="AB81" i="11"/>
  <c r="AB104" i="11"/>
  <c r="AB105" i="11" s="1"/>
  <c r="AB103" i="11"/>
  <c r="AB15" i="21"/>
  <c r="AC77" i="11" l="1"/>
  <c r="AC62" i="11"/>
  <c r="AC63" i="11" s="1"/>
  <c r="AB86" i="11"/>
  <c r="AB93" i="11"/>
  <c r="AB48" i="22" s="1"/>
  <c r="AB50" i="22" s="1"/>
  <c r="AB52" i="22" s="1"/>
  <c r="AJ21" i="36" s="1"/>
  <c r="K47" i="31"/>
  <c r="AB17" i="21"/>
  <c r="J47" i="31"/>
  <c r="AC84" i="11" l="1"/>
  <c r="AB94" i="11"/>
  <c r="AB95" i="11" s="1"/>
  <c r="AJ25" i="36"/>
  <c r="L47" i="31"/>
  <c r="AC28" i="21" l="1"/>
  <c r="AC39" i="21" s="1"/>
  <c r="AC88" i="11"/>
  <c r="AC21" i="21" s="1"/>
  <c r="AC10" i="11"/>
  <c r="AC101" i="11"/>
  <c r="AB19" i="21"/>
  <c r="M47" i="31"/>
  <c r="AB43" i="21" l="1"/>
  <c r="AK17" i="2" s="1"/>
  <c r="AL18" i="2" s="1"/>
  <c r="AC16" i="11" s="1"/>
  <c r="AB26" i="22"/>
  <c r="AC32" i="21"/>
  <c r="AC19" i="22"/>
  <c r="AC13" i="11"/>
  <c r="AC18" i="21" s="1"/>
  <c r="AC13" i="22" s="1"/>
  <c r="AC12" i="11"/>
  <c r="AB56" i="21"/>
  <c r="AB58" i="21" s="1"/>
  <c r="AB47" i="21"/>
  <c r="AB52" i="21"/>
  <c r="AB54" i="21" s="1"/>
  <c r="N47" i="31"/>
  <c r="AB45" i="21" l="1"/>
  <c r="AC31" i="21"/>
  <c r="AC17" i="11"/>
  <c r="AC24" i="11" s="1"/>
  <c r="AC20" i="11"/>
  <c r="AK26" i="2"/>
  <c r="AL27" i="2" s="1"/>
  <c r="AC29" i="11" s="1"/>
  <c r="AK51" i="2"/>
  <c r="AL52" i="2" s="1"/>
  <c r="AC74" i="11" s="1"/>
  <c r="AC79" i="11" s="1"/>
  <c r="AK44" i="2"/>
  <c r="AL45" i="2" s="1"/>
  <c r="AC57" i="11" s="1"/>
  <c r="AK35" i="2"/>
  <c r="AL36" i="2" s="1"/>
  <c r="AC42" i="11" s="1"/>
  <c r="AB49" i="21"/>
  <c r="AB27" i="22"/>
  <c r="AB28" i="22" s="1"/>
  <c r="AB29" i="22" s="1"/>
  <c r="AC30" i="22" s="1"/>
  <c r="AC30" i="11" l="1"/>
  <c r="AC37" i="11" s="1"/>
  <c r="AC33" i="11"/>
  <c r="AC58" i="11"/>
  <c r="AC65" i="11" s="1"/>
  <c r="AC61" i="11"/>
  <c r="AC43" i="11"/>
  <c r="AC50" i="11" s="1"/>
  <c r="AC46" i="11"/>
  <c r="AC38" i="22"/>
  <c r="AC39" i="22" s="1"/>
  <c r="AC23" i="11" s="1"/>
  <c r="AC91" i="11" l="1"/>
  <c r="AC21" i="22" s="1"/>
  <c r="AC99" i="11"/>
  <c r="AC100" i="11"/>
  <c r="AC25" i="21"/>
  <c r="AC26" i="21" s="1"/>
  <c r="AC37" i="21" s="1"/>
  <c r="AC44" i="22"/>
  <c r="AC42" i="22"/>
  <c r="AC40" i="22"/>
  <c r="AC41" i="22" s="1"/>
  <c r="AC36" i="11" s="1"/>
  <c r="AC26" i="11"/>
  <c r="AC25" i="11"/>
  <c r="AD18" i="11" s="1"/>
  <c r="AC39" i="11" l="1"/>
  <c r="AC107" i="11"/>
  <c r="AC18" i="22"/>
  <c r="AC36" i="21"/>
  <c r="AC69" i="21" s="1"/>
  <c r="AC71" i="21" s="1"/>
  <c r="AC73" i="21"/>
  <c r="AC75" i="21" s="1"/>
  <c r="AC77" i="21"/>
  <c r="AC79" i="21" s="1"/>
  <c r="AC81" i="21"/>
  <c r="AC83" i="21" s="1"/>
  <c r="AC38" i="11"/>
  <c r="AD31" i="11" s="1"/>
  <c r="AC43" i="22"/>
  <c r="AC49" i="11" s="1"/>
  <c r="AD21" i="11"/>
  <c r="AD22" i="11" s="1"/>
  <c r="AC52" i="11" l="1"/>
  <c r="AC54" i="11" s="1"/>
  <c r="AC61" i="21"/>
  <c r="AC63" i="21" s="1"/>
  <c r="AC65" i="21"/>
  <c r="AC67" i="21" s="1"/>
  <c r="AD34" i="11"/>
  <c r="AD35" i="11" s="1"/>
  <c r="AC51" i="11"/>
  <c r="AD44" i="11" s="1"/>
  <c r="AC45" i="22"/>
  <c r="AC64" i="11" s="1"/>
  <c r="AC66" i="11" l="1"/>
  <c r="AC67" i="11" s="1"/>
  <c r="AC16" i="21" s="1"/>
  <c r="AD47" i="11"/>
  <c r="AD48" i="11" s="1"/>
  <c r="AC102" i="11"/>
  <c r="AC68" i="11" l="1"/>
  <c r="AC70" i="11" s="1"/>
  <c r="AC78" i="11" s="1"/>
  <c r="AC98" i="11" s="1"/>
  <c r="AC106" i="11"/>
  <c r="AD59" i="11"/>
  <c r="AD62" i="11" s="1"/>
  <c r="AD63" i="11" s="1"/>
  <c r="AD27" i="21"/>
  <c r="AD38" i="21" s="1"/>
  <c r="AC80" i="11" l="1"/>
  <c r="AC81" i="11" s="1"/>
  <c r="AC85" i="11"/>
  <c r="AK29" i="36" s="1"/>
  <c r="AD76" i="11" l="1"/>
  <c r="AD77" i="11" s="1"/>
  <c r="AC86" i="11"/>
  <c r="AD84" i="11" s="1"/>
  <c r="AC103" i="11"/>
  <c r="AC93" i="11"/>
  <c r="AC48" i="22" s="1"/>
  <c r="AC50" i="22" s="1"/>
  <c r="AC52" i="22" s="1"/>
  <c r="AC94" i="11" s="1"/>
  <c r="AC95" i="11" s="1"/>
  <c r="AC15" i="21"/>
  <c r="AC17" i="21" s="1"/>
  <c r="AC104" i="11"/>
  <c r="AC105" i="11" s="1"/>
  <c r="AC24" i="22"/>
  <c r="AD28" i="21"/>
  <c r="AD39" i="21" s="1"/>
  <c r="AD101" i="11"/>
  <c r="AK21" i="36" l="1"/>
  <c r="AK25" i="36" s="1"/>
  <c r="AD88" i="11"/>
  <c r="AD21" i="21" s="1"/>
  <c r="AD10" i="11"/>
  <c r="AD13" i="11" s="1"/>
  <c r="AD18" i="21" s="1"/>
  <c r="AD13" i="22" s="1"/>
  <c r="AC19" i="21"/>
  <c r="AD19" i="22"/>
  <c r="AC26" i="22" l="1"/>
  <c r="AD31" i="21"/>
  <c r="AC47" i="21"/>
  <c r="AD32" i="21"/>
  <c r="AC56" i="21"/>
  <c r="AC58" i="21" s="1"/>
  <c r="AC43" i="21"/>
  <c r="AC52" i="21"/>
  <c r="AC54" i="21" s="1"/>
  <c r="AD12" i="11"/>
  <c r="AC27" i="22" l="1"/>
  <c r="AC28" i="22" s="1"/>
  <c r="AC29" i="22" s="1"/>
  <c r="AD30" i="22" s="1"/>
  <c r="AL51" i="2"/>
  <c r="AM52" i="2" s="1"/>
  <c r="AD74" i="11" s="1"/>
  <c r="AD79" i="11" s="1"/>
  <c r="AL44" i="2"/>
  <c r="AM45" i="2" s="1"/>
  <c r="AD57" i="11" s="1"/>
  <c r="AL35" i="2"/>
  <c r="AM36" i="2" s="1"/>
  <c r="AD42" i="11" s="1"/>
  <c r="AL26" i="2"/>
  <c r="AM27" i="2" s="1"/>
  <c r="AD29" i="11" s="1"/>
  <c r="AC45" i="21"/>
  <c r="AL17" i="2"/>
  <c r="AM18" i="2" s="1"/>
  <c r="AD16" i="11" s="1"/>
  <c r="AC49" i="21"/>
  <c r="AD58" i="11" l="1"/>
  <c r="AD65" i="11" s="1"/>
  <c r="AD61" i="11"/>
  <c r="AD30" i="11"/>
  <c r="AD37" i="11" s="1"/>
  <c r="AD33" i="11"/>
  <c r="AD17" i="11"/>
  <c r="AD24" i="11" s="1"/>
  <c r="AD20" i="11"/>
  <c r="AD43" i="11"/>
  <c r="AD50" i="11" s="1"/>
  <c r="AD46" i="11"/>
  <c r="AD91" i="11" l="1"/>
  <c r="AD38" i="22"/>
  <c r="AD39" i="22" s="1"/>
  <c r="AD99" i="11"/>
  <c r="AD25" i="21"/>
  <c r="AD100" i="11"/>
  <c r="AD40" i="22"/>
  <c r="AD42" i="22"/>
  <c r="AD44" i="22"/>
  <c r="AD21" i="22" l="1"/>
  <c r="AD18" i="22"/>
  <c r="AD107" i="11"/>
  <c r="AD23" i="11"/>
  <c r="AD41" i="22"/>
  <c r="AD36" i="11" s="1"/>
  <c r="AD36" i="21"/>
  <c r="AD26" i="21"/>
  <c r="AD37" i="21" s="1"/>
  <c r="AD38" i="11" l="1"/>
  <c r="AE31" i="11" s="1"/>
  <c r="AD43" i="22"/>
  <c r="AD49" i="11" s="1"/>
  <c r="AD39" i="11"/>
  <c r="AD65" i="21"/>
  <c r="AD67" i="21" s="1"/>
  <c r="AD69" i="21"/>
  <c r="AD71" i="21" s="1"/>
  <c r="AD61" i="21"/>
  <c r="AD63" i="21" s="1"/>
  <c r="AD73" i="21"/>
  <c r="AD75" i="21" s="1"/>
  <c r="AD77" i="21"/>
  <c r="AD79" i="21" s="1"/>
  <c r="AD81" i="21"/>
  <c r="AD83" i="21" s="1"/>
  <c r="AD26" i="11"/>
  <c r="AD25" i="11"/>
  <c r="AE18" i="11" s="1"/>
  <c r="AD51" i="11" l="1"/>
  <c r="AE44" i="11" s="1"/>
  <c r="AE47" i="11" s="1"/>
  <c r="AE48" i="11" s="1"/>
  <c r="AD45" i="22"/>
  <c r="AD64" i="11" s="1"/>
  <c r="AD52" i="11"/>
  <c r="AD54" i="11" s="1"/>
  <c r="AE21" i="11"/>
  <c r="AE22" i="11" s="1"/>
  <c r="AE34" i="11"/>
  <c r="AE35" i="11" s="1"/>
  <c r="AD102" i="11" l="1"/>
  <c r="AD66" i="11"/>
  <c r="AD67" i="11" s="1"/>
  <c r="AE59" i="11" s="1"/>
  <c r="AE62" i="11" s="1"/>
  <c r="AE63" i="11" s="1"/>
  <c r="AE27" i="21"/>
  <c r="AE38" i="21" s="1"/>
  <c r="AD16" i="21" l="1"/>
  <c r="AD68" i="11"/>
  <c r="AD70" i="11" s="1"/>
  <c r="AD78" i="11" s="1"/>
  <c r="AD80" i="11" s="1"/>
  <c r="AD15" i="21" s="1"/>
  <c r="AD106" i="11"/>
  <c r="AD103" i="11" l="1"/>
  <c r="AD85" i="11"/>
  <c r="AL29" i="36" s="1"/>
  <c r="AD81" i="11"/>
  <c r="AE76" i="11"/>
  <c r="AE77" i="11" s="1"/>
  <c r="AD98" i="11"/>
  <c r="AD24" i="22"/>
  <c r="AD104" i="11"/>
  <c r="AD105" i="11" s="1"/>
  <c r="AE28" i="21"/>
  <c r="AE39" i="21" s="1"/>
  <c r="AD17" i="21"/>
  <c r="AE101" i="11"/>
  <c r="O38" i="31" s="1"/>
  <c r="AD93" i="11" l="1"/>
  <c r="AD48" i="22" s="1"/>
  <c r="AD50" i="22" s="1"/>
  <c r="AD52" i="22" s="1"/>
  <c r="AD94" i="11" s="1"/>
  <c r="AD95" i="11" s="1"/>
  <c r="AD19" i="21" s="1"/>
  <c r="AD86" i="11"/>
  <c r="AE84" i="11" s="1"/>
  <c r="AE19" i="22"/>
  <c r="AD47" i="21" l="1"/>
  <c r="AM51" i="2" s="1"/>
  <c r="AN52" i="2" s="1"/>
  <c r="AE74" i="11" s="1"/>
  <c r="AE79" i="11" s="1"/>
  <c r="AD52" i="21"/>
  <c r="AD54" i="21" s="1"/>
  <c r="AE10" i="11"/>
  <c r="AE13" i="11" s="1"/>
  <c r="AE18" i="21" s="1"/>
  <c r="AE13" i="22" s="1"/>
  <c r="AL21" i="36"/>
  <c r="AD43" i="21"/>
  <c r="AM17" i="2" s="1"/>
  <c r="AN18" i="2" s="1"/>
  <c r="AE16" i="11" s="1"/>
  <c r="AD56" i="21"/>
  <c r="AD58" i="21" s="1"/>
  <c r="AE88" i="11"/>
  <c r="AE21" i="21" s="1"/>
  <c r="AD26" i="22"/>
  <c r="D36" i="43"/>
  <c r="AE32" i="21" l="1"/>
  <c r="AL25" i="36"/>
  <c r="AM35" i="2"/>
  <c r="AN36" i="2" s="1"/>
  <c r="AE42" i="11" s="1"/>
  <c r="AE43" i="11" s="1"/>
  <c r="AE50" i="11" s="1"/>
  <c r="AD27" i="22"/>
  <c r="AD28" i="22" s="1"/>
  <c r="AD29" i="22" s="1"/>
  <c r="AE30" i="22" s="1"/>
  <c r="AD49" i="21"/>
  <c r="AM44" i="2"/>
  <c r="AN45" i="2" s="1"/>
  <c r="AE57" i="11" s="1"/>
  <c r="AE61" i="11" s="1"/>
  <c r="AM26" i="2"/>
  <c r="AN27" i="2" s="1"/>
  <c r="AE29" i="11" s="1"/>
  <c r="AE33" i="11" s="1"/>
  <c r="AE31" i="21"/>
  <c r="AE12" i="11"/>
  <c r="AD45" i="21"/>
  <c r="AE17" i="11"/>
  <c r="AE24" i="11" s="1"/>
  <c r="AE20" i="11"/>
  <c r="D37" i="43"/>
  <c r="AE58" i="11" l="1"/>
  <c r="AE65" i="11" s="1"/>
  <c r="AE44" i="22" s="1"/>
  <c r="AE30" i="11"/>
  <c r="AE37" i="11" s="1"/>
  <c r="AE40" i="22" s="1"/>
  <c r="AE46" i="11"/>
  <c r="AE42" i="22" s="1"/>
  <c r="AE38" i="22"/>
  <c r="AE39" i="22" s="1"/>
  <c r="AE23" i="11" s="1"/>
  <c r="AE25" i="11" l="1"/>
  <c r="AF18" i="11" s="1"/>
  <c r="AF21" i="11" s="1"/>
  <c r="AF22" i="11" s="1"/>
  <c r="AE99" i="11"/>
  <c r="AE100" i="11"/>
  <c r="AE91" i="11"/>
  <c r="AE25" i="21"/>
  <c r="AE36" i="21" s="1"/>
  <c r="AE41" i="22"/>
  <c r="AE36" i="11" s="1"/>
  <c r="AE26" i="11"/>
  <c r="AE38" i="11" l="1"/>
  <c r="AF31" i="11" s="1"/>
  <c r="AF34" i="11" s="1"/>
  <c r="AF35" i="11" s="1"/>
  <c r="AE21" i="22"/>
  <c r="O86" i="29"/>
  <c r="AE18" i="22"/>
  <c r="AE107" i="11"/>
  <c r="AE26" i="21"/>
  <c r="AE37" i="21" s="1"/>
  <c r="AE73" i="21" s="1"/>
  <c r="AE75" i="21" s="1"/>
  <c r="AE39" i="11"/>
  <c r="AE43" i="22"/>
  <c r="AE49" i="11" s="1"/>
  <c r="AE69" i="21"/>
  <c r="AE71" i="21" s="1"/>
  <c r="AE61" i="21"/>
  <c r="AE63" i="21" s="1"/>
  <c r="AE65" i="21"/>
  <c r="AE67" i="21" s="1"/>
  <c r="AE51" i="11" l="1"/>
  <c r="AF44" i="11" s="1"/>
  <c r="AF47" i="11" s="1"/>
  <c r="AF48" i="11" s="1"/>
  <c r="AF27" i="21" s="1"/>
  <c r="AF38" i="21" s="1"/>
  <c r="O83" i="29"/>
  <c r="O37" i="31"/>
  <c r="AE81" i="21"/>
  <c r="AE83" i="21" s="1"/>
  <c r="AE77" i="21"/>
  <c r="AE79" i="21" s="1"/>
  <c r="AE45" i="22"/>
  <c r="AE64" i="11" s="1"/>
  <c r="AE52" i="11"/>
  <c r="AE54" i="11" s="1"/>
  <c r="AE102" i="11" l="1"/>
  <c r="O39" i="31" s="1"/>
  <c r="O130" i="23"/>
  <c r="AE66" i="11"/>
  <c r="AE106" i="11" s="1"/>
  <c r="O42" i="31" s="1"/>
  <c r="AE67" i="11" l="1"/>
  <c r="AF59" i="11" s="1"/>
  <c r="AF62" i="11" s="1"/>
  <c r="AE68" i="11"/>
  <c r="AE70" i="11" s="1"/>
  <c r="AE78" i="11" s="1"/>
  <c r="AE98" i="11" s="1"/>
  <c r="O40" i="31" s="1"/>
  <c r="AF63" i="11" l="1"/>
  <c r="AF28" i="21" s="1"/>
  <c r="AF39" i="21" s="1"/>
  <c r="AE80" i="11"/>
  <c r="P101" i="30" s="1"/>
  <c r="P98" i="30" s="1"/>
  <c r="P127" i="24" s="1"/>
  <c r="AE85" i="11"/>
  <c r="AM29" i="36" s="1"/>
  <c r="AE16" i="21"/>
  <c r="AF101" i="11" l="1"/>
  <c r="AF19" i="22" s="1"/>
  <c r="AF76" i="11"/>
  <c r="AF77" i="11" s="1"/>
  <c r="O101" i="30"/>
  <c r="O98" i="30" s="1"/>
  <c r="AE86" i="11"/>
  <c r="P76" i="30" s="1"/>
  <c r="P74" i="30" s="1"/>
  <c r="AE24" i="22"/>
  <c r="AE93" i="11"/>
  <c r="AE48" i="22" s="1"/>
  <c r="AE50" i="22" s="1"/>
  <c r="AE52" i="22" s="1"/>
  <c r="AM21" i="36" s="1"/>
  <c r="AE15" i="21"/>
  <c r="AE17" i="21" s="1"/>
  <c r="AE104" i="11"/>
  <c r="AE105" i="11" s="1"/>
  <c r="AE103" i="11"/>
  <c r="AE81" i="11"/>
  <c r="O114" i="30" l="1"/>
  <c r="O111" i="30" s="1"/>
  <c r="O144" i="24" s="1"/>
  <c r="P114" i="30"/>
  <c r="P111" i="30" s="1"/>
  <c r="P48" i="34"/>
  <c r="P58" i="24" s="1"/>
  <c r="P55" i="24" s="1"/>
  <c r="P92" i="24"/>
  <c r="P73" i="30"/>
  <c r="AF84" i="11"/>
  <c r="O76" i="30"/>
  <c r="O74" i="30" s="1"/>
  <c r="O127" i="24"/>
  <c r="O43" i="31"/>
  <c r="AM25" i="36"/>
  <c r="AE94" i="11"/>
  <c r="AE95" i="11" s="1"/>
  <c r="P27" i="30" s="1"/>
  <c r="P24" i="30" s="1"/>
  <c r="P43" i="31" l="1"/>
  <c r="O106" i="30"/>
  <c r="P25" i="24"/>
  <c r="P52" i="31"/>
  <c r="Q50" i="31" s="1"/>
  <c r="P23" i="30"/>
  <c r="P71" i="30" s="1"/>
  <c r="P106" i="30"/>
  <c r="P124" i="30" s="1"/>
  <c r="P144" i="24"/>
  <c r="O92" i="24"/>
  <c r="O48" i="34"/>
  <c r="O73" i="30"/>
  <c r="O41" i="31"/>
  <c r="O47" i="31" s="1"/>
  <c r="P41" i="31"/>
  <c r="AE19" i="21"/>
  <c r="AE47" i="21" s="1"/>
  <c r="AN51" i="2" s="1"/>
  <c r="AO52" i="2" s="1"/>
  <c r="AF74" i="11" s="1"/>
  <c r="AF79" i="11" s="1"/>
  <c r="O27" i="30"/>
  <c r="O24" i="30" s="1"/>
  <c r="AE26" i="22"/>
  <c r="AF88" i="11"/>
  <c r="AF21" i="21" s="1"/>
  <c r="AF10" i="11"/>
  <c r="AF12" i="11" s="1"/>
  <c r="O124" i="30" l="1"/>
  <c r="AE52" i="21"/>
  <c r="AE54" i="21" s="1"/>
  <c r="AE43" i="21"/>
  <c r="AE45" i="21" s="1"/>
  <c r="AE56" i="21"/>
  <c r="AE58" i="21" s="1"/>
  <c r="O23" i="30"/>
  <c r="O71" i="30" s="1"/>
  <c r="O25" i="24"/>
  <c r="O52" i="31"/>
  <c r="P50" i="31" s="1"/>
  <c r="O58" i="24"/>
  <c r="O55" i="24" s="1"/>
  <c r="O41" i="35"/>
  <c r="P41" i="35"/>
  <c r="AF32" i="21"/>
  <c r="AN44" i="2"/>
  <c r="AO45" i="2" s="1"/>
  <c r="AF57" i="11" s="1"/>
  <c r="AF58" i="11" s="1"/>
  <c r="AF65" i="11" s="1"/>
  <c r="AE49" i="21"/>
  <c r="AF13" i="11"/>
  <c r="AF18" i="21" s="1"/>
  <c r="AF13" i="22" s="1"/>
  <c r="AN35" i="2"/>
  <c r="AO36" i="2" s="1"/>
  <c r="AF42" i="11" s="1"/>
  <c r="AF43" i="11" s="1"/>
  <c r="AF50" i="11" s="1"/>
  <c r="AE27" i="22"/>
  <c r="AE28" i="22" s="1"/>
  <c r="AE29" i="22" s="1"/>
  <c r="AF30" i="22" s="1"/>
  <c r="AN26" i="2"/>
  <c r="AO27" i="2" s="1"/>
  <c r="AF29" i="11" s="1"/>
  <c r="AF33" i="11" s="1"/>
  <c r="AN17" i="2" l="1"/>
  <c r="AO18" i="2" s="1"/>
  <c r="AF16" i="11" s="1"/>
  <c r="AF20" i="11" s="1"/>
  <c r="AF31" i="21"/>
  <c r="AF61" i="11"/>
  <c r="AF44" i="22" s="1"/>
  <c r="AF46" i="11"/>
  <c r="AF30" i="11"/>
  <c r="AF37" i="11" s="1"/>
  <c r="AF40" i="22" s="1"/>
  <c r="AF17" i="11" l="1"/>
  <c r="AF24" i="11" s="1"/>
  <c r="AF38" i="22" s="1"/>
  <c r="AF39" i="22" s="1"/>
  <c r="AF23" i="11" s="1"/>
  <c r="AF99" i="11"/>
  <c r="AF42" i="22"/>
  <c r="AF91" i="11" l="1"/>
  <c r="AF21" i="22" s="1"/>
  <c r="AF100" i="11"/>
  <c r="AF18" i="22" s="1"/>
  <c r="AF25" i="21"/>
  <c r="AF26" i="21" s="1"/>
  <c r="AF37" i="21" s="1"/>
  <c r="AF81" i="21" s="1"/>
  <c r="AF83" i="21" s="1"/>
  <c r="AF41" i="22"/>
  <c r="AF36" i="11" s="1"/>
  <c r="AF25" i="11"/>
  <c r="AG18" i="11" s="1"/>
  <c r="AF26" i="11"/>
  <c r="AF38" i="11" l="1"/>
  <c r="AG31" i="11" s="1"/>
  <c r="AG33" i="11" s="1"/>
  <c r="AF107" i="11"/>
  <c r="AF73" i="21"/>
  <c r="AF75" i="21" s="1"/>
  <c r="AF39" i="11"/>
  <c r="AF77" i="21"/>
  <c r="AF79" i="21" s="1"/>
  <c r="AF43" i="22"/>
  <c r="AF49" i="11" s="1"/>
  <c r="AF36" i="21"/>
  <c r="AF61" i="21" s="1"/>
  <c r="AF63" i="21" s="1"/>
  <c r="AG20" i="11"/>
  <c r="AG21" i="11"/>
  <c r="AG22" i="11" s="1"/>
  <c r="AG24" i="11"/>
  <c r="AG34" i="11" l="1"/>
  <c r="AG35" i="11" s="1"/>
  <c r="AF52" i="11"/>
  <c r="AF54" i="11" s="1"/>
  <c r="AG37" i="11"/>
  <c r="AF69" i="21"/>
  <c r="AF71" i="21" s="1"/>
  <c r="AF65" i="21"/>
  <c r="AF67" i="21" s="1"/>
  <c r="AF45" i="22"/>
  <c r="AF64" i="11" s="1"/>
  <c r="AF51" i="11"/>
  <c r="AG44" i="11" s="1"/>
  <c r="AG46" i="11" s="1"/>
  <c r="AF66" i="11" l="1"/>
  <c r="AF67" i="11" s="1"/>
  <c r="AG59" i="11" s="1"/>
  <c r="AG62" i="11" s="1"/>
  <c r="AG63" i="11" s="1"/>
  <c r="AF102" i="11"/>
  <c r="AG50" i="11"/>
  <c r="AG47" i="11"/>
  <c r="AG48" i="11" s="1"/>
  <c r="AG38" i="22"/>
  <c r="AG40" i="22"/>
  <c r="AG65" i="11" l="1"/>
  <c r="AF106" i="11"/>
  <c r="AG61" i="11"/>
  <c r="AF68" i="11"/>
  <c r="AF70" i="11" s="1"/>
  <c r="AF78" i="11" s="1"/>
  <c r="AF16" i="21"/>
  <c r="AG42" i="22"/>
  <c r="AG27" i="21"/>
  <c r="AG38" i="21" s="1"/>
  <c r="AG101" i="11"/>
  <c r="AG19" i="22" l="1"/>
  <c r="P38" i="31"/>
  <c r="AG44" i="22"/>
  <c r="AG28" i="21"/>
  <c r="AG39" i="21" s="1"/>
  <c r="Q38" i="31"/>
  <c r="AF85" i="11"/>
  <c r="AF93" i="11" s="1"/>
  <c r="AF80" i="11"/>
  <c r="AG76" i="11" s="1"/>
  <c r="AF98" i="11"/>
  <c r="AG77" i="11" l="1"/>
  <c r="AG79" i="11" s="1"/>
  <c r="AG25" i="21" s="1"/>
  <c r="AF48" i="22"/>
  <c r="AF50" i="22" s="1"/>
  <c r="AF52" i="22" s="1"/>
  <c r="AN21" i="36" s="1"/>
  <c r="AN29" i="36"/>
  <c r="AF86" i="11"/>
  <c r="AG84" i="11" s="1"/>
  <c r="AF104" i="11"/>
  <c r="AF105" i="11" s="1"/>
  <c r="AF24" i="22"/>
  <c r="AF103" i="11"/>
  <c r="AF81" i="11"/>
  <c r="AF15" i="21"/>
  <c r="AG36" i="21" l="1"/>
  <c r="AG26" i="21"/>
  <c r="AG37" i="21" s="1"/>
  <c r="AF94" i="11"/>
  <c r="AF95" i="11" s="1"/>
  <c r="AN25" i="36"/>
  <c r="AF23" i="43" s="1"/>
  <c r="AF17" i="21"/>
  <c r="AG77" i="21" l="1"/>
  <c r="AG79" i="21" s="1"/>
  <c r="AG73" i="21"/>
  <c r="AG75" i="21" s="1"/>
  <c r="AG65" i="21"/>
  <c r="AG67" i="21" s="1"/>
  <c r="AG61" i="21"/>
  <c r="AG63" i="21" s="1"/>
  <c r="AG88" i="11"/>
  <c r="AG21" i="21" s="1"/>
  <c r="AG32" i="21" s="1"/>
  <c r="AG10" i="11"/>
  <c r="AF19" i="21"/>
  <c r="M60" i="33"/>
  <c r="N60" i="33"/>
  <c r="O60" i="33"/>
  <c r="AG99" i="11" l="1"/>
  <c r="AG100" i="11"/>
  <c r="AG91" i="11"/>
  <c r="AG13" i="11"/>
  <c r="AG18" i="21" s="1"/>
  <c r="AG12" i="11"/>
  <c r="AF56" i="21"/>
  <c r="AF58" i="21" s="1"/>
  <c r="AF26" i="22"/>
  <c r="AF43" i="21"/>
  <c r="AF47" i="21"/>
  <c r="AF52" i="21"/>
  <c r="AF54" i="21" s="1"/>
  <c r="P134" i="23" l="1"/>
  <c r="P37" i="25" s="1"/>
  <c r="P72" i="1" s="1"/>
  <c r="P86" i="29"/>
  <c r="AG18" i="22"/>
  <c r="O36" i="31"/>
  <c r="P36" i="31"/>
  <c r="O77" i="29"/>
  <c r="P77" i="29"/>
  <c r="AG31" i="21"/>
  <c r="AG81" i="21" s="1"/>
  <c r="AG83" i="21" s="1"/>
  <c r="AG13" i="22"/>
  <c r="AG107" i="11"/>
  <c r="AG21" i="22"/>
  <c r="Q36" i="31"/>
  <c r="Q77" i="29"/>
  <c r="Q134" i="23"/>
  <c r="Q37" i="25" s="1"/>
  <c r="Q72" i="1" s="1"/>
  <c r="Q86" i="29"/>
  <c r="AO17" i="2"/>
  <c r="AF45" i="21"/>
  <c r="AF49" i="21"/>
  <c r="AO51" i="2"/>
  <c r="AO44" i="2"/>
  <c r="AO26" i="2"/>
  <c r="AO35" i="2"/>
  <c r="AF27" i="22"/>
  <c r="AF28" i="22" s="1"/>
  <c r="AF29" i="22" s="1"/>
  <c r="AG30" i="22" s="1"/>
  <c r="P121" i="23" l="1"/>
  <c r="P79" i="29"/>
  <c r="P35" i="31"/>
  <c r="O121" i="23"/>
  <c r="O79" i="29"/>
  <c r="O35" i="31"/>
  <c r="P37" i="31"/>
  <c r="P83" i="29"/>
  <c r="AG69" i="21"/>
  <c r="AG71" i="21" s="1"/>
  <c r="AG39" i="22"/>
  <c r="AG23" i="11" s="1"/>
  <c r="Q79" i="29"/>
  <c r="Q81" i="29" s="1"/>
  <c r="Q121" i="23"/>
  <c r="Q35" i="31"/>
  <c r="Q37" i="31"/>
  <c r="Q83" i="29"/>
  <c r="P84" i="29" l="1"/>
  <c r="P130" i="23"/>
  <c r="P80" i="29"/>
  <c r="P81" i="29"/>
  <c r="P90" i="29"/>
  <c r="O81" i="29"/>
  <c r="O90" i="29"/>
  <c r="O80" i="29"/>
  <c r="O84" i="29"/>
  <c r="AG25" i="11"/>
  <c r="AG26" i="11"/>
  <c r="AG41" i="22"/>
  <c r="AG36" i="11" s="1"/>
  <c r="Q80" i="29"/>
  <c r="Q90" i="29"/>
  <c r="Q92" i="29" s="1"/>
  <c r="Q130" i="23"/>
  <c r="Q84" i="29"/>
  <c r="U49" i="22" l="1"/>
  <c r="T49" i="22"/>
  <c r="V49" i="22"/>
  <c r="W49" i="22"/>
  <c r="AB49" i="22"/>
  <c r="AE49" i="22"/>
  <c r="AD49" i="22"/>
  <c r="AC49" i="22"/>
  <c r="Z49" i="22"/>
  <c r="X49" i="22"/>
  <c r="Y49" i="22"/>
  <c r="AA49" i="22"/>
  <c r="O91" i="29"/>
  <c r="O92" i="29"/>
  <c r="O44" i="33"/>
  <c r="O46" i="33" s="1"/>
  <c r="AF49" i="22"/>
  <c r="AG49" i="22"/>
  <c r="P92" i="29"/>
  <c r="P44" i="33"/>
  <c r="P91" i="29"/>
  <c r="AG38" i="11"/>
  <c r="AG39" i="11"/>
  <c r="Q44" i="33"/>
  <c r="Q46" i="33" s="1"/>
  <c r="AG43" i="22"/>
  <c r="AG49" i="11" s="1"/>
  <c r="Q91" i="29"/>
  <c r="P46" i="33" l="1"/>
  <c r="AG45" i="22"/>
  <c r="AG64" i="11" s="1"/>
  <c r="AG52" i="11"/>
  <c r="AG54" i="11" s="1"/>
  <c r="AG51" i="11"/>
  <c r="AG66" i="11" l="1"/>
  <c r="AG106" i="11" s="1"/>
  <c r="AG102" i="11"/>
  <c r="Q39" i="31" l="1"/>
  <c r="P39" i="31"/>
  <c r="Q42" i="31"/>
  <c r="P42" i="31"/>
  <c r="AG68" i="11"/>
  <c r="AG70" i="11" s="1"/>
  <c r="AG67" i="11"/>
  <c r="AG16" i="21" l="1"/>
  <c r="AG78" i="11"/>
  <c r="AG85" i="11" l="1"/>
  <c r="AG98" i="11"/>
  <c r="AG80" i="11"/>
  <c r="P40" i="31" l="1"/>
  <c r="P47" i="31" s="1"/>
  <c r="AG15" i="21"/>
  <c r="AG24" i="22"/>
  <c r="AG26" i="22" s="1"/>
  <c r="Q101" i="30"/>
  <c r="Q98" i="30" s="1"/>
  <c r="AG81" i="11"/>
  <c r="AG103" i="11"/>
  <c r="AG104" i="11"/>
  <c r="AG105" i="11" s="1"/>
  <c r="Q114" i="30" s="1"/>
  <c r="Q111" i="30" s="1"/>
  <c r="AG86" i="11"/>
  <c r="Q76" i="30" s="1"/>
  <c r="Q74" i="30" s="1"/>
  <c r="AO29" i="36"/>
  <c r="AG93" i="11"/>
  <c r="AG48" i="22" s="1"/>
  <c r="AG50" i="22" s="1"/>
  <c r="AG52" i="22" s="1"/>
  <c r="Q40" i="31" l="1"/>
  <c r="R40" i="31" s="1"/>
  <c r="S40" i="31" s="1"/>
  <c r="Q127" i="24"/>
  <c r="R43" i="31"/>
  <c r="Q43" i="31"/>
  <c r="Q144" i="24"/>
  <c r="Q106" i="30"/>
  <c r="AO21" i="36"/>
  <c r="AG94" i="11"/>
  <c r="AG95" i="11" s="1"/>
  <c r="Q48" i="34"/>
  <c r="Q73" i="30"/>
  <c r="Q124" i="30" s="1"/>
  <c r="R41" i="31"/>
  <c r="Q41" i="31"/>
  <c r="Q92" i="24"/>
  <c r="AG17" i="21"/>
  <c r="R47" i="31" l="1"/>
  <c r="AO25" i="36"/>
  <c r="P60" i="33" s="1"/>
  <c r="AG19" i="21"/>
  <c r="AG56" i="21" s="1"/>
  <c r="AG58" i="21" s="1"/>
  <c r="Q27" i="30"/>
  <c r="Q24" i="30" s="1"/>
  <c r="Q41" i="35"/>
  <c r="R41" i="35"/>
  <c r="Q58" i="24"/>
  <c r="Q55" i="24" s="1"/>
  <c r="Q47" i="31"/>
  <c r="S47" i="31"/>
  <c r="T40" i="31"/>
  <c r="S45" i="31"/>
  <c r="S48" i="31" l="1"/>
  <c r="S51" i="31" s="1"/>
  <c r="S53" i="31" s="1"/>
  <c r="AG52" i="21"/>
  <c r="AG54" i="21" s="1"/>
  <c r="T47" i="31"/>
  <c r="U40" i="31"/>
  <c r="T45" i="31"/>
  <c r="Q25" i="24"/>
  <c r="Q23" i="30"/>
  <c r="Q71" i="30" s="1"/>
  <c r="Q52" i="31"/>
  <c r="R50" i="31" s="1"/>
  <c r="AG43" i="21"/>
  <c r="AG45" i="21" s="1"/>
  <c r="AG47" i="21"/>
  <c r="AG23" i="43"/>
  <c r="Q60" i="33"/>
  <c r="T48" i="31" l="1"/>
  <c r="T51" i="31" s="1"/>
  <c r="T53" i="31" s="1"/>
  <c r="AG49" i="21"/>
  <c r="AG27" i="22"/>
  <c r="AG28" i="22" s="1"/>
  <c r="AG29" i="22" s="1"/>
  <c r="U47" i="31"/>
  <c r="U45" i="31"/>
  <c r="V40" i="31"/>
  <c r="U48" i="31" l="1"/>
  <c r="U51" i="31" s="1"/>
  <c r="U53" i="31" s="1"/>
  <c r="V45" i="31"/>
  <c r="W40" i="31"/>
  <c r="V47" i="31"/>
  <c r="W47" i="31" l="1"/>
  <c r="X40" i="31"/>
  <c r="W45" i="31"/>
  <c r="V48" i="31"/>
  <c r="V51" i="31" s="1"/>
  <c r="V53" i="31" s="1"/>
  <c r="D88" i="37"/>
  <c r="W48" i="31" l="1"/>
  <c r="W51" i="31" s="1"/>
  <c r="W53" i="31" s="1"/>
  <c r="X47" i="31"/>
  <c r="X45" i="31"/>
  <c r="Y40" i="31"/>
  <c r="J2" i="46"/>
  <c r="X48" i="31" l="1"/>
  <c r="X51" i="31" s="1"/>
  <c r="X53" i="31" s="1"/>
  <c r="Y45" i="31"/>
  <c r="Y47" i="31"/>
  <c r="Z40" i="31"/>
  <c r="AA40" i="31" l="1"/>
  <c r="Z47" i="31"/>
  <c r="Z45" i="31"/>
  <c r="Y48" i="31"/>
  <c r="Y51" i="31" s="1"/>
  <c r="Y53" i="31" s="1"/>
  <c r="Z48" i="31" l="1"/>
  <c r="Z51" i="31" s="1"/>
  <c r="Z53" i="31" s="1"/>
  <c r="AA45" i="31"/>
  <c r="AA47" i="31"/>
  <c r="AB40" i="31"/>
  <c r="AB45" i="31" l="1"/>
  <c r="AC40" i="31"/>
  <c r="AB47" i="31"/>
  <c r="AA48" i="31"/>
  <c r="AA51" i="31" s="1"/>
  <c r="AA53" i="31" s="1"/>
  <c r="AC47" i="31" l="1"/>
  <c r="AC45" i="31"/>
  <c r="AB48" i="31"/>
  <c r="AB51" i="31" s="1"/>
  <c r="AB53" i="31" s="1"/>
  <c r="AC48" i="31" l="1"/>
  <c r="AC51" i="31" s="1"/>
  <c r="AC53" i="31" s="1"/>
  <c r="I27" i="34" l="1"/>
  <c r="I24" i="34" s="1"/>
  <c r="I52" i="35" s="1"/>
  <c r="J50" i="35" s="1"/>
  <c r="I102" i="34"/>
  <c r="I99" i="34" s="1"/>
  <c r="I129" i="24" s="1"/>
  <c r="I115" i="34"/>
  <c r="I112" i="34" s="1"/>
  <c r="I27" i="49"/>
  <c r="I24" i="49" s="1"/>
  <c r="I26" i="24" s="1"/>
  <c r="I76" i="49"/>
  <c r="I74" i="49" s="1"/>
  <c r="I101" i="49"/>
  <c r="I98" i="49" s="1"/>
  <c r="I128" i="24" s="1"/>
  <c r="I114" i="49"/>
  <c r="I111" i="49" s="1"/>
  <c r="I145" i="24" s="1"/>
  <c r="H38" i="50"/>
  <c r="I89" i="1"/>
  <c r="I90" i="1"/>
  <c r="I91" i="1"/>
  <c r="I95" i="1"/>
  <c r="AN20" i="36"/>
  <c r="AF23" i="39" s="1"/>
  <c r="AO20" i="36"/>
  <c r="AG23" i="39" s="1"/>
  <c r="AN24" i="36"/>
  <c r="AO24" i="36"/>
  <c r="AN28" i="36"/>
  <c r="AO28" i="36"/>
  <c r="AP24" i="54"/>
  <c r="AP27" i="54"/>
  <c r="AP30" i="54" s="1"/>
  <c r="I52" i="50" l="1"/>
  <c r="J50" i="50" s="1"/>
  <c r="I126" i="24"/>
  <c r="I46" i="1" s="1"/>
  <c r="AO31" i="36"/>
  <c r="AG22" i="39" s="1"/>
  <c r="AN31" i="36"/>
  <c r="AF9" i="37" s="1"/>
  <c r="I93" i="24"/>
  <c r="I91" i="24" s="1"/>
  <c r="I106" i="49"/>
  <c r="I74" i="34"/>
  <c r="I146" i="24"/>
  <c r="I143" i="24" s="1"/>
  <c r="I107" i="34"/>
  <c r="I27" i="24"/>
  <c r="I24" i="24" s="1"/>
  <c r="I23" i="34"/>
  <c r="I125" i="34" l="1"/>
  <c r="AF22" i="39"/>
  <c r="AG9" i="37"/>
  <c r="I137" i="24"/>
  <c r="I50" i="1" s="1"/>
  <c r="I52" i="1"/>
  <c r="I52" i="25"/>
  <c r="I32" i="1"/>
  <c r="J50" i="25" l="1"/>
  <c r="J84" i="1" s="1"/>
  <c r="I85" i="1"/>
  <c r="D10" i="37" l="1"/>
  <c r="D79" i="37"/>
  <c r="E75" i="37" s="1"/>
  <c r="D92" i="37"/>
  <c r="E76" i="37" l="1"/>
  <c r="E78" i="37" s="1"/>
  <c r="F40" i="35"/>
  <c r="G40" i="35" s="1"/>
  <c r="D24" i="40"/>
  <c r="D80" i="37"/>
  <c r="G40" i="25" l="1"/>
  <c r="F40" i="25"/>
  <c r="G75" i="1" l="1"/>
  <c r="F75" i="1"/>
  <c r="D38" i="39" l="1"/>
  <c r="H39" i="50" l="1"/>
  <c r="H61" i="33"/>
  <c r="H25" i="35" l="1"/>
  <c r="H27" i="35" s="1"/>
  <c r="H86" i="48" l="1"/>
  <c r="H36" i="50"/>
  <c r="H79" i="48" l="1"/>
  <c r="H35" i="50"/>
  <c r="H122" i="23"/>
  <c r="H37" i="50"/>
  <c r="H83" i="48"/>
  <c r="H42" i="50"/>
  <c r="H42" i="25" s="1"/>
  <c r="H84" i="48" l="1"/>
  <c r="H131" i="23"/>
  <c r="H81" i="48"/>
  <c r="H80" i="48"/>
  <c r="H90" i="48"/>
  <c r="H40" i="50" l="1"/>
  <c r="H92" i="48"/>
  <c r="H91" i="48"/>
  <c r="H45" i="33"/>
  <c r="H42" i="33" s="1"/>
  <c r="H101" i="49"/>
  <c r="H98" i="49" s="1"/>
  <c r="H48" i="33" l="1"/>
  <c r="H46" i="35"/>
  <c r="H43" i="33"/>
  <c r="H27" i="49"/>
  <c r="H24" i="49" s="1"/>
  <c r="H128" i="24"/>
  <c r="H76" i="49"/>
  <c r="H74" i="49" s="1"/>
  <c r="H114" i="49"/>
  <c r="H111" i="49" s="1"/>
  <c r="H26" i="24" l="1"/>
  <c r="H52" i="50"/>
  <c r="H23" i="49"/>
  <c r="H71" i="49" s="1"/>
  <c r="H49" i="33"/>
  <c r="H50" i="33"/>
  <c r="H145" i="24"/>
  <c r="H106" i="49"/>
  <c r="H43" i="50"/>
  <c r="H73" i="49"/>
  <c r="H136" i="49"/>
  <c r="H41" i="50"/>
  <c r="H93" i="24"/>
  <c r="H91" i="24" s="1"/>
  <c r="I41" i="50"/>
  <c r="I43" i="50"/>
  <c r="H76" i="1" l="1"/>
  <c r="H24" i="50"/>
  <c r="H27" i="50" s="1"/>
  <c r="H124" i="49"/>
  <c r="I50" i="50"/>
  <c r="H34" i="50" l="1"/>
  <c r="H47" i="50" s="1"/>
  <c r="AO24" i="54" l="1"/>
  <c r="AN24" i="54"/>
  <c r="AG23" i="51" l="1"/>
  <c r="AO27" i="54"/>
  <c r="AF23" i="51"/>
  <c r="AN27" i="54"/>
  <c r="AO30" i="54" l="1"/>
  <c r="AN30" i="54"/>
  <c r="AF22" i="52" l="1"/>
  <c r="AF9" i="53"/>
  <c r="AG9" i="53"/>
  <c r="AG22" i="52"/>
  <c r="AG22" i="43" l="1"/>
  <c r="AG33" i="52"/>
  <c r="AF33" i="52"/>
  <c r="AF22" i="43"/>
  <c r="H27" i="34" l="1"/>
  <c r="H24" i="34" s="1"/>
  <c r="H23" i="34" s="1"/>
  <c r="H102" i="34"/>
  <c r="H99" i="34" s="1"/>
  <c r="H74" i="34" s="1"/>
  <c r="H115" i="34"/>
  <c r="H112" i="34" s="1"/>
  <c r="H107" i="34" s="1"/>
  <c r="H36" i="35"/>
  <c r="H36" i="25" s="1"/>
  <c r="H71" i="1" s="1"/>
  <c r="H38" i="35"/>
  <c r="H38" i="25" s="1"/>
  <c r="H73" i="1" s="1"/>
  <c r="H39" i="35"/>
  <c r="H39" i="25" s="1"/>
  <c r="H74" i="1" s="1"/>
  <c r="H40" i="35"/>
  <c r="H40" i="25" s="1"/>
  <c r="H75" i="1" s="1"/>
  <c r="H52" i="33"/>
  <c r="H35" i="35" s="1"/>
  <c r="H63" i="33"/>
  <c r="H52" i="35" l="1"/>
  <c r="I50" i="35" s="1"/>
  <c r="H27" i="24"/>
  <c r="H24" i="24" s="1"/>
  <c r="H23" i="24" s="1"/>
  <c r="H43" i="35"/>
  <c r="H47" i="35" s="1"/>
  <c r="H129" i="24"/>
  <c r="H126" i="24" s="1"/>
  <c r="H54" i="33"/>
  <c r="H120" i="23"/>
  <c r="H119" i="23" s="1"/>
  <c r="H35" i="25" s="1"/>
  <c r="I43" i="35"/>
  <c r="I47" i="35" s="1"/>
  <c r="H58" i="33"/>
  <c r="H37" i="35"/>
  <c r="H125" i="34"/>
  <c r="H146" i="24"/>
  <c r="H143" i="24" s="1"/>
  <c r="H32" i="1" l="1"/>
  <c r="H85" i="1" s="1"/>
  <c r="H52" i="25"/>
  <c r="I50" i="25" s="1"/>
  <c r="I84" i="1" s="1"/>
  <c r="H124" i="23"/>
  <c r="H125" i="23" s="1"/>
  <c r="H55" i="33"/>
  <c r="H56" i="33"/>
  <c r="H46" i="1"/>
  <c r="H90" i="24"/>
  <c r="H45" i="1" s="1"/>
  <c r="H67" i="33"/>
  <c r="H68" i="33" s="1"/>
  <c r="H137" i="24"/>
  <c r="I43" i="25"/>
  <c r="I77" i="1" s="1"/>
  <c r="H43" i="25"/>
  <c r="I5" i="3"/>
  <c r="H52" i="1"/>
  <c r="H70" i="1"/>
  <c r="H133" i="23"/>
  <c r="H128" i="23" s="1"/>
  <c r="H59" i="33"/>
  <c r="H69" i="33" l="1"/>
  <c r="H126" i="23"/>
  <c r="H140" i="23"/>
  <c r="H24" i="1" s="1"/>
  <c r="H31" i="1"/>
  <c r="H49" i="1"/>
  <c r="H159" i="24"/>
  <c r="H50" i="1"/>
  <c r="H55" i="1" s="1"/>
  <c r="H25" i="25"/>
  <c r="H129" i="23"/>
  <c r="H77" i="1"/>
  <c r="J5" i="3"/>
  <c r="J9" i="3" s="1"/>
  <c r="I9" i="3"/>
  <c r="H142" i="23" l="1"/>
  <c r="H141" i="23"/>
  <c r="K4" i="3"/>
  <c r="K7" i="3"/>
  <c r="K6" i="3"/>
  <c r="D9" i="3"/>
  <c r="K8" i="3"/>
  <c r="H27" i="25"/>
  <c r="H64" i="1"/>
  <c r="H66" i="1" s="1"/>
  <c r="H26" i="1"/>
  <c r="H25" i="1"/>
  <c r="K5" i="3"/>
  <c r="F7" i="3" l="1"/>
  <c r="F6" i="3"/>
  <c r="F5" i="3"/>
  <c r="D4" i="3"/>
  <c r="K9" i="3"/>
  <c r="F4" i="3" l="1"/>
  <c r="F9" i="3" s="1"/>
  <c r="E4" i="3"/>
  <c r="E9" i="3" s="1"/>
  <c r="E218" i="20" l="1"/>
  <c r="E223" i="20" s="1"/>
  <c r="J129" i="34" s="1"/>
  <c r="E194" i="20" l="1"/>
  <c r="D239" i="20" s="1"/>
  <c r="E195" i="20"/>
  <c r="K66" i="34" s="1"/>
  <c r="D15" i="20"/>
  <c r="D197" i="20"/>
  <c r="D198" i="20" s="1"/>
  <c r="D225" i="20" s="1"/>
  <c r="E38" i="20"/>
  <c r="D43" i="20"/>
  <c r="D44" i="20" s="1"/>
  <c r="H129" i="34"/>
  <c r="L129" i="34"/>
  <c r="P129" i="34"/>
  <c r="T129" i="34"/>
  <c r="X129" i="34"/>
  <c r="AB129" i="34"/>
  <c r="G129" i="34"/>
  <c r="K129" i="34"/>
  <c r="O129" i="34"/>
  <c r="S129" i="34"/>
  <c r="W129" i="34"/>
  <c r="AA129" i="34"/>
  <c r="E224" i="20"/>
  <c r="F129" i="34"/>
  <c r="N129" i="34"/>
  <c r="R129" i="34"/>
  <c r="V129" i="34"/>
  <c r="Z129" i="34"/>
  <c r="Q129" i="34"/>
  <c r="M129" i="34"/>
  <c r="AC129" i="34"/>
  <c r="I129" i="34"/>
  <c r="Y129" i="34"/>
  <c r="U129" i="34"/>
  <c r="E129" i="34"/>
  <c r="E127" i="34" s="1"/>
  <c r="J61" i="34" l="1"/>
  <c r="K61" i="34"/>
  <c r="Q61" i="34"/>
  <c r="V61" i="34"/>
  <c r="X61" i="34"/>
  <c r="P61" i="34"/>
  <c r="M61" i="34"/>
  <c r="S61" i="34"/>
  <c r="AC61" i="34"/>
  <c r="Z61" i="34"/>
  <c r="AB61" i="34"/>
  <c r="F61" i="34"/>
  <c r="N61" i="34"/>
  <c r="H61" i="34"/>
  <c r="W61" i="34"/>
  <c r="U61" i="34"/>
  <c r="G61" i="34"/>
  <c r="AA61" i="34"/>
  <c r="R61" i="34"/>
  <c r="Y61" i="34"/>
  <c r="L61" i="34"/>
  <c r="E61" i="34"/>
  <c r="E59" i="34" s="1"/>
  <c r="E75" i="24" s="1"/>
  <c r="I61" i="34"/>
  <c r="T61" i="34"/>
  <c r="O61" i="34"/>
  <c r="E43" i="20"/>
  <c r="E44" i="20" s="1"/>
  <c r="E164" i="24"/>
  <c r="G66" i="34"/>
  <c r="G64" i="34" s="1"/>
  <c r="K64" i="34"/>
  <c r="O66" i="34"/>
  <c r="O64" i="34" s="1"/>
  <c r="S66" i="34"/>
  <c r="S64" i="34" s="1"/>
  <c r="W66" i="34"/>
  <c r="W64" i="34" s="1"/>
  <c r="AA66" i="34"/>
  <c r="AA64" i="34" s="1"/>
  <c r="F66" i="34"/>
  <c r="F64" i="34" s="1"/>
  <c r="J66" i="34"/>
  <c r="J64" i="34" s="1"/>
  <c r="N66" i="34"/>
  <c r="N64" i="34" s="1"/>
  <c r="R66" i="34"/>
  <c r="R64" i="34" s="1"/>
  <c r="V66" i="34"/>
  <c r="V64" i="34" s="1"/>
  <c r="Z66" i="34"/>
  <c r="Z64" i="34" s="1"/>
  <c r="E197" i="20"/>
  <c r="E198" i="20" s="1"/>
  <c r="E225" i="20" s="1"/>
  <c r="E66" i="34"/>
  <c r="E64" i="34" s="1"/>
  <c r="I66" i="34"/>
  <c r="I64" i="34" s="1"/>
  <c r="M66" i="34"/>
  <c r="M64" i="34" s="1"/>
  <c r="Q66" i="34"/>
  <c r="Q64" i="34" s="1"/>
  <c r="U66" i="34"/>
  <c r="U64" i="34" s="1"/>
  <c r="Y66" i="34"/>
  <c r="Y64" i="34" s="1"/>
  <c r="AC66" i="34"/>
  <c r="AC64" i="34" s="1"/>
  <c r="L66" i="34"/>
  <c r="L64" i="34" s="1"/>
  <c r="AB66" i="34"/>
  <c r="AB64" i="34" s="1"/>
  <c r="H66" i="34"/>
  <c r="H64" i="34" s="1"/>
  <c r="X66" i="34"/>
  <c r="X64" i="34" s="1"/>
  <c r="T66" i="34"/>
  <c r="T64" i="34" s="1"/>
  <c r="P66" i="34"/>
  <c r="P64" i="34" s="1"/>
  <c r="E15" i="20"/>
  <c r="E165" i="24" l="1"/>
  <c r="E161" i="24" s="1"/>
  <c r="E56" i="1" s="1"/>
  <c r="E76" i="24"/>
  <c r="E72" i="24" s="1"/>
  <c r="E41" i="1" s="1"/>
  <c r="E239" i="20"/>
  <c r="E242" i="20" s="1"/>
  <c r="E243" i="20" s="1"/>
  <c r="E270" i="20" s="1"/>
  <c r="D242" i="20"/>
  <c r="D243" i="20" s="1"/>
  <c r="D270" i="20" s="1"/>
  <c r="D14" i="20"/>
  <c r="P80" i="24"/>
  <c r="P77" i="24" s="1"/>
  <c r="P28" i="35"/>
  <c r="AB28" i="35"/>
  <c r="U28" i="35"/>
  <c r="E50" i="34"/>
  <c r="E72" i="34" s="1"/>
  <c r="E134" i="34" s="1"/>
  <c r="E80" i="24"/>
  <c r="E77" i="24" s="1"/>
  <c r="R28" i="35"/>
  <c r="AA28" i="35"/>
  <c r="K80" i="24"/>
  <c r="K77" i="24" s="1"/>
  <c r="K28" i="35"/>
  <c r="H80" i="24"/>
  <c r="H77" i="24" s="1"/>
  <c r="H28" i="35"/>
  <c r="Y28" i="35"/>
  <c r="I80" i="24"/>
  <c r="I77" i="24" s="1"/>
  <c r="J81" i="24" s="1"/>
  <c r="I28" i="35"/>
  <c r="V28" i="35"/>
  <c r="F80" i="24"/>
  <c r="F77" i="24" s="1"/>
  <c r="F28" i="35"/>
  <c r="O28" i="35"/>
  <c r="O80" i="24"/>
  <c r="O77" i="24" s="1"/>
  <c r="X28" i="35"/>
  <c r="AC28" i="35"/>
  <c r="M80" i="24"/>
  <c r="M77" i="24" s="1"/>
  <c r="M28" i="35"/>
  <c r="Z28" i="35"/>
  <c r="J80" i="24"/>
  <c r="J28" i="35"/>
  <c r="S28" i="35"/>
  <c r="T28" i="35"/>
  <c r="L80" i="24"/>
  <c r="L77" i="24" s="1"/>
  <c r="L28" i="35"/>
  <c r="Q80" i="24"/>
  <c r="Q77" i="24" s="1"/>
  <c r="Q28" i="35"/>
  <c r="N80" i="24"/>
  <c r="N77" i="24" s="1"/>
  <c r="N28" i="35"/>
  <c r="W28" i="35"/>
  <c r="G80" i="24"/>
  <c r="G77" i="24" s="1"/>
  <c r="G28" i="35"/>
  <c r="J77" i="24" l="1"/>
  <c r="J28" i="25" s="1"/>
  <c r="E14" i="20"/>
  <c r="E17" i="20" s="1"/>
  <c r="E18" i="20" s="1"/>
  <c r="E45" i="20" s="1"/>
  <c r="D17" i="20"/>
  <c r="D18" i="20" s="1"/>
  <c r="D45" i="20" s="1"/>
  <c r="G28" i="25"/>
  <c r="G42" i="1"/>
  <c r="N28" i="25"/>
  <c r="N42" i="1"/>
  <c r="O31" i="35"/>
  <c r="N31" i="35"/>
  <c r="L31" i="35"/>
  <c r="Z31" i="35"/>
  <c r="AC31" i="35"/>
  <c r="O28" i="25"/>
  <c r="O42" i="1"/>
  <c r="Y31" i="35"/>
  <c r="R28" i="25"/>
  <c r="Q28" i="25"/>
  <c r="Q42" i="1"/>
  <c r="M28" i="25"/>
  <c r="M42" i="1"/>
  <c r="F28" i="25"/>
  <c r="F42" i="1"/>
  <c r="I28" i="25"/>
  <c r="I42" i="1"/>
  <c r="H28" i="25"/>
  <c r="H42" i="1"/>
  <c r="K42" i="1"/>
  <c r="P28" i="25"/>
  <c r="P42" i="1"/>
  <c r="W31" i="35"/>
  <c r="Q31" i="35"/>
  <c r="T31" i="35"/>
  <c r="J31" i="35"/>
  <c r="M31" i="35"/>
  <c r="X31" i="35"/>
  <c r="F31" i="35"/>
  <c r="I31" i="35"/>
  <c r="H31" i="35"/>
  <c r="K31" i="35"/>
  <c r="R31" i="35"/>
  <c r="U31" i="35"/>
  <c r="P31" i="35"/>
  <c r="L28" i="25"/>
  <c r="L42" i="1"/>
  <c r="V31" i="35"/>
  <c r="G31" i="35"/>
  <c r="S31" i="35"/>
  <c r="AA31" i="35"/>
  <c r="E61" i="24"/>
  <c r="E88" i="24" s="1"/>
  <c r="E169" i="24" s="1"/>
  <c r="E42" i="1"/>
  <c r="E38" i="1" s="1"/>
  <c r="E44" i="1" s="1"/>
  <c r="E57" i="1" s="1"/>
  <c r="AB31" i="35"/>
  <c r="K28" i="25" l="1"/>
  <c r="K31" i="25" s="1"/>
  <c r="J42" i="1"/>
  <c r="G31" i="25"/>
  <c r="G67" i="1"/>
  <c r="P31" i="25"/>
  <c r="P67" i="1"/>
  <c r="H31" i="25"/>
  <c r="H67" i="1"/>
  <c r="F31" i="25"/>
  <c r="F67" i="1"/>
  <c r="J31" i="25"/>
  <c r="J67" i="1"/>
  <c r="L31" i="25"/>
  <c r="L67" i="1"/>
  <c r="R31" i="25"/>
  <c r="O31" i="25"/>
  <c r="O67" i="1"/>
  <c r="N31" i="25"/>
  <c r="N67" i="1"/>
  <c r="I31" i="25"/>
  <c r="I67" i="1"/>
  <c r="M31" i="25"/>
  <c r="M67" i="1"/>
  <c r="Q31" i="25"/>
  <c r="Q67" i="1"/>
  <c r="K67" i="1" l="1"/>
  <c r="J94" i="1"/>
  <c r="K94" i="1"/>
  <c r="L94" i="1"/>
  <c r="M94" i="1"/>
  <c r="N94" i="1"/>
  <c r="O94" i="1"/>
  <c r="P94" i="1"/>
  <c r="I169" i="46" l="1"/>
  <c r="I166" i="46" s="1"/>
  <c r="J169" i="46"/>
  <c r="K169" i="46"/>
  <c r="L169" i="46"/>
  <c r="L166" i="46" s="1"/>
  <c r="M169" i="46"/>
  <c r="M166" i="46" s="1"/>
  <c r="M223" i="46" s="1"/>
  <c r="N80" i="49" s="1"/>
  <c r="N77" i="49" s="1"/>
  <c r="N98" i="24" s="1"/>
  <c r="N96" i="24" s="1"/>
  <c r="N48" i="1" s="1"/>
  <c r="N169" i="46"/>
  <c r="N166" i="46" s="1"/>
  <c r="N223" i="46" s="1"/>
  <c r="O80" i="49" s="1"/>
  <c r="O77" i="49" s="1"/>
  <c r="O98" i="24" s="1"/>
  <c r="O96" i="24" s="1"/>
  <c r="O48" i="1" s="1"/>
  <c r="O169" i="46"/>
  <c r="O166" i="46" s="1"/>
  <c r="I177" i="46"/>
  <c r="J177" i="46"/>
  <c r="J174" i="46" s="1"/>
  <c r="J224" i="46" s="1"/>
  <c r="K40" i="49" s="1"/>
  <c r="K37" i="49" s="1"/>
  <c r="K177" i="46"/>
  <c r="K174" i="46" s="1"/>
  <c r="K224" i="46" s="1"/>
  <c r="L40" i="49" s="1"/>
  <c r="L37" i="49" s="1"/>
  <c r="L177" i="46"/>
  <c r="L174" i="46" s="1"/>
  <c r="M177" i="46"/>
  <c r="N177" i="46"/>
  <c r="N174" i="46" s="1"/>
  <c r="N224" i="46" s="1"/>
  <c r="O40" i="49" s="1"/>
  <c r="O37" i="49" s="1"/>
  <c r="O177" i="46"/>
  <c r="O174" i="46" s="1"/>
  <c r="I186" i="46"/>
  <c r="I183" i="46" s="1"/>
  <c r="R183" i="46" s="1"/>
  <c r="J186" i="46"/>
  <c r="J183" i="46" s="1"/>
  <c r="K186" i="46"/>
  <c r="K183" i="46" s="1"/>
  <c r="L186" i="46"/>
  <c r="L183" i="46" s="1"/>
  <c r="M186" i="46"/>
  <c r="M183" i="46" s="1"/>
  <c r="N186" i="46"/>
  <c r="N183" i="46" s="1"/>
  <c r="O186" i="46"/>
  <c r="O183" i="46" s="1"/>
  <c r="J166" i="46" l="1"/>
  <c r="J223" i="46" s="1"/>
  <c r="K80" i="49" s="1"/>
  <c r="K77" i="49" s="1"/>
  <c r="K98" i="24" s="1"/>
  <c r="K96" i="24" s="1"/>
  <c r="K48" i="1" s="1"/>
  <c r="J203" i="46"/>
  <c r="N203" i="46"/>
  <c r="N200" i="46" s="1"/>
  <c r="N201" i="46" s="1"/>
  <c r="I223" i="46"/>
  <c r="R166" i="46"/>
  <c r="O184" i="46"/>
  <c r="S183" i="46"/>
  <c r="O225" i="46"/>
  <c r="P47" i="49" s="1"/>
  <c r="P44" i="49" s="1"/>
  <c r="P52" i="24" s="1"/>
  <c r="P50" i="24" s="1"/>
  <c r="P37" i="1" s="1"/>
  <c r="K225" i="46"/>
  <c r="L47" i="49" s="1"/>
  <c r="L44" i="49" s="1"/>
  <c r="L52" i="24" s="1"/>
  <c r="L50" i="24" s="1"/>
  <c r="L37" i="1" s="1"/>
  <c r="K184" i="46"/>
  <c r="S186" i="46"/>
  <c r="K203" i="46"/>
  <c r="K200" i="46" s="1"/>
  <c r="K201" i="46" s="1"/>
  <c r="S177" i="46"/>
  <c r="J200" i="46"/>
  <c r="L225" i="46"/>
  <c r="M47" i="49" s="1"/>
  <c r="M44" i="49" s="1"/>
  <c r="M52" i="24" s="1"/>
  <c r="M50" i="24" s="1"/>
  <c r="M37" i="1" s="1"/>
  <c r="L184" i="46"/>
  <c r="M203" i="46"/>
  <c r="M200" i="46" s="1"/>
  <c r="M201" i="46" s="1"/>
  <c r="I203" i="46"/>
  <c r="I200" i="46" s="1"/>
  <c r="O224" i="46"/>
  <c r="P40" i="49" s="1"/>
  <c r="P37" i="49" s="1"/>
  <c r="P42" i="24" s="1"/>
  <c r="P40" i="24" s="1"/>
  <c r="O223" i="46"/>
  <c r="S166" i="46"/>
  <c r="N184" i="46"/>
  <c r="N225" i="46"/>
  <c r="O47" i="49" s="1"/>
  <c r="O44" i="49" s="1"/>
  <c r="O52" i="24" s="1"/>
  <c r="O50" i="24" s="1"/>
  <c r="O37" i="1" s="1"/>
  <c r="J184" i="46"/>
  <c r="J225" i="46"/>
  <c r="K47" i="49" s="1"/>
  <c r="K44" i="49" s="1"/>
  <c r="K52" i="24" s="1"/>
  <c r="K50" i="24" s="1"/>
  <c r="K37" i="1" s="1"/>
  <c r="L223" i="46"/>
  <c r="M184" i="46"/>
  <c r="M225" i="46"/>
  <c r="N47" i="49" s="1"/>
  <c r="N44" i="49" s="1"/>
  <c r="N52" i="24" s="1"/>
  <c r="N50" i="24" s="1"/>
  <c r="N37" i="1" s="1"/>
  <c r="I225" i="46"/>
  <c r="I184" i="46"/>
  <c r="L224" i="46"/>
  <c r="M40" i="49" s="1"/>
  <c r="M37" i="49" s="1"/>
  <c r="O203" i="46"/>
  <c r="S169" i="46"/>
  <c r="K166" i="46"/>
  <c r="L203" i="46"/>
  <c r="L200" i="46" s="1"/>
  <c r="M174" i="46"/>
  <c r="I174" i="46"/>
  <c r="R174" i="46" s="1"/>
  <c r="L42" i="24"/>
  <c r="L40" i="24" s="1"/>
  <c r="O42" i="24"/>
  <c r="O40" i="24" s="1"/>
  <c r="K42" i="24"/>
  <c r="K40" i="24" s="1"/>
  <c r="J227" i="46"/>
  <c r="J201" i="46" l="1"/>
  <c r="J208" i="46"/>
  <c r="K171" i="24"/>
  <c r="I201" i="46"/>
  <c r="R200" i="46"/>
  <c r="J47" i="49"/>
  <c r="J44" i="49" s="1"/>
  <c r="J52" i="24" s="1"/>
  <c r="J50" i="24" s="1"/>
  <c r="J37" i="1" s="1"/>
  <c r="I47" i="49"/>
  <c r="I44" i="49" s="1"/>
  <c r="I52" i="24" s="1"/>
  <c r="I50" i="24" s="1"/>
  <c r="I37" i="1" s="1"/>
  <c r="J80" i="49"/>
  <c r="J77" i="49" s="1"/>
  <c r="J98" i="24" s="1"/>
  <c r="J96" i="24" s="1"/>
  <c r="J48" i="1" s="1"/>
  <c r="I80" i="49"/>
  <c r="I77" i="49" s="1"/>
  <c r="S174" i="46"/>
  <c r="N208" i="46"/>
  <c r="I208" i="46"/>
  <c r="K208" i="46"/>
  <c r="L35" i="1"/>
  <c r="K223" i="46"/>
  <c r="P80" i="49"/>
  <c r="P77" i="49" s="1"/>
  <c r="P98" i="24" s="1"/>
  <c r="P96" i="24" s="1"/>
  <c r="P48" i="1" s="1"/>
  <c r="O227" i="46"/>
  <c r="O171" i="24"/>
  <c r="O35" i="1"/>
  <c r="M224" i="46"/>
  <c r="O200" i="46"/>
  <c r="S203" i="46"/>
  <c r="M42" i="24"/>
  <c r="M40" i="24" s="1"/>
  <c r="M80" i="49"/>
  <c r="M77" i="49" s="1"/>
  <c r="M98" i="24" s="1"/>
  <c r="M96" i="24" s="1"/>
  <c r="M48" i="1" s="1"/>
  <c r="L227" i="46"/>
  <c r="N227" i="46"/>
  <c r="K35" i="1"/>
  <c r="L201" i="46"/>
  <c r="L208" i="46"/>
  <c r="I224" i="46"/>
  <c r="I40" i="49" s="1"/>
  <c r="I37" i="49" s="1"/>
  <c r="P35" i="1"/>
  <c r="M208" i="46"/>
  <c r="I98" i="24" l="1"/>
  <c r="I96" i="24" s="1"/>
  <c r="I73" i="49"/>
  <c r="I124" i="49" s="1"/>
  <c r="I42" i="24"/>
  <c r="I40" i="24" s="1"/>
  <c r="I23" i="49"/>
  <c r="I71" i="49" s="1"/>
  <c r="I136" i="49"/>
  <c r="I24" i="50" s="1"/>
  <c r="J40" i="49"/>
  <c r="J37" i="49" s="1"/>
  <c r="I227" i="46"/>
  <c r="P228" i="46"/>
  <c r="O228" i="46"/>
  <c r="S200" i="46"/>
  <c r="O208" i="46"/>
  <c r="O201" i="46"/>
  <c r="P208" i="46"/>
  <c r="P171" i="24"/>
  <c r="Q24" i="25" s="1"/>
  <c r="M171" i="24"/>
  <c r="M35" i="1"/>
  <c r="N40" i="49"/>
  <c r="N37" i="49" s="1"/>
  <c r="M227" i="46"/>
  <c r="M228" i="46" s="1"/>
  <c r="L80" i="49"/>
  <c r="L77" i="49" s="1"/>
  <c r="L98" i="24" s="1"/>
  <c r="L96" i="24" s="1"/>
  <c r="K227" i="46"/>
  <c r="K228" i="46" s="1"/>
  <c r="I35" i="1" l="1"/>
  <c r="I31" i="1" s="1"/>
  <c r="I171" i="24"/>
  <c r="I24" i="25" s="1"/>
  <c r="I63" i="1" s="1"/>
  <c r="I23" i="24"/>
  <c r="I48" i="1"/>
  <c r="I90" i="24"/>
  <c r="N228" i="46"/>
  <c r="P24" i="25"/>
  <c r="P63" i="1" s="1"/>
  <c r="L228" i="46"/>
  <c r="J42" i="24"/>
  <c r="J40" i="24" s="1"/>
  <c r="Q63" i="1"/>
  <c r="I228" i="46"/>
  <c r="J228" i="46"/>
  <c r="L48" i="1"/>
  <c r="L171" i="24"/>
  <c r="N42" i="24"/>
  <c r="N40" i="24" s="1"/>
  <c r="I45" i="1" l="1"/>
  <c r="I159" i="24"/>
  <c r="N171" i="24"/>
  <c r="N35" i="1"/>
  <c r="J171" i="24"/>
  <c r="J35" i="1"/>
  <c r="M24" i="25"/>
  <c r="M63" i="1" s="1"/>
  <c r="L24" i="25"/>
  <c r="L63" i="1" s="1"/>
  <c r="I49" i="1" l="1"/>
  <c r="I55" i="1"/>
  <c r="O24" i="25"/>
  <c r="O63" i="1" s="1"/>
  <c r="N24" i="25"/>
  <c r="N63" i="1" s="1"/>
  <c r="I42" i="46"/>
  <c r="K24" i="25"/>
  <c r="K63" i="1" s="1"/>
  <c r="J24" i="25"/>
  <c r="J63" i="1" s="1"/>
  <c r="R42" i="46" l="1"/>
  <c r="I33" i="48"/>
  <c r="J33" i="48"/>
  <c r="I82" i="46"/>
  <c r="R82" i="46" s="1"/>
  <c r="I167" i="46"/>
  <c r="I43" i="46"/>
  <c r="I175" i="46"/>
  <c r="K45" i="46"/>
  <c r="I60" i="48" l="1"/>
  <c r="I61" i="48" s="1"/>
  <c r="I31" i="48"/>
  <c r="I83" i="46"/>
  <c r="I138" i="46"/>
  <c r="R138" i="46" s="1"/>
  <c r="J175" i="46"/>
  <c r="J167" i="46"/>
  <c r="J43" i="46"/>
  <c r="J82" i="46"/>
  <c r="K42" i="46"/>
  <c r="K85" i="46"/>
  <c r="L45" i="46"/>
  <c r="J60" i="48"/>
  <c r="J61" i="48" s="1"/>
  <c r="J31" i="48"/>
  <c r="I57" i="48" l="1"/>
  <c r="I32" i="48"/>
  <c r="I39" i="23"/>
  <c r="N45" i="46"/>
  <c r="K60" i="48"/>
  <c r="K61" i="48" s="1"/>
  <c r="J39" i="23"/>
  <c r="J57" i="48"/>
  <c r="J32" i="48"/>
  <c r="I139" i="46"/>
  <c r="I146" i="46"/>
  <c r="R146" i="46" s="1"/>
  <c r="L42" i="46"/>
  <c r="L85" i="46"/>
  <c r="J138" i="46"/>
  <c r="J83" i="46"/>
  <c r="M45" i="46"/>
  <c r="K175" i="46"/>
  <c r="L33" i="48"/>
  <c r="K43" i="46"/>
  <c r="K82" i="46"/>
  <c r="K167" i="46"/>
  <c r="I92" i="23" l="1"/>
  <c r="I93" i="23" s="1"/>
  <c r="I40" i="23"/>
  <c r="I35" i="23"/>
  <c r="I87" i="23" s="1"/>
  <c r="I59" i="48"/>
  <c r="I73" i="48"/>
  <c r="I58" i="48"/>
  <c r="I23" i="50"/>
  <c r="M33" i="48"/>
  <c r="L43" i="46"/>
  <c r="L82" i="46"/>
  <c r="L167" i="46"/>
  <c r="L175" i="46"/>
  <c r="L31" i="48"/>
  <c r="L60" i="48"/>
  <c r="L61" i="48" s="1"/>
  <c r="I149" i="46"/>
  <c r="I148" i="46" s="1"/>
  <c r="I155" i="46" s="1"/>
  <c r="J40" i="23"/>
  <c r="J92" i="23"/>
  <c r="J93" i="23" s="1"/>
  <c r="J35" i="23"/>
  <c r="O45" i="46"/>
  <c r="M85" i="46"/>
  <c r="M42" i="46"/>
  <c r="J139" i="46"/>
  <c r="J146" i="46"/>
  <c r="J23" i="50"/>
  <c r="J59" i="48"/>
  <c r="J58" i="48"/>
  <c r="J73" i="48"/>
  <c r="N85" i="46"/>
  <c r="N42" i="46"/>
  <c r="K83" i="46"/>
  <c r="K138" i="46"/>
  <c r="K57" i="48"/>
  <c r="K32" i="48"/>
  <c r="K39" i="23"/>
  <c r="J85" i="48" l="1"/>
  <c r="J25" i="50" s="1"/>
  <c r="I85" i="48"/>
  <c r="I25" i="50" s="1"/>
  <c r="I27" i="50" s="1"/>
  <c r="I34" i="50" s="1"/>
  <c r="I36" i="23"/>
  <c r="I75" i="48"/>
  <c r="I74" i="48"/>
  <c r="K146" i="46"/>
  <c r="K139" i="46"/>
  <c r="N33" i="48"/>
  <c r="M82" i="46"/>
  <c r="M167" i="46"/>
  <c r="M43" i="46"/>
  <c r="M175" i="46"/>
  <c r="L32" i="48"/>
  <c r="L39" i="23"/>
  <c r="L57" i="48"/>
  <c r="O33" i="48"/>
  <c r="N175" i="46"/>
  <c r="N82" i="46"/>
  <c r="N43" i="46"/>
  <c r="N167" i="46"/>
  <c r="J75" i="48"/>
  <c r="J74" i="48"/>
  <c r="J149" i="46"/>
  <c r="J148" i="46" s="1"/>
  <c r="J155" i="46" s="1"/>
  <c r="K85" i="48" s="1"/>
  <c r="O85" i="46"/>
  <c r="S85" i="46" s="1"/>
  <c r="O42" i="46"/>
  <c r="S45" i="46"/>
  <c r="L138" i="46"/>
  <c r="L83" i="46"/>
  <c r="M60" i="48"/>
  <c r="M61" i="48" s="1"/>
  <c r="M31" i="48"/>
  <c r="K23" i="50"/>
  <c r="K58" i="48"/>
  <c r="K73" i="48"/>
  <c r="K59" i="48"/>
  <c r="K40" i="23"/>
  <c r="K92" i="23"/>
  <c r="K93" i="23" s="1"/>
  <c r="K35" i="23"/>
  <c r="K36" i="23" s="1"/>
  <c r="J36" i="23"/>
  <c r="J87" i="23"/>
  <c r="I88" i="23" l="1"/>
  <c r="I89" i="23"/>
  <c r="I18" i="1"/>
  <c r="I115" i="23"/>
  <c r="I23" i="25"/>
  <c r="I62" i="1" s="1"/>
  <c r="N138" i="46"/>
  <c r="N83" i="46"/>
  <c r="L35" i="23"/>
  <c r="L92" i="23"/>
  <c r="L93" i="23" s="1"/>
  <c r="L40" i="23"/>
  <c r="K149" i="46"/>
  <c r="K155" i="46"/>
  <c r="L85" i="48" s="1"/>
  <c r="K87" i="23"/>
  <c r="K115" i="23" s="1"/>
  <c r="K75" i="48"/>
  <c r="K74" i="48"/>
  <c r="S42" i="46"/>
  <c r="O82" i="46"/>
  <c r="O43" i="46"/>
  <c r="P33" i="48"/>
  <c r="O175" i="46"/>
  <c r="O167" i="46"/>
  <c r="L23" i="50"/>
  <c r="L58" i="48"/>
  <c r="L73" i="48"/>
  <c r="L59" i="48"/>
  <c r="J18" i="1"/>
  <c r="J89" i="23"/>
  <c r="J23" i="25"/>
  <c r="J88" i="23"/>
  <c r="J115" i="23"/>
  <c r="M32" i="48"/>
  <c r="M39" i="23"/>
  <c r="M57" i="48"/>
  <c r="O31" i="48"/>
  <c r="O60" i="48"/>
  <c r="O61" i="48" s="1"/>
  <c r="N60" i="48"/>
  <c r="N61" i="48" s="1"/>
  <c r="N31" i="48"/>
  <c r="L139" i="46"/>
  <c r="L146" i="46"/>
  <c r="K25" i="50"/>
  <c r="M83" i="46"/>
  <c r="M138" i="46"/>
  <c r="I21" i="1" l="1"/>
  <c r="I116" i="23"/>
  <c r="I117" i="23"/>
  <c r="I19" i="1"/>
  <c r="I20" i="1"/>
  <c r="M23" i="54"/>
  <c r="E23" i="52" s="1"/>
  <c r="E34" i="52" s="1"/>
  <c r="E15" i="51" s="1"/>
  <c r="O23" i="54"/>
  <c r="G23" i="52" s="1"/>
  <c r="G23" i="43" s="1"/>
  <c r="L23" i="54"/>
  <c r="D23" i="52" s="1"/>
  <c r="D34" i="52" s="1"/>
  <c r="D15" i="51" s="1"/>
  <c r="N23" i="54"/>
  <c r="F23" i="52" s="1"/>
  <c r="F34" i="52" s="1"/>
  <c r="F15" i="51" s="1"/>
  <c r="M146" i="46"/>
  <c r="M139" i="46"/>
  <c r="O57" i="48"/>
  <c r="O39" i="23"/>
  <c r="O32" i="48"/>
  <c r="J62" i="1"/>
  <c r="L74" i="48"/>
  <c r="L75" i="48"/>
  <c r="L25" i="50"/>
  <c r="L87" i="23"/>
  <c r="L36" i="23"/>
  <c r="O138" i="46"/>
  <c r="S82" i="46"/>
  <c r="O83" i="46"/>
  <c r="L155" i="46"/>
  <c r="M85" i="48" s="1"/>
  <c r="L149" i="46"/>
  <c r="M35" i="23"/>
  <c r="M40" i="23"/>
  <c r="M92" i="23"/>
  <c r="M93" i="23" s="1"/>
  <c r="J116" i="23"/>
  <c r="J117" i="23"/>
  <c r="J21" i="1"/>
  <c r="J19" i="1"/>
  <c r="J20" i="1"/>
  <c r="N139" i="46"/>
  <c r="N146" i="46"/>
  <c r="N39" i="23"/>
  <c r="N57" i="48"/>
  <c r="N32" i="48"/>
  <c r="M23" i="50"/>
  <c r="M59" i="48"/>
  <c r="M73" i="48"/>
  <c r="M58" i="48"/>
  <c r="P31" i="48"/>
  <c r="P60" i="48"/>
  <c r="P61" i="48" s="1"/>
  <c r="K23" i="25"/>
  <c r="K18" i="1"/>
  <c r="K89" i="23"/>
  <c r="K88" i="23"/>
  <c r="G34" i="52" l="1"/>
  <c r="G15" i="51" s="1"/>
  <c r="F23" i="43"/>
  <c r="D23" i="43"/>
  <c r="E23" i="43"/>
  <c r="S23" i="54"/>
  <c r="K23" i="52" s="1"/>
  <c r="K34" i="52" s="1"/>
  <c r="Q23" i="54"/>
  <c r="I23" i="52" s="1"/>
  <c r="I34" i="52" s="1"/>
  <c r="P23" i="54"/>
  <c r="H23" i="52" s="1"/>
  <c r="H34" i="52" s="1"/>
  <c r="R23" i="54"/>
  <c r="J23" i="52" s="1"/>
  <c r="J23" i="43" s="1"/>
  <c r="L25" i="54"/>
  <c r="D21" i="51" s="1"/>
  <c r="O25" i="54"/>
  <c r="M25" i="54"/>
  <c r="N25" i="54"/>
  <c r="I22" i="1"/>
  <c r="I23" i="1"/>
  <c r="P32" i="48"/>
  <c r="P57" i="48"/>
  <c r="Q58" i="48" s="1"/>
  <c r="P39" i="23"/>
  <c r="M74" i="48"/>
  <c r="M75" i="48"/>
  <c r="N23" i="50"/>
  <c r="N73" i="48"/>
  <c r="N58" i="48"/>
  <c r="N59" i="48"/>
  <c r="N155" i="46"/>
  <c r="O85" i="48" s="1"/>
  <c r="N149" i="46"/>
  <c r="K62" i="1"/>
  <c r="D34" i="43"/>
  <c r="L23" i="25"/>
  <c r="L88" i="23"/>
  <c r="L115" i="23"/>
  <c r="L89" i="23"/>
  <c r="L18" i="1"/>
  <c r="M149" i="46"/>
  <c r="M155" i="46"/>
  <c r="N85" i="48" s="1"/>
  <c r="K19" i="1"/>
  <c r="K20" i="1"/>
  <c r="N40" i="23"/>
  <c r="N92" i="23"/>
  <c r="N93" i="23" s="1"/>
  <c r="N35" i="23"/>
  <c r="J22" i="1"/>
  <c r="J23" i="1"/>
  <c r="O146" i="46"/>
  <c r="S138" i="46"/>
  <c r="O139" i="46"/>
  <c r="O23" i="50"/>
  <c r="O58" i="48"/>
  <c r="O73" i="48"/>
  <c r="O59" i="48"/>
  <c r="K117" i="23"/>
  <c r="K21" i="1"/>
  <c r="K116" i="23"/>
  <c r="M36" i="23"/>
  <c r="M87" i="23"/>
  <c r="M25" i="50"/>
  <c r="O40" i="23"/>
  <c r="O92" i="23"/>
  <c r="O93" i="23" s="1"/>
  <c r="O35" i="23"/>
  <c r="X23" i="54" l="1"/>
  <c r="P23" i="52" s="1"/>
  <c r="H23" i="43"/>
  <c r="H34" i="43" s="1"/>
  <c r="F34" i="43"/>
  <c r="J34" i="52"/>
  <c r="J15" i="51" s="1"/>
  <c r="E34" i="43"/>
  <c r="G34" i="43"/>
  <c r="I23" i="43"/>
  <c r="K23" i="43"/>
  <c r="P25" i="54"/>
  <c r="Q25" i="54"/>
  <c r="S25" i="54"/>
  <c r="R25" i="54"/>
  <c r="Y23" i="54"/>
  <c r="Q23" i="52" s="1"/>
  <c r="W23" i="54"/>
  <c r="O23" i="52" s="1"/>
  <c r="O23" i="43" s="1"/>
  <c r="T23" i="54"/>
  <c r="L23" i="52" s="1"/>
  <c r="L34" i="52" s="1"/>
  <c r="V23" i="54"/>
  <c r="N23" i="52" s="1"/>
  <c r="N23" i="43" s="1"/>
  <c r="U23" i="54"/>
  <c r="M23" i="52" s="1"/>
  <c r="M23" i="43" s="1"/>
  <c r="Z23" i="54"/>
  <c r="R23" i="52" s="1"/>
  <c r="AA23" i="54"/>
  <c r="S23" i="52" s="1"/>
  <c r="O87" i="23"/>
  <c r="O36" i="23"/>
  <c r="K23" i="1"/>
  <c r="K22" i="1"/>
  <c r="O75" i="48"/>
  <c r="O74" i="48"/>
  <c r="H15" i="51"/>
  <c r="N25" i="50"/>
  <c r="L21" i="1"/>
  <c r="L116" i="23"/>
  <c r="L117" i="23"/>
  <c r="P23" i="50"/>
  <c r="AB23" i="54" s="1"/>
  <c r="P58" i="48"/>
  <c r="P73" i="48"/>
  <c r="Q74" i="48" s="1"/>
  <c r="P59" i="48"/>
  <c r="I15" i="51"/>
  <c r="N36" i="23"/>
  <c r="N87" i="23"/>
  <c r="K15" i="51"/>
  <c r="O25" i="50"/>
  <c r="AC23" i="54"/>
  <c r="P35" i="23"/>
  <c r="P40" i="23"/>
  <c r="P92" i="23"/>
  <c r="P93" i="23" s="1"/>
  <c r="M23" i="25"/>
  <c r="M88" i="23"/>
  <c r="M115" i="23"/>
  <c r="M18" i="1"/>
  <c r="M89" i="23"/>
  <c r="O149" i="46"/>
  <c r="S146" i="46"/>
  <c r="O155" i="46"/>
  <c r="P85" i="48" s="1"/>
  <c r="L20" i="1"/>
  <c r="L19" i="1"/>
  <c r="L62" i="1"/>
  <c r="N75" i="48"/>
  <c r="N74" i="48"/>
  <c r="I34" i="43" l="1"/>
  <c r="AE23" i="54"/>
  <c r="W23" i="52" s="1"/>
  <c r="J34" i="43"/>
  <c r="N34" i="52"/>
  <c r="N15" i="51" s="1"/>
  <c r="L23" i="43"/>
  <c r="M34" i="43" s="1"/>
  <c r="K34" i="43"/>
  <c r="AA25" i="54"/>
  <c r="AF23" i="54"/>
  <c r="X23" i="52" s="1"/>
  <c r="AG23" i="54"/>
  <c r="Y23" i="52" s="1"/>
  <c r="Y25" i="54"/>
  <c r="O34" i="52"/>
  <c r="O15" i="51" s="1"/>
  <c r="AD23" i="54"/>
  <c r="V23" i="52" s="1"/>
  <c r="M34" i="52"/>
  <c r="M15" i="51" s="1"/>
  <c r="AI23" i="54"/>
  <c r="AA23" i="52" s="1"/>
  <c r="AH23" i="54"/>
  <c r="Z23" i="52" s="1"/>
  <c r="X25" i="54"/>
  <c r="Z25" i="54"/>
  <c r="T25" i="54"/>
  <c r="V25" i="54"/>
  <c r="U25" i="54"/>
  <c r="W25" i="54"/>
  <c r="M21" i="1"/>
  <c r="M116" i="23"/>
  <c r="M117" i="23"/>
  <c r="U23" i="52"/>
  <c r="N23" i="25"/>
  <c r="N18" i="1"/>
  <c r="N89" i="23"/>
  <c r="N115" i="23"/>
  <c r="N88" i="23"/>
  <c r="P74" i="48"/>
  <c r="P75" i="48"/>
  <c r="P23" i="43"/>
  <c r="P34" i="52"/>
  <c r="L23" i="1"/>
  <c r="L22" i="1"/>
  <c r="Q23" i="43"/>
  <c r="Q34" i="52"/>
  <c r="O23" i="25"/>
  <c r="O88" i="23"/>
  <c r="O18" i="1"/>
  <c r="O89" i="23"/>
  <c r="O115" i="23"/>
  <c r="M20" i="1"/>
  <c r="M19" i="1"/>
  <c r="L15" i="51"/>
  <c r="P25" i="50"/>
  <c r="AG25" i="54" s="1"/>
  <c r="M62" i="1"/>
  <c r="T23" i="52"/>
  <c r="S23" i="43"/>
  <c r="S34" i="52"/>
  <c r="AL23" i="54"/>
  <c r="AK23" i="54"/>
  <c r="AM23" i="54"/>
  <c r="AJ23" i="54"/>
  <c r="AE25" i="54"/>
  <c r="AC25" i="54"/>
  <c r="R23" i="43"/>
  <c r="R34" i="52"/>
  <c r="P87" i="23"/>
  <c r="Q88" i="23" s="1"/>
  <c r="P36" i="23"/>
  <c r="AD25" i="54" l="1"/>
  <c r="AB25" i="54"/>
  <c r="O34" i="43"/>
  <c r="N34" i="43"/>
  <c r="L34" i="43"/>
  <c r="R34" i="43"/>
  <c r="AH25" i="54"/>
  <c r="AI25" i="54"/>
  <c r="AF25" i="54"/>
  <c r="Z23" i="43"/>
  <c r="Z34" i="52"/>
  <c r="AD23" i="52"/>
  <c r="S15" i="51"/>
  <c r="O19" i="1"/>
  <c r="O20" i="1"/>
  <c r="U23" i="43"/>
  <c r="U34" i="52"/>
  <c r="M22" i="1"/>
  <c r="M23" i="1"/>
  <c r="AC23" i="52"/>
  <c r="X23" i="43"/>
  <c r="X34" i="52"/>
  <c r="T23" i="43"/>
  <c r="T34" i="43" s="1"/>
  <c r="T34" i="52"/>
  <c r="AM25" i="54"/>
  <c r="AJ25" i="54"/>
  <c r="AL25" i="54"/>
  <c r="AK25" i="54"/>
  <c r="W23" i="43"/>
  <c r="W34" i="52"/>
  <c r="Q15" i="51"/>
  <c r="P15" i="51"/>
  <c r="N116" i="23"/>
  <c r="N117" i="23"/>
  <c r="N21" i="1"/>
  <c r="S34" i="43"/>
  <c r="Q34" i="43"/>
  <c r="P23" i="25"/>
  <c r="P88" i="23"/>
  <c r="P115" i="23"/>
  <c r="Q116" i="23" s="1"/>
  <c r="P18" i="1"/>
  <c r="Q19" i="1" s="1"/>
  <c r="P89" i="23"/>
  <c r="V34" i="52"/>
  <c r="V23" i="43"/>
  <c r="R15" i="51"/>
  <c r="AE23" i="52"/>
  <c r="O117" i="23"/>
  <c r="O116" i="23"/>
  <c r="O21" i="1"/>
  <c r="O62" i="1"/>
  <c r="N62" i="1"/>
  <c r="AB23" i="52"/>
  <c r="AA23" i="43"/>
  <c r="AA34" i="52"/>
  <c r="Y23" i="43"/>
  <c r="Y34" i="52"/>
  <c r="N19" i="1"/>
  <c r="N20" i="1"/>
  <c r="P34" i="43"/>
  <c r="V34" i="43" l="1"/>
  <c r="U34" i="43"/>
  <c r="AB23" i="43"/>
  <c r="AB34" i="43" s="1"/>
  <c r="AB34" i="52"/>
  <c r="T15" i="51"/>
  <c r="U15" i="51"/>
  <c r="Z15" i="51"/>
  <c r="AE23" i="43"/>
  <c r="AE34" i="52"/>
  <c r="P62" i="1"/>
  <c r="W15" i="51"/>
  <c r="X15" i="51"/>
  <c r="AD34" i="52"/>
  <c r="AD23" i="43"/>
  <c r="AA34" i="43"/>
  <c r="P21" i="1"/>
  <c r="Q22" i="1" s="1"/>
  <c r="P117" i="23"/>
  <c r="P116" i="23"/>
  <c r="N22" i="1"/>
  <c r="N23" i="1"/>
  <c r="Y15" i="51"/>
  <c r="P20" i="1"/>
  <c r="P19" i="1"/>
  <c r="AA15" i="51"/>
  <c r="O23" i="1"/>
  <c r="O22" i="1"/>
  <c r="V15" i="51"/>
  <c r="AC23" i="43"/>
  <c r="AC34" i="52"/>
  <c r="Y34" i="43"/>
  <c r="Z34" i="43"/>
  <c r="W34" i="43"/>
  <c r="X34" i="43"/>
  <c r="AC34" i="43" l="1"/>
  <c r="AD34" i="43"/>
  <c r="AG34" i="43"/>
  <c r="P23" i="1"/>
  <c r="P22" i="1"/>
  <c r="AE15" i="51"/>
  <c r="AF34" i="43"/>
  <c r="AB15" i="51"/>
  <c r="AC15" i="51"/>
  <c r="AD15" i="51"/>
  <c r="AE34" i="43"/>
  <c r="J27" i="34" l="1"/>
  <c r="J24" i="34" s="1"/>
  <c r="J23" i="34" s="1"/>
  <c r="J102" i="34"/>
  <c r="J99" i="34" s="1"/>
  <c r="J115" i="34"/>
  <c r="J112" i="34" s="1"/>
  <c r="J27" i="49"/>
  <c r="J24" i="49" s="1"/>
  <c r="J52" i="50" s="1"/>
  <c r="K50" i="50" s="1"/>
  <c r="J76" i="49"/>
  <c r="J74" i="49" s="1"/>
  <c r="J136" i="49" s="1"/>
  <c r="J24" i="50" s="1"/>
  <c r="J27" i="50" s="1"/>
  <c r="J34" i="50" s="1"/>
  <c r="J101" i="49"/>
  <c r="J98" i="49" s="1"/>
  <c r="J114" i="49"/>
  <c r="J111" i="49" s="1"/>
  <c r="J145" i="24" s="1"/>
  <c r="I36" i="35"/>
  <c r="I38" i="35"/>
  <c r="I39" i="35"/>
  <c r="I40" i="35"/>
  <c r="I42" i="35"/>
  <c r="I36" i="50"/>
  <c r="I38" i="50"/>
  <c r="I39" i="50"/>
  <c r="I40" i="50"/>
  <c r="I47" i="50" s="1"/>
  <c r="I42" i="50"/>
  <c r="J25" i="1"/>
  <c r="J89" i="1"/>
  <c r="J90" i="1"/>
  <c r="J91" i="1"/>
  <c r="J92" i="1"/>
  <c r="I52" i="33"/>
  <c r="I61" i="33"/>
  <c r="I25" i="35" s="1"/>
  <c r="I27" i="35" s="1"/>
  <c r="I63" i="33"/>
  <c r="I37" i="35" s="1"/>
  <c r="I35" i="50"/>
  <c r="I86" i="48"/>
  <c r="I37" i="50" s="1"/>
  <c r="AJ20" i="36"/>
  <c r="AK20" i="36"/>
  <c r="AC23" i="39" s="1"/>
  <c r="AF34" i="39" s="1"/>
  <c r="AL20" i="36"/>
  <c r="AD23" i="39" s="1"/>
  <c r="AG34" i="39" s="1"/>
  <c r="AM20" i="36"/>
  <c r="AE23" i="39" s="1"/>
  <c r="AJ24" i="36"/>
  <c r="AK24" i="36"/>
  <c r="AL24" i="36"/>
  <c r="AM24" i="36"/>
  <c r="AJ28" i="36"/>
  <c r="AE23" i="40" s="1"/>
  <c r="AK28" i="36"/>
  <c r="AF23" i="40" s="1"/>
  <c r="AL28" i="36"/>
  <c r="AM28" i="36"/>
  <c r="AJ24" i="54"/>
  <c r="AB23" i="51" s="1"/>
  <c r="AK24" i="54"/>
  <c r="AC23" i="51" s="1"/>
  <c r="AL24" i="54"/>
  <c r="AD23" i="51" s="1"/>
  <c r="AM24" i="54"/>
  <c r="AE23" i="51" s="1"/>
  <c r="AJ27" i="54"/>
  <c r="AJ30" i="54" s="1"/>
  <c r="AK27" i="54"/>
  <c r="AK30" i="54" s="1"/>
  <c r="AL27" i="54"/>
  <c r="AM27" i="54"/>
  <c r="AM30" i="54" s="1"/>
  <c r="J43" i="35" l="1"/>
  <c r="J47" i="35" s="1"/>
  <c r="J41" i="50"/>
  <c r="J128" i="24"/>
  <c r="J43" i="50"/>
  <c r="J52" i="35"/>
  <c r="K50" i="35" s="1"/>
  <c r="J27" i="24"/>
  <c r="AK31" i="36"/>
  <c r="AC9" i="37" s="1"/>
  <c r="I79" i="48"/>
  <c r="AL30" i="54"/>
  <c r="AB23" i="39"/>
  <c r="AE34" i="39" s="1"/>
  <c r="AJ31" i="36"/>
  <c r="AL31" i="36"/>
  <c r="I58" i="33"/>
  <c r="I35" i="35"/>
  <c r="I120" i="23"/>
  <c r="AC22" i="52"/>
  <c r="AC33" i="52" s="1"/>
  <c r="AC9" i="53"/>
  <c r="AB22" i="52"/>
  <c r="AB33" i="52" s="1"/>
  <c r="AB9" i="53"/>
  <c r="I83" i="48"/>
  <c r="I122" i="23"/>
  <c r="AE22" i="52"/>
  <c r="AE33" i="52" s="1"/>
  <c r="AE9" i="53"/>
  <c r="AM31" i="36"/>
  <c r="AF15" i="40"/>
  <c r="I38" i="25"/>
  <c r="I73" i="1" s="1"/>
  <c r="I39" i="25"/>
  <c r="I74" i="1" s="1"/>
  <c r="I36" i="25"/>
  <c r="I71" i="1" s="1"/>
  <c r="I40" i="25"/>
  <c r="I42" i="25"/>
  <c r="I76" i="1" s="1"/>
  <c r="J146" i="24"/>
  <c r="J107" i="34"/>
  <c r="J106" i="49"/>
  <c r="J93" i="24"/>
  <c r="J91" i="24" s="1"/>
  <c r="J73" i="49"/>
  <c r="J26" i="24"/>
  <c r="J23" i="49"/>
  <c r="J71" i="49" s="1"/>
  <c r="J74" i="34"/>
  <c r="J129" i="24"/>
  <c r="J24" i="24" l="1"/>
  <c r="J23" i="24" s="1"/>
  <c r="J126" i="24"/>
  <c r="J46" i="1" s="1"/>
  <c r="AE22" i="43"/>
  <c r="AC22" i="39"/>
  <c r="AF33" i="39" s="1"/>
  <c r="J125" i="34"/>
  <c r="AC22" i="43"/>
  <c r="AF33" i="43" s="1"/>
  <c r="AB22" i="43"/>
  <c r="AE33" i="43" s="1"/>
  <c r="J124" i="49"/>
  <c r="I80" i="48"/>
  <c r="I81" i="48"/>
  <c r="I75" i="1"/>
  <c r="I119" i="23"/>
  <c r="AD22" i="39"/>
  <c r="AG33" i="39" s="1"/>
  <c r="AD9" i="37"/>
  <c r="AE9" i="37"/>
  <c r="AE22" i="39"/>
  <c r="J143" i="24"/>
  <c r="I131" i="23"/>
  <c r="I84" i="48"/>
  <c r="I90" i="48"/>
  <c r="I133" i="23"/>
  <c r="AB22" i="39"/>
  <c r="AE33" i="39" s="1"/>
  <c r="AB9" i="37"/>
  <c r="AD9" i="53"/>
  <c r="AD22" i="52"/>
  <c r="AE15" i="40"/>
  <c r="J32" i="1" l="1"/>
  <c r="J31" i="1" s="1"/>
  <c r="J52" i="25"/>
  <c r="K50" i="25" s="1"/>
  <c r="K84" i="1" s="1"/>
  <c r="J90" i="24"/>
  <c r="J45" i="1" s="1"/>
  <c r="J49" i="1" s="1"/>
  <c r="I128" i="23"/>
  <c r="J85" i="1"/>
  <c r="I35" i="25"/>
  <c r="I124" i="23"/>
  <c r="AD33" i="52"/>
  <c r="AD22" i="43"/>
  <c r="AG33" i="43" s="1"/>
  <c r="I91" i="48"/>
  <c r="I92" i="48"/>
  <c r="I45" i="33"/>
  <c r="I42" i="33" s="1"/>
  <c r="J137" i="24"/>
  <c r="J43" i="25"/>
  <c r="J77" i="1" s="1"/>
  <c r="J52" i="1"/>
  <c r="J159" i="24" l="1"/>
  <c r="I125" i="23"/>
  <c r="I126" i="23"/>
  <c r="I140" i="23"/>
  <c r="I46" i="35"/>
  <c r="I48" i="33"/>
  <c r="I43" i="33"/>
  <c r="I70" i="1"/>
  <c r="J50" i="1"/>
  <c r="J55" i="1" s="1"/>
  <c r="I25" i="25"/>
  <c r="I129" i="23"/>
  <c r="I64" i="1" l="1"/>
  <c r="I66" i="1" s="1"/>
  <c r="I27" i="25"/>
  <c r="I24" i="1"/>
  <c r="I141" i="23"/>
  <c r="I142" i="23"/>
  <c r="I49" i="33"/>
  <c r="I50" i="33"/>
  <c r="I54" i="33"/>
  <c r="I55" i="33" l="1"/>
  <c r="I67" i="33"/>
  <c r="I56" i="33"/>
  <c r="I59" i="33"/>
  <c r="I25" i="1"/>
  <c r="I26" i="1"/>
  <c r="I69" i="33" l="1"/>
  <c r="I68" i="33"/>
  <c r="AF49" i="51" l="1"/>
  <c r="AF50" i="51" s="1"/>
  <c r="AG49" i="51"/>
  <c r="AG50" i="51" s="1"/>
  <c r="F49" i="51" l="1"/>
  <c r="F50" i="51" s="1"/>
  <c r="D49" i="51"/>
  <c r="D50" i="51" s="1"/>
  <c r="E49" i="51"/>
  <c r="E50" i="51" s="1"/>
  <c r="G49" i="51"/>
  <c r="G50" i="51" s="1"/>
  <c r="Q27" i="34" l="1"/>
  <c r="Q24" i="34" s="1"/>
  <c r="Q27" i="24" s="1"/>
  <c r="Q102" i="34"/>
  <c r="Q99" i="34" s="1"/>
  <c r="Q115" i="34"/>
  <c r="Q112" i="34" s="1"/>
  <c r="Q146" i="24" s="1"/>
  <c r="Q27" i="49"/>
  <c r="Q24" i="49" s="1"/>
  <c r="Q76" i="49"/>
  <c r="Q74" i="49" s="1"/>
  <c r="Q98" i="49"/>
  <c r="Q128" i="24" s="1"/>
  <c r="Q101" i="49"/>
  <c r="Q114" i="49"/>
  <c r="Q111" i="49" s="1"/>
  <c r="Q36" i="35"/>
  <c r="Q36" i="25" s="1"/>
  <c r="Q71" i="1" s="1"/>
  <c r="Q38" i="35"/>
  <c r="Q38" i="25" s="1"/>
  <c r="Q73" i="1" s="1"/>
  <c r="Q39" i="35"/>
  <c r="Q42" i="35"/>
  <c r="Q52" i="35"/>
  <c r="R50" i="35" s="1"/>
  <c r="Q36" i="50"/>
  <c r="Q38" i="50"/>
  <c r="Q39" i="50"/>
  <c r="Q42" i="50"/>
  <c r="Q25" i="1"/>
  <c r="Q89" i="1"/>
  <c r="Q90" i="1"/>
  <c r="Q91" i="1"/>
  <c r="Q52" i="33"/>
  <c r="Q35" i="35" s="1"/>
  <c r="Q61" i="33"/>
  <c r="Q25" i="35" s="1"/>
  <c r="Q27" i="35" s="1"/>
  <c r="Q63" i="33"/>
  <c r="Q37" i="35" s="1"/>
  <c r="Q77" i="48"/>
  <c r="Q35" i="50" s="1"/>
  <c r="Q86" i="48"/>
  <c r="Q26" i="24" l="1"/>
  <c r="Q24" i="24" s="1"/>
  <c r="Q23" i="24" s="1"/>
  <c r="Q52" i="50"/>
  <c r="R50" i="50" s="1"/>
  <c r="Q79" i="48"/>
  <c r="Q81" i="48" s="1"/>
  <c r="R43" i="50"/>
  <c r="R43" i="35"/>
  <c r="R47" i="35" s="1"/>
  <c r="Q73" i="49"/>
  <c r="Q93" i="24"/>
  <c r="Q91" i="24" s="1"/>
  <c r="Q136" i="49"/>
  <c r="R41" i="50"/>
  <c r="Q39" i="25"/>
  <c r="Q74" i="1" s="1"/>
  <c r="Q42" i="25"/>
  <c r="Q76" i="1" s="1"/>
  <c r="Q37" i="50"/>
  <c r="Q83" i="48"/>
  <c r="Q58" i="33"/>
  <c r="Q120" i="23"/>
  <c r="Q122" i="23"/>
  <c r="Q145" i="24"/>
  <c r="Q143" i="24" s="1"/>
  <c r="Q106" i="49"/>
  <c r="Q129" i="24"/>
  <c r="Q126" i="24" s="1"/>
  <c r="Q74" i="34"/>
  <c r="Q107" i="34"/>
  <c r="Q23" i="49"/>
  <c r="Q71" i="49" s="1"/>
  <c r="Q23" i="34"/>
  <c r="Q52" i="25" l="1"/>
  <c r="R50" i="25" s="1"/>
  <c r="Q32" i="1"/>
  <c r="Q31" i="1" s="1"/>
  <c r="Q80" i="48"/>
  <c r="Q125" i="34"/>
  <c r="Q124" i="49"/>
  <c r="Q46" i="1"/>
  <c r="Q90" i="24"/>
  <c r="Q119" i="23"/>
  <c r="Q90" i="48"/>
  <c r="Q84" i="48"/>
  <c r="Q131" i="23"/>
  <c r="Q137" i="24"/>
  <c r="Q50" i="1" s="1"/>
  <c r="R43" i="25"/>
  <c r="Q52" i="1"/>
  <c r="Q133" i="23"/>
  <c r="Q85" i="1" l="1"/>
  <c r="Q91" i="48"/>
  <c r="Q45" i="33"/>
  <c r="Q42" i="33" s="1"/>
  <c r="Q92" i="48"/>
  <c r="Q35" i="25"/>
  <c r="Q124" i="23"/>
  <c r="Q128" i="23"/>
  <c r="Q159" i="24"/>
  <c r="Q45" i="1"/>
  <c r="Q25" i="25" l="1"/>
  <c r="Q129" i="23"/>
  <c r="Q140" i="23"/>
  <c r="Q126" i="23"/>
  <c r="Q125" i="23"/>
  <c r="Q49" i="1"/>
  <c r="Q55" i="1"/>
  <c r="Q70" i="1"/>
  <c r="Q46" i="35"/>
  <c r="Q48" i="33"/>
  <c r="Q43" i="33"/>
  <c r="Q54" i="33" l="1"/>
  <c r="Q49" i="33"/>
  <c r="Q50" i="33"/>
  <c r="Q141" i="23"/>
  <c r="Q142" i="23"/>
  <c r="Q24" i="1"/>
  <c r="Q26" i="1" s="1"/>
  <c r="Q27" i="25"/>
  <c r="Q64" i="1"/>
  <c r="Q66" i="1" s="1"/>
  <c r="Q67" i="33" l="1"/>
  <c r="Q55" i="33"/>
  <c r="Q56" i="33"/>
  <c r="Q59" i="33"/>
  <c r="Q68" i="33" l="1"/>
  <c r="Q69" i="33"/>
  <c r="K23" i="24"/>
  <c r="L23" i="24"/>
  <c r="M23" i="24"/>
  <c r="N23" i="24"/>
  <c r="O23" i="24"/>
  <c r="P23" i="24"/>
  <c r="K24" i="24"/>
  <c r="L24" i="24"/>
  <c r="M24" i="24"/>
  <c r="N24" i="24"/>
  <c r="O24" i="24"/>
  <c r="P24" i="24"/>
  <c r="K26" i="24"/>
  <c r="L26" i="24"/>
  <c r="M26" i="24"/>
  <c r="N26" i="24"/>
  <c r="O26" i="24"/>
  <c r="P26" i="24"/>
  <c r="K27" i="24"/>
  <c r="L27" i="24"/>
  <c r="M27" i="24"/>
  <c r="N27" i="24"/>
  <c r="O27" i="24"/>
  <c r="P27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K90" i="24"/>
  <c r="L90" i="24"/>
  <c r="M90" i="24"/>
  <c r="N90" i="24"/>
  <c r="O90" i="24"/>
  <c r="P90" i="24"/>
  <c r="K91" i="24"/>
  <c r="L91" i="24"/>
  <c r="M91" i="24"/>
  <c r="N91" i="24"/>
  <c r="O91" i="24"/>
  <c r="P91" i="24"/>
  <c r="K93" i="24"/>
  <c r="L93" i="24"/>
  <c r="M93" i="24"/>
  <c r="N93" i="24"/>
  <c r="O93" i="24"/>
  <c r="P93" i="24"/>
  <c r="K126" i="24"/>
  <c r="L126" i="24"/>
  <c r="M126" i="24"/>
  <c r="N126" i="24"/>
  <c r="O126" i="24"/>
  <c r="P126" i="24"/>
  <c r="K128" i="24"/>
  <c r="L128" i="24"/>
  <c r="M128" i="24"/>
  <c r="N128" i="24"/>
  <c r="O128" i="24"/>
  <c r="P128" i="24"/>
  <c r="K129" i="24"/>
  <c r="L129" i="24"/>
  <c r="M129" i="24"/>
  <c r="N129" i="24"/>
  <c r="O129" i="24"/>
  <c r="P129" i="24"/>
  <c r="K137" i="24"/>
  <c r="L137" i="24"/>
  <c r="M137" i="24"/>
  <c r="N137" i="24"/>
  <c r="O137" i="24"/>
  <c r="P137" i="24"/>
  <c r="K143" i="24"/>
  <c r="L143" i="24"/>
  <c r="M143" i="24"/>
  <c r="N143" i="24"/>
  <c r="O143" i="24"/>
  <c r="P143" i="24"/>
  <c r="K145" i="24"/>
  <c r="L145" i="24"/>
  <c r="M145" i="24"/>
  <c r="N145" i="24"/>
  <c r="O145" i="24"/>
  <c r="P145" i="24"/>
  <c r="K146" i="24"/>
  <c r="L146" i="24"/>
  <c r="M146" i="24"/>
  <c r="N146" i="24"/>
  <c r="O146" i="24"/>
  <c r="P146" i="24"/>
  <c r="K159" i="24"/>
  <c r="L159" i="24"/>
  <c r="M159" i="24"/>
  <c r="N159" i="24"/>
  <c r="O159" i="24"/>
  <c r="P159" i="24"/>
  <c r="F161" i="24"/>
  <c r="G161" i="24"/>
  <c r="H161" i="24"/>
  <c r="I161" i="24"/>
  <c r="J161" i="24"/>
  <c r="K161" i="24"/>
  <c r="L161" i="24"/>
  <c r="M161" i="24"/>
  <c r="N161" i="24"/>
  <c r="O161" i="24"/>
  <c r="P161" i="24"/>
  <c r="Q161" i="24"/>
  <c r="F162" i="24"/>
  <c r="G162" i="24"/>
  <c r="H162" i="24"/>
  <c r="I162" i="24"/>
  <c r="J162" i="24"/>
  <c r="K162" i="24"/>
  <c r="L162" i="24"/>
  <c r="M162" i="24"/>
  <c r="N162" i="24"/>
  <c r="O162" i="24"/>
  <c r="P162" i="24"/>
  <c r="Q162" i="24"/>
  <c r="F163" i="24"/>
  <c r="G163" i="24"/>
  <c r="H163" i="24"/>
  <c r="I163" i="24"/>
  <c r="J163" i="24"/>
  <c r="K163" i="24"/>
  <c r="L163" i="24"/>
  <c r="M163" i="24"/>
  <c r="N163" i="24"/>
  <c r="O163" i="24"/>
  <c r="P163" i="24"/>
  <c r="Q163" i="24"/>
  <c r="F164" i="24"/>
  <c r="G164" i="24"/>
  <c r="H164" i="24"/>
  <c r="I164" i="24"/>
  <c r="J164" i="24"/>
  <c r="K164" i="24"/>
  <c r="L164" i="24"/>
  <c r="M164" i="24"/>
  <c r="N164" i="24"/>
  <c r="O164" i="24"/>
  <c r="P164" i="24"/>
  <c r="Q164" i="24"/>
  <c r="F165" i="24"/>
  <c r="G165" i="24"/>
  <c r="H165" i="24"/>
  <c r="J165" i="24"/>
  <c r="K165" i="24"/>
  <c r="L165" i="24"/>
  <c r="M165" i="24"/>
  <c r="N165" i="24"/>
  <c r="O165" i="24"/>
  <c r="P165" i="24"/>
  <c r="Q165" i="24"/>
  <c r="F169" i="24"/>
  <c r="G169" i="24"/>
  <c r="H169" i="24"/>
  <c r="I169" i="24"/>
  <c r="J169" i="24"/>
  <c r="K169" i="24"/>
  <c r="L169" i="24"/>
  <c r="M169" i="24"/>
  <c r="N169" i="24"/>
  <c r="O169" i="24"/>
  <c r="P169" i="24"/>
  <c r="Q169" i="24"/>
  <c r="K23" i="34"/>
  <c r="L23" i="34"/>
  <c r="M23" i="34"/>
  <c r="N23" i="34"/>
  <c r="O23" i="34"/>
  <c r="P23" i="34"/>
  <c r="K24" i="34"/>
  <c r="L24" i="34"/>
  <c r="M24" i="34"/>
  <c r="N24" i="34"/>
  <c r="O24" i="34"/>
  <c r="P24" i="34"/>
  <c r="K27" i="34"/>
  <c r="L27" i="34"/>
  <c r="M27" i="34"/>
  <c r="N27" i="34"/>
  <c r="O27" i="34"/>
  <c r="P27" i="34"/>
  <c r="F50" i="34"/>
  <c r="G50" i="34"/>
  <c r="H50" i="34"/>
  <c r="I50" i="34"/>
  <c r="J50" i="34"/>
  <c r="K50" i="34"/>
  <c r="L50" i="34"/>
  <c r="M50" i="34"/>
  <c r="N50" i="34"/>
  <c r="O50" i="34"/>
  <c r="P50" i="34"/>
  <c r="Q50" i="34"/>
  <c r="R50" i="34"/>
  <c r="S50" i="34"/>
  <c r="T50" i="34"/>
  <c r="U50" i="34"/>
  <c r="V50" i="34"/>
  <c r="W50" i="34"/>
  <c r="X50" i="34"/>
  <c r="Y50" i="34"/>
  <c r="Z50" i="34"/>
  <c r="AA50" i="34"/>
  <c r="AB50" i="34"/>
  <c r="AC50" i="34"/>
  <c r="F59" i="34"/>
  <c r="G59" i="34"/>
  <c r="H59" i="34"/>
  <c r="I59" i="34"/>
  <c r="J59" i="34"/>
  <c r="K59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F62" i="34"/>
  <c r="G62" i="34"/>
  <c r="H62" i="34"/>
  <c r="I62" i="34"/>
  <c r="J62" i="34"/>
  <c r="K62" i="34"/>
  <c r="L62" i="34"/>
  <c r="M62" i="34"/>
  <c r="N62" i="34"/>
  <c r="O62" i="34"/>
  <c r="P62" i="34"/>
  <c r="Q62" i="34"/>
  <c r="F63" i="34"/>
  <c r="G63" i="34"/>
  <c r="H63" i="34"/>
  <c r="I63" i="34"/>
  <c r="J63" i="34"/>
  <c r="K63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F72" i="34"/>
  <c r="G72" i="34"/>
  <c r="H72" i="34"/>
  <c r="I72" i="34"/>
  <c r="J72" i="34"/>
  <c r="K72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K74" i="34"/>
  <c r="L74" i="34"/>
  <c r="M74" i="34"/>
  <c r="N74" i="34"/>
  <c r="O74" i="34"/>
  <c r="P74" i="34"/>
  <c r="K99" i="34"/>
  <c r="L99" i="34"/>
  <c r="M99" i="34"/>
  <c r="N99" i="34"/>
  <c r="O99" i="34"/>
  <c r="P99" i="34"/>
  <c r="K102" i="34"/>
  <c r="L102" i="34"/>
  <c r="M102" i="34"/>
  <c r="N102" i="34"/>
  <c r="O102" i="34"/>
  <c r="P102" i="34"/>
  <c r="K107" i="34"/>
  <c r="L107" i="34"/>
  <c r="M107" i="34"/>
  <c r="N107" i="34"/>
  <c r="O107" i="34"/>
  <c r="P107" i="34"/>
  <c r="K112" i="34"/>
  <c r="L112" i="34"/>
  <c r="M112" i="34"/>
  <c r="N112" i="34"/>
  <c r="O112" i="34"/>
  <c r="P112" i="34"/>
  <c r="K115" i="34"/>
  <c r="L115" i="34"/>
  <c r="M115" i="34"/>
  <c r="N115" i="34"/>
  <c r="O115" i="34"/>
  <c r="P115" i="34"/>
  <c r="K125" i="34"/>
  <c r="L125" i="34"/>
  <c r="M125" i="34"/>
  <c r="N125" i="34"/>
  <c r="O125" i="34"/>
  <c r="P125" i="34"/>
  <c r="F127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F130" i="34"/>
  <c r="G130" i="34"/>
  <c r="H130" i="34"/>
  <c r="I130" i="34"/>
  <c r="J130" i="34"/>
  <c r="K130" i="34"/>
  <c r="L130" i="34"/>
  <c r="M130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F134" i="34"/>
  <c r="G134" i="34"/>
  <c r="H134" i="34"/>
  <c r="I134" i="34"/>
  <c r="J134" i="34"/>
  <c r="K134" i="34"/>
  <c r="L134" i="34"/>
  <c r="M134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F126" i="30"/>
  <c r="G126" i="30"/>
  <c r="H126" i="30"/>
  <c r="I126" i="30"/>
  <c r="J126" i="30"/>
  <c r="K126" i="30"/>
  <c r="L126" i="30"/>
  <c r="M126" i="30"/>
  <c r="N126" i="30"/>
  <c r="O126" i="30"/>
  <c r="P126" i="30"/>
  <c r="Q126" i="30"/>
  <c r="F129" i="30"/>
  <c r="G129" i="30"/>
  <c r="H129" i="30"/>
  <c r="I129" i="30"/>
  <c r="J129" i="30"/>
  <c r="K129" i="30"/>
  <c r="L129" i="30"/>
  <c r="M129" i="30"/>
  <c r="N129" i="30"/>
  <c r="O129" i="30"/>
  <c r="P129" i="30"/>
  <c r="Q129" i="30"/>
  <c r="F133" i="30"/>
  <c r="G133" i="30"/>
  <c r="H133" i="30"/>
  <c r="I133" i="30"/>
  <c r="J133" i="30"/>
  <c r="K133" i="30"/>
  <c r="L133" i="30"/>
  <c r="M133" i="30"/>
  <c r="N133" i="30"/>
  <c r="O133" i="30"/>
  <c r="P133" i="30"/>
  <c r="Q133" i="30"/>
  <c r="K23" i="49"/>
  <c r="L23" i="49"/>
  <c r="M23" i="49"/>
  <c r="N23" i="49"/>
  <c r="O23" i="49"/>
  <c r="P23" i="49"/>
  <c r="K24" i="49"/>
  <c r="L24" i="49"/>
  <c r="M24" i="49"/>
  <c r="N24" i="49"/>
  <c r="O24" i="49"/>
  <c r="P24" i="49"/>
  <c r="K27" i="49"/>
  <c r="L27" i="49"/>
  <c r="M27" i="49"/>
  <c r="N27" i="49"/>
  <c r="O27" i="49"/>
  <c r="P27" i="49"/>
  <c r="K71" i="49"/>
  <c r="L71" i="49"/>
  <c r="M71" i="49"/>
  <c r="N71" i="49"/>
  <c r="O71" i="49"/>
  <c r="P71" i="49"/>
  <c r="K73" i="49"/>
  <c r="L73" i="49"/>
  <c r="M73" i="49"/>
  <c r="N73" i="49"/>
  <c r="O73" i="49"/>
  <c r="P73" i="49"/>
  <c r="K74" i="49"/>
  <c r="L74" i="49"/>
  <c r="M74" i="49"/>
  <c r="N74" i="49"/>
  <c r="O74" i="49"/>
  <c r="P74" i="49"/>
  <c r="K76" i="49"/>
  <c r="L76" i="49"/>
  <c r="M76" i="49"/>
  <c r="N76" i="49"/>
  <c r="O76" i="49"/>
  <c r="P76" i="49"/>
  <c r="K98" i="49"/>
  <c r="L98" i="49"/>
  <c r="M98" i="49"/>
  <c r="N98" i="49"/>
  <c r="O98" i="49"/>
  <c r="P98" i="49"/>
  <c r="K101" i="49"/>
  <c r="L101" i="49"/>
  <c r="M101" i="49"/>
  <c r="N101" i="49"/>
  <c r="O101" i="49"/>
  <c r="P101" i="49"/>
  <c r="K106" i="49"/>
  <c r="L106" i="49"/>
  <c r="M106" i="49"/>
  <c r="N106" i="49"/>
  <c r="O106" i="49"/>
  <c r="P106" i="49"/>
  <c r="K111" i="49"/>
  <c r="L111" i="49"/>
  <c r="M111" i="49"/>
  <c r="N111" i="49"/>
  <c r="O111" i="49"/>
  <c r="P111" i="49"/>
  <c r="K114" i="49"/>
  <c r="L114" i="49"/>
  <c r="M114" i="49"/>
  <c r="N114" i="49"/>
  <c r="O114" i="49"/>
  <c r="P114" i="49"/>
  <c r="K124" i="49"/>
  <c r="L124" i="49"/>
  <c r="M124" i="49"/>
  <c r="N124" i="49"/>
  <c r="O124" i="49"/>
  <c r="P124" i="49"/>
  <c r="F126" i="49"/>
  <c r="G126" i="49"/>
  <c r="H126" i="49"/>
  <c r="I126" i="49"/>
  <c r="J126" i="49"/>
  <c r="K126" i="49"/>
  <c r="L126" i="49"/>
  <c r="M126" i="49"/>
  <c r="N126" i="49"/>
  <c r="O126" i="49"/>
  <c r="P126" i="49"/>
  <c r="Q126" i="49"/>
  <c r="F129" i="49"/>
  <c r="G129" i="49"/>
  <c r="H129" i="49"/>
  <c r="I129" i="49"/>
  <c r="J129" i="49"/>
  <c r="K129" i="49"/>
  <c r="L129" i="49"/>
  <c r="M129" i="49"/>
  <c r="N129" i="49"/>
  <c r="O129" i="49"/>
  <c r="P129" i="49"/>
  <c r="Q129" i="49"/>
  <c r="F133" i="49"/>
  <c r="G133" i="49"/>
  <c r="H133" i="49"/>
  <c r="I133" i="49"/>
  <c r="J133" i="49"/>
  <c r="K133" i="49"/>
  <c r="L133" i="49"/>
  <c r="M133" i="49"/>
  <c r="N133" i="49"/>
  <c r="O133" i="49"/>
  <c r="P133" i="49"/>
  <c r="Q133" i="49"/>
  <c r="K136" i="49"/>
  <c r="L136" i="49"/>
  <c r="M136" i="49"/>
  <c r="N136" i="49"/>
  <c r="O136" i="49"/>
  <c r="P136" i="49"/>
  <c r="H13" i="40"/>
  <c r="I13" i="40"/>
  <c r="J13" i="40"/>
  <c r="K13" i="40"/>
  <c r="L13" i="40"/>
  <c r="M13" i="40"/>
  <c r="N13" i="40"/>
  <c r="O13" i="40"/>
  <c r="P13" i="40"/>
  <c r="Q13" i="40"/>
  <c r="R13" i="40"/>
  <c r="S13" i="40"/>
  <c r="T13" i="40"/>
  <c r="U13" i="40"/>
  <c r="V13" i="40"/>
  <c r="W13" i="40"/>
  <c r="X13" i="40"/>
  <c r="Y13" i="40"/>
  <c r="Z13" i="40"/>
  <c r="AA13" i="40"/>
  <c r="AB13" i="40"/>
  <c r="AC13" i="40"/>
  <c r="AD13" i="40"/>
  <c r="AE13" i="40"/>
  <c r="AF13" i="40"/>
  <c r="D15" i="40"/>
  <c r="E15" i="40"/>
  <c r="F15" i="40"/>
  <c r="G15" i="40"/>
  <c r="H15" i="40"/>
  <c r="I15" i="40"/>
  <c r="J15" i="40"/>
  <c r="K15" i="40"/>
  <c r="L15" i="40"/>
  <c r="M15" i="40"/>
  <c r="N15" i="40"/>
  <c r="O15" i="40"/>
  <c r="P15" i="40"/>
  <c r="Q15" i="40"/>
  <c r="R15" i="40"/>
  <c r="S15" i="40"/>
  <c r="T15" i="40"/>
  <c r="U15" i="40"/>
  <c r="V15" i="40"/>
  <c r="W15" i="40"/>
  <c r="X15" i="40"/>
  <c r="Y15" i="40"/>
  <c r="Z15" i="40"/>
  <c r="AA15" i="40"/>
  <c r="AB15" i="40"/>
  <c r="AC15" i="40"/>
  <c r="AD15" i="40"/>
  <c r="E18" i="40"/>
  <c r="F18" i="40"/>
  <c r="G18" i="40"/>
  <c r="H18" i="40"/>
  <c r="I18" i="40"/>
  <c r="J18" i="40"/>
  <c r="K18" i="40"/>
  <c r="L18" i="40"/>
  <c r="M18" i="40"/>
  <c r="N18" i="40"/>
  <c r="O18" i="40"/>
  <c r="P18" i="40"/>
  <c r="Q18" i="40"/>
  <c r="R18" i="40"/>
  <c r="S18" i="40"/>
  <c r="T18" i="40"/>
  <c r="U18" i="40"/>
  <c r="V18" i="40"/>
  <c r="W18" i="40"/>
  <c r="X18" i="40"/>
  <c r="Y18" i="40"/>
  <c r="Z18" i="40"/>
  <c r="AA18" i="40"/>
  <c r="AB18" i="40"/>
  <c r="AC18" i="40"/>
  <c r="AD18" i="40"/>
  <c r="AE18" i="40"/>
  <c r="AF18" i="40"/>
  <c r="E19" i="40"/>
  <c r="F19" i="40"/>
  <c r="G19" i="40"/>
  <c r="H19" i="40"/>
  <c r="I19" i="40"/>
  <c r="J19" i="40"/>
  <c r="K19" i="40"/>
  <c r="L19" i="40"/>
  <c r="M19" i="40"/>
  <c r="N19" i="40"/>
  <c r="O19" i="40"/>
  <c r="P19" i="40"/>
  <c r="Q19" i="40"/>
  <c r="R19" i="40"/>
  <c r="S19" i="40"/>
  <c r="T19" i="40"/>
  <c r="U19" i="40"/>
  <c r="V19" i="40"/>
  <c r="W19" i="40"/>
  <c r="X19" i="40"/>
  <c r="Y19" i="40"/>
  <c r="Z19" i="40"/>
  <c r="AA19" i="40"/>
  <c r="AB19" i="40"/>
  <c r="AC19" i="40"/>
  <c r="AD19" i="40"/>
  <c r="AE19" i="40"/>
  <c r="AF19" i="40"/>
  <c r="D20" i="40"/>
  <c r="E20" i="40"/>
  <c r="F20" i="40"/>
  <c r="G20" i="40"/>
  <c r="H20" i="40"/>
  <c r="I20" i="40"/>
  <c r="J20" i="40"/>
  <c r="K20" i="40"/>
  <c r="L20" i="40"/>
  <c r="M20" i="40"/>
  <c r="N20" i="40"/>
  <c r="O20" i="40"/>
  <c r="P20" i="40"/>
  <c r="Q20" i="40"/>
  <c r="R20" i="40"/>
  <c r="S20" i="40"/>
  <c r="T20" i="40"/>
  <c r="U20" i="40"/>
  <c r="V20" i="40"/>
  <c r="W20" i="40"/>
  <c r="X20" i="40"/>
  <c r="Y20" i="40"/>
  <c r="Z20" i="40"/>
  <c r="AA20" i="40"/>
  <c r="AB20" i="40"/>
  <c r="AC20" i="40"/>
  <c r="AD20" i="40"/>
  <c r="AE20" i="40"/>
  <c r="AF20" i="40"/>
  <c r="D21" i="40"/>
  <c r="E21" i="40"/>
  <c r="F21" i="40"/>
  <c r="G21" i="40"/>
  <c r="H21" i="40"/>
  <c r="I21" i="40"/>
  <c r="J21" i="40"/>
  <c r="K21" i="40"/>
  <c r="L21" i="40"/>
  <c r="M21" i="40"/>
  <c r="N21" i="40"/>
  <c r="O21" i="40"/>
  <c r="P21" i="40"/>
  <c r="Q21" i="40"/>
  <c r="R21" i="40"/>
  <c r="S21" i="40"/>
  <c r="T21" i="40"/>
  <c r="U21" i="40"/>
  <c r="V21" i="40"/>
  <c r="W21" i="40"/>
  <c r="X21" i="40"/>
  <c r="Y21" i="40"/>
  <c r="Z21" i="40"/>
  <c r="AA21" i="40"/>
  <c r="AB21" i="40"/>
  <c r="AC21" i="40"/>
  <c r="AD21" i="40"/>
  <c r="AE21" i="40"/>
  <c r="AF21" i="40"/>
  <c r="D23" i="40"/>
  <c r="E23" i="40"/>
  <c r="F23" i="40"/>
  <c r="G23" i="40"/>
  <c r="H23" i="40"/>
  <c r="I23" i="40"/>
  <c r="J23" i="40"/>
  <c r="K23" i="40"/>
  <c r="L23" i="40"/>
  <c r="M23" i="40"/>
  <c r="N23" i="40"/>
  <c r="O23" i="40"/>
  <c r="P23" i="40"/>
  <c r="Q23" i="40"/>
  <c r="R23" i="40"/>
  <c r="S23" i="40"/>
  <c r="T23" i="40"/>
  <c r="U23" i="40"/>
  <c r="V23" i="40"/>
  <c r="W23" i="40"/>
  <c r="X23" i="40"/>
  <c r="Y23" i="40"/>
  <c r="Z23" i="40"/>
  <c r="AA23" i="40"/>
  <c r="AB23" i="40"/>
  <c r="AC23" i="40"/>
  <c r="AD23" i="40"/>
  <c r="E24" i="40"/>
  <c r="F24" i="40"/>
  <c r="G24" i="40"/>
  <c r="H24" i="40"/>
  <c r="I24" i="40"/>
  <c r="J24" i="40"/>
  <c r="K24" i="40"/>
  <c r="L24" i="40"/>
  <c r="M24" i="40"/>
  <c r="N24" i="40"/>
  <c r="O24" i="40"/>
  <c r="P24" i="40"/>
  <c r="Q24" i="40"/>
  <c r="R24" i="40"/>
  <c r="S24" i="40"/>
  <c r="T24" i="40"/>
  <c r="U24" i="40"/>
  <c r="V24" i="40"/>
  <c r="W24" i="40"/>
  <c r="X24" i="40"/>
  <c r="Y24" i="40"/>
  <c r="Z24" i="40"/>
  <c r="AA24" i="40"/>
  <c r="AB24" i="40"/>
  <c r="AC24" i="40"/>
  <c r="AD24" i="40"/>
  <c r="AE24" i="40"/>
  <c r="AF24" i="40"/>
  <c r="D26" i="40"/>
  <c r="E26" i="40"/>
  <c r="F26" i="40"/>
  <c r="G26" i="40"/>
  <c r="H26" i="40"/>
  <c r="I26" i="40"/>
  <c r="J26" i="40"/>
  <c r="K26" i="40"/>
  <c r="L26" i="40"/>
  <c r="M26" i="40"/>
  <c r="N26" i="40"/>
  <c r="O26" i="40"/>
  <c r="P26" i="40"/>
  <c r="Q26" i="40"/>
  <c r="R26" i="40"/>
  <c r="S26" i="40"/>
  <c r="T26" i="40"/>
  <c r="U26" i="40"/>
  <c r="V26" i="40"/>
  <c r="W26" i="40"/>
  <c r="X26" i="40"/>
  <c r="Y26" i="40"/>
  <c r="Z26" i="40"/>
  <c r="AA26" i="40"/>
  <c r="AB26" i="40"/>
  <c r="AC26" i="40"/>
  <c r="AD26" i="40"/>
  <c r="AE26" i="40"/>
  <c r="AF26" i="40"/>
  <c r="G27" i="40"/>
  <c r="H27" i="40"/>
  <c r="I27" i="40"/>
  <c r="J27" i="40"/>
  <c r="K27" i="40"/>
  <c r="L27" i="40"/>
  <c r="M27" i="40"/>
  <c r="N27" i="40"/>
  <c r="O27" i="40"/>
  <c r="P27" i="40"/>
  <c r="Q27" i="40"/>
  <c r="R27" i="40"/>
  <c r="S27" i="40"/>
  <c r="T27" i="40"/>
  <c r="U27" i="40"/>
  <c r="V27" i="40"/>
  <c r="W27" i="40"/>
  <c r="X27" i="40"/>
  <c r="Y27" i="40"/>
  <c r="Z27" i="40"/>
  <c r="AA27" i="40"/>
  <c r="AB27" i="40"/>
  <c r="AC27" i="40"/>
  <c r="AD27" i="40"/>
  <c r="AE27" i="40"/>
  <c r="AF27" i="40"/>
  <c r="G28" i="40"/>
  <c r="H28" i="40"/>
  <c r="I28" i="40"/>
  <c r="J28" i="40"/>
  <c r="K28" i="40"/>
  <c r="L28" i="40"/>
  <c r="M28" i="40"/>
  <c r="N28" i="40"/>
  <c r="O28" i="40"/>
  <c r="P28" i="40"/>
  <c r="Q28" i="40"/>
  <c r="R28" i="40"/>
  <c r="S28" i="40"/>
  <c r="T28" i="40"/>
  <c r="U28" i="40"/>
  <c r="V28" i="40"/>
  <c r="W28" i="40"/>
  <c r="X28" i="40"/>
  <c r="Y28" i="40"/>
  <c r="Z28" i="40"/>
  <c r="AA28" i="40"/>
  <c r="AB28" i="40"/>
  <c r="AC28" i="40"/>
  <c r="AD28" i="40"/>
  <c r="AE28" i="40"/>
  <c r="AF28" i="40"/>
  <c r="D29" i="40"/>
  <c r="E29" i="40"/>
  <c r="F29" i="40"/>
  <c r="G29" i="40"/>
  <c r="H29" i="40"/>
  <c r="I29" i="40"/>
  <c r="J29" i="40"/>
  <c r="K29" i="40"/>
  <c r="L29" i="40"/>
  <c r="M29" i="40"/>
  <c r="N29" i="40"/>
  <c r="O29" i="40"/>
  <c r="P29" i="40"/>
  <c r="Q29" i="40"/>
  <c r="R29" i="40"/>
  <c r="S29" i="40"/>
  <c r="T29" i="40"/>
  <c r="U29" i="40"/>
  <c r="V29" i="40"/>
  <c r="W29" i="40"/>
  <c r="X29" i="40"/>
  <c r="Y29" i="40"/>
  <c r="Z29" i="40"/>
  <c r="AA29" i="40"/>
  <c r="AB29" i="40"/>
  <c r="AC29" i="40"/>
  <c r="AD29" i="40"/>
  <c r="AE29" i="40"/>
  <c r="AF29" i="40"/>
  <c r="E30" i="40"/>
  <c r="F30" i="40"/>
  <c r="G30" i="40"/>
  <c r="H30" i="40"/>
  <c r="I30" i="40"/>
  <c r="J30" i="40"/>
  <c r="K30" i="40"/>
  <c r="L30" i="40"/>
  <c r="M30" i="40"/>
  <c r="N30" i="40"/>
  <c r="O30" i="40"/>
  <c r="P30" i="40"/>
  <c r="Q30" i="40"/>
  <c r="R30" i="40"/>
  <c r="S30" i="40"/>
  <c r="T30" i="40"/>
  <c r="U30" i="40"/>
  <c r="V30" i="40"/>
  <c r="W30" i="40"/>
  <c r="X30" i="40"/>
  <c r="Y30" i="40"/>
  <c r="Z30" i="40"/>
  <c r="AA30" i="40"/>
  <c r="AB30" i="40"/>
  <c r="AC30" i="40"/>
  <c r="AD30" i="40"/>
  <c r="AE30" i="40"/>
  <c r="AF30" i="40"/>
  <c r="F38" i="40"/>
  <c r="G38" i="40"/>
  <c r="H38" i="40"/>
  <c r="I38" i="40"/>
  <c r="J38" i="40"/>
  <c r="K38" i="40"/>
  <c r="L38" i="40"/>
  <c r="M38" i="40"/>
  <c r="N38" i="40"/>
  <c r="O38" i="40"/>
  <c r="P38" i="40"/>
  <c r="Q38" i="40"/>
  <c r="R38" i="40"/>
  <c r="S38" i="40"/>
  <c r="T38" i="40"/>
  <c r="U38" i="40"/>
  <c r="V38" i="40"/>
  <c r="W38" i="40"/>
  <c r="X38" i="40"/>
  <c r="Y38" i="40"/>
  <c r="Z38" i="40"/>
  <c r="AA38" i="40"/>
  <c r="AB38" i="40"/>
  <c r="AC38" i="40"/>
  <c r="AD38" i="40"/>
  <c r="AE38" i="40"/>
  <c r="AF38" i="40"/>
  <c r="E39" i="40"/>
  <c r="F39" i="40"/>
  <c r="G39" i="40"/>
  <c r="H39" i="40"/>
  <c r="I39" i="40"/>
  <c r="J39" i="40"/>
  <c r="K39" i="40"/>
  <c r="L39" i="40"/>
  <c r="M39" i="40"/>
  <c r="N39" i="40"/>
  <c r="O39" i="40"/>
  <c r="P39" i="40"/>
  <c r="Q39" i="40"/>
  <c r="R39" i="40"/>
  <c r="S39" i="40"/>
  <c r="T39" i="40"/>
  <c r="U39" i="40"/>
  <c r="V39" i="40"/>
  <c r="W39" i="40"/>
  <c r="X39" i="40"/>
  <c r="Y39" i="40"/>
  <c r="Z39" i="40"/>
  <c r="AA39" i="40"/>
  <c r="AB39" i="40"/>
  <c r="AC39" i="40"/>
  <c r="AD39" i="40"/>
  <c r="AE39" i="40"/>
  <c r="AF39" i="40"/>
  <c r="F40" i="40"/>
  <c r="G40" i="40"/>
  <c r="H40" i="40"/>
  <c r="I40" i="40"/>
  <c r="J40" i="40"/>
  <c r="K40" i="40"/>
  <c r="L40" i="40"/>
  <c r="M40" i="40"/>
  <c r="N40" i="40"/>
  <c r="O40" i="40"/>
  <c r="P40" i="40"/>
  <c r="Q40" i="40"/>
  <c r="R40" i="40"/>
  <c r="S40" i="40"/>
  <c r="T40" i="40"/>
  <c r="U40" i="40"/>
  <c r="V40" i="40"/>
  <c r="W40" i="40"/>
  <c r="X40" i="40"/>
  <c r="Y40" i="40"/>
  <c r="Z40" i="40"/>
  <c r="AA40" i="40"/>
  <c r="AB40" i="40"/>
  <c r="AC40" i="40"/>
  <c r="AD40" i="40"/>
  <c r="AE40" i="40"/>
  <c r="AF40" i="40"/>
  <c r="E41" i="40"/>
  <c r="F41" i="40"/>
  <c r="G41" i="40"/>
  <c r="H41" i="40"/>
  <c r="I41" i="40"/>
  <c r="J41" i="40"/>
  <c r="K41" i="40"/>
  <c r="L41" i="40"/>
  <c r="M41" i="40"/>
  <c r="N41" i="40"/>
  <c r="O41" i="40"/>
  <c r="P41" i="40"/>
  <c r="Q41" i="40"/>
  <c r="R41" i="40"/>
  <c r="S41" i="40"/>
  <c r="T41" i="40"/>
  <c r="U41" i="40"/>
  <c r="V41" i="40"/>
  <c r="W41" i="40"/>
  <c r="X41" i="40"/>
  <c r="Y41" i="40"/>
  <c r="Z41" i="40"/>
  <c r="AA41" i="40"/>
  <c r="AB41" i="40"/>
  <c r="AC41" i="40"/>
  <c r="AD41" i="40"/>
  <c r="AE41" i="40"/>
  <c r="AF41" i="40"/>
  <c r="D42" i="40"/>
  <c r="E42" i="40"/>
  <c r="F42" i="40"/>
  <c r="G42" i="40"/>
  <c r="H42" i="40"/>
  <c r="I42" i="40"/>
  <c r="J42" i="40"/>
  <c r="K42" i="40"/>
  <c r="L42" i="40"/>
  <c r="M42" i="40"/>
  <c r="N42" i="40"/>
  <c r="O42" i="40"/>
  <c r="P42" i="40"/>
  <c r="Q42" i="40"/>
  <c r="R42" i="40"/>
  <c r="S42" i="40"/>
  <c r="T42" i="40"/>
  <c r="U42" i="40"/>
  <c r="V42" i="40"/>
  <c r="W42" i="40"/>
  <c r="X42" i="40"/>
  <c r="Y42" i="40"/>
  <c r="Z42" i="40"/>
  <c r="AA42" i="40"/>
  <c r="AB42" i="40"/>
  <c r="AC42" i="40"/>
  <c r="AD42" i="40"/>
  <c r="AE42" i="40"/>
  <c r="AF42" i="40"/>
  <c r="D43" i="40"/>
  <c r="E43" i="40"/>
  <c r="F43" i="40"/>
  <c r="G43" i="40"/>
  <c r="H43" i="40"/>
  <c r="I43" i="40"/>
  <c r="J43" i="40"/>
  <c r="K43" i="40"/>
  <c r="L43" i="40"/>
  <c r="M43" i="40"/>
  <c r="N43" i="40"/>
  <c r="O43" i="40"/>
  <c r="P43" i="40"/>
  <c r="Q43" i="40"/>
  <c r="R43" i="40"/>
  <c r="S43" i="40"/>
  <c r="T43" i="40"/>
  <c r="U43" i="40"/>
  <c r="V43" i="40"/>
  <c r="W43" i="40"/>
  <c r="X43" i="40"/>
  <c r="Y43" i="40"/>
  <c r="Z43" i="40"/>
  <c r="AA43" i="40"/>
  <c r="AB43" i="40"/>
  <c r="AC43" i="40"/>
  <c r="AD43" i="40"/>
  <c r="AE43" i="40"/>
  <c r="AF43" i="40"/>
  <c r="E44" i="40"/>
  <c r="F44" i="40"/>
  <c r="G44" i="40"/>
  <c r="H44" i="40"/>
  <c r="I44" i="40"/>
  <c r="J44" i="40"/>
  <c r="K44" i="40"/>
  <c r="L44" i="40"/>
  <c r="M44" i="40"/>
  <c r="N44" i="40"/>
  <c r="O44" i="40"/>
  <c r="P44" i="40"/>
  <c r="Q44" i="40"/>
  <c r="R44" i="40"/>
  <c r="S44" i="40"/>
  <c r="T44" i="40"/>
  <c r="U44" i="40"/>
  <c r="V44" i="40"/>
  <c r="W44" i="40"/>
  <c r="X44" i="40"/>
  <c r="Y44" i="40"/>
  <c r="Z44" i="40"/>
  <c r="AA44" i="40"/>
  <c r="AB44" i="40"/>
  <c r="AC44" i="40"/>
  <c r="AD44" i="40"/>
  <c r="AE44" i="40"/>
  <c r="AF44" i="40"/>
  <c r="D45" i="40"/>
  <c r="E45" i="40"/>
  <c r="F45" i="40"/>
  <c r="G45" i="40"/>
  <c r="H45" i="40"/>
  <c r="I45" i="40"/>
  <c r="J45" i="40"/>
  <c r="K45" i="40"/>
  <c r="L45" i="40"/>
  <c r="M45" i="40"/>
  <c r="N45" i="40"/>
  <c r="O45" i="40"/>
  <c r="P45" i="40"/>
  <c r="Q45" i="40"/>
  <c r="R45" i="40"/>
  <c r="S45" i="40"/>
  <c r="T45" i="40"/>
  <c r="U45" i="40"/>
  <c r="V45" i="40"/>
  <c r="W45" i="40"/>
  <c r="X45" i="40"/>
  <c r="Y45" i="40"/>
  <c r="Z45" i="40"/>
  <c r="AA45" i="40"/>
  <c r="AB45" i="40"/>
  <c r="AC45" i="40"/>
  <c r="AD45" i="40"/>
  <c r="AE45" i="40"/>
  <c r="AF45" i="40"/>
  <c r="D48" i="40"/>
  <c r="E48" i="40"/>
  <c r="F48" i="40"/>
  <c r="G48" i="40"/>
  <c r="H48" i="40"/>
  <c r="I48" i="40"/>
  <c r="J48" i="40"/>
  <c r="K48" i="40"/>
  <c r="L48" i="40"/>
  <c r="M48" i="40"/>
  <c r="N48" i="40"/>
  <c r="O48" i="40"/>
  <c r="P48" i="40"/>
  <c r="Q48" i="40"/>
  <c r="R48" i="40"/>
  <c r="S48" i="40"/>
  <c r="T48" i="40"/>
  <c r="U48" i="40"/>
  <c r="V48" i="40"/>
  <c r="W48" i="40"/>
  <c r="X48" i="40"/>
  <c r="Y48" i="40"/>
  <c r="Z48" i="40"/>
  <c r="AA48" i="40"/>
  <c r="AB48" i="40"/>
  <c r="AC48" i="40"/>
  <c r="AD48" i="40"/>
  <c r="AE48" i="40"/>
  <c r="AF48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AF49" i="40"/>
  <c r="G50" i="40"/>
  <c r="H50" i="40"/>
  <c r="I50" i="40"/>
  <c r="J50" i="40"/>
  <c r="K50" i="40"/>
  <c r="L50" i="40"/>
  <c r="M50" i="40"/>
  <c r="N50" i="40"/>
  <c r="O50" i="40"/>
  <c r="P50" i="40"/>
  <c r="Q50" i="40"/>
  <c r="R50" i="40"/>
  <c r="S50" i="40"/>
  <c r="T50" i="40"/>
  <c r="U50" i="40"/>
  <c r="V50" i="40"/>
  <c r="W50" i="40"/>
  <c r="X50" i="40"/>
  <c r="Y50" i="40"/>
  <c r="Z50" i="40"/>
  <c r="AA50" i="40"/>
  <c r="AB50" i="40"/>
  <c r="AC50" i="40"/>
  <c r="AD50" i="40"/>
  <c r="AE50" i="40"/>
  <c r="AF50" i="40"/>
  <c r="D51" i="40"/>
  <c r="E51" i="40"/>
  <c r="F51" i="40"/>
  <c r="G51" i="40"/>
  <c r="H51" i="40"/>
  <c r="I51" i="40"/>
  <c r="J51" i="40"/>
  <c r="K51" i="40"/>
  <c r="L51" i="40"/>
  <c r="M51" i="40"/>
  <c r="N51" i="40"/>
  <c r="O51" i="40"/>
  <c r="P51" i="40"/>
  <c r="Q51" i="40"/>
  <c r="R51" i="40"/>
  <c r="S51" i="40"/>
  <c r="T51" i="40"/>
  <c r="U51" i="40"/>
  <c r="V51" i="40"/>
  <c r="W51" i="40"/>
  <c r="X51" i="40"/>
  <c r="Y51" i="40"/>
  <c r="Z51" i="40"/>
  <c r="AA51" i="40"/>
  <c r="AB51" i="40"/>
  <c r="AC51" i="40"/>
  <c r="AD51" i="40"/>
  <c r="AE51" i="40"/>
  <c r="AF51" i="40"/>
  <c r="E52" i="40"/>
  <c r="F52" i="40"/>
  <c r="G52" i="40"/>
  <c r="H52" i="40"/>
  <c r="I52" i="40"/>
  <c r="J52" i="40"/>
  <c r="K52" i="40"/>
  <c r="L52" i="40"/>
  <c r="M52" i="40"/>
  <c r="N52" i="40"/>
  <c r="O52" i="40"/>
  <c r="P52" i="40"/>
  <c r="Q52" i="40"/>
  <c r="R52" i="40"/>
  <c r="S52" i="40"/>
  <c r="T52" i="40"/>
  <c r="U52" i="40"/>
  <c r="V52" i="40"/>
  <c r="W52" i="40"/>
  <c r="X52" i="40"/>
  <c r="Y52" i="40"/>
  <c r="Z52" i="40"/>
  <c r="AA52" i="40"/>
  <c r="AB52" i="40"/>
  <c r="AC52" i="40"/>
  <c r="AD52" i="40"/>
  <c r="AE52" i="40"/>
  <c r="AF52" i="40"/>
  <c r="E13" i="51"/>
  <c r="F13" i="51"/>
  <c r="G13" i="51"/>
  <c r="H13" i="51"/>
  <c r="I13" i="51"/>
  <c r="J13" i="51"/>
  <c r="K13" i="51"/>
  <c r="L13" i="51"/>
  <c r="M13" i="51"/>
  <c r="N13" i="51"/>
  <c r="O13" i="51"/>
  <c r="P13" i="51"/>
  <c r="Q13" i="51"/>
  <c r="R13" i="51"/>
  <c r="S13" i="51"/>
  <c r="T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E18" i="51"/>
  <c r="F18" i="51"/>
  <c r="G18" i="51"/>
  <c r="H18" i="51"/>
  <c r="I18" i="51"/>
  <c r="J18" i="51"/>
  <c r="K18" i="51"/>
  <c r="L18" i="51"/>
  <c r="M18" i="51"/>
  <c r="N18" i="51"/>
  <c r="O18" i="51"/>
  <c r="P18" i="51"/>
  <c r="Q18" i="51"/>
  <c r="R18" i="51"/>
  <c r="S18" i="51"/>
  <c r="T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F19" i="51"/>
  <c r="G19" i="51"/>
  <c r="H19" i="51"/>
  <c r="I19" i="51"/>
  <c r="J19" i="51"/>
  <c r="K19" i="51"/>
  <c r="L19" i="51"/>
  <c r="M19" i="51"/>
  <c r="N19" i="51"/>
  <c r="O19" i="51"/>
  <c r="P19" i="51"/>
  <c r="Q19" i="51"/>
  <c r="R19" i="51"/>
  <c r="S19" i="51"/>
  <c r="T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E21" i="51"/>
  <c r="F21" i="51"/>
  <c r="G21" i="51"/>
  <c r="H21" i="51"/>
  <c r="I21" i="51"/>
  <c r="J21" i="51"/>
  <c r="K21" i="51"/>
  <c r="L21" i="51"/>
  <c r="M21" i="51"/>
  <c r="N21" i="51"/>
  <c r="O21" i="51"/>
  <c r="P21" i="51"/>
  <c r="Q21" i="51"/>
  <c r="R21" i="51"/>
  <c r="S21" i="51"/>
  <c r="T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D23" i="51"/>
  <c r="E23" i="51"/>
  <c r="F23" i="51"/>
  <c r="G23" i="51"/>
  <c r="H23" i="51"/>
  <c r="I23" i="51"/>
  <c r="J23" i="51"/>
  <c r="K23" i="51"/>
  <c r="L23" i="51"/>
  <c r="M23" i="51"/>
  <c r="N23" i="51"/>
  <c r="O23" i="51"/>
  <c r="P23" i="51"/>
  <c r="Q23" i="51"/>
  <c r="R23" i="51"/>
  <c r="S23" i="51"/>
  <c r="T23" i="51"/>
  <c r="U23" i="51"/>
  <c r="V23" i="51"/>
  <c r="W23" i="51"/>
  <c r="X23" i="51"/>
  <c r="Y23" i="51"/>
  <c r="Z23" i="51"/>
  <c r="AA23" i="51"/>
  <c r="E24" i="51"/>
  <c r="F24" i="51"/>
  <c r="G24" i="51"/>
  <c r="H24" i="51"/>
  <c r="I24" i="51"/>
  <c r="J24" i="51"/>
  <c r="K24" i="51"/>
  <c r="L24" i="51"/>
  <c r="M24" i="51"/>
  <c r="N24" i="51"/>
  <c r="O24" i="51"/>
  <c r="P24" i="51"/>
  <c r="Q24" i="51"/>
  <c r="R24" i="51"/>
  <c r="S24" i="51"/>
  <c r="T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D26" i="51"/>
  <c r="E26" i="51"/>
  <c r="F26" i="51"/>
  <c r="G26" i="51"/>
  <c r="H26" i="51"/>
  <c r="I26" i="51"/>
  <c r="J26" i="51"/>
  <c r="K26" i="51"/>
  <c r="L26" i="51"/>
  <c r="M26" i="51"/>
  <c r="N26" i="51"/>
  <c r="O26" i="51"/>
  <c r="P26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G27" i="51"/>
  <c r="H27" i="51"/>
  <c r="I27" i="51"/>
  <c r="J27" i="51"/>
  <c r="K27" i="51"/>
  <c r="L27" i="51"/>
  <c r="M27" i="51"/>
  <c r="N27" i="51"/>
  <c r="O27" i="51"/>
  <c r="P27" i="51"/>
  <c r="Q27" i="51"/>
  <c r="R27" i="51"/>
  <c r="S27" i="51"/>
  <c r="T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G28" i="51"/>
  <c r="H28" i="51"/>
  <c r="I28" i="51"/>
  <c r="J28" i="51"/>
  <c r="K28" i="51"/>
  <c r="L28" i="51"/>
  <c r="M28" i="51"/>
  <c r="N28" i="51"/>
  <c r="O28" i="51"/>
  <c r="P28" i="51"/>
  <c r="Q28" i="51"/>
  <c r="R28" i="51"/>
  <c r="S28" i="51"/>
  <c r="T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D29" i="51"/>
  <c r="E29" i="51"/>
  <c r="F29" i="51"/>
  <c r="G29" i="51"/>
  <c r="H29" i="51"/>
  <c r="I29" i="51"/>
  <c r="J29" i="51"/>
  <c r="K29" i="51"/>
  <c r="L29" i="51"/>
  <c r="M29" i="51"/>
  <c r="N29" i="51"/>
  <c r="O29" i="51"/>
  <c r="P29" i="51"/>
  <c r="Q29" i="51"/>
  <c r="R29" i="51"/>
  <c r="S29" i="51"/>
  <c r="T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E30" i="51"/>
  <c r="F30" i="51"/>
  <c r="G30" i="51"/>
  <c r="H30" i="51"/>
  <c r="I30" i="51"/>
  <c r="J30" i="51"/>
  <c r="K30" i="51"/>
  <c r="L30" i="51"/>
  <c r="M30" i="51"/>
  <c r="N30" i="51"/>
  <c r="O30" i="51"/>
  <c r="P30" i="51"/>
  <c r="Q30" i="51"/>
  <c r="R30" i="51"/>
  <c r="S30" i="51"/>
  <c r="T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F38" i="51"/>
  <c r="G38" i="51"/>
  <c r="H38" i="51"/>
  <c r="I38" i="51"/>
  <c r="J38" i="51"/>
  <c r="K38" i="51"/>
  <c r="L38" i="51"/>
  <c r="M38" i="51"/>
  <c r="N38" i="51"/>
  <c r="O38" i="51"/>
  <c r="P38" i="51"/>
  <c r="Q38" i="51"/>
  <c r="R38" i="51"/>
  <c r="S38" i="51"/>
  <c r="T38" i="51"/>
  <c r="U38" i="51"/>
  <c r="V38" i="51"/>
  <c r="W38" i="51"/>
  <c r="X38" i="51"/>
  <c r="Y38" i="51"/>
  <c r="Z38" i="51"/>
  <c r="AA38" i="51"/>
  <c r="AB38" i="51"/>
  <c r="AC38" i="51"/>
  <c r="AD38" i="51"/>
  <c r="AE38" i="51"/>
  <c r="AF38" i="51"/>
  <c r="AG38" i="51"/>
  <c r="E39" i="51"/>
  <c r="F39" i="51"/>
  <c r="G39" i="51"/>
  <c r="H39" i="51"/>
  <c r="I39" i="51"/>
  <c r="J39" i="51"/>
  <c r="K39" i="51"/>
  <c r="L39" i="51"/>
  <c r="M39" i="51"/>
  <c r="N39" i="51"/>
  <c r="O39" i="51"/>
  <c r="P39" i="51"/>
  <c r="Q39" i="51"/>
  <c r="R39" i="51"/>
  <c r="S39" i="51"/>
  <c r="T39" i="51"/>
  <c r="U39" i="51"/>
  <c r="V39" i="51"/>
  <c r="W39" i="51"/>
  <c r="X39" i="51"/>
  <c r="Y39" i="51"/>
  <c r="Z39" i="51"/>
  <c r="AA39" i="51"/>
  <c r="AB39" i="51"/>
  <c r="AC39" i="51"/>
  <c r="AD39" i="51"/>
  <c r="AE39" i="51"/>
  <c r="AF39" i="51"/>
  <c r="AG39" i="51"/>
  <c r="F40" i="51"/>
  <c r="G40" i="51"/>
  <c r="H40" i="51"/>
  <c r="I40" i="51"/>
  <c r="J40" i="51"/>
  <c r="K40" i="51"/>
  <c r="L40" i="51"/>
  <c r="M40" i="51"/>
  <c r="N40" i="51"/>
  <c r="O40" i="51"/>
  <c r="P40" i="51"/>
  <c r="Q40" i="51"/>
  <c r="R40" i="51"/>
  <c r="S40" i="51"/>
  <c r="T40" i="51"/>
  <c r="U40" i="51"/>
  <c r="V40" i="51"/>
  <c r="W40" i="51"/>
  <c r="X40" i="51"/>
  <c r="Y40" i="51"/>
  <c r="Z40" i="51"/>
  <c r="AA40" i="51"/>
  <c r="AB40" i="51"/>
  <c r="AC40" i="51"/>
  <c r="AD40" i="51"/>
  <c r="AE40" i="51"/>
  <c r="AF40" i="51"/>
  <c r="AG40" i="51"/>
  <c r="E41" i="51"/>
  <c r="F41" i="51"/>
  <c r="G41" i="51"/>
  <c r="H41" i="51"/>
  <c r="I41" i="51"/>
  <c r="J41" i="51"/>
  <c r="K41" i="51"/>
  <c r="L41" i="51"/>
  <c r="M41" i="51"/>
  <c r="N41" i="51"/>
  <c r="O41" i="51"/>
  <c r="P41" i="51"/>
  <c r="Q41" i="51"/>
  <c r="R41" i="51"/>
  <c r="S41" i="51"/>
  <c r="T41" i="51"/>
  <c r="U41" i="51"/>
  <c r="V41" i="51"/>
  <c r="W41" i="51"/>
  <c r="X41" i="51"/>
  <c r="Y41" i="51"/>
  <c r="Z41" i="51"/>
  <c r="AA41" i="51"/>
  <c r="AB41" i="51"/>
  <c r="AC41" i="51"/>
  <c r="AD41" i="51"/>
  <c r="AE41" i="51"/>
  <c r="AF41" i="51"/>
  <c r="AG41" i="51"/>
  <c r="F42" i="51"/>
  <c r="G42" i="51"/>
  <c r="H42" i="51"/>
  <c r="I42" i="51"/>
  <c r="J42" i="51"/>
  <c r="K42" i="51"/>
  <c r="L42" i="51"/>
  <c r="M42" i="51"/>
  <c r="N42" i="51"/>
  <c r="O42" i="51"/>
  <c r="P42" i="51"/>
  <c r="Q42" i="51"/>
  <c r="R42" i="51"/>
  <c r="S42" i="51"/>
  <c r="T42" i="51"/>
  <c r="U42" i="51"/>
  <c r="V42" i="51"/>
  <c r="W42" i="51"/>
  <c r="X42" i="51"/>
  <c r="Y42" i="51"/>
  <c r="Z42" i="51"/>
  <c r="AA42" i="51"/>
  <c r="AB42" i="51"/>
  <c r="AC42" i="51"/>
  <c r="AD42" i="51"/>
  <c r="AE42" i="51"/>
  <c r="AF42" i="51"/>
  <c r="AG42" i="51"/>
  <c r="E43" i="51"/>
  <c r="F43" i="51"/>
  <c r="G43" i="51"/>
  <c r="H43" i="51"/>
  <c r="I43" i="51"/>
  <c r="J43" i="51"/>
  <c r="K43" i="51"/>
  <c r="L43" i="51"/>
  <c r="M43" i="51"/>
  <c r="N43" i="51"/>
  <c r="O43" i="51"/>
  <c r="P43" i="51"/>
  <c r="Q43" i="51"/>
  <c r="R43" i="51"/>
  <c r="S43" i="51"/>
  <c r="T43" i="51"/>
  <c r="U43" i="51"/>
  <c r="V43" i="51"/>
  <c r="W43" i="51"/>
  <c r="X43" i="51"/>
  <c r="Y43" i="51"/>
  <c r="Z43" i="51"/>
  <c r="AA43" i="51"/>
  <c r="AB43" i="51"/>
  <c r="AC43" i="51"/>
  <c r="AD43" i="51"/>
  <c r="AE43" i="51"/>
  <c r="AF43" i="51"/>
  <c r="AG43" i="51"/>
  <c r="F44" i="51"/>
  <c r="G44" i="51"/>
  <c r="H44" i="51"/>
  <c r="I44" i="51"/>
  <c r="J44" i="51"/>
  <c r="K44" i="51"/>
  <c r="L44" i="51"/>
  <c r="M44" i="51"/>
  <c r="N44" i="51"/>
  <c r="O44" i="51"/>
  <c r="P44" i="51"/>
  <c r="Q44" i="51"/>
  <c r="R44" i="51"/>
  <c r="S44" i="51"/>
  <c r="T44" i="51"/>
  <c r="U44" i="51"/>
  <c r="V44" i="51"/>
  <c r="W44" i="51"/>
  <c r="X44" i="51"/>
  <c r="Y44" i="51"/>
  <c r="Z44" i="51"/>
  <c r="AA44" i="51"/>
  <c r="AB44" i="51"/>
  <c r="AC44" i="51"/>
  <c r="AD44" i="51"/>
  <c r="AE44" i="51"/>
  <c r="AF44" i="51"/>
  <c r="AG44" i="51"/>
  <c r="E45" i="51"/>
  <c r="F45" i="51"/>
  <c r="G45" i="51"/>
  <c r="H45" i="51"/>
  <c r="I45" i="51"/>
  <c r="J45" i="51"/>
  <c r="K45" i="51"/>
  <c r="L45" i="51"/>
  <c r="M45" i="51"/>
  <c r="N45" i="51"/>
  <c r="O45" i="51"/>
  <c r="P45" i="51"/>
  <c r="Q45" i="51"/>
  <c r="R45" i="51"/>
  <c r="S45" i="51"/>
  <c r="T45" i="51"/>
  <c r="U45" i="51"/>
  <c r="V45" i="51"/>
  <c r="W45" i="51"/>
  <c r="X45" i="51"/>
  <c r="Y45" i="51"/>
  <c r="Z45" i="51"/>
  <c r="AA45" i="51"/>
  <c r="AB45" i="51"/>
  <c r="AC45" i="51"/>
  <c r="AD45" i="51"/>
  <c r="AE45" i="51"/>
  <c r="AF45" i="51"/>
  <c r="AG45" i="51"/>
  <c r="D48" i="51"/>
  <c r="E48" i="51"/>
  <c r="F48" i="51"/>
  <c r="G48" i="51"/>
  <c r="H48" i="51"/>
  <c r="I48" i="51"/>
  <c r="J48" i="51"/>
  <c r="K48" i="51"/>
  <c r="L48" i="51"/>
  <c r="M48" i="51"/>
  <c r="N48" i="51"/>
  <c r="O48" i="51"/>
  <c r="P48" i="51"/>
  <c r="Q48" i="51"/>
  <c r="R48" i="51"/>
  <c r="S48" i="51"/>
  <c r="T48" i="51"/>
  <c r="U48" i="51"/>
  <c r="V48" i="51"/>
  <c r="W48" i="51"/>
  <c r="X48" i="51"/>
  <c r="Y48" i="51"/>
  <c r="Z48" i="51"/>
  <c r="AA48" i="51"/>
  <c r="AB48" i="51"/>
  <c r="AC48" i="51"/>
  <c r="AD48" i="51"/>
  <c r="AE48" i="51"/>
  <c r="AF48" i="51"/>
  <c r="AG48" i="51"/>
  <c r="H49" i="51"/>
  <c r="I49" i="51"/>
  <c r="J49" i="51"/>
  <c r="K49" i="51"/>
  <c r="L49" i="51"/>
  <c r="M49" i="51"/>
  <c r="N49" i="51"/>
  <c r="O49" i="51"/>
  <c r="P49" i="51"/>
  <c r="Q49" i="51"/>
  <c r="R49" i="51"/>
  <c r="S49" i="51"/>
  <c r="T49" i="51"/>
  <c r="U49" i="51"/>
  <c r="V49" i="51"/>
  <c r="W49" i="51"/>
  <c r="X49" i="51"/>
  <c r="Y49" i="51"/>
  <c r="Z49" i="51"/>
  <c r="AA49" i="51"/>
  <c r="AB49" i="51"/>
  <c r="AC49" i="51"/>
  <c r="AD49" i="51"/>
  <c r="AE49" i="51"/>
  <c r="H50" i="51"/>
  <c r="I50" i="51"/>
  <c r="J50" i="51"/>
  <c r="K50" i="51"/>
  <c r="L50" i="51"/>
  <c r="M50" i="51"/>
  <c r="N50" i="51"/>
  <c r="O50" i="51"/>
  <c r="P50" i="51"/>
  <c r="Q50" i="51"/>
  <c r="R50" i="51"/>
  <c r="S50" i="51"/>
  <c r="T50" i="51"/>
  <c r="U50" i="51"/>
  <c r="V50" i="51"/>
  <c r="W50" i="51"/>
  <c r="X50" i="51"/>
  <c r="Y50" i="51"/>
  <c r="Z50" i="51"/>
  <c r="AA50" i="51"/>
  <c r="AB50" i="51"/>
  <c r="AC50" i="51"/>
  <c r="AD50" i="51"/>
  <c r="AE50" i="51"/>
  <c r="D52" i="51"/>
  <c r="E52" i="51"/>
  <c r="F52" i="51"/>
  <c r="G52" i="51"/>
  <c r="H52" i="51"/>
  <c r="I52" i="51"/>
  <c r="J52" i="51"/>
  <c r="K52" i="51"/>
  <c r="L52" i="51"/>
  <c r="M52" i="51"/>
  <c r="N52" i="51"/>
  <c r="O52" i="51"/>
  <c r="P52" i="51"/>
  <c r="Q52" i="51"/>
  <c r="R52" i="51"/>
  <c r="S52" i="51"/>
  <c r="T52" i="51"/>
  <c r="U52" i="51"/>
  <c r="V52" i="51"/>
  <c r="W52" i="51"/>
  <c r="X52" i="51"/>
  <c r="Y52" i="51"/>
  <c r="Z52" i="51"/>
  <c r="AA52" i="51"/>
  <c r="AB52" i="51"/>
  <c r="AC52" i="51"/>
  <c r="AD52" i="51"/>
  <c r="AE52" i="51"/>
  <c r="AF52" i="51"/>
  <c r="AG52" i="51"/>
  <c r="J25" i="25"/>
  <c r="K25" i="25"/>
  <c r="L25" i="25"/>
  <c r="M25" i="25"/>
  <c r="N25" i="25"/>
  <c r="O25" i="25"/>
  <c r="P25" i="25"/>
  <c r="J27" i="25"/>
  <c r="K27" i="25"/>
  <c r="L27" i="25"/>
  <c r="M27" i="25"/>
  <c r="N27" i="25"/>
  <c r="O27" i="25"/>
  <c r="P27" i="25"/>
  <c r="F32" i="25"/>
  <c r="G32" i="25"/>
  <c r="H32" i="25"/>
  <c r="I32" i="25"/>
  <c r="J32" i="25"/>
  <c r="K32" i="25"/>
  <c r="L32" i="25"/>
  <c r="M32" i="25"/>
  <c r="N32" i="25"/>
  <c r="O32" i="25"/>
  <c r="P32" i="25"/>
  <c r="Q32" i="25"/>
  <c r="R32" i="25"/>
  <c r="F33" i="25"/>
  <c r="G33" i="25"/>
  <c r="H33" i="25"/>
  <c r="I33" i="25"/>
  <c r="J33" i="25"/>
  <c r="K33" i="25"/>
  <c r="L33" i="25"/>
  <c r="M33" i="25"/>
  <c r="N33" i="25"/>
  <c r="O33" i="25"/>
  <c r="P33" i="25"/>
  <c r="Q33" i="25"/>
  <c r="R33" i="25"/>
  <c r="F34" i="25"/>
  <c r="G34" i="25"/>
  <c r="H34" i="25"/>
  <c r="I34" i="25"/>
  <c r="J34" i="25"/>
  <c r="K34" i="25"/>
  <c r="L34" i="25"/>
  <c r="M34" i="25"/>
  <c r="N34" i="25"/>
  <c r="O34" i="25"/>
  <c r="P34" i="25"/>
  <c r="Q34" i="25"/>
  <c r="R34" i="25"/>
  <c r="J35" i="25"/>
  <c r="K35" i="25"/>
  <c r="L35" i="25"/>
  <c r="M35" i="25"/>
  <c r="N35" i="25"/>
  <c r="O35" i="25"/>
  <c r="P35" i="25"/>
  <c r="J36" i="25"/>
  <c r="K36" i="25"/>
  <c r="L36" i="25"/>
  <c r="M36" i="25"/>
  <c r="N36" i="25"/>
  <c r="O36" i="25"/>
  <c r="P36" i="25"/>
  <c r="J38" i="25"/>
  <c r="K38" i="25"/>
  <c r="L38" i="25"/>
  <c r="M38" i="25"/>
  <c r="N38" i="25"/>
  <c r="O38" i="25"/>
  <c r="P38" i="25"/>
  <c r="J39" i="25"/>
  <c r="K39" i="25"/>
  <c r="L39" i="25"/>
  <c r="M39" i="25"/>
  <c r="N39" i="25"/>
  <c r="O39" i="25"/>
  <c r="P39" i="25"/>
  <c r="J40" i="25"/>
  <c r="K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J42" i="25"/>
  <c r="K42" i="25"/>
  <c r="L42" i="25"/>
  <c r="M42" i="25"/>
  <c r="N42" i="25"/>
  <c r="O42" i="25"/>
  <c r="P42" i="25"/>
  <c r="K43" i="25"/>
  <c r="L43" i="25"/>
  <c r="M43" i="25"/>
  <c r="N43" i="25"/>
  <c r="O43" i="25"/>
  <c r="P43" i="25"/>
  <c r="Q43" i="25"/>
  <c r="F44" i="25"/>
  <c r="G44" i="25"/>
  <c r="H44" i="25"/>
  <c r="I44" i="25"/>
  <c r="J44" i="25"/>
  <c r="K44" i="25"/>
  <c r="L44" i="25"/>
  <c r="M44" i="25"/>
  <c r="N44" i="25"/>
  <c r="O44" i="25"/>
  <c r="P44" i="25"/>
  <c r="Q44" i="25"/>
  <c r="R44" i="25"/>
  <c r="F45" i="25"/>
  <c r="G45" i="25"/>
  <c r="H45" i="25"/>
  <c r="I45" i="25"/>
  <c r="J45" i="25"/>
  <c r="K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F47" i="25"/>
  <c r="G47" i="25"/>
  <c r="H47" i="25"/>
  <c r="I47" i="25"/>
  <c r="J47" i="25"/>
  <c r="K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F48" i="25"/>
  <c r="G48" i="25"/>
  <c r="H48" i="25"/>
  <c r="I48" i="25"/>
  <c r="J48" i="25"/>
  <c r="K48" i="25"/>
  <c r="L48" i="25"/>
  <c r="M48" i="25"/>
  <c r="N48" i="25"/>
  <c r="O48" i="25"/>
  <c r="P48" i="25"/>
  <c r="Q48" i="25"/>
  <c r="R48" i="25"/>
  <c r="S48" i="25"/>
  <c r="T48" i="25"/>
  <c r="U48" i="25"/>
  <c r="V48" i="25"/>
  <c r="W48" i="25"/>
  <c r="X48" i="25"/>
  <c r="Y48" i="25"/>
  <c r="Z48" i="25"/>
  <c r="AA48" i="25"/>
  <c r="AB48" i="25"/>
  <c r="AC48" i="25"/>
  <c r="L50" i="25"/>
  <c r="M50" i="25"/>
  <c r="N50" i="25"/>
  <c r="O50" i="25"/>
  <c r="P50" i="25"/>
  <c r="Q50" i="25"/>
  <c r="F51" i="25"/>
  <c r="G51" i="25"/>
  <c r="H51" i="25"/>
  <c r="I51" i="25"/>
  <c r="J51" i="25"/>
  <c r="K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K52" i="25"/>
  <c r="L52" i="25"/>
  <c r="M52" i="25"/>
  <c r="N52" i="25"/>
  <c r="O52" i="25"/>
  <c r="P52" i="25"/>
  <c r="F53" i="25"/>
  <c r="G53" i="25"/>
  <c r="H53" i="25"/>
  <c r="I53" i="25"/>
  <c r="J53" i="25"/>
  <c r="K53" i="25"/>
  <c r="L53" i="25"/>
  <c r="M53" i="25"/>
  <c r="N53" i="25"/>
  <c r="O53" i="25"/>
  <c r="P53" i="25"/>
  <c r="Q53" i="25"/>
  <c r="R53" i="25"/>
  <c r="S53" i="25"/>
  <c r="T53" i="25"/>
  <c r="U53" i="25"/>
  <c r="V53" i="25"/>
  <c r="W53" i="25"/>
  <c r="X53" i="25"/>
  <c r="Y53" i="25"/>
  <c r="Z53" i="25"/>
  <c r="AA53" i="25"/>
  <c r="AB53" i="25"/>
  <c r="AC53" i="25"/>
  <c r="J25" i="35"/>
  <c r="K25" i="35"/>
  <c r="L25" i="35"/>
  <c r="M25" i="35"/>
  <c r="N25" i="35"/>
  <c r="O25" i="35"/>
  <c r="P25" i="35"/>
  <c r="J27" i="35"/>
  <c r="K27" i="35"/>
  <c r="L27" i="35"/>
  <c r="M27" i="35"/>
  <c r="N27" i="35"/>
  <c r="O27" i="35"/>
  <c r="P27" i="35"/>
  <c r="F32" i="35"/>
  <c r="G32" i="35"/>
  <c r="H32" i="35"/>
  <c r="I32" i="35"/>
  <c r="J32" i="35"/>
  <c r="K32" i="35"/>
  <c r="L32" i="35"/>
  <c r="M32" i="35"/>
  <c r="N32" i="35"/>
  <c r="O32" i="35"/>
  <c r="P32" i="35"/>
  <c r="Q32" i="35"/>
  <c r="R32" i="35"/>
  <c r="S32" i="35"/>
  <c r="T32" i="35"/>
  <c r="U32" i="35"/>
  <c r="V32" i="35"/>
  <c r="W32" i="35"/>
  <c r="X32" i="35"/>
  <c r="Y32" i="35"/>
  <c r="Z32" i="35"/>
  <c r="AA32" i="35"/>
  <c r="AB32" i="35"/>
  <c r="AC32" i="35"/>
  <c r="F33" i="35"/>
  <c r="G33" i="35"/>
  <c r="H33" i="35"/>
  <c r="I33" i="35"/>
  <c r="J33" i="35"/>
  <c r="K33" i="35"/>
  <c r="L33" i="35"/>
  <c r="M33" i="35"/>
  <c r="N33" i="35"/>
  <c r="O33" i="35"/>
  <c r="P33" i="35"/>
  <c r="Q33" i="35"/>
  <c r="R33" i="35"/>
  <c r="S33" i="35"/>
  <c r="T33" i="35"/>
  <c r="U33" i="35"/>
  <c r="V33" i="35"/>
  <c r="W33" i="35"/>
  <c r="X33" i="35"/>
  <c r="Y33" i="35"/>
  <c r="Z33" i="35"/>
  <c r="AA33" i="35"/>
  <c r="AB33" i="35"/>
  <c r="AC33" i="35"/>
  <c r="F34" i="35"/>
  <c r="G34" i="35"/>
  <c r="H34" i="35"/>
  <c r="I34" i="35"/>
  <c r="J34" i="35"/>
  <c r="K34" i="35"/>
  <c r="L34" i="35"/>
  <c r="M34" i="35"/>
  <c r="N34" i="35"/>
  <c r="O34" i="35"/>
  <c r="P34" i="35"/>
  <c r="Q34" i="35"/>
  <c r="R34" i="35"/>
  <c r="S34" i="35"/>
  <c r="T34" i="35"/>
  <c r="U34" i="35"/>
  <c r="V34" i="35"/>
  <c r="W34" i="35"/>
  <c r="X34" i="35"/>
  <c r="Y34" i="35"/>
  <c r="Z34" i="35"/>
  <c r="AA34" i="35"/>
  <c r="AB34" i="35"/>
  <c r="AC34" i="35"/>
  <c r="J35" i="35"/>
  <c r="K35" i="35"/>
  <c r="L35" i="35"/>
  <c r="M35" i="35"/>
  <c r="N35" i="35"/>
  <c r="O35" i="35"/>
  <c r="P35" i="35"/>
  <c r="J36" i="35"/>
  <c r="K36" i="35"/>
  <c r="L36" i="35"/>
  <c r="M36" i="35"/>
  <c r="N36" i="35"/>
  <c r="O36" i="35"/>
  <c r="P36" i="35"/>
  <c r="J37" i="35"/>
  <c r="K37" i="35"/>
  <c r="L37" i="35"/>
  <c r="M37" i="35"/>
  <c r="N37" i="35"/>
  <c r="O37" i="35"/>
  <c r="P37" i="35"/>
  <c r="J38" i="35"/>
  <c r="K38" i="35"/>
  <c r="L38" i="35"/>
  <c r="M38" i="35"/>
  <c r="N38" i="35"/>
  <c r="O38" i="35"/>
  <c r="P38" i="35"/>
  <c r="J39" i="35"/>
  <c r="K39" i="35"/>
  <c r="L39" i="35"/>
  <c r="M39" i="35"/>
  <c r="N39" i="35"/>
  <c r="O39" i="35"/>
  <c r="P39" i="35"/>
  <c r="J40" i="35"/>
  <c r="K40" i="35"/>
  <c r="L40" i="35"/>
  <c r="M40" i="35"/>
  <c r="N40" i="35"/>
  <c r="O40" i="35"/>
  <c r="P40" i="35"/>
  <c r="Q40" i="35"/>
  <c r="R40" i="35"/>
  <c r="S40" i="35"/>
  <c r="T40" i="35"/>
  <c r="U40" i="35"/>
  <c r="V40" i="35"/>
  <c r="W40" i="35"/>
  <c r="X40" i="35"/>
  <c r="Y40" i="35"/>
  <c r="Z40" i="35"/>
  <c r="AA40" i="35"/>
  <c r="AB40" i="35"/>
  <c r="AC40" i="35"/>
  <c r="J42" i="35"/>
  <c r="K42" i="35"/>
  <c r="L42" i="35"/>
  <c r="M42" i="35"/>
  <c r="N42" i="35"/>
  <c r="O42" i="35"/>
  <c r="P42" i="35"/>
  <c r="K43" i="35"/>
  <c r="L43" i="35"/>
  <c r="M43" i="35"/>
  <c r="N43" i="35"/>
  <c r="O43" i="35"/>
  <c r="P43" i="35"/>
  <c r="Q43" i="35"/>
  <c r="F44" i="35"/>
  <c r="G44" i="35"/>
  <c r="H44" i="35"/>
  <c r="I44" i="35"/>
  <c r="J44" i="35"/>
  <c r="K44" i="35"/>
  <c r="L44" i="35"/>
  <c r="M44" i="35"/>
  <c r="N44" i="35"/>
  <c r="O44" i="35"/>
  <c r="P44" i="35"/>
  <c r="Q44" i="35"/>
  <c r="R44" i="35"/>
  <c r="S44" i="35"/>
  <c r="T44" i="35"/>
  <c r="U44" i="35"/>
  <c r="F45" i="35"/>
  <c r="G45" i="35"/>
  <c r="H45" i="35"/>
  <c r="I45" i="35"/>
  <c r="J45" i="35"/>
  <c r="K45" i="35"/>
  <c r="L45" i="35"/>
  <c r="M45" i="35"/>
  <c r="N45" i="35"/>
  <c r="O45" i="35"/>
  <c r="P45" i="35"/>
  <c r="Q45" i="35"/>
  <c r="R45" i="35"/>
  <c r="S45" i="35"/>
  <c r="T45" i="35"/>
  <c r="U45" i="35"/>
  <c r="V45" i="35"/>
  <c r="W45" i="35"/>
  <c r="X45" i="35"/>
  <c r="Y45" i="35"/>
  <c r="Z45" i="35"/>
  <c r="AA45" i="35"/>
  <c r="AB45" i="35"/>
  <c r="AC45" i="35"/>
  <c r="J46" i="35"/>
  <c r="K46" i="35"/>
  <c r="L46" i="35"/>
  <c r="M46" i="35"/>
  <c r="N46" i="35"/>
  <c r="O46" i="35"/>
  <c r="P46" i="35"/>
  <c r="K47" i="35"/>
  <c r="L47" i="35"/>
  <c r="M47" i="35"/>
  <c r="N47" i="35"/>
  <c r="O47" i="35"/>
  <c r="P47" i="35"/>
  <c r="Q47" i="35"/>
  <c r="F48" i="35"/>
  <c r="G48" i="35"/>
  <c r="H48" i="35"/>
  <c r="I48" i="35"/>
  <c r="J48" i="35"/>
  <c r="K48" i="35"/>
  <c r="L48" i="35"/>
  <c r="M48" i="35"/>
  <c r="N48" i="35"/>
  <c r="O48" i="35"/>
  <c r="P48" i="35"/>
  <c r="Q48" i="35"/>
  <c r="R48" i="35"/>
  <c r="S48" i="35"/>
  <c r="T48" i="35"/>
  <c r="U48" i="35"/>
  <c r="V48" i="35"/>
  <c r="W48" i="35"/>
  <c r="X48" i="35"/>
  <c r="Y48" i="35"/>
  <c r="Z48" i="35"/>
  <c r="AA48" i="35"/>
  <c r="AB48" i="35"/>
  <c r="AC48" i="35"/>
  <c r="J49" i="35"/>
  <c r="L50" i="35"/>
  <c r="M50" i="35"/>
  <c r="N50" i="35"/>
  <c r="O50" i="35"/>
  <c r="P50" i="35"/>
  <c r="Q50" i="35"/>
  <c r="F51" i="35"/>
  <c r="G51" i="35"/>
  <c r="H51" i="35"/>
  <c r="I51" i="35"/>
  <c r="J51" i="35"/>
  <c r="K51" i="35"/>
  <c r="L51" i="35"/>
  <c r="M51" i="35"/>
  <c r="N51" i="35"/>
  <c r="O51" i="35"/>
  <c r="P51" i="35"/>
  <c r="Q51" i="35"/>
  <c r="R51" i="35"/>
  <c r="S51" i="35"/>
  <c r="T51" i="35"/>
  <c r="U51" i="35"/>
  <c r="V51" i="35"/>
  <c r="W51" i="35"/>
  <c r="X51" i="35"/>
  <c r="Y51" i="35"/>
  <c r="Z51" i="35"/>
  <c r="AA51" i="35"/>
  <c r="AB51" i="35"/>
  <c r="AC51" i="35"/>
  <c r="K52" i="35"/>
  <c r="L52" i="35"/>
  <c r="M52" i="35"/>
  <c r="N52" i="35"/>
  <c r="O52" i="35"/>
  <c r="P52" i="35"/>
  <c r="F53" i="35"/>
  <c r="G53" i="35"/>
  <c r="H53" i="35"/>
  <c r="I53" i="35"/>
  <c r="J53" i="35"/>
  <c r="K53" i="35"/>
  <c r="L53" i="35"/>
  <c r="M53" i="35"/>
  <c r="N53" i="35"/>
  <c r="O53" i="35"/>
  <c r="P53" i="35"/>
  <c r="Q53" i="35"/>
  <c r="R53" i="35"/>
  <c r="S53" i="35"/>
  <c r="T53" i="35"/>
  <c r="U53" i="35"/>
  <c r="V53" i="35"/>
  <c r="W53" i="35"/>
  <c r="X53" i="35"/>
  <c r="Y53" i="35"/>
  <c r="Z53" i="35"/>
  <c r="AA53" i="35"/>
  <c r="AB53" i="35"/>
  <c r="AC53" i="35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K24" i="50"/>
  <c r="L24" i="50"/>
  <c r="M24" i="50"/>
  <c r="N24" i="50"/>
  <c r="O24" i="50"/>
  <c r="P24" i="50"/>
  <c r="Q24" i="50"/>
  <c r="K27" i="50"/>
  <c r="L27" i="50"/>
  <c r="M27" i="50"/>
  <c r="N27" i="50"/>
  <c r="O27" i="50"/>
  <c r="P27" i="50"/>
  <c r="Q27" i="50"/>
  <c r="K34" i="50"/>
  <c r="L34" i="50"/>
  <c r="M34" i="50"/>
  <c r="N34" i="50"/>
  <c r="O34" i="50"/>
  <c r="P34" i="50"/>
  <c r="Q34" i="50"/>
  <c r="J35" i="50"/>
  <c r="K35" i="50"/>
  <c r="L35" i="50"/>
  <c r="M35" i="50"/>
  <c r="N35" i="50"/>
  <c r="O35" i="50"/>
  <c r="P35" i="50"/>
  <c r="J36" i="50"/>
  <c r="K36" i="50"/>
  <c r="L36" i="50"/>
  <c r="M36" i="50"/>
  <c r="N36" i="50"/>
  <c r="O36" i="50"/>
  <c r="P36" i="50"/>
  <c r="J37" i="50"/>
  <c r="K37" i="50"/>
  <c r="L37" i="50"/>
  <c r="M37" i="50"/>
  <c r="N37" i="50"/>
  <c r="O37" i="50"/>
  <c r="P37" i="50"/>
  <c r="J38" i="50"/>
  <c r="K38" i="50"/>
  <c r="L38" i="50"/>
  <c r="M38" i="50"/>
  <c r="N38" i="50"/>
  <c r="O38" i="50"/>
  <c r="P38" i="50"/>
  <c r="J39" i="50"/>
  <c r="K39" i="50"/>
  <c r="L39" i="50"/>
  <c r="M39" i="50"/>
  <c r="N39" i="50"/>
  <c r="O39" i="50"/>
  <c r="P39" i="50"/>
  <c r="J40" i="50"/>
  <c r="K40" i="50"/>
  <c r="L40" i="50"/>
  <c r="M40" i="50"/>
  <c r="N40" i="50"/>
  <c r="O40" i="50"/>
  <c r="P40" i="50"/>
  <c r="Q40" i="50"/>
  <c r="R40" i="50"/>
  <c r="S40" i="50"/>
  <c r="T40" i="50"/>
  <c r="U40" i="50"/>
  <c r="V40" i="50"/>
  <c r="W40" i="50"/>
  <c r="X40" i="50"/>
  <c r="Y40" i="50"/>
  <c r="Z40" i="50"/>
  <c r="AA40" i="50"/>
  <c r="AB40" i="50"/>
  <c r="AC40" i="50"/>
  <c r="K41" i="50"/>
  <c r="L41" i="50"/>
  <c r="M41" i="50"/>
  <c r="N41" i="50"/>
  <c r="O41" i="50"/>
  <c r="P41" i="50"/>
  <c r="Q41" i="50"/>
  <c r="J42" i="50"/>
  <c r="K42" i="50"/>
  <c r="L42" i="50"/>
  <c r="M42" i="50"/>
  <c r="N42" i="50"/>
  <c r="O42" i="50"/>
  <c r="P42" i="50"/>
  <c r="K43" i="50"/>
  <c r="L43" i="50"/>
  <c r="M43" i="50"/>
  <c r="N43" i="50"/>
  <c r="O43" i="50"/>
  <c r="P43" i="50"/>
  <c r="Q43" i="50"/>
  <c r="F44" i="50"/>
  <c r="G44" i="50"/>
  <c r="H44" i="50"/>
  <c r="I44" i="50"/>
  <c r="J44" i="50"/>
  <c r="K44" i="50"/>
  <c r="L44" i="50"/>
  <c r="M44" i="50"/>
  <c r="N44" i="50"/>
  <c r="O44" i="50"/>
  <c r="P44" i="50"/>
  <c r="Q44" i="50"/>
  <c r="R44" i="50"/>
  <c r="F45" i="50"/>
  <c r="G45" i="50"/>
  <c r="H45" i="50"/>
  <c r="I45" i="50"/>
  <c r="J45" i="50"/>
  <c r="K45" i="50"/>
  <c r="L45" i="50"/>
  <c r="M45" i="50"/>
  <c r="N45" i="50"/>
  <c r="O45" i="50"/>
  <c r="P45" i="50"/>
  <c r="Q45" i="50"/>
  <c r="R45" i="50"/>
  <c r="S45" i="50"/>
  <c r="T45" i="50"/>
  <c r="U45" i="50"/>
  <c r="V45" i="50"/>
  <c r="W45" i="50"/>
  <c r="X45" i="50"/>
  <c r="Y45" i="50"/>
  <c r="Z45" i="50"/>
  <c r="AA45" i="50"/>
  <c r="AB45" i="50"/>
  <c r="AC45" i="50"/>
  <c r="J47" i="50"/>
  <c r="K47" i="50"/>
  <c r="L47" i="50"/>
  <c r="M47" i="50"/>
  <c r="N47" i="50"/>
  <c r="O47" i="50"/>
  <c r="P47" i="50"/>
  <c r="Q47" i="50"/>
  <c r="R47" i="50"/>
  <c r="S47" i="50"/>
  <c r="T47" i="50"/>
  <c r="U47" i="50"/>
  <c r="V47" i="50"/>
  <c r="W47" i="50"/>
  <c r="X47" i="50"/>
  <c r="Y47" i="50"/>
  <c r="Z47" i="50"/>
  <c r="AA47" i="50"/>
  <c r="AB47" i="50"/>
  <c r="AC47" i="50"/>
  <c r="F48" i="50"/>
  <c r="G48" i="50"/>
  <c r="H48" i="50"/>
  <c r="I48" i="50"/>
  <c r="J48" i="50"/>
  <c r="K48" i="50"/>
  <c r="L48" i="50"/>
  <c r="M48" i="50"/>
  <c r="N48" i="50"/>
  <c r="O48" i="50"/>
  <c r="P48" i="50"/>
  <c r="Q48" i="50"/>
  <c r="R48" i="50"/>
  <c r="S48" i="50"/>
  <c r="T48" i="50"/>
  <c r="U48" i="50"/>
  <c r="V48" i="50"/>
  <c r="W48" i="50"/>
  <c r="X48" i="50"/>
  <c r="Y48" i="50"/>
  <c r="Z48" i="50"/>
  <c r="AA48" i="50"/>
  <c r="AB48" i="50"/>
  <c r="AC48" i="50"/>
  <c r="L50" i="50"/>
  <c r="M50" i="50"/>
  <c r="N50" i="50"/>
  <c r="O50" i="50"/>
  <c r="P50" i="50"/>
  <c r="Q50" i="50"/>
  <c r="F51" i="50"/>
  <c r="G51" i="50"/>
  <c r="H51" i="50"/>
  <c r="I51" i="50"/>
  <c r="J51" i="50"/>
  <c r="K51" i="50"/>
  <c r="L51" i="50"/>
  <c r="M51" i="50"/>
  <c r="N51" i="50"/>
  <c r="O51" i="50"/>
  <c r="P51" i="50"/>
  <c r="Q51" i="50"/>
  <c r="R51" i="50"/>
  <c r="S51" i="50"/>
  <c r="T51" i="50"/>
  <c r="U51" i="50"/>
  <c r="V51" i="50"/>
  <c r="W51" i="50"/>
  <c r="X51" i="50"/>
  <c r="Y51" i="50"/>
  <c r="Z51" i="50"/>
  <c r="AA51" i="50"/>
  <c r="AB51" i="50"/>
  <c r="AC51" i="50"/>
  <c r="K52" i="50"/>
  <c r="L52" i="50"/>
  <c r="M52" i="50"/>
  <c r="N52" i="50"/>
  <c r="O52" i="50"/>
  <c r="P52" i="50"/>
  <c r="F53" i="50"/>
  <c r="G53" i="50"/>
  <c r="H53" i="50"/>
  <c r="I53" i="50"/>
  <c r="J53" i="50"/>
  <c r="K53" i="50"/>
  <c r="L53" i="50"/>
  <c r="M53" i="50"/>
  <c r="N53" i="50"/>
  <c r="O53" i="50"/>
  <c r="P53" i="50"/>
  <c r="Q53" i="50"/>
  <c r="R53" i="50"/>
  <c r="S53" i="50"/>
  <c r="T53" i="50"/>
  <c r="U53" i="50"/>
  <c r="V53" i="50"/>
  <c r="W53" i="50"/>
  <c r="X53" i="50"/>
  <c r="Y53" i="50"/>
  <c r="Z53" i="50"/>
  <c r="AA53" i="50"/>
  <c r="AB53" i="50"/>
  <c r="AC53" i="50"/>
  <c r="B30" i="16"/>
  <c r="D15" i="43"/>
  <c r="E15" i="43"/>
  <c r="F15" i="43"/>
  <c r="G15" i="43"/>
  <c r="H15" i="43"/>
  <c r="I15" i="43"/>
  <c r="J15" i="43"/>
  <c r="K15" i="43"/>
  <c r="L15" i="43"/>
  <c r="M15" i="43"/>
  <c r="N15" i="43"/>
  <c r="O15" i="43"/>
  <c r="P15" i="43"/>
  <c r="Q15" i="43"/>
  <c r="R15" i="43"/>
  <c r="S15" i="43"/>
  <c r="T15" i="43"/>
  <c r="U15" i="43"/>
  <c r="V15" i="43"/>
  <c r="W15" i="43"/>
  <c r="X15" i="43"/>
  <c r="Y15" i="43"/>
  <c r="Z15" i="43"/>
  <c r="AA15" i="43"/>
  <c r="AB15" i="43"/>
  <c r="AC15" i="43"/>
  <c r="AD15" i="43"/>
  <c r="AE15" i="43"/>
  <c r="AF15" i="43"/>
  <c r="AG15" i="43"/>
  <c r="D16" i="43"/>
  <c r="E16" i="43"/>
  <c r="F16" i="43"/>
  <c r="G16" i="43"/>
  <c r="H16" i="43"/>
  <c r="I16" i="43"/>
  <c r="J16" i="43"/>
  <c r="K16" i="43"/>
  <c r="L16" i="43"/>
  <c r="M16" i="43"/>
  <c r="N16" i="43"/>
  <c r="O16" i="43"/>
  <c r="P16" i="43"/>
  <c r="Q16" i="43"/>
  <c r="R16" i="43"/>
  <c r="S16" i="43"/>
  <c r="T16" i="43"/>
  <c r="U16" i="43"/>
  <c r="V16" i="43"/>
  <c r="W16" i="43"/>
  <c r="X16" i="43"/>
  <c r="Y16" i="43"/>
  <c r="Z16" i="43"/>
  <c r="AA16" i="43"/>
  <c r="AB16" i="43"/>
  <c r="AC16" i="43"/>
  <c r="AD16" i="43"/>
  <c r="AE16" i="43"/>
  <c r="AF16" i="43"/>
  <c r="AG16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Z17" i="43"/>
  <c r="AA17" i="43"/>
  <c r="AB17" i="43"/>
  <c r="AC17" i="43"/>
  <c r="AD17" i="43"/>
  <c r="AE17" i="43"/>
  <c r="AF17" i="43"/>
  <c r="AG17" i="43"/>
  <c r="E18" i="43"/>
  <c r="F18" i="43"/>
  <c r="G18" i="43"/>
  <c r="H18" i="43"/>
  <c r="I18" i="43"/>
  <c r="J18" i="43"/>
  <c r="K18" i="43"/>
  <c r="L18" i="43"/>
  <c r="M18" i="43"/>
  <c r="N18" i="43"/>
  <c r="O18" i="43"/>
  <c r="P18" i="43"/>
  <c r="Q18" i="43"/>
  <c r="R18" i="43"/>
  <c r="S18" i="43"/>
  <c r="T18" i="43"/>
  <c r="U18" i="43"/>
  <c r="V18" i="43"/>
  <c r="W18" i="43"/>
  <c r="X18" i="43"/>
  <c r="Y18" i="43"/>
  <c r="Z18" i="43"/>
  <c r="AA18" i="43"/>
  <c r="AB18" i="43"/>
  <c r="AC18" i="43"/>
  <c r="AD18" i="43"/>
  <c r="AE18" i="43"/>
  <c r="AF18" i="43"/>
  <c r="AG18" i="43"/>
  <c r="D19" i="43"/>
  <c r="E19" i="43"/>
  <c r="F19" i="43"/>
  <c r="G19" i="43"/>
  <c r="H19" i="43"/>
  <c r="I19" i="43"/>
  <c r="J19" i="43"/>
  <c r="K19" i="43"/>
  <c r="L19" i="43"/>
  <c r="M19" i="43"/>
  <c r="N19" i="43"/>
  <c r="O19" i="43"/>
  <c r="P19" i="43"/>
  <c r="Q19" i="43"/>
  <c r="R19" i="43"/>
  <c r="S19" i="43"/>
  <c r="T19" i="43"/>
  <c r="U19" i="43"/>
  <c r="V19" i="43"/>
  <c r="W19" i="43"/>
  <c r="X19" i="43"/>
  <c r="Y19" i="43"/>
  <c r="Z19" i="43"/>
  <c r="AA19" i="43"/>
  <c r="AB19" i="43"/>
  <c r="AC19" i="43"/>
  <c r="AD19" i="43"/>
  <c r="AE19" i="43"/>
  <c r="AF19" i="43"/>
  <c r="AG19" i="43"/>
  <c r="D21" i="43"/>
  <c r="E21" i="43"/>
  <c r="F21" i="43"/>
  <c r="G21" i="43"/>
  <c r="H21" i="43"/>
  <c r="I21" i="43"/>
  <c r="J21" i="43"/>
  <c r="K21" i="43"/>
  <c r="L21" i="43"/>
  <c r="M21" i="43"/>
  <c r="N21" i="43"/>
  <c r="O21" i="43"/>
  <c r="P21" i="43"/>
  <c r="Q21" i="43"/>
  <c r="R21" i="43"/>
  <c r="S21" i="43"/>
  <c r="T21" i="43"/>
  <c r="U21" i="43"/>
  <c r="V21" i="43"/>
  <c r="W21" i="43"/>
  <c r="X21" i="43"/>
  <c r="Y21" i="43"/>
  <c r="Z21" i="43"/>
  <c r="AA21" i="43"/>
  <c r="AB21" i="43"/>
  <c r="AC21" i="43"/>
  <c r="AD21" i="43"/>
  <c r="AE21" i="43"/>
  <c r="AF21" i="43"/>
  <c r="AG21" i="43"/>
  <c r="D22" i="43"/>
  <c r="E22" i="43"/>
  <c r="F22" i="43"/>
  <c r="G22" i="43"/>
  <c r="H22" i="43"/>
  <c r="I22" i="43"/>
  <c r="J22" i="43"/>
  <c r="K22" i="43"/>
  <c r="L22" i="43"/>
  <c r="M22" i="43"/>
  <c r="N22" i="43"/>
  <c r="O22" i="43"/>
  <c r="P22" i="43"/>
  <c r="Q22" i="43"/>
  <c r="R22" i="43"/>
  <c r="S22" i="43"/>
  <c r="T22" i="43"/>
  <c r="U22" i="43"/>
  <c r="V22" i="43"/>
  <c r="W22" i="43"/>
  <c r="X22" i="43"/>
  <c r="Y22" i="43"/>
  <c r="Z22" i="43"/>
  <c r="AA22" i="43"/>
  <c r="D24" i="43"/>
  <c r="E24" i="43"/>
  <c r="F24" i="43"/>
  <c r="G24" i="43"/>
  <c r="H24" i="43"/>
  <c r="I24" i="43"/>
  <c r="J24" i="43"/>
  <c r="K24" i="43"/>
  <c r="L24" i="43"/>
  <c r="M24" i="43"/>
  <c r="N24" i="43"/>
  <c r="O24" i="43"/>
  <c r="P24" i="43"/>
  <c r="Q24" i="43"/>
  <c r="R24" i="43"/>
  <c r="S24" i="43"/>
  <c r="T24" i="43"/>
  <c r="U24" i="43"/>
  <c r="V24" i="43"/>
  <c r="W24" i="43"/>
  <c r="X24" i="43"/>
  <c r="Y24" i="43"/>
  <c r="Z24" i="43"/>
  <c r="AA24" i="43"/>
  <c r="AB24" i="43"/>
  <c r="AC24" i="43"/>
  <c r="AD24" i="43"/>
  <c r="AE24" i="43"/>
  <c r="AF24" i="43"/>
  <c r="AG24" i="43"/>
  <c r="E25" i="43"/>
  <c r="F25" i="43"/>
  <c r="G25" i="43"/>
  <c r="H25" i="43"/>
  <c r="I25" i="43"/>
  <c r="J25" i="43"/>
  <c r="K25" i="43"/>
  <c r="L25" i="43"/>
  <c r="M25" i="43"/>
  <c r="N25" i="43"/>
  <c r="O25" i="43"/>
  <c r="P25" i="43"/>
  <c r="Q25" i="43"/>
  <c r="R25" i="43"/>
  <c r="S25" i="43"/>
  <c r="T25" i="43"/>
  <c r="U25" i="43"/>
  <c r="V25" i="43"/>
  <c r="W25" i="43"/>
  <c r="X25" i="43"/>
  <c r="Y25" i="43"/>
  <c r="Z25" i="43"/>
  <c r="AA25" i="43"/>
  <c r="AB25" i="43"/>
  <c r="AC25" i="43"/>
  <c r="AD25" i="43"/>
  <c r="AE25" i="43"/>
  <c r="AF25" i="43"/>
  <c r="AG25" i="43"/>
  <c r="E26" i="43"/>
  <c r="F26" i="43"/>
  <c r="G26" i="43"/>
  <c r="H26" i="43"/>
  <c r="I26" i="43"/>
  <c r="J26" i="43"/>
  <c r="K26" i="43"/>
  <c r="L26" i="43"/>
  <c r="M26" i="43"/>
  <c r="N26" i="43"/>
  <c r="O26" i="43"/>
  <c r="P26" i="43"/>
  <c r="Q26" i="43"/>
  <c r="R26" i="43"/>
  <c r="S26" i="43"/>
  <c r="T26" i="43"/>
  <c r="U26" i="43"/>
  <c r="V26" i="43"/>
  <c r="W26" i="43"/>
  <c r="X26" i="43"/>
  <c r="Y26" i="43"/>
  <c r="Z26" i="43"/>
  <c r="AA26" i="43"/>
  <c r="AB26" i="43"/>
  <c r="AC26" i="43"/>
  <c r="AD26" i="43"/>
  <c r="AE26" i="43"/>
  <c r="AF26" i="43"/>
  <c r="AG26" i="43"/>
  <c r="E27" i="43"/>
  <c r="F27" i="43"/>
  <c r="G27" i="43"/>
  <c r="H27" i="43"/>
  <c r="I27" i="43"/>
  <c r="J27" i="43"/>
  <c r="K27" i="43"/>
  <c r="L27" i="43"/>
  <c r="M27" i="43"/>
  <c r="N27" i="43"/>
  <c r="O27" i="43"/>
  <c r="P27" i="43"/>
  <c r="Q27" i="43"/>
  <c r="R27" i="43"/>
  <c r="S27" i="43"/>
  <c r="T27" i="43"/>
  <c r="U27" i="43"/>
  <c r="V27" i="43"/>
  <c r="W27" i="43"/>
  <c r="X27" i="43"/>
  <c r="Y27" i="43"/>
  <c r="Z27" i="43"/>
  <c r="AA27" i="43"/>
  <c r="AB27" i="43"/>
  <c r="AC27" i="43"/>
  <c r="AD27" i="43"/>
  <c r="AE27" i="43"/>
  <c r="AF27" i="43"/>
  <c r="AG27" i="43"/>
  <c r="E28" i="43"/>
  <c r="F28" i="43"/>
  <c r="G28" i="43"/>
  <c r="H28" i="43"/>
  <c r="I28" i="43"/>
  <c r="J28" i="43"/>
  <c r="K28" i="43"/>
  <c r="L28" i="43"/>
  <c r="M28" i="43"/>
  <c r="N28" i="43"/>
  <c r="O28" i="43"/>
  <c r="P28" i="43"/>
  <c r="Q28" i="43"/>
  <c r="R28" i="43"/>
  <c r="S28" i="43"/>
  <c r="T28" i="43"/>
  <c r="U28" i="43"/>
  <c r="V28" i="43"/>
  <c r="W28" i="43"/>
  <c r="X28" i="43"/>
  <c r="Y28" i="43"/>
  <c r="Z28" i="43"/>
  <c r="AA28" i="43"/>
  <c r="AB28" i="43"/>
  <c r="AC28" i="43"/>
  <c r="AD28" i="43"/>
  <c r="AE28" i="43"/>
  <c r="AF28" i="43"/>
  <c r="AG28" i="43"/>
  <c r="H31" i="43"/>
  <c r="I31" i="43"/>
  <c r="J31" i="43"/>
  <c r="K31" i="43"/>
  <c r="L31" i="43"/>
  <c r="M31" i="43"/>
  <c r="N31" i="43"/>
  <c r="O31" i="43"/>
  <c r="P31" i="43"/>
  <c r="Q31" i="43"/>
  <c r="R31" i="43"/>
  <c r="S31" i="43"/>
  <c r="T31" i="43"/>
  <c r="U31" i="43"/>
  <c r="V31" i="43"/>
  <c r="W31" i="43"/>
  <c r="X31" i="43"/>
  <c r="Y31" i="43"/>
  <c r="Z31" i="43"/>
  <c r="AA31" i="43"/>
  <c r="AB31" i="43"/>
  <c r="AC31" i="43"/>
  <c r="AD31" i="43"/>
  <c r="AE31" i="43"/>
  <c r="AF31" i="43"/>
  <c r="AG31" i="43"/>
  <c r="D32" i="43"/>
  <c r="E32" i="43"/>
  <c r="F32" i="43"/>
  <c r="G32" i="43"/>
  <c r="H32" i="43"/>
  <c r="I32" i="43"/>
  <c r="J32" i="43"/>
  <c r="K32" i="43"/>
  <c r="L32" i="43"/>
  <c r="M32" i="43"/>
  <c r="N32" i="43"/>
  <c r="O32" i="43"/>
  <c r="P32" i="43"/>
  <c r="Q32" i="43"/>
  <c r="R32" i="43"/>
  <c r="S32" i="43"/>
  <c r="T32" i="43"/>
  <c r="U32" i="43"/>
  <c r="V32" i="43"/>
  <c r="W32" i="43"/>
  <c r="X32" i="43"/>
  <c r="Y32" i="43"/>
  <c r="Z32" i="43"/>
  <c r="AA32" i="43"/>
  <c r="AB32" i="43"/>
  <c r="AC32" i="43"/>
  <c r="AD32" i="43"/>
  <c r="AE32" i="43"/>
  <c r="AF32" i="43"/>
  <c r="AG32" i="43"/>
  <c r="D33" i="43"/>
  <c r="E33" i="43"/>
  <c r="F33" i="43"/>
  <c r="G33" i="43"/>
  <c r="H33" i="43"/>
  <c r="I33" i="43"/>
  <c r="J33" i="43"/>
  <c r="K33" i="43"/>
  <c r="L33" i="43"/>
  <c r="M33" i="43"/>
  <c r="N33" i="43"/>
  <c r="O33" i="43"/>
  <c r="P33" i="43"/>
  <c r="Q33" i="43"/>
  <c r="R33" i="43"/>
  <c r="S33" i="43"/>
  <c r="T33" i="43"/>
  <c r="U33" i="43"/>
  <c r="V33" i="43"/>
  <c r="W33" i="43"/>
  <c r="X33" i="43"/>
  <c r="Y33" i="43"/>
  <c r="Z33" i="43"/>
  <c r="AA33" i="43"/>
  <c r="AB33" i="43"/>
  <c r="AC33" i="43"/>
  <c r="AD33" i="43"/>
  <c r="D35" i="43"/>
  <c r="E35" i="43"/>
  <c r="F35" i="43"/>
  <c r="G35" i="43"/>
  <c r="H35" i="43"/>
  <c r="I35" i="43"/>
  <c r="J35" i="43"/>
  <c r="K35" i="43"/>
  <c r="L35" i="43"/>
  <c r="M35" i="43"/>
  <c r="N35" i="43"/>
  <c r="O35" i="43"/>
  <c r="P35" i="43"/>
  <c r="Q35" i="43"/>
  <c r="R35" i="43"/>
  <c r="S35" i="43"/>
  <c r="T35" i="43"/>
  <c r="U35" i="43"/>
  <c r="V35" i="43"/>
  <c r="W35" i="43"/>
  <c r="X35" i="43"/>
  <c r="Y35" i="43"/>
  <c r="Z35" i="43"/>
  <c r="AA35" i="43"/>
  <c r="AB35" i="43"/>
  <c r="AC35" i="43"/>
  <c r="AD35" i="43"/>
  <c r="AE35" i="43"/>
  <c r="AF35" i="43"/>
  <c r="AG35" i="43"/>
  <c r="E36" i="43"/>
  <c r="F36" i="43"/>
  <c r="G36" i="43"/>
  <c r="H36" i="43"/>
  <c r="I36" i="43"/>
  <c r="J36" i="43"/>
  <c r="K36" i="43"/>
  <c r="L36" i="43"/>
  <c r="M36" i="43"/>
  <c r="N36" i="43"/>
  <c r="O36" i="43"/>
  <c r="P36" i="43"/>
  <c r="Q36" i="43"/>
  <c r="R36" i="43"/>
  <c r="S36" i="43"/>
  <c r="T36" i="43"/>
  <c r="U36" i="43"/>
  <c r="V36" i="43"/>
  <c r="W36" i="43"/>
  <c r="X36" i="43"/>
  <c r="Y36" i="43"/>
  <c r="Z36" i="43"/>
  <c r="AA36" i="43"/>
  <c r="AB36" i="43"/>
  <c r="AC36" i="43"/>
  <c r="AD36" i="43"/>
  <c r="AE36" i="43"/>
  <c r="AF36" i="43"/>
  <c r="AG36" i="43"/>
  <c r="E37" i="43"/>
  <c r="F37" i="43"/>
  <c r="G37" i="43"/>
  <c r="H37" i="43"/>
  <c r="I37" i="43"/>
  <c r="J37" i="43"/>
  <c r="K37" i="43"/>
  <c r="L37" i="43"/>
  <c r="M37" i="43"/>
  <c r="N37" i="43"/>
  <c r="O37" i="43"/>
  <c r="P37" i="43"/>
  <c r="Q37" i="43"/>
  <c r="R37" i="43"/>
  <c r="S37" i="43"/>
  <c r="T37" i="43"/>
  <c r="U37" i="43"/>
  <c r="V37" i="43"/>
  <c r="W37" i="43"/>
  <c r="X37" i="43"/>
  <c r="Y37" i="43"/>
  <c r="Z37" i="43"/>
  <c r="AA37" i="43"/>
  <c r="AB37" i="43"/>
  <c r="AC37" i="43"/>
  <c r="AD37" i="43"/>
  <c r="AE37" i="43"/>
  <c r="AF37" i="43"/>
  <c r="AG37" i="43"/>
  <c r="E38" i="43"/>
  <c r="F38" i="43"/>
  <c r="G38" i="43"/>
  <c r="H38" i="43"/>
  <c r="I38" i="43"/>
  <c r="J38" i="43"/>
  <c r="K38" i="43"/>
  <c r="L38" i="43"/>
  <c r="M38" i="43"/>
  <c r="N38" i="43"/>
  <c r="O38" i="43"/>
  <c r="P38" i="43"/>
  <c r="Q38" i="43"/>
  <c r="R38" i="43"/>
  <c r="S38" i="43"/>
  <c r="T38" i="43"/>
  <c r="U38" i="43"/>
  <c r="V38" i="43"/>
  <c r="W38" i="43"/>
  <c r="X38" i="43"/>
  <c r="Y38" i="43"/>
  <c r="Z38" i="43"/>
  <c r="AA38" i="43"/>
  <c r="AB38" i="43"/>
  <c r="AC38" i="43"/>
  <c r="AD38" i="43"/>
  <c r="AE38" i="43"/>
  <c r="AF38" i="43"/>
  <c r="AG38" i="43"/>
  <c r="E39" i="43"/>
  <c r="F39" i="43"/>
  <c r="G39" i="43"/>
  <c r="H39" i="43"/>
  <c r="I39" i="43"/>
  <c r="J39" i="43"/>
  <c r="K39" i="43"/>
  <c r="L39" i="43"/>
  <c r="M39" i="43"/>
  <c r="N39" i="43"/>
  <c r="O39" i="43"/>
  <c r="P39" i="43"/>
  <c r="Q39" i="43"/>
  <c r="R39" i="43"/>
  <c r="S39" i="43"/>
  <c r="T39" i="43"/>
  <c r="U39" i="43"/>
  <c r="V39" i="43"/>
  <c r="W39" i="43"/>
  <c r="X39" i="43"/>
  <c r="Y39" i="43"/>
  <c r="Z39" i="43"/>
  <c r="AA39" i="43"/>
  <c r="AB39" i="43"/>
  <c r="AC39" i="43"/>
  <c r="AD39" i="43"/>
  <c r="AE39" i="43"/>
  <c r="AF39" i="43"/>
  <c r="AG39" i="43"/>
  <c r="G43" i="43"/>
  <c r="H43" i="43"/>
  <c r="I43" i="43"/>
  <c r="J43" i="43"/>
  <c r="K43" i="43"/>
  <c r="L43" i="43"/>
  <c r="M43" i="43"/>
  <c r="N43" i="43"/>
  <c r="O43" i="43"/>
  <c r="P43" i="43"/>
  <c r="Q43" i="43"/>
  <c r="R43" i="43"/>
  <c r="S43" i="43"/>
  <c r="T43" i="43"/>
  <c r="U43" i="43"/>
  <c r="V43" i="43"/>
  <c r="W43" i="43"/>
  <c r="X43" i="43"/>
  <c r="Y43" i="43"/>
  <c r="Z43" i="43"/>
  <c r="AA43" i="43"/>
  <c r="AB43" i="43"/>
  <c r="AC43" i="43"/>
  <c r="AD43" i="43"/>
  <c r="AE43" i="43"/>
  <c r="AF43" i="43"/>
  <c r="AG43" i="43"/>
  <c r="G45" i="43"/>
  <c r="H45" i="43"/>
  <c r="I45" i="43"/>
  <c r="J45" i="43"/>
  <c r="K45" i="43"/>
  <c r="L45" i="43"/>
  <c r="M45" i="43"/>
  <c r="N45" i="43"/>
  <c r="O45" i="43"/>
  <c r="P45" i="43"/>
  <c r="Q45" i="43"/>
  <c r="R45" i="43"/>
  <c r="S45" i="43"/>
  <c r="T45" i="43"/>
  <c r="U45" i="43"/>
  <c r="V45" i="43"/>
  <c r="W45" i="43"/>
  <c r="X45" i="43"/>
  <c r="Y45" i="43"/>
  <c r="Z45" i="43"/>
  <c r="AA45" i="43"/>
  <c r="AB45" i="43"/>
  <c r="AC45" i="43"/>
  <c r="AD45" i="43"/>
  <c r="AE45" i="43"/>
  <c r="AF45" i="43"/>
  <c r="AG45" i="43"/>
  <c r="G47" i="43"/>
  <c r="H47" i="43"/>
  <c r="I47" i="43"/>
  <c r="J47" i="43"/>
  <c r="K47" i="43"/>
  <c r="L47" i="43"/>
  <c r="M47" i="43"/>
  <c r="N47" i="43"/>
  <c r="O47" i="43"/>
  <c r="P47" i="43"/>
  <c r="Q47" i="43"/>
  <c r="R47" i="43"/>
  <c r="S47" i="43"/>
  <c r="T47" i="43"/>
  <c r="U47" i="43"/>
  <c r="V47" i="43"/>
  <c r="W47" i="43"/>
  <c r="X47" i="43"/>
  <c r="Y47" i="43"/>
  <c r="Z47" i="43"/>
  <c r="AA47" i="43"/>
  <c r="AB47" i="43"/>
  <c r="AC47" i="43"/>
  <c r="AD47" i="43"/>
  <c r="AE47" i="43"/>
  <c r="AF47" i="43"/>
  <c r="AG47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Z49" i="43"/>
  <c r="AA49" i="43"/>
  <c r="AB49" i="43"/>
  <c r="AC49" i="43"/>
  <c r="AD49" i="43"/>
  <c r="AE49" i="43"/>
  <c r="AF49" i="43"/>
  <c r="AG49" i="43"/>
  <c r="G52" i="43"/>
  <c r="H52" i="43"/>
  <c r="I52" i="43"/>
  <c r="J52" i="43"/>
  <c r="K52" i="43"/>
  <c r="L52" i="43"/>
  <c r="M52" i="43"/>
  <c r="N52" i="43"/>
  <c r="O52" i="43"/>
  <c r="P52" i="43"/>
  <c r="Q52" i="43"/>
  <c r="R52" i="43"/>
  <c r="S52" i="43"/>
  <c r="T52" i="43"/>
  <c r="U52" i="43"/>
  <c r="V52" i="43"/>
  <c r="W52" i="43"/>
  <c r="X52" i="43"/>
  <c r="Y52" i="43"/>
  <c r="Z52" i="43"/>
  <c r="AA52" i="43"/>
  <c r="AB52" i="43"/>
  <c r="AC52" i="43"/>
  <c r="AD52" i="43"/>
  <c r="AE52" i="43"/>
  <c r="AF52" i="43"/>
  <c r="AG52" i="43"/>
  <c r="G54" i="43"/>
  <c r="H54" i="43"/>
  <c r="I54" i="43"/>
  <c r="J54" i="43"/>
  <c r="K54" i="43"/>
  <c r="L54" i="43"/>
  <c r="M54" i="43"/>
  <c r="N54" i="43"/>
  <c r="O54" i="43"/>
  <c r="P54" i="43"/>
  <c r="Q54" i="43"/>
  <c r="R54" i="43"/>
  <c r="S54" i="43"/>
  <c r="T54" i="43"/>
  <c r="U54" i="43"/>
  <c r="V54" i="43"/>
  <c r="W54" i="43"/>
  <c r="X54" i="43"/>
  <c r="Y54" i="43"/>
  <c r="Z54" i="43"/>
  <c r="AA54" i="43"/>
  <c r="AB54" i="43"/>
  <c r="AC54" i="43"/>
  <c r="AD54" i="43"/>
  <c r="AE54" i="43"/>
  <c r="AF54" i="43"/>
  <c r="AG54" i="43"/>
  <c r="G56" i="43"/>
  <c r="H56" i="43"/>
  <c r="I56" i="43"/>
  <c r="J56" i="43"/>
  <c r="K56" i="43"/>
  <c r="L56" i="43"/>
  <c r="M56" i="43"/>
  <c r="N56" i="43"/>
  <c r="O56" i="43"/>
  <c r="P56" i="43"/>
  <c r="Q56" i="43"/>
  <c r="R56" i="43"/>
  <c r="S56" i="43"/>
  <c r="T56" i="43"/>
  <c r="U56" i="43"/>
  <c r="V56" i="43"/>
  <c r="W56" i="43"/>
  <c r="X56" i="43"/>
  <c r="Y56" i="43"/>
  <c r="Z56" i="43"/>
  <c r="AA56" i="43"/>
  <c r="AB56" i="43"/>
  <c r="AC56" i="43"/>
  <c r="AD56" i="43"/>
  <c r="AE56" i="43"/>
  <c r="AF56" i="43"/>
  <c r="AG56" i="43"/>
  <c r="G58" i="43"/>
  <c r="H58" i="43"/>
  <c r="I58" i="43"/>
  <c r="J58" i="43"/>
  <c r="K58" i="43"/>
  <c r="L58" i="43"/>
  <c r="M58" i="43"/>
  <c r="N58" i="43"/>
  <c r="O58" i="43"/>
  <c r="P58" i="43"/>
  <c r="Q58" i="43"/>
  <c r="R58" i="43"/>
  <c r="S58" i="43"/>
  <c r="T58" i="43"/>
  <c r="U58" i="43"/>
  <c r="V58" i="43"/>
  <c r="W58" i="43"/>
  <c r="X58" i="43"/>
  <c r="Y58" i="43"/>
  <c r="Z58" i="43"/>
  <c r="AA58" i="43"/>
  <c r="AB58" i="43"/>
  <c r="AC58" i="43"/>
  <c r="AD58" i="43"/>
  <c r="AE58" i="43"/>
  <c r="AF58" i="43"/>
  <c r="AG58" i="43"/>
  <c r="G61" i="43"/>
  <c r="H61" i="43"/>
  <c r="I61" i="43"/>
  <c r="J61" i="43"/>
  <c r="K61" i="43"/>
  <c r="L61" i="43"/>
  <c r="M61" i="43"/>
  <c r="N61" i="43"/>
  <c r="O61" i="43"/>
  <c r="P61" i="43"/>
  <c r="Q61" i="43"/>
  <c r="R61" i="43"/>
  <c r="S61" i="43"/>
  <c r="T61" i="43"/>
  <c r="U61" i="43"/>
  <c r="V61" i="43"/>
  <c r="W61" i="43"/>
  <c r="X61" i="43"/>
  <c r="Y61" i="43"/>
  <c r="Z61" i="43"/>
  <c r="AA61" i="43"/>
  <c r="AB61" i="43"/>
  <c r="AC61" i="43"/>
  <c r="AD61" i="43"/>
  <c r="AE61" i="43"/>
  <c r="AF61" i="43"/>
  <c r="AG61" i="43"/>
  <c r="G63" i="43"/>
  <c r="H63" i="43"/>
  <c r="I63" i="43"/>
  <c r="J63" i="43"/>
  <c r="K63" i="43"/>
  <c r="L63" i="43"/>
  <c r="M63" i="43"/>
  <c r="N63" i="43"/>
  <c r="O63" i="43"/>
  <c r="P63" i="43"/>
  <c r="Q63" i="43"/>
  <c r="R63" i="43"/>
  <c r="S63" i="43"/>
  <c r="T63" i="43"/>
  <c r="U63" i="43"/>
  <c r="V63" i="43"/>
  <c r="W63" i="43"/>
  <c r="X63" i="43"/>
  <c r="Y63" i="43"/>
  <c r="Z63" i="43"/>
  <c r="AA63" i="43"/>
  <c r="AB63" i="43"/>
  <c r="AC63" i="43"/>
  <c r="AD63" i="43"/>
  <c r="AE63" i="43"/>
  <c r="AF63" i="43"/>
  <c r="AG63" i="43"/>
  <c r="G65" i="43"/>
  <c r="H65" i="43"/>
  <c r="I65" i="43"/>
  <c r="J65" i="43"/>
  <c r="K65" i="43"/>
  <c r="L65" i="43"/>
  <c r="M65" i="43"/>
  <c r="N65" i="43"/>
  <c r="O65" i="43"/>
  <c r="P65" i="43"/>
  <c r="Q65" i="43"/>
  <c r="R65" i="43"/>
  <c r="S65" i="43"/>
  <c r="T65" i="43"/>
  <c r="U65" i="43"/>
  <c r="V65" i="43"/>
  <c r="W65" i="43"/>
  <c r="X65" i="43"/>
  <c r="Y65" i="43"/>
  <c r="Z65" i="43"/>
  <c r="AA65" i="43"/>
  <c r="AB65" i="43"/>
  <c r="AC65" i="43"/>
  <c r="AD65" i="43"/>
  <c r="AE65" i="43"/>
  <c r="AF65" i="43"/>
  <c r="AG65" i="43"/>
  <c r="G67" i="43"/>
  <c r="H67" i="43"/>
  <c r="I67" i="43"/>
  <c r="J67" i="43"/>
  <c r="K67" i="43"/>
  <c r="L67" i="43"/>
  <c r="M67" i="43"/>
  <c r="N67" i="43"/>
  <c r="O67" i="43"/>
  <c r="P67" i="43"/>
  <c r="Q67" i="43"/>
  <c r="R67" i="43"/>
  <c r="S67" i="43"/>
  <c r="T67" i="43"/>
  <c r="U67" i="43"/>
  <c r="V67" i="43"/>
  <c r="W67" i="43"/>
  <c r="X67" i="43"/>
  <c r="Y67" i="43"/>
  <c r="Z67" i="43"/>
  <c r="AA67" i="43"/>
  <c r="AB67" i="43"/>
  <c r="AC67" i="43"/>
  <c r="AD67" i="43"/>
  <c r="AE67" i="43"/>
  <c r="AF67" i="43"/>
  <c r="AG67" i="43"/>
  <c r="G69" i="43"/>
  <c r="H69" i="43"/>
  <c r="I69" i="43"/>
  <c r="J69" i="43"/>
  <c r="K69" i="43"/>
  <c r="L69" i="43"/>
  <c r="M69" i="43"/>
  <c r="N69" i="43"/>
  <c r="O69" i="43"/>
  <c r="P69" i="43"/>
  <c r="Q69" i="43"/>
  <c r="R69" i="43"/>
  <c r="S69" i="43"/>
  <c r="T69" i="43"/>
  <c r="U69" i="43"/>
  <c r="V69" i="43"/>
  <c r="W69" i="43"/>
  <c r="X69" i="43"/>
  <c r="Y69" i="43"/>
  <c r="Z69" i="43"/>
  <c r="AA69" i="43"/>
  <c r="AB69" i="43"/>
  <c r="AC69" i="43"/>
  <c r="AD69" i="43"/>
  <c r="AE69" i="43"/>
  <c r="AF69" i="43"/>
  <c r="AG69" i="43"/>
  <c r="G71" i="43"/>
  <c r="H71" i="43"/>
  <c r="I71" i="43"/>
  <c r="J71" i="43"/>
  <c r="K71" i="43"/>
  <c r="L71" i="43"/>
  <c r="M71" i="43"/>
  <c r="N71" i="43"/>
  <c r="O71" i="43"/>
  <c r="P71" i="43"/>
  <c r="Q71" i="43"/>
  <c r="R71" i="43"/>
  <c r="S71" i="43"/>
  <c r="T71" i="43"/>
  <c r="U71" i="43"/>
  <c r="V71" i="43"/>
  <c r="W71" i="43"/>
  <c r="X71" i="43"/>
  <c r="Y71" i="43"/>
  <c r="Z71" i="43"/>
  <c r="AA71" i="43"/>
  <c r="AB71" i="43"/>
  <c r="AC71" i="43"/>
  <c r="AD71" i="43"/>
  <c r="AE71" i="43"/>
  <c r="AF71" i="43"/>
  <c r="AG71" i="43"/>
  <c r="G73" i="43"/>
  <c r="H73" i="43"/>
  <c r="I73" i="43"/>
  <c r="J73" i="43"/>
  <c r="K73" i="43"/>
  <c r="L73" i="43"/>
  <c r="M73" i="43"/>
  <c r="N73" i="43"/>
  <c r="O73" i="43"/>
  <c r="P73" i="43"/>
  <c r="Q73" i="43"/>
  <c r="R73" i="43"/>
  <c r="S73" i="43"/>
  <c r="T73" i="43"/>
  <c r="U73" i="43"/>
  <c r="V73" i="43"/>
  <c r="W73" i="43"/>
  <c r="X73" i="43"/>
  <c r="Y73" i="43"/>
  <c r="Z73" i="43"/>
  <c r="AA73" i="43"/>
  <c r="AB73" i="43"/>
  <c r="AC73" i="43"/>
  <c r="AD73" i="43"/>
  <c r="AE73" i="43"/>
  <c r="AF73" i="43"/>
  <c r="AG73" i="43"/>
  <c r="G75" i="43"/>
  <c r="H75" i="43"/>
  <c r="I75" i="43"/>
  <c r="J75" i="43"/>
  <c r="K75" i="43"/>
  <c r="L75" i="43"/>
  <c r="M75" i="43"/>
  <c r="N75" i="43"/>
  <c r="O75" i="43"/>
  <c r="P75" i="43"/>
  <c r="Q75" i="43"/>
  <c r="R75" i="43"/>
  <c r="S75" i="43"/>
  <c r="T75" i="43"/>
  <c r="U75" i="43"/>
  <c r="V75" i="43"/>
  <c r="W75" i="43"/>
  <c r="X75" i="43"/>
  <c r="Y75" i="43"/>
  <c r="Z75" i="43"/>
  <c r="AA75" i="43"/>
  <c r="AB75" i="43"/>
  <c r="AC75" i="43"/>
  <c r="AD75" i="43"/>
  <c r="AE75" i="43"/>
  <c r="AF75" i="43"/>
  <c r="AG75" i="43"/>
  <c r="G77" i="43"/>
  <c r="H77" i="43"/>
  <c r="I77" i="43"/>
  <c r="J77" i="43"/>
  <c r="K77" i="43"/>
  <c r="L77" i="43"/>
  <c r="M77" i="43"/>
  <c r="N77" i="43"/>
  <c r="O77" i="43"/>
  <c r="P77" i="43"/>
  <c r="Q77" i="43"/>
  <c r="R77" i="43"/>
  <c r="S77" i="43"/>
  <c r="T77" i="43"/>
  <c r="U77" i="43"/>
  <c r="V77" i="43"/>
  <c r="W77" i="43"/>
  <c r="X77" i="43"/>
  <c r="Y77" i="43"/>
  <c r="Z77" i="43"/>
  <c r="AA77" i="43"/>
  <c r="AB77" i="43"/>
  <c r="AC77" i="43"/>
  <c r="AD77" i="43"/>
  <c r="AE77" i="43"/>
  <c r="AF77" i="43"/>
  <c r="AG77" i="43"/>
  <c r="G79" i="43"/>
  <c r="H79" i="43"/>
  <c r="I79" i="43"/>
  <c r="J79" i="43"/>
  <c r="K79" i="43"/>
  <c r="L79" i="43"/>
  <c r="M79" i="43"/>
  <c r="N79" i="43"/>
  <c r="O79" i="43"/>
  <c r="P79" i="43"/>
  <c r="Q79" i="43"/>
  <c r="R79" i="43"/>
  <c r="S79" i="43"/>
  <c r="T79" i="43"/>
  <c r="U79" i="43"/>
  <c r="V79" i="43"/>
  <c r="W79" i="43"/>
  <c r="X79" i="43"/>
  <c r="Y79" i="43"/>
  <c r="Z79" i="43"/>
  <c r="AA79" i="43"/>
  <c r="AB79" i="43"/>
  <c r="AC79" i="43"/>
  <c r="AD79" i="43"/>
  <c r="AE79" i="43"/>
  <c r="AF79" i="43"/>
  <c r="AG79" i="43"/>
  <c r="G81" i="43"/>
  <c r="H81" i="43"/>
  <c r="I81" i="43"/>
  <c r="J81" i="43"/>
  <c r="K81" i="43"/>
  <c r="L81" i="43"/>
  <c r="M81" i="43"/>
  <c r="N81" i="43"/>
  <c r="O81" i="43"/>
  <c r="P81" i="43"/>
  <c r="Q81" i="43"/>
  <c r="R81" i="43"/>
  <c r="S81" i="43"/>
  <c r="T81" i="43"/>
  <c r="U81" i="43"/>
  <c r="V81" i="43"/>
  <c r="W81" i="43"/>
  <c r="X81" i="43"/>
  <c r="Y81" i="43"/>
  <c r="Z81" i="43"/>
  <c r="AA81" i="43"/>
  <c r="AB81" i="43"/>
  <c r="AC81" i="43"/>
  <c r="AD81" i="43"/>
  <c r="AE81" i="43"/>
  <c r="AF81" i="43"/>
  <c r="AG81" i="43"/>
  <c r="G83" i="43"/>
  <c r="H83" i="43"/>
  <c r="I83" i="43"/>
  <c r="J83" i="43"/>
  <c r="K83" i="43"/>
  <c r="L83" i="43"/>
  <c r="M83" i="43"/>
  <c r="N83" i="43"/>
  <c r="O83" i="43"/>
  <c r="P83" i="43"/>
  <c r="Q83" i="43"/>
  <c r="R83" i="43"/>
  <c r="S83" i="43"/>
  <c r="T83" i="43"/>
  <c r="U83" i="43"/>
  <c r="V83" i="43"/>
  <c r="W83" i="43"/>
  <c r="X83" i="43"/>
  <c r="Y83" i="43"/>
  <c r="Z83" i="43"/>
  <c r="AA83" i="43"/>
  <c r="AB83" i="43"/>
  <c r="AC83" i="43"/>
  <c r="AD83" i="43"/>
  <c r="AE83" i="43"/>
  <c r="AF83" i="43"/>
  <c r="AG83" i="43"/>
  <c r="G85" i="43"/>
  <c r="H85" i="43"/>
  <c r="I85" i="43"/>
  <c r="J85" i="43"/>
  <c r="K85" i="43"/>
  <c r="L85" i="43"/>
  <c r="M85" i="43"/>
  <c r="N85" i="43"/>
  <c r="O85" i="43"/>
  <c r="P85" i="43"/>
  <c r="Q85" i="43"/>
  <c r="R85" i="43"/>
  <c r="S85" i="43"/>
  <c r="T85" i="43"/>
  <c r="U85" i="43"/>
  <c r="V85" i="43"/>
  <c r="W85" i="43"/>
  <c r="X85" i="43"/>
  <c r="Y85" i="43"/>
  <c r="Z85" i="43"/>
  <c r="AA85" i="43"/>
  <c r="AB85" i="43"/>
  <c r="AC85" i="43"/>
  <c r="AD85" i="43"/>
  <c r="AE85" i="43"/>
  <c r="AF85" i="43"/>
  <c r="AG85" i="43"/>
  <c r="G87" i="43"/>
  <c r="H87" i="43"/>
  <c r="I87" i="43"/>
  <c r="J87" i="43"/>
  <c r="K87" i="43"/>
  <c r="L87" i="43"/>
  <c r="M87" i="43"/>
  <c r="N87" i="43"/>
  <c r="O87" i="43"/>
  <c r="P87" i="43"/>
  <c r="Q87" i="43"/>
  <c r="R87" i="43"/>
  <c r="S87" i="43"/>
  <c r="T87" i="43"/>
  <c r="U87" i="43"/>
  <c r="V87" i="43"/>
  <c r="W87" i="43"/>
  <c r="X87" i="43"/>
  <c r="Y87" i="43"/>
  <c r="Z87" i="43"/>
  <c r="AA87" i="43"/>
  <c r="AB87" i="43"/>
  <c r="AC87" i="43"/>
  <c r="AD87" i="43"/>
  <c r="AE87" i="43"/>
  <c r="AF87" i="43"/>
  <c r="AG87" i="43"/>
  <c r="D15" i="39"/>
  <c r="E15" i="39"/>
  <c r="F15" i="39"/>
  <c r="G15" i="39"/>
  <c r="H15" i="39"/>
  <c r="I15" i="39"/>
  <c r="J15" i="39"/>
  <c r="K15" i="39"/>
  <c r="L15" i="39"/>
  <c r="M15" i="39"/>
  <c r="N15" i="39"/>
  <c r="O15" i="39"/>
  <c r="P15" i="39"/>
  <c r="Q15" i="39"/>
  <c r="R15" i="39"/>
  <c r="S15" i="39"/>
  <c r="T15" i="39"/>
  <c r="U15" i="39"/>
  <c r="V15" i="39"/>
  <c r="W15" i="39"/>
  <c r="X15" i="39"/>
  <c r="Y15" i="39"/>
  <c r="Z15" i="39"/>
  <c r="AA15" i="39"/>
  <c r="AB15" i="39"/>
  <c r="AC15" i="39"/>
  <c r="AD15" i="39"/>
  <c r="AE15" i="39"/>
  <c r="AF15" i="39"/>
  <c r="AG15" i="39"/>
  <c r="D16" i="39"/>
  <c r="E16" i="39"/>
  <c r="F16" i="39"/>
  <c r="G16" i="39"/>
  <c r="H16" i="39"/>
  <c r="I16" i="39"/>
  <c r="J16" i="39"/>
  <c r="K16" i="39"/>
  <c r="L16" i="39"/>
  <c r="M16" i="39"/>
  <c r="N16" i="39"/>
  <c r="O16" i="39"/>
  <c r="P16" i="39"/>
  <c r="Q16" i="39"/>
  <c r="R16" i="39"/>
  <c r="S16" i="39"/>
  <c r="T16" i="39"/>
  <c r="U16" i="39"/>
  <c r="V16" i="39"/>
  <c r="W16" i="39"/>
  <c r="X16" i="39"/>
  <c r="Y16" i="39"/>
  <c r="Z16" i="39"/>
  <c r="AA16" i="39"/>
  <c r="AB16" i="39"/>
  <c r="AC16" i="39"/>
  <c r="AD16" i="39"/>
  <c r="AE16" i="39"/>
  <c r="AF16" i="39"/>
  <c r="AG16" i="39"/>
  <c r="D17" i="39"/>
  <c r="E17" i="39"/>
  <c r="F17" i="39"/>
  <c r="G17" i="39"/>
  <c r="H17" i="39"/>
  <c r="I17" i="39"/>
  <c r="J17" i="39"/>
  <c r="K17" i="39"/>
  <c r="L17" i="39"/>
  <c r="M17" i="39"/>
  <c r="N17" i="39"/>
  <c r="O17" i="39"/>
  <c r="P17" i="39"/>
  <c r="Q17" i="39"/>
  <c r="R17" i="39"/>
  <c r="S17" i="39"/>
  <c r="T17" i="39"/>
  <c r="U17" i="39"/>
  <c r="V17" i="39"/>
  <c r="W17" i="39"/>
  <c r="X17" i="39"/>
  <c r="Y17" i="39"/>
  <c r="Z17" i="39"/>
  <c r="AA17" i="39"/>
  <c r="AB17" i="39"/>
  <c r="AC17" i="39"/>
  <c r="AD17" i="39"/>
  <c r="AE17" i="39"/>
  <c r="AF17" i="39"/>
  <c r="AG17" i="39"/>
  <c r="E18" i="39"/>
  <c r="F18" i="39"/>
  <c r="G18" i="39"/>
  <c r="H18" i="39"/>
  <c r="I18" i="39"/>
  <c r="J18" i="39"/>
  <c r="K18" i="39"/>
  <c r="L18" i="39"/>
  <c r="M18" i="39"/>
  <c r="N18" i="39"/>
  <c r="O18" i="39"/>
  <c r="P18" i="39"/>
  <c r="Q18" i="39"/>
  <c r="R18" i="39"/>
  <c r="S18" i="39"/>
  <c r="T18" i="39"/>
  <c r="U18" i="39"/>
  <c r="V18" i="39"/>
  <c r="W18" i="39"/>
  <c r="X18" i="39"/>
  <c r="Y18" i="39"/>
  <c r="Z18" i="39"/>
  <c r="AA18" i="39"/>
  <c r="AB18" i="39"/>
  <c r="AC18" i="39"/>
  <c r="AD18" i="39"/>
  <c r="AE18" i="39"/>
  <c r="AF18" i="39"/>
  <c r="AG18" i="39"/>
  <c r="D19" i="39"/>
  <c r="E19" i="39"/>
  <c r="F19" i="39"/>
  <c r="G19" i="39"/>
  <c r="H19" i="39"/>
  <c r="I19" i="39"/>
  <c r="J19" i="39"/>
  <c r="K19" i="39"/>
  <c r="L19" i="39"/>
  <c r="M19" i="39"/>
  <c r="N19" i="39"/>
  <c r="O19" i="39"/>
  <c r="P19" i="39"/>
  <c r="Q19" i="39"/>
  <c r="R19" i="39"/>
  <c r="S19" i="39"/>
  <c r="T19" i="39"/>
  <c r="U19" i="39"/>
  <c r="V19" i="39"/>
  <c r="W19" i="39"/>
  <c r="X19" i="39"/>
  <c r="Y19" i="39"/>
  <c r="Z19" i="39"/>
  <c r="AA19" i="39"/>
  <c r="AB19" i="39"/>
  <c r="AC19" i="39"/>
  <c r="AD19" i="39"/>
  <c r="AE19" i="39"/>
  <c r="AF19" i="39"/>
  <c r="AG19" i="39"/>
  <c r="D21" i="39"/>
  <c r="E21" i="39"/>
  <c r="F21" i="39"/>
  <c r="G21" i="39"/>
  <c r="H21" i="39"/>
  <c r="I21" i="39"/>
  <c r="J21" i="39"/>
  <c r="K21" i="39"/>
  <c r="L21" i="39"/>
  <c r="M21" i="39"/>
  <c r="N21" i="39"/>
  <c r="O21" i="39"/>
  <c r="P21" i="39"/>
  <c r="Q21" i="39"/>
  <c r="R21" i="39"/>
  <c r="S21" i="39"/>
  <c r="T21" i="39"/>
  <c r="U21" i="39"/>
  <c r="V21" i="39"/>
  <c r="W21" i="39"/>
  <c r="X21" i="39"/>
  <c r="Y21" i="39"/>
  <c r="Z21" i="39"/>
  <c r="AA21" i="39"/>
  <c r="AB21" i="39"/>
  <c r="AC21" i="39"/>
  <c r="AD21" i="39"/>
  <c r="AE21" i="39"/>
  <c r="AF21" i="39"/>
  <c r="AG21" i="39"/>
  <c r="D22" i="39"/>
  <c r="E22" i="39"/>
  <c r="F22" i="39"/>
  <c r="G22" i="39"/>
  <c r="H22" i="39"/>
  <c r="I22" i="39"/>
  <c r="J22" i="39"/>
  <c r="K22" i="39"/>
  <c r="L22" i="39"/>
  <c r="M22" i="39"/>
  <c r="N22" i="39"/>
  <c r="O22" i="39"/>
  <c r="P22" i="39"/>
  <c r="Q22" i="39"/>
  <c r="R22" i="39"/>
  <c r="S22" i="39"/>
  <c r="T22" i="39"/>
  <c r="U22" i="39"/>
  <c r="V22" i="39"/>
  <c r="W22" i="39"/>
  <c r="X22" i="39"/>
  <c r="Y22" i="39"/>
  <c r="Z22" i="39"/>
  <c r="AA22" i="39"/>
  <c r="D23" i="39"/>
  <c r="E23" i="39"/>
  <c r="F23" i="39"/>
  <c r="G23" i="39"/>
  <c r="H23" i="39"/>
  <c r="I23" i="39"/>
  <c r="J23" i="39"/>
  <c r="K23" i="39"/>
  <c r="L23" i="39"/>
  <c r="M23" i="39"/>
  <c r="N23" i="39"/>
  <c r="O23" i="39"/>
  <c r="P23" i="39"/>
  <c r="Q23" i="39"/>
  <c r="R23" i="39"/>
  <c r="S23" i="39"/>
  <c r="T23" i="39"/>
  <c r="U23" i="39"/>
  <c r="V23" i="39"/>
  <c r="W23" i="39"/>
  <c r="X23" i="39"/>
  <c r="Y23" i="39"/>
  <c r="Z23" i="39"/>
  <c r="AA23" i="39"/>
  <c r="E25" i="39"/>
  <c r="F25" i="39"/>
  <c r="G25" i="39"/>
  <c r="H25" i="39"/>
  <c r="I25" i="39"/>
  <c r="J25" i="39"/>
  <c r="K25" i="39"/>
  <c r="L25" i="39"/>
  <c r="M25" i="39"/>
  <c r="N25" i="39"/>
  <c r="O25" i="39"/>
  <c r="P25" i="39"/>
  <c r="Q25" i="39"/>
  <c r="R25" i="39"/>
  <c r="S25" i="39"/>
  <c r="T25" i="39"/>
  <c r="U25" i="39"/>
  <c r="V25" i="39"/>
  <c r="W25" i="39"/>
  <c r="X25" i="39"/>
  <c r="Y25" i="39"/>
  <c r="Z25" i="39"/>
  <c r="AA25" i="39"/>
  <c r="AB25" i="39"/>
  <c r="AC25" i="39"/>
  <c r="AD25" i="39"/>
  <c r="AE25" i="39"/>
  <c r="AF25" i="39"/>
  <c r="AG25" i="39"/>
  <c r="E26" i="39"/>
  <c r="F26" i="39"/>
  <c r="G26" i="39"/>
  <c r="H26" i="39"/>
  <c r="I26" i="39"/>
  <c r="J26" i="39"/>
  <c r="K26" i="39"/>
  <c r="L26" i="39"/>
  <c r="M26" i="39"/>
  <c r="N26" i="39"/>
  <c r="O26" i="39"/>
  <c r="P26" i="39"/>
  <c r="Q26" i="39"/>
  <c r="R26" i="39"/>
  <c r="S26" i="39"/>
  <c r="T26" i="39"/>
  <c r="U26" i="39"/>
  <c r="V26" i="39"/>
  <c r="W26" i="39"/>
  <c r="X26" i="39"/>
  <c r="Y26" i="39"/>
  <c r="Z26" i="39"/>
  <c r="AA26" i="39"/>
  <c r="AB26" i="39"/>
  <c r="AC26" i="39"/>
  <c r="AD26" i="39"/>
  <c r="AE26" i="39"/>
  <c r="AF26" i="39"/>
  <c r="AG26" i="39"/>
  <c r="E27" i="39"/>
  <c r="F27" i="39"/>
  <c r="G27" i="39"/>
  <c r="H27" i="39"/>
  <c r="I27" i="39"/>
  <c r="J27" i="39"/>
  <c r="K27" i="39"/>
  <c r="L27" i="39"/>
  <c r="M27" i="39"/>
  <c r="N27" i="39"/>
  <c r="O27" i="39"/>
  <c r="P27" i="39"/>
  <c r="Q27" i="39"/>
  <c r="R27" i="39"/>
  <c r="S27" i="39"/>
  <c r="T27" i="39"/>
  <c r="U27" i="39"/>
  <c r="V27" i="39"/>
  <c r="W27" i="39"/>
  <c r="X27" i="39"/>
  <c r="Y27" i="39"/>
  <c r="Z27" i="39"/>
  <c r="AA27" i="39"/>
  <c r="AB27" i="39"/>
  <c r="AC27" i="39"/>
  <c r="AD27" i="39"/>
  <c r="AE27" i="39"/>
  <c r="AF27" i="39"/>
  <c r="AG27" i="39"/>
  <c r="E28" i="39"/>
  <c r="F28" i="39"/>
  <c r="G28" i="39"/>
  <c r="H28" i="39"/>
  <c r="I28" i="39"/>
  <c r="J28" i="39"/>
  <c r="K28" i="39"/>
  <c r="L28" i="39"/>
  <c r="M28" i="39"/>
  <c r="N28" i="39"/>
  <c r="O28" i="39"/>
  <c r="P28" i="39"/>
  <c r="Q28" i="39"/>
  <c r="R28" i="39"/>
  <c r="S28" i="39"/>
  <c r="T28" i="39"/>
  <c r="U28" i="39"/>
  <c r="V28" i="39"/>
  <c r="W28" i="39"/>
  <c r="X28" i="39"/>
  <c r="Y28" i="39"/>
  <c r="Z28" i="39"/>
  <c r="AA28" i="39"/>
  <c r="AB28" i="39"/>
  <c r="AC28" i="39"/>
  <c r="AD28" i="39"/>
  <c r="AE28" i="39"/>
  <c r="AF28" i="39"/>
  <c r="AG28" i="39"/>
  <c r="H31" i="39"/>
  <c r="I31" i="39"/>
  <c r="J31" i="39"/>
  <c r="K31" i="39"/>
  <c r="L31" i="39"/>
  <c r="M31" i="39"/>
  <c r="N31" i="39"/>
  <c r="O31" i="39"/>
  <c r="P31" i="39"/>
  <c r="Q31" i="39"/>
  <c r="R31" i="39"/>
  <c r="S31" i="39"/>
  <c r="T31" i="39"/>
  <c r="U31" i="39"/>
  <c r="V31" i="39"/>
  <c r="W31" i="39"/>
  <c r="X31" i="39"/>
  <c r="Y31" i="39"/>
  <c r="Z31" i="39"/>
  <c r="AA31" i="39"/>
  <c r="AB31" i="39"/>
  <c r="AC31" i="39"/>
  <c r="AD31" i="39"/>
  <c r="AE31" i="39"/>
  <c r="AF31" i="39"/>
  <c r="AG31" i="39"/>
  <c r="D32" i="39"/>
  <c r="E32" i="39"/>
  <c r="F32" i="39"/>
  <c r="G32" i="39"/>
  <c r="H32" i="39"/>
  <c r="I32" i="39"/>
  <c r="J32" i="39"/>
  <c r="K32" i="39"/>
  <c r="L32" i="39"/>
  <c r="M32" i="39"/>
  <c r="N32" i="39"/>
  <c r="O32" i="39"/>
  <c r="P32" i="39"/>
  <c r="Q32" i="39"/>
  <c r="R32" i="39"/>
  <c r="S32" i="39"/>
  <c r="T32" i="39"/>
  <c r="U32" i="39"/>
  <c r="V32" i="39"/>
  <c r="W32" i="39"/>
  <c r="X32" i="39"/>
  <c r="Y32" i="39"/>
  <c r="Z32" i="39"/>
  <c r="AA32" i="39"/>
  <c r="AB32" i="39"/>
  <c r="AC32" i="39"/>
  <c r="AD32" i="39"/>
  <c r="AE32" i="39"/>
  <c r="AF32" i="39"/>
  <c r="AG32" i="39"/>
  <c r="D33" i="39"/>
  <c r="E33" i="39"/>
  <c r="F33" i="39"/>
  <c r="G33" i="39"/>
  <c r="H33" i="39"/>
  <c r="I33" i="39"/>
  <c r="J33" i="39"/>
  <c r="K33" i="39"/>
  <c r="L33" i="39"/>
  <c r="M33" i="39"/>
  <c r="N33" i="39"/>
  <c r="O33" i="39"/>
  <c r="P33" i="39"/>
  <c r="Q33" i="39"/>
  <c r="R33" i="39"/>
  <c r="S33" i="39"/>
  <c r="T33" i="39"/>
  <c r="U33" i="39"/>
  <c r="V33" i="39"/>
  <c r="W33" i="39"/>
  <c r="X33" i="39"/>
  <c r="Y33" i="39"/>
  <c r="Z33" i="39"/>
  <c r="AA33" i="39"/>
  <c r="AB33" i="39"/>
  <c r="AC33" i="39"/>
  <c r="AD33" i="39"/>
  <c r="D34" i="39"/>
  <c r="E34" i="39"/>
  <c r="F34" i="39"/>
  <c r="G34" i="39"/>
  <c r="H34" i="39"/>
  <c r="I34" i="39"/>
  <c r="J34" i="39"/>
  <c r="K34" i="39"/>
  <c r="L34" i="39"/>
  <c r="M34" i="39"/>
  <c r="N34" i="39"/>
  <c r="O34" i="39"/>
  <c r="P34" i="39"/>
  <c r="Q34" i="39"/>
  <c r="R34" i="39"/>
  <c r="S34" i="39"/>
  <c r="T34" i="39"/>
  <c r="U34" i="39"/>
  <c r="V34" i="39"/>
  <c r="W34" i="39"/>
  <c r="X34" i="39"/>
  <c r="Y34" i="39"/>
  <c r="Z34" i="39"/>
  <c r="AA34" i="39"/>
  <c r="AB34" i="39"/>
  <c r="AC34" i="39"/>
  <c r="AD34" i="39"/>
  <c r="E36" i="39"/>
  <c r="F36" i="39"/>
  <c r="G36" i="39"/>
  <c r="H36" i="39"/>
  <c r="I36" i="39"/>
  <c r="J36" i="39"/>
  <c r="K36" i="39"/>
  <c r="L36" i="39"/>
  <c r="M36" i="39"/>
  <c r="N36" i="39"/>
  <c r="O36" i="39"/>
  <c r="P36" i="39"/>
  <c r="Q36" i="39"/>
  <c r="R36" i="39"/>
  <c r="S36" i="39"/>
  <c r="T36" i="39"/>
  <c r="U36" i="39"/>
  <c r="V36" i="39"/>
  <c r="W36" i="39"/>
  <c r="X36" i="39"/>
  <c r="Y36" i="39"/>
  <c r="Z36" i="39"/>
  <c r="AA36" i="39"/>
  <c r="AB36" i="39"/>
  <c r="AC36" i="39"/>
  <c r="AD36" i="39"/>
  <c r="AE36" i="39"/>
  <c r="AF36" i="39"/>
  <c r="AG36" i="39"/>
  <c r="E37" i="39"/>
  <c r="F37" i="39"/>
  <c r="G37" i="39"/>
  <c r="H37" i="39"/>
  <c r="I37" i="39"/>
  <c r="J37" i="39"/>
  <c r="K37" i="39"/>
  <c r="L37" i="39"/>
  <c r="M37" i="39"/>
  <c r="N37" i="39"/>
  <c r="O37" i="39"/>
  <c r="P37" i="39"/>
  <c r="Q37" i="39"/>
  <c r="R37" i="39"/>
  <c r="S37" i="39"/>
  <c r="T37" i="39"/>
  <c r="U37" i="39"/>
  <c r="V37" i="39"/>
  <c r="W37" i="39"/>
  <c r="X37" i="39"/>
  <c r="Y37" i="39"/>
  <c r="Z37" i="39"/>
  <c r="AA37" i="39"/>
  <c r="AB37" i="39"/>
  <c r="AC37" i="39"/>
  <c r="AD37" i="39"/>
  <c r="AE37" i="39"/>
  <c r="AF37" i="39"/>
  <c r="AG37" i="39"/>
  <c r="E38" i="39"/>
  <c r="F38" i="39"/>
  <c r="G38" i="39"/>
  <c r="H38" i="39"/>
  <c r="I38" i="39"/>
  <c r="J38" i="39"/>
  <c r="K38" i="39"/>
  <c r="L38" i="39"/>
  <c r="M38" i="39"/>
  <c r="N38" i="39"/>
  <c r="O38" i="39"/>
  <c r="P38" i="39"/>
  <c r="Q38" i="39"/>
  <c r="R38" i="39"/>
  <c r="S38" i="39"/>
  <c r="T38" i="39"/>
  <c r="U38" i="39"/>
  <c r="V38" i="39"/>
  <c r="W38" i="39"/>
  <c r="X38" i="39"/>
  <c r="Y38" i="39"/>
  <c r="Z38" i="39"/>
  <c r="AA38" i="39"/>
  <c r="AB38" i="39"/>
  <c r="AC38" i="39"/>
  <c r="AD38" i="39"/>
  <c r="AE38" i="39"/>
  <c r="AF38" i="39"/>
  <c r="AG38" i="39"/>
  <c r="E39" i="39"/>
  <c r="F39" i="39"/>
  <c r="G39" i="39"/>
  <c r="H39" i="39"/>
  <c r="I39" i="39"/>
  <c r="J39" i="39"/>
  <c r="K39" i="39"/>
  <c r="L39" i="39"/>
  <c r="M39" i="39"/>
  <c r="N39" i="39"/>
  <c r="O39" i="39"/>
  <c r="P39" i="39"/>
  <c r="Q39" i="39"/>
  <c r="R39" i="39"/>
  <c r="S39" i="39"/>
  <c r="T39" i="39"/>
  <c r="U39" i="39"/>
  <c r="V39" i="39"/>
  <c r="W39" i="39"/>
  <c r="X39" i="39"/>
  <c r="Y39" i="39"/>
  <c r="Z39" i="39"/>
  <c r="AA39" i="39"/>
  <c r="AB39" i="39"/>
  <c r="AC39" i="39"/>
  <c r="AD39" i="39"/>
  <c r="AE39" i="39"/>
  <c r="AF39" i="39"/>
  <c r="AG39" i="39"/>
  <c r="G43" i="39"/>
  <c r="H43" i="39"/>
  <c r="I43" i="39"/>
  <c r="J43" i="39"/>
  <c r="K43" i="39"/>
  <c r="L43" i="39"/>
  <c r="M43" i="39"/>
  <c r="N43" i="39"/>
  <c r="O43" i="39"/>
  <c r="P43" i="39"/>
  <c r="Q43" i="39"/>
  <c r="R43" i="39"/>
  <c r="S43" i="39"/>
  <c r="T43" i="39"/>
  <c r="U43" i="39"/>
  <c r="V43" i="39"/>
  <c r="W43" i="39"/>
  <c r="X43" i="39"/>
  <c r="Y43" i="39"/>
  <c r="Z43" i="39"/>
  <c r="AA43" i="39"/>
  <c r="AB43" i="39"/>
  <c r="AC43" i="39"/>
  <c r="AD43" i="39"/>
  <c r="AE43" i="39"/>
  <c r="AF43" i="39"/>
  <c r="AG43" i="39"/>
  <c r="G45" i="39"/>
  <c r="H45" i="39"/>
  <c r="I45" i="39"/>
  <c r="J45" i="39"/>
  <c r="K45" i="39"/>
  <c r="L45" i="39"/>
  <c r="M45" i="39"/>
  <c r="N45" i="39"/>
  <c r="O45" i="39"/>
  <c r="P45" i="39"/>
  <c r="Q45" i="39"/>
  <c r="R45" i="39"/>
  <c r="S45" i="39"/>
  <c r="T45" i="39"/>
  <c r="U45" i="39"/>
  <c r="V45" i="39"/>
  <c r="W45" i="39"/>
  <c r="X45" i="39"/>
  <c r="Y45" i="39"/>
  <c r="Z45" i="39"/>
  <c r="AA45" i="39"/>
  <c r="AB45" i="39"/>
  <c r="AC45" i="39"/>
  <c r="AD45" i="39"/>
  <c r="AE45" i="39"/>
  <c r="AF45" i="39"/>
  <c r="AG45" i="39"/>
  <c r="G47" i="39"/>
  <c r="H47" i="39"/>
  <c r="I47" i="39"/>
  <c r="J47" i="39"/>
  <c r="K47" i="39"/>
  <c r="L47" i="39"/>
  <c r="M47" i="39"/>
  <c r="N47" i="39"/>
  <c r="O47" i="39"/>
  <c r="P47" i="39"/>
  <c r="Q47" i="39"/>
  <c r="R47" i="39"/>
  <c r="S47" i="39"/>
  <c r="T47" i="39"/>
  <c r="U47" i="39"/>
  <c r="V47" i="39"/>
  <c r="W47" i="39"/>
  <c r="X47" i="39"/>
  <c r="Y47" i="39"/>
  <c r="Z47" i="39"/>
  <c r="AA47" i="39"/>
  <c r="AB47" i="39"/>
  <c r="AC47" i="39"/>
  <c r="AD47" i="39"/>
  <c r="AE47" i="39"/>
  <c r="AF47" i="39"/>
  <c r="AG47" i="39"/>
  <c r="G49" i="39"/>
  <c r="H49" i="39"/>
  <c r="I49" i="39"/>
  <c r="J49" i="39"/>
  <c r="K49" i="39"/>
  <c r="L49" i="39"/>
  <c r="M49" i="39"/>
  <c r="N49" i="39"/>
  <c r="O49" i="39"/>
  <c r="P49" i="39"/>
  <c r="Q49" i="39"/>
  <c r="R49" i="39"/>
  <c r="S49" i="39"/>
  <c r="T49" i="39"/>
  <c r="U49" i="39"/>
  <c r="V49" i="39"/>
  <c r="W49" i="39"/>
  <c r="X49" i="39"/>
  <c r="Y49" i="39"/>
  <c r="Z49" i="39"/>
  <c r="AA49" i="39"/>
  <c r="AB49" i="39"/>
  <c r="AC49" i="39"/>
  <c r="AD49" i="39"/>
  <c r="AE49" i="39"/>
  <c r="AF49" i="39"/>
  <c r="AG49" i="39"/>
  <c r="G52" i="39"/>
  <c r="H52" i="39"/>
  <c r="I52" i="39"/>
  <c r="J52" i="39"/>
  <c r="K52" i="39"/>
  <c r="L52" i="39"/>
  <c r="M52" i="39"/>
  <c r="N52" i="39"/>
  <c r="O52" i="39"/>
  <c r="P52" i="39"/>
  <c r="Q52" i="39"/>
  <c r="R52" i="39"/>
  <c r="S52" i="39"/>
  <c r="T52" i="39"/>
  <c r="U52" i="39"/>
  <c r="V52" i="39"/>
  <c r="W52" i="39"/>
  <c r="X52" i="39"/>
  <c r="Y52" i="39"/>
  <c r="Z52" i="39"/>
  <c r="AA52" i="39"/>
  <c r="AB52" i="39"/>
  <c r="AC52" i="39"/>
  <c r="AD52" i="39"/>
  <c r="AE52" i="39"/>
  <c r="AF52" i="39"/>
  <c r="AG52" i="39"/>
  <c r="G54" i="39"/>
  <c r="H54" i="39"/>
  <c r="I54" i="39"/>
  <c r="J54" i="39"/>
  <c r="K54" i="39"/>
  <c r="L54" i="39"/>
  <c r="M54" i="39"/>
  <c r="N54" i="39"/>
  <c r="O54" i="39"/>
  <c r="P54" i="39"/>
  <c r="Q54" i="39"/>
  <c r="R54" i="39"/>
  <c r="S54" i="39"/>
  <c r="T54" i="39"/>
  <c r="U54" i="39"/>
  <c r="V54" i="39"/>
  <c r="W54" i="39"/>
  <c r="X54" i="39"/>
  <c r="Y54" i="39"/>
  <c r="Z54" i="39"/>
  <c r="AA54" i="39"/>
  <c r="AB54" i="39"/>
  <c r="AC54" i="39"/>
  <c r="AD54" i="39"/>
  <c r="AE54" i="39"/>
  <c r="AF54" i="39"/>
  <c r="AG54" i="39"/>
  <c r="G56" i="39"/>
  <c r="H56" i="39"/>
  <c r="I56" i="39"/>
  <c r="J56" i="39"/>
  <c r="K56" i="39"/>
  <c r="L56" i="39"/>
  <c r="M56" i="39"/>
  <c r="N56" i="39"/>
  <c r="O56" i="39"/>
  <c r="P56" i="39"/>
  <c r="Q56" i="39"/>
  <c r="R56" i="39"/>
  <c r="S56" i="39"/>
  <c r="T56" i="39"/>
  <c r="U56" i="39"/>
  <c r="V56" i="39"/>
  <c r="W56" i="39"/>
  <c r="X56" i="39"/>
  <c r="Y56" i="39"/>
  <c r="Z56" i="39"/>
  <c r="AA56" i="39"/>
  <c r="AB56" i="39"/>
  <c r="AC56" i="39"/>
  <c r="AD56" i="39"/>
  <c r="AE56" i="39"/>
  <c r="AF56" i="39"/>
  <c r="AG56" i="39"/>
  <c r="G58" i="39"/>
  <c r="H58" i="39"/>
  <c r="I58" i="39"/>
  <c r="J58" i="39"/>
  <c r="K58" i="39"/>
  <c r="L58" i="39"/>
  <c r="M58" i="39"/>
  <c r="N58" i="39"/>
  <c r="O58" i="39"/>
  <c r="P58" i="39"/>
  <c r="Q58" i="39"/>
  <c r="R58" i="39"/>
  <c r="S58" i="39"/>
  <c r="T58" i="39"/>
  <c r="U58" i="39"/>
  <c r="V58" i="39"/>
  <c r="W58" i="39"/>
  <c r="X58" i="39"/>
  <c r="Y58" i="39"/>
  <c r="Z58" i="39"/>
  <c r="AA58" i="39"/>
  <c r="AB58" i="39"/>
  <c r="AC58" i="39"/>
  <c r="AD58" i="39"/>
  <c r="AE58" i="39"/>
  <c r="AF58" i="39"/>
  <c r="AG58" i="39"/>
  <c r="G61" i="39"/>
  <c r="H61" i="39"/>
  <c r="I61" i="39"/>
  <c r="J61" i="39"/>
  <c r="K61" i="39"/>
  <c r="L61" i="39"/>
  <c r="M61" i="39"/>
  <c r="N61" i="39"/>
  <c r="O61" i="39"/>
  <c r="P61" i="39"/>
  <c r="Q61" i="39"/>
  <c r="R61" i="39"/>
  <c r="S61" i="39"/>
  <c r="T61" i="39"/>
  <c r="U61" i="39"/>
  <c r="V61" i="39"/>
  <c r="W61" i="39"/>
  <c r="X61" i="39"/>
  <c r="Y61" i="39"/>
  <c r="Z61" i="39"/>
  <c r="AA61" i="39"/>
  <c r="AB61" i="39"/>
  <c r="AC61" i="39"/>
  <c r="AD61" i="39"/>
  <c r="AE61" i="39"/>
  <c r="AF61" i="39"/>
  <c r="AG61" i="39"/>
  <c r="G63" i="39"/>
  <c r="H63" i="39"/>
  <c r="I63" i="39"/>
  <c r="J63" i="39"/>
  <c r="K63" i="39"/>
  <c r="L63" i="39"/>
  <c r="M63" i="39"/>
  <c r="N63" i="39"/>
  <c r="O63" i="39"/>
  <c r="P63" i="39"/>
  <c r="Q63" i="39"/>
  <c r="R63" i="39"/>
  <c r="S63" i="39"/>
  <c r="T63" i="39"/>
  <c r="U63" i="39"/>
  <c r="V63" i="39"/>
  <c r="W63" i="39"/>
  <c r="X63" i="39"/>
  <c r="Y63" i="39"/>
  <c r="Z63" i="39"/>
  <c r="AA63" i="39"/>
  <c r="AB63" i="39"/>
  <c r="AC63" i="39"/>
  <c r="AD63" i="39"/>
  <c r="AE63" i="39"/>
  <c r="AF63" i="39"/>
  <c r="AG63" i="39"/>
  <c r="G65" i="39"/>
  <c r="H65" i="39"/>
  <c r="I65" i="39"/>
  <c r="J65" i="39"/>
  <c r="K65" i="39"/>
  <c r="L65" i="39"/>
  <c r="M65" i="39"/>
  <c r="N65" i="39"/>
  <c r="O65" i="39"/>
  <c r="P65" i="39"/>
  <c r="Q65" i="39"/>
  <c r="R65" i="39"/>
  <c r="S65" i="39"/>
  <c r="T65" i="39"/>
  <c r="U65" i="39"/>
  <c r="V65" i="39"/>
  <c r="W65" i="39"/>
  <c r="X65" i="39"/>
  <c r="Y65" i="39"/>
  <c r="Z65" i="39"/>
  <c r="AA65" i="39"/>
  <c r="AB65" i="39"/>
  <c r="AC65" i="39"/>
  <c r="AD65" i="39"/>
  <c r="AE65" i="39"/>
  <c r="AF65" i="39"/>
  <c r="AG65" i="39"/>
  <c r="G67" i="39"/>
  <c r="H67" i="39"/>
  <c r="I67" i="39"/>
  <c r="J67" i="39"/>
  <c r="K67" i="39"/>
  <c r="L67" i="39"/>
  <c r="M67" i="39"/>
  <c r="N67" i="39"/>
  <c r="O67" i="39"/>
  <c r="P67" i="39"/>
  <c r="Q67" i="39"/>
  <c r="R67" i="39"/>
  <c r="S67" i="39"/>
  <c r="T67" i="39"/>
  <c r="U67" i="39"/>
  <c r="V67" i="39"/>
  <c r="W67" i="39"/>
  <c r="X67" i="39"/>
  <c r="Y67" i="39"/>
  <c r="Z67" i="39"/>
  <c r="AA67" i="39"/>
  <c r="AB67" i="39"/>
  <c r="AC67" i="39"/>
  <c r="AD67" i="39"/>
  <c r="AE67" i="39"/>
  <c r="AF67" i="39"/>
  <c r="AG67" i="39"/>
  <c r="G69" i="39"/>
  <c r="H69" i="39"/>
  <c r="I69" i="39"/>
  <c r="J69" i="39"/>
  <c r="K69" i="39"/>
  <c r="L69" i="39"/>
  <c r="M69" i="39"/>
  <c r="N69" i="39"/>
  <c r="O69" i="39"/>
  <c r="P69" i="39"/>
  <c r="Q69" i="39"/>
  <c r="R69" i="39"/>
  <c r="S69" i="39"/>
  <c r="T69" i="39"/>
  <c r="U69" i="39"/>
  <c r="V69" i="39"/>
  <c r="W69" i="39"/>
  <c r="X69" i="39"/>
  <c r="Y69" i="39"/>
  <c r="Z69" i="39"/>
  <c r="AA69" i="39"/>
  <c r="AB69" i="39"/>
  <c r="AC69" i="39"/>
  <c r="AD69" i="39"/>
  <c r="AE69" i="39"/>
  <c r="AF69" i="39"/>
  <c r="AG69" i="39"/>
  <c r="G71" i="39"/>
  <c r="H71" i="39"/>
  <c r="I71" i="39"/>
  <c r="J71" i="39"/>
  <c r="K71" i="39"/>
  <c r="L71" i="39"/>
  <c r="M71" i="39"/>
  <c r="N71" i="39"/>
  <c r="O71" i="39"/>
  <c r="P71" i="39"/>
  <c r="Q71" i="39"/>
  <c r="R71" i="39"/>
  <c r="S71" i="39"/>
  <c r="T71" i="39"/>
  <c r="U71" i="39"/>
  <c r="V71" i="39"/>
  <c r="W71" i="39"/>
  <c r="X71" i="39"/>
  <c r="Y71" i="39"/>
  <c r="Z71" i="39"/>
  <c r="AA71" i="39"/>
  <c r="AB71" i="39"/>
  <c r="AC71" i="39"/>
  <c r="AD71" i="39"/>
  <c r="AE71" i="39"/>
  <c r="AF71" i="39"/>
  <c r="AG71" i="39"/>
  <c r="G73" i="39"/>
  <c r="H73" i="39"/>
  <c r="I73" i="39"/>
  <c r="J73" i="39"/>
  <c r="K73" i="39"/>
  <c r="L73" i="39"/>
  <c r="M73" i="39"/>
  <c r="N73" i="39"/>
  <c r="O73" i="39"/>
  <c r="P73" i="39"/>
  <c r="Q73" i="39"/>
  <c r="R73" i="39"/>
  <c r="S73" i="39"/>
  <c r="T73" i="39"/>
  <c r="U73" i="39"/>
  <c r="V73" i="39"/>
  <c r="W73" i="39"/>
  <c r="X73" i="39"/>
  <c r="Y73" i="39"/>
  <c r="Z73" i="39"/>
  <c r="AA73" i="39"/>
  <c r="AB73" i="39"/>
  <c r="AC73" i="39"/>
  <c r="AD73" i="39"/>
  <c r="AE73" i="39"/>
  <c r="AF73" i="39"/>
  <c r="AG73" i="39"/>
  <c r="G75" i="39"/>
  <c r="H75" i="39"/>
  <c r="I75" i="39"/>
  <c r="J75" i="39"/>
  <c r="K75" i="39"/>
  <c r="L75" i="39"/>
  <c r="M75" i="39"/>
  <c r="N75" i="39"/>
  <c r="O75" i="39"/>
  <c r="P75" i="39"/>
  <c r="Q75" i="39"/>
  <c r="R75" i="39"/>
  <c r="S75" i="39"/>
  <c r="T75" i="39"/>
  <c r="U75" i="39"/>
  <c r="V75" i="39"/>
  <c r="W75" i="39"/>
  <c r="X75" i="39"/>
  <c r="Y75" i="39"/>
  <c r="Z75" i="39"/>
  <c r="AA75" i="39"/>
  <c r="AB75" i="39"/>
  <c r="AC75" i="39"/>
  <c r="AD75" i="39"/>
  <c r="AE75" i="39"/>
  <c r="AF75" i="39"/>
  <c r="AG75" i="39"/>
  <c r="G77" i="39"/>
  <c r="H77" i="39"/>
  <c r="I77" i="39"/>
  <c r="J77" i="39"/>
  <c r="K77" i="39"/>
  <c r="L77" i="39"/>
  <c r="M77" i="39"/>
  <c r="N77" i="39"/>
  <c r="O77" i="39"/>
  <c r="P77" i="39"/>
  <c r="Q77" i="39"/>
  <c r="R77" i="39"/>
  <c r="S77" i="39"/>
  <c r="T77" i="39"/>
  <c r="U77" i="39"/>
  <c r="V77" i="39"/>
  <c r="W77" i="39"/>
  <c r="X77" i="39"/>
  <c r="Y77" i="39"/>
  <c r="Z77" i="39"/>
  <c r="AA77" i="39"/>
  <c r="AB77" i="39"/>
  <c r="AC77" i="39"/>
  <c r="AD77" i="39"/>
  <c r="AE77" i="39"/>
  <c r="AF77" i="39"/>
  <c r="AG77" i="39"/>
  <c r="G79" i="39"/>
  <c r="H79" i="39"/>
  <c r="I79" i="39"/>
  <c r="J79" i="39"/>
  <c r="K79" i="39"/>
  <c r="L79" i="39"/>
  <c r="M79" i="39"/>
  <c r="N79" i="39"/>
  <c r="O79" i="39"/>
  <c r="P79" i="39"/>
  <c r="Q79" i="39"/>
  <c r="R79" i="39"/>
  <c r="S79" i="39"/>
  <c r="T79" i="39"/>
  <c r="U79" i="39"/>
  <c r="V79" i="39"/>
  <c r="W79" i="39"/>
  <c r="X79" i="39"/>
  <c r="Y79" i="39"/>
  <c r="Z79" i="39"/>
  <c r="AA79" i="39"/>
  <c r="AB79" i="39"/>
  <c r="AC79" i="39"/>
  <c r="AD79" i="39"/>
  <c r="AE79" i="39"/>
  <c r="AF79" i="39"/>
  <c r="AG79" i="39"/>
  <c r="G81" i="39"/>
  <c r="H81" i="39"/>
  <c r="I81" i="39"/>
  <c r="J81" i="39"/>
  <c r="K81" i="39"/>
  <c r="L81" i="39"/>
  <c r="M81" i="39"/>
  <c r="N81" i="39"/>
  <c r="O81" i="39"/>
  <c r="P81" i="39"/>
  <c r="Q81" i="39"/>
  <c r="R81" i="39"/>
  <c r="S81" i="39"/>
  <c r="T81" i="39"/>
  <c r="U81" i="39"/>
  <c r="V81" i="39"/>
  <c r="W81" i="39"/>
  <c r="X81" i="39"/>
  <c r="Y81" i="39"/>
  <c r="Z81" i="39"/>
  <c r="AA81" i="39"/>
  <c r="AB81" i="39"/>
  <c r="AC81" i="39"/>
  <c r="AD81" i="39"/>
  <c r="AE81" i="39"/>
  <c r="AF81" i="39"/>
  <c r="AG81" i="39"/>
  <c r="G83" i="39"/>
  <c r="H83" i="39"/>
  <c r="I83" i="39"/>
  <c r="J83" i="39"/>
  <c r="K83" i="39"/>
  <c r="L83" i="39"/>
  <c r="M83" i="39"/>
  <c r="N83" i="39"/>
  <c r="O83" i="39"/>
  <c r="P83" i="39"/>
  <c r="Q83" i="39"/>
  <c r="R83" i="39"/>
  <c r="S83" i="39"/>
  <c r="T83" i="39"/>
  <c r="U83" i="39"/>
  <c r="V83" i="39"/>
  <c r="W83" i="39"/>
  <c r="X83" i="39"/>
  <c r="Y83" i="39"/>
  <c r="Z83" i="39"/>
  <c r="AA83" i="39"/>
  <c r="AB83" i="39"/>
  <c r="AC83" i="39"/>
  <c r="AD83" i="39"/>
  <c r="AE83" i="39"/>
  <c r="AF83" i="39"/>
  <c r="AG83" i="39"/>
  <c r="E15" i="52"/>
  <c r="F15" i="52"/>
  <c r="G15" i="52"/>
  <c r="H15" i="52"/>
  <c r="I15" i="52"/>
  <c r="J15" i="52"/>
  <c r="K15" i="52"/>
  <c r="L15" i="52"/>
  <c r="M15" i="52"/>
  <c r="N15" i="52"/>
  <c r="O15" i="52"/>
  <c r="P15" i="52"/>
  <c r="Q15" i="52"/>
  <c r="R15" i="52"/>
  <c r="S15" i="52"/>
  <c r="T15" i="52"/>
  <c r="U15" i="52"/>
  <c r="V15" i="52"/>
  <c r="W15" i="52"/>
  <c r="X15" i="52"/>
  <c r="Y15" i="52"/>
  <c r="Z15" i="52"/>
  <c r="AA15" i="52"/>
  <c r="AB15" i="52"/>
  <c r="AC15" i="52"/>
  <c r="AD15" i="52"/>
  <c r="AE15" i="52"/>
  <c r="AF15" i="52"/>
  <c r="AG15" i="52"/>
  <c r="E16" i="52"/>
  <c r="F16" i="52"/>
  <c r="G16" i="52"/>
  <c r="H16" i="52"/>
  <c r="I16" i="52"/>
  <c r="J16" i="52"/>
  <c r="K16" i="52"/>
  <c r="L16" i="52"/>
  <c r="M16" i="52"/>
  <c r="N16" i="52"/>
  <c r="O16" i="52"/>
  <c r="P16" i="52"/>
  <c r="Q16" i="52"/>
  <c r="R16" i="52"/>
  <c r="S16" i="52"/>
  <c r="T16" i="52"/>
  <c r="U16" i="52"/>
  <c r="V16" i="52"/>
  <c r="W16" i="52"/>
  <c r="X16" i="52"/>
  <c r="Y16" i="52"/>
  <c r="Z16" i="52"/>
  <c r="AA16" i="52"/>
  <c r="AB16" i="52"/>
  <c r="AC16" i="52"/>
  <c r="AD16" i="52"/>
  <c r="AE16" i="52"/>
  <c r="AF16" i="52"/>
  <c r="AG16" i="52"/>
  <c r="E17" i="52"/>
  <c r="F17" i="52"/>
  <c r="G17" i="52"/>
  <c r="H17" i="52"/>
  <c r="I17" i="52"/>
  <c r="J17" i="52"/>
  <c r="K17" i="52"/>
  <c r="L17" i="52"/>
  <c r="M17" i="52"/>
  <c r="N17" i="52"/>
  <c r="O17" i="52"/>
  <c r="P17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AD17" i="52"/>
  <c r="AE17" i="52"/>
  <c r="AF17" i="52"/>
  <c r="AG17" i="52"/>
  <c r="E18" i="52"/>
  <c r="F18" i="52"/>
  <c r="G18" i="52"/>
  <c r="H18" i="52"/>
  <c r="I18" i="52"/>
  <c r="J18" i="52"/>
  <c r="K18" i="52"/>
  <c r="L18" i="52"/>
  <c r="M18" i="52"/>
  <c r="N18" i="52"/>
  <c r="O18" i="52"/>
  <c r="P18" i="52"/>
  <c r="Q18" i="52"/>
  <c r="R18" i="52"/>
  <c r="S18" i="52"/>
  <c r="T18" i="52"/>
  <c r="U18" i="52"/>
  <c r="V18" i="52"/>
  <c r="W18" i="52"/>
  <c r="X18" i="52"/>
  <c r="Y18" i="52"/>
  <c r="Z18" i="52"/>
  <c r="AA18" i="52"/>
  <c r="AB18" i="52"/>
  <c r="AC18" i="52"/>
  <c r="AD18" i="52"/>
  <c r="AE18" i="52"/>
  <c r="AF18" i="52"/>
  <c r="AG18" i="52"/>
  <c r="D19" i="52"/>
  <c r="E19" i="52"/>
  <c r="F19" i="52"/>
  <c r="G19" i="52"/>
  <c r="H19" i="52"/>
  <c r="I19" i="52"/>
  <c r="J19" i="52"/>
  <c r="K19" i="52"/>
  <c r="L19" i="52"/>
  <c r="M19" i="52"/>
  <c r="N19" i="52"/>
  <c r="O19" i="52"/>
  <c r="P19" i="52"/>
  <c r="Q19" i="52"/>
  <c r="R19" i="52"/>
  <c r="S19" i="52"/>
  <c r="T19" i="52"/>
  <c r="U19" i="52"/>
  <c r="V19" i="52"/>
  <c r="W19" i="52"/>
  <c r="X19" i="52"/>
  <c r="Y19" i="52"/>
  <c r="Z19" i="52"/>
  <c r="AA19" i="52"/>
  <c r="AB19" i="52"/>
  <c r="AC19" i="52"/>
  <c r="AD19" i="52"/>
  <c r="AE19" i="52"/>
  <c r="AF19" i="52"/>
  <c r="AG19" i="52"/>
  <c r="D21" i="52"/>
  <c r="E21" i="52"/>
  <c r="F21" i="52"/>
  <c r="G21" i="52"/>
  <c r="H21" i="52"/>
  <c r="I21" i="52"/>
  <c r="J21" i="52"/>
  <c r="K21" i="52"/>
  <c r="L21" i="52"/>
  <c r="M21" i="52"/>
  <c r="N21" i="52"/>
  <c r="O21" i="52"/>
  <c r="P21" i="52"/>
  <c r="Q21" i="52"/>
  <c r="R21" i="52"/>
  <c r="S21" i="52"/>
  <c r="T21" i="52"/>
  <c r="U21" i="52"/>
  <c r="V21" i="52"/>
  <c r="W21" i="52"/>
  <c r="X21" i="52"/>
  <c r="Y21" i="52"/>
  <c r="Z21" i="52"/>
  <c r="AA21" i="52"/>
  <c r="AB21" i="52"/>
  <c r="AC21" i="52"/>
  <c r="AD21" i="52"/>
  <c r="AE21" i="52"/>
  <c r="AF21" i="52"/>
  <c r="AG21" i="52"/>
  <c r="D22" i="52"/>
  <c r="E22" i="52"/>
  <c r="F22" i="52"/>
  <c r="G22" i="52"/>
  <c r="H22" i="52"/>
  <c r="I22" i="52"/>
  <c r="J22" i="52"/>
  <c r="K22" i="52"/>
  <c r="L22" i="52"/>
  <c r="M22" i="52"/>
  <c r="N22" i="52"/>
  <c r="O22" i="52"/>
  <c r="P22" i="52"/>
  <c r="Q22" i="52"/>
  <c r="R22" i="52"/>
  <c r="S22" i="52"/>
  <c r="T22" i="52"/>
  <c r="U22" i="52"/>
  <c r="V22" i="52"/>
  <c r="W22" i="52"/>
  <c r="X22" i="52"/>
  <c r="Y22" i="52"/>
  <c r="Z22" i="52"/>
  <c r="AA22" i="52"/>
  <c r="F25" i="52"/>
  <c r="G25" i="52"/>
  <c r="H25" i="52"/>
  <c r="I25" i="52"/>
  <c r="J25" i="52"/>
  <c r="K25" i="52"/>
  <c r="L25" i="52"/>
  <c r="M25" i="52"/>
  <c r="N25" i="52"/>
  <c r="O25" i="52"/>
  <c r="P25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D25" i="52"/>
  <c r="AE25" i="52"/>
  <c r="AF25" i="52"/>
  <c r="AG25" i="52"/>
  <c r="F26" i="52"/>
  <c r="G26" i="52"/>
  <c r="H26" i="52"/>
  <c r="I26" i="52"/>
  <c r="J26" i="52"/>
  <c r="K26" i="52"/>
  <c r="L26" i="52"/>
  <c r="M26" i="52"/>
  <c r="N26" i="52"/>
  <c r="O26" i="52"/>
  <c r="P26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AE26" i="52"/>
  <c r="AF26" i="52"/>
  <c r="AG26" i="52"/>
  <c r="F27" i="52"/>
  <c r="G27" i="52"/>
  <c r="H27" i="52"/>
  <c r="I27" i="52"/>
  <c r="J27" i="52"/>
  <c r="K27" i="52"/>
  <c r="L27" i="52"/>
  <c r="M27" i="52"/>
  <c r="N27" i="52"/>
  <c r="O27" i="52"/>
  <c r="P27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C27" i="52"/>
  <c r="AD27" i="52"/>
  <c r="AE27" i="52"/>
  <c r="AF27" i="52"/>
  <c r="AG27" i="52"/>
  <c r="F28" i="52"/>
  <c r="G28" i="52"/>
  <c r="H28" i="52"/>
  <c r="I28" i="52"/>
  <c r="J28" i="52"/>
  <c r="K28" i="52"/>
  <c r="L28" i="52"/>
  <c r="M28" i="52"/>
  <c r="N28" i="52"/>
  <c r="O28" i="52"/>
  <c r="P28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AE28" i="52"/>
  <c r="AF28" i="52"/>
  <c r="AG28" i="52"/>
  <c r="E31" i="52"/>
  <c r="F31" i="52"/>
  <c r="G31" i="52"/>
  <c r="H31" i="52"/>
  <c r="I31" i="52"/>
  <c r="J31" i="52"/>
  <c r="K31" i="52"/>
  <c r="L31" i="52"/>
  <c r="M31" i="52"/>
  <c r="N31" i="52"/>
  <c r="O31" i="52"/>
  <c r="P31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AE31" i="52"/>
  <c r="AF31" i="52"/>
  <c r="AG31" i="52"/>
  <c r="D32" i="52"/>
  <c r="E32" i="52"/>
  <c r="F32" i="52"/>
  <c r="G32" i="52"/>
  <c r="H32" i="52"/>
  <c r="I32" i="52"/>
  <c r="J32" i="52"/>
  <c r="K32" i="52"/>
  <c r="L32" i="52"/>
  <c r="M32" i="52"/>
  <c r="N32" i="52"/>
  <c r="O32" i="52"/>
  <c r="P32" i="52"/>
  <c r="Q32" i="52"/>
  <c r="R32" i="52"/>
  <c r="S32" i="52"/>
  <c r="T32" i="52"/>
  <c r="U32" i="52"/>
  <c r="V32" i="52"/>
  <c r="W32" i="52"/>
  <c r="X32" i="52"/>
  <c r="Y32" i="52"/>
  <c r="Z32" i="52"/>
  <c r="AA32" i="52"/>
  <c r="AB32" i="52"/>
  <c r="AC32" i="52"/>
  <c r="AD32" i="52"/>
  <c r="AE32" i="52"/>
  <c r="AF32" i="52"/>
  <c r="AG32" i="52"/>
  <c r="D33" i="52"/>
  <c r="E33" i="52"/>
  <c r="F33" i="52"/>
  <c r="G33" i="52"/>
  <c r="H33" i="52"/>
  <c r="I33" i="52"/>
  <c r="J33" i="52"/>
  <c r="K33" i="52"/>
  <c r="L33" i="52"/>
  <c r="M33" i="52"/>
  <c r="N33" i="52"/>
  <c r="O33" i="52"/>
  <c r="P33" i="52"/>
  <c r="Q33" i="52"/>
  <c r="R33" i="52"/>
  <c r="S33" i="52"/>
  <c r="T33" i="52"/>
  <c r="U33" i="52"/>
  <c r="V33" i="52"/>
  <c r="W33" i="52"/>
  <c r="X33" i="52"/>
  <c r="Y33" i="52"/>
  <c r="Z33" i="52"/>
  <c r="AA33" i="52"/>
  <c r="F36" i="52"/>
  <c r="G36" i="52"/>
  <c r="H36" i="52"/>
  <c r="I36" i="52"/>
  <c r="J36" i="52"/>
  <c r="K36" i="52"/>
  <c r="L36" i="52"/>
  <c r="M36" i="52"/>
  <c r="N36" i="52"/>
  <c r="O36" i="52"/>
  <c r="P36" i="52"/>
  <c r="Q36" i="52"/>
  <c r="R36" i="52"/>
  <c r="S36" i="52"/>
  <c r="T36" i="52"/>
  <c r="U36" i="52"/>
  <c r="V36" i="52"/>
  <c r="W36" i="52"/>
  <c r="X36" i="52"/>
  <c r="Y36" i="52"/>
  <c r="Z36" i="52"/>
  <c r="AA36" i="52"/>
  <c r="AB36" i="52"/>
  <c r="AC36" i="52"/>
  <c r="AD36" i="52"/>
  <c r="AE36" i="52"/>
  <c r="AF36" i="52"/>
  <c r="AG36" i="52"/>
  <c r="F37" i="52"/>
  <c r="G37" i="52"/>
  <c r="H37" i="52"/>
  <c r="I37" i="52"/>
  <c r="J37" i="52"/>
  <c r="K37" i="52"/>
  <c r="L37" i="52"/>
  <c r="M37" i="52"/>
  <c r="N37" i="52"/>
  <c r="O37" i="52"/>
  <c r="P37" i="52"/>
  <c r="Q37" i="52"/>
  <c r="R37" i="52"/>
  <c r="S37" i="52"/>
  <c r="T37" i="52"/>
  <c r="U37" i="52"/>
  <c r="V37" i="52"/>
  <c r="W37" i="52"/>
  <c r="X37" i="52"/>
  <c r="Y37" i="52"/>
  <c r="Z37" i="52"/>
  <c r="AA37" i="52"/>
  <c r="AB37" i="52"/>
  <c r="AC37" i="52"/>
  <c r="AD37" i="52"/>
  <c r="AE37" i="52"/>
  <c r="AF37" i="52"/>
  <c r="AG37" i="52"/>
  <c r="F38" i="52"/>
  <c r="G38" i="52"/>
  <c r="H38" i="52"/>
  <c r="I38" i="52"/>
  <c r="J38" i="52"/>
  <c r="K38" i="52"/>
  <c r="L38" i="52"/>
  <c r="M38" i="52"/>
  <c r="N38" i="52"/>
  <c r="O38" i="52"/>
  <c r="P38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AE38" i="52"/>
  <c r="AF38" i="52"/>
  <c r="AG38" i="52"/>
  <c r="F39" i="52"/>
  <c r="G39" i="52"/>
  <c r="H39" i="52"/>
  <c r="I39" i="52"/>
  <c r="J39" i="52"/>
  <c r="K39" i="52"/>
  <c r="L39" i="52"/>
  <c r="M39" i="52"/>
  <c r="N39" i="52"/>
  <c r="O39" i="52"/>
  <c r="P39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AE39" i="52"/>
  <c r="AF39" i="52"/>
  <c r="AG39" i="52"/>
  <c r="G43" i="52"/>
  <c r="H43" i="52"/>
  <c r="I43" i="52"/>
  <c r="J43" i="52"/>
  <c r="K43" i="52"/>
  <c r="L43" i="52"/>
  <c r="M43" i="52"/>
  <c r="N43" i="52"/>
  <c r="O43" i="52"/>
  <c r="P43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AD43" i="52"/>
  <c r="AE43" i="52"/>
  <c r="AF43" i="52"/>
  <c r="AG43" i="52"/>
  <c r="G45" i="52"/>
  <c r="H45" i="52"/>
  <c r="I45" i="52"/>
  <c r="J45" i="52"/>
  <c r="K45" i="52"/>
  <c r="L45" i="52"/>
  <c r="M45" i="52"/>
  <c r="N45" i="52"/>
  <c r="O45" i="52"/>
  <c r="P45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AD45" i="52"/>
  <c r="AE45" i="52"/>
  <c r="AF45" i="52"/>
  <c r="AG45" i="52"/>
  <c r="G47" i="52"/>
  <c r="H47" i="52"/>
  <c r="I47" i="52"/>
  <c r="J47" i="52"/>
  <c r="K47" i="52"/>
  <c r="L47" i="52"/>
  <c r="M47" i="52"/>
  <c r="N47" i="52"/>
  <c r="O47" i="52"/>
  <c r="P47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AD47" i="52"/>
  <c r="AE47" i="52"/>
  <c r="AF47" i="52"/>
  <c r="AG47" i="52"/>
  <c r="G49" i="52"/>
  <c r="H49" i="52"/>
  <c r="I49" i="52"/>
  <c r="J49" i="52"/>
  <c r="K49" i="52"/>
  <c r="L49" i="52"/>
  <c r="M49" i="52"/>
  <c r="N49" i="52"/>
  <c r="O49" i="52"/>
  <c r="P49" i="52"/>
  <c r="Q49" i="52"/>
  <c r="R49" i="52"/>
  <c r="S49" i="52"/>
  <c r="T49" i="52"/>
  <c r="U49" i="52"/>
  <c r="V49" i="52"/>
  <c r="W49" i="52"/>
  <c r="X49" i="52"/>
  <c r="Y49" i="52"/>
  <c r="Z49" i="52"/>
  <c r="AA49" i="52"/>
  <c r="AB49" i="52"/>
  <c r="AC49" i="52"/>
  <c r="AD49" i="52"/>
  <c r="AE49" i="52"/>
  <c r="AF49" i="52"/>
  <c r="AG49" i="52"/>
  <c r="G52" i="52"/>
  <c r="H52" i="52"/>
  <c r="I52" i="52"/>
  <c r="J52" i="52"/>
  <c r="K52" i="52"/>
  <c r="L52" i="52"/>
  <c r="M52" i="52"/>
  <c r="N52" i="52"/>
  <c r="O52" i="52"/>
  <c r="P52" i="52"/>
  <c r="Q52" i="52"/>
  <c r="R52" i="52"/>
  <c r="S52" i="52"/>
  <c r="T52" i="52"/>
  <c r="U52" i="52"/>
  <c r="V52" i="52"/>
  <c r="W52" i="52"/>
  <c r="X52" i="52"/>
  <c r="Y52" i="52"/>
  <c r="Z52" i="52"/>
  <c r="AA52" i="52"/>
  <c r="AB52" i="52"/>
  <c r="AC52" i="52"/>
  <c r="AD52" i="52"/>
  <c r="AE52" i="52"/>
  <c r="AF52" i="52"/>
  <c r="AG52" i="52"/>
  <c r="G54" i="52"/>
  <c r="H54" i="52"/>
  <c r="I54" i="52"/>
  <c r="J54" i="52"/>
  <c r="K54" i="52"/>
  <c r="L54" i="52"/>
  <c r="M54" i="52"/>
  <c r="N54" i="52"/>
  <c r="O54" i="52"/>
  <c r="P54" i="52"/>
  <c r="Q54" i="52"/>
  <c r="R54" i="52"/>
  <c r="S54" i="52"/>
  <c r="T54" i="52"/>
  <c r="U54" i="52"/>
  <c r="V54" i="52"/>
  <c r="W54" i="52"/>
  <c r="X54" i="52"/>
  <c r="Y54" i="52"/>
  <c r="Z54" i="52"/>
  <c r="AA54" i="52"/>
  <c r="AB54" i="52"/>
  <c r="AC54" i="52"/>
  <c r="AD54" i="52"/>
  <c r="AE54" i="52"/>
  <c r="AF54" i="52"/>
  <c r="AG54" i="52"/>
  <c r="G56" i="52"/>
  <c r="H56" i="52"/>
  <c r="I56" i="52"/>
  <c r="J56" i="52"/>
  <c r="K56" i="52"/>
  <c r="L56" i="52"/>
  <c r="M56" i="52"/>
  <c r="N56" i="52"/>
  <c r="O56" i="52"/>
  <c r="P56" i="52"/>
  <c r="Q56" i="52"/>
  <c r="R56" i="52"/>
  <c r="S56" i="52"/>
  <c r="T56" i="52"/>
  <c r="U56" i="52"/>
  <c r="V56" i="52"/>
  <c r="W56" i="52"/>
  <c r="X56" i="52"/>
  <c r="Y56" i="52"/>
  <c r="Z56" i="52"/>
  <c r="AA56" i="52"/>
  <c r="AB56" i="52"/>
  <c r="AC56" i="52"/>
  <c r="AD56" i="52"/>
  <c r="AE56" i="52"/>
  <c r="AF56" i="52"/>
  <c r="AG56" i="52"/>
  <c r="G58" i="52"/>
  <c r="H58" i="52"/>
  <c r="I58" i="52"/>
  <c r="J58" i="52"/>
  <c r="K58" i="52"/>
  <c r="L58" i="52"/>
  <c r="M58" i="52"/>
  <c r="N58" i="52"/>
  <c r="O58" i="52"/>
  <c r="P58" i="52"/>
  <c r="Q58" i="52"/>
  <c r="R58" i="52"/>
  <c r="S58" i="52"/>
  <c r="T58" i="52"/>
  <c r="U58" i="52"/>
  <c r="V58" i="52"/>
  <c r="W58" i="52"/>
  <c r="X58" i="52"/>
  <c r="Y58" i="52"/>
  <c r="Z58" i="52"/>
  <c r="AA58" i="52"/>
  <c r="AB58" i="52"/>
  <c r="AC58" i="52"/>
  <c r="AD58" i="52"/>
  <c r="AE58" i="52"/>
  <c r="AF58" i="52"/>
  <c r="AG58" i="52"/>
  <c r="G61" i="52"/>
  <c r="H61" i="52"/>
  <c r="I61" i="52"/>
  <c r="J61" i="52"/>
  <c r="K61" i="52"/>
  <c r="L61" i="52"/>
  <c r="M61" i="52"/>
  <c r="N61" i="52"/>
  <c r="O61" i="52"/>
  <c r="P61" i="52"/>
  <c r="Q61" i="52"/>
  <c r="R61" i="52"/>
  <c r="S61" i="52"/>
  <c r="T61" i="52"/>
  <c r="U61" i="52"/>
  <c r="V61" i="52"/>
  <c r="W61" i="52"/>
  <c r="X61" i="52"/>
  <c r="Y61" i="52"/>
  <c r="Z61" i="52"/>
  <c r="AA61" i="52"/>
  <c r="AB61" i="52"/>
  <c r="AC61" i="52"/>
  <c r="AD61" i="52"/>
  <c r="AE61" i="52"/>
  <c r="AF61" i="52"/>
  <c r="AG61" i="52"/>
  <c r="G63" i="52"/>
  <c r="H63" i="52"/>
  <c r="I63" i="52"/>
  <c r="J63" i="52"/>
  <c r="K63" i="52"/>
  <c r="L63" i="52"/>
  <c r="M63" i="52"/>
  <c r="N63" i="52"/>
  <c r="O63" i="52"/>
  <c r="P63" i="52"/>
  <c r="Q63" i="52"/>
  <c r="R63" i="52"/>
  <c r="S63" i="52"/>
  <c r="T63" i="52"/>
  <c r="U63" i="52"/>
  <c r="V63" i="52"/>
  <c r="W63" i="52"/>
  <c r="X63" i="52"/>
  <c r="Y63" i="52"/>
  <c r="Z63" i="52"/>
  <c r="AA63" i="52"/>
  <c r="AB63" i="52"/>
  <c r="AC63" i="52"/>
  <c r="AD63" i="52"/>
  <c r="AE63" i="52"/>
  <c r="AF63" i="52"/>
  <c r="AG63" i="52"/>
  <c r="G65" i="52"/>
  <c r="H65" i="52"/>
  <c r="I65" i="52"/>
  <c r="J65" i="52"/>
  <c r="K65" i="52"/>
  <c r="L65" i="52"/>
  <c r="M65" i="52"/>
  <c r="N65" i="52"/>
  <c r="O65" i="52"/>
  <c r="P65" i="52"/>
  <c r="Q65" i="52"/>
  <c r="R65" i="52"/>
  <c r="S65" i="52"/>
  <c r="T65" i="52"/>
  <c r="U65" i="52"/>
  <c r="V65" i="52"/>
  <c r="W65" i="52"/>
  <c r="X65" i="52"/>
  <c r="Y65" i="52"/>
  <c r="Z65" i="52"/>
  <c r="AA65" i="52"/>
  <c r="AB65" i="52"/>
  <c r="AC65" i="52"/>
  <c r="AD65" i="52"/>
  <c r="AE65" i="52"/>
  <c r="AF65" i="52"/>
  <c r="AG65" i="52"/>
  <c r="G67" i="52"/>
  <c r="H67" i="52"/>
  <c r="I67" i="52"/>
  <c r="J67" i="52"/>
  <c r="K67" i="52"/>
  <c r="L67" i="52"/>
  <c r="M67" i="52"/>
  <c r="N67" i="52"/>
  <c r="O67" i="52"/>
  <c r="P67" i="52"/>
  <c r="Q67" i="52"/>
  <c r="R67" i="52"/>
  <c r="S67" i="52"/>
  <c r="T67" i="52"/>
  <c r="U67" i="52"/>
  <c r="V67" i="52"/>
  <c r="W67" i="52"/>
  <c r="X67" i="52"/>
  <c r="Y67" i="52"/>
  <c r="Z67" i="52"/>
  <c r="AA67" i="52"/>
  <c r="AB67" i="52"/>
  <c r="AC67" i="52"/>
  <c r="AD67" i="52"/>
  <c r="AE67" i="52"/>
  <c r="AF67" i="52"/>
  <c r="AG67" i="52"/>
  <c r="G69" i="52"/>
  <c r="H69" i="52"/>
  <c r="I69" i="52"/>
  <c r="J69" i="52"/>
  <c r="K69" i="52"/>
  <c r="L69" i="52"/>
  <c r="M69" i="52"/>
  <c r="N69" i="52"/>
  <c r="O69" i="52"/>
  <c r="P69" i="52"/>
  <c r="Q69" i="52"/>
  <c r="R69" i="52"/>
  <c r="S69" i="52"/>
  <c r="T69" i="52"/>
  <c r="U69" i="52"/>
  <c r="V69" i="52"/>
  <c r="W69" i="52"/>
  <c r="X69" i="52"/>
  <c r="Y69" i="52"/>
  <c r="Z69" i="52"/>
  <c r="AA69" i="52"/>
  <c r="AB69" i="52"/>
  <c r="AC69" i="52"/>
  <c r="AD69" i="52"/>
  <c r="AE69" i="52"/>
  <c r="AF69" i="52"/>
  <c r="AG69" i="52"/>
  <c r="G71" i="52"/>
  <c r="H71" i="52"/>
  <c r="I71" i="52"/>
  <c r="J71" i="52"/>
  <c r="K71" i="52"/>
  <c r="L71" i="52"/>
  <c r="M71" i="52"/>
  <c r="N71" i="52"/>
  <c r="O71" i="52"/>
  <c r="P71" i="52"/>
  <c r="Q71" i="52"/>
  <c r="R71" i="52"/>
  <c r="S71" i="52"/>
  <c r="T71" i="52"/>
  <c r="U71" i="52"/>
  <c r="V71" i="52"/>
  <c r="W71" i="52"/>
  <c r="X71" i="52"/>
  <c r="Y71" i="52"/>
  <c r="Z71" i="52"/>
  <c r="AA71" i="52"/>
  <c r="AB71" i="52"/>
  <c r="AC71" i="52"/>
  <c r="AD71" i="52"/>
  <c r="AE71" i="52"/>
  <c r="AF71" i="52"/>
  <c r="AG71" i="52"/>
  <c r="G73" i="52"/>
  <c r="H73" i="52"/>
  <c r="I73" i="52"/>
  <c r="J73" i="52"/>
  <c r="K73" i="52"/>
  <c r="L73" i="52"/>
  <c r="M73" i="52"/>
  <c r="N73" i="52"/>
  <c r="O73" i="52"/>
  <c r="P73" i="52"/>
  <c r="Q73" i="52"/>
  <c r="R73" i="52"/>
  <c r="S73" i="52"/>
  <c r="T73" i="52"/>
  <c r="U73" i="52"/>
  <c r="V73" i="52"/>
  <c r="W73" i="52"/>
  <c r="X73" i="52"/>
  <c r="Y73" i="52"/>
  <c r="Z73" i="52"/>
  <c r="AA73" i="52"/>
  <c r="AB73" i="52"/>
  <c r="AC73" i="52"/>
  <c r="AD73" i="52"/>
  <c r="AE73" i="52"/>
  <c r="AF73" i="52"/>
  <c r="AG73" i="52"/>
  <c r="G75" i="52"/>
  <c r="H75" i="52"/>
  <c r="I75" i="52"/>
  <c r="J75" i="52"/>
  <c r="K75" i="52"/>
  <c r="L75" i="52"/>
  <c r="M75" i="52"/>
  <c r="N75" i="52"/>
  <c r="O75" i="52"/>
  <c r="P75" i="52"/>
  <c r="Q75" i="52"/>
  <c r="R75" i="52"/>
  <c r="S75" i="52"/>
  <c r="T75" i="52"/>
  <c r="U75" i="52"/>
  <c r="V75" i="52"/>
  <c r="W75" i="52"/>
  <c r="X75" i="52"/>
  <c r="Y75" i="52"/>
  <c r="Z75" i="52"/>
  <c r="AA75" i="52"/>
  <c r="AB75" i="52"/>
  <c r="AC75" i="52"/>
  <c r="AD75" i="52"/>
  <c r="AE75" i="52"/>
  <c r="AF75" i="52"/>
  <c r="AG75" i="52"/>
  <c r="G77" i="52"/>
  <c r="H77" i="52"/>
  <c r="I77" i="52"/>
  <c r="J77" i="52"/>
  <c r="K77" i="52"/>
  <c r="L77" i="52"/>
  <c r="M77" i="52"/>
  <c r="N77" i="52"/>
  <c r="O77" i="52"/>
  <c r="P77" i="52"/>
  <c r="Q77" i="52"/>
  <c r="R77" i="52"/>
  <c r="S77" i="52"/>
  <c r="T77" i="52"/>
  <c r="U77" i="52"/>
  <c r="V77" i="52"/>
  <c r="W77" i="52"/>
  <c r="X77" i="52"/>
  <c r="Y77" i="52"/>
  <c r="Z77" i="52"/>
  <c r="AA77" i="52"/>
  <c r="AB77" i="52"/>
  <c r="AC77" i="52"/>
  <c r="AD77" i="52"/>
  <c r="AE77" i="52"/>
  <c r="AF77" i="52"/>
  <c r="AG77" i="52"/>
  <c r="G79" i="52"/>
  <c r="H79" i="52"/>
  <c r="I79" i="52"/>
  <c r="J79" i="52"/>
  <c r="K79" i="52"/>
  <c r="L79" i="52"/>
  <c r="M79" i="52"/>
  <c r="N79" i="52"/>
  <c r="O79" i="52"/>
  <c r="P79" i="52"/>
  <c r="Q79" i="52"/>
  <c r="R79" i="52"/>
  <c r="S79" i="52"/>
  <c r="T79" i="52"/>
  <c r="U79" i="52"/>
  <c r="V79" i="52"/>
  <c r="W79" i="52"/>
  <c r="X79" i="52"/>
  <c r="Y79" i="52"/>
  <c r="Z79" i="52"/>
  <c r="AA79" i="52"/>
  <c r="AB79" i="52"/>
  <c r="AC79" i="52"/>
  <c r="AD79" i="52"/>
  <c r="AE79" i="52"/>
  <c r="AF79" i="52"/>
  <c r="AG79" i="52"/>
  <c r="G81" i="52"/>
  <c r="H81" i="52"/>
  <c r="I81" i="52"/>
  <c r="J81" i="52"/>
  <c r="K81" i="52"/>
  <c r="L81" i="52"/>
  <c r="M81" i="52"/>
  <c r="N81" i="52"/>
  <c r="O81" i="52"/>
  <c r="P81" i="52"/>
  <c r="Q81" i="52"/>
  <c r="R81" i="52"/>
  <c r="S81" i="52"/>
  <c r="T81" i="52"/>
  <c r="U81" i="52"/>
  <c r="V81" i="52"/>
  <c r="W81" i="52"/>
  <c r="X81" i="52"/>
  <c r="Y81" i="52"/>
  <c r="Z81" i="52"/>
  <c r="AA81" i="52"/>
  <c r="AB81" i="52"/>
  <c r="AC81" i="52"/>
  <c r="AD81" i="52"/>
  <c r="AE81" i="52"/>
  <c r="AF81" i="52"/>
  <c r="AG81" i="52"/>
  <c r="G83" i="52"/>
  <c r="H83" i="52"/>
  <c r="I83" i="52"/>
  <c r="J83" i="52"/>
  <c r="K83" i="52"/>
  <c r="L83" i="52"/>
  <c r="M83" i="52"/>
  <c r="N83" i="52"/>
  <c r="O83" i="52"/>
  <c r="P83" i="52"/>
  <c r="Q83" i="52"/>
  <c r="R83" i="52"/>
  <c r="S83" i="52"/>
  <c r="T83" i="52"/>
  <c r="U83" i="52"/>
  <c r="V83" i="52"/>
  <c r="W83" i="52"/>
  <c r="X83" i="52"/>
  <c r="Y83" i="52"/>
  <c r="Z83" i="52"/>
  <c r="AA83" i="52"/>
  <c r="AB83" i="52"/>
  <c r="AC83" i="52"/>
  <c r="AD83" i="52"/>
  <c r="AE83" i="52"/>
  <c r="AF83" i="52"/>
  <c r="AG83" i="52"/>
  <c r="D9" i="37"/>
  <c r="E9" i="37"/>
  <c r="F9" i="37"/>
  <c r="G9" i="37"/>
  <c r="H9" i="37"/>
  <c r="I9" i="37"/>
  <c r="J9" i="37"/>
  <c r="K9" i="37"/>
  <c r="L9" i="37"/>
  <c r="M9" i="37"/>
  <c r="N9" i="37"/>
  <c r="O9" i="37"/>
  <c r="P9" i="37"/>
  <c r="Q9" i="37"/>
  <c r="R9" i="37"/>
  <c r="S9" i="37"/>
  <c r="T9" i="37"/>
  <c r="U9" i="37"/>
  <c r="V9" i="37"/>
  <c r="W9" i="37"/>
  <c r="X9" i="37"/>
  <c r="Y9" i="37"/>
  <c r="Z9" i="37"/>
  <c r="AA9" i="37"/>
  <c r="E10" i="37"/>
  <c r="F10" i="37"/>
  <c r="G10" i="37"/>
  <c r="H10" i="37"/>
  <c r="I10" i="37"/>
  <c r="J10" i="37"/>
  <c r="K10" i="37"/>
  <c r="L10" i="37"/>
  <c r="M10" i="37"/>
  <c r="N10" i="37"/>
  <c r="O10" i="37"/>
  <c r="P10" i="37"/>
  <c r="Q10" i="37"/>
  <c r="R10" i="37"/>
  <c r="S10" i="37"/>
  <c r="T10" i="37"/>
  <c r="U10" i="37"/>
  <c r="V10" i="37"/>
  <c r="W10" i="37"/>
  <c r="X10" i="37"/>
  <c r="Y10" i="37"/>
  <c r="Z10" i="37"/>
  <c r="AA10" i="37"/>
  <c r="AB10" i="37"/>
  <c r="AC10" i="37"/>
  <c r="AD10" i="37"/>
  <c r="AE10" i="37"/>
  <c r="AF10" i="37"/>
  <c r="AG10" i="37"/>
  <c r="D11" i="37"/>
  <c r="E11" i="37"/>
  <c r="F11" i="37"/>
  <c r="G11" i="37"/>
  <c r="H11" i="37"/>
  <c r="I11" i="37"/>
  <c r="J11" i="37"/>
  <c r="K11" i="37"/>
  <c r="L11" i="37"/>
  <c r="M11" i="37"/>
  <c r="N11" i="37"/>
  <c r="O11" i="37"/>
  <c r="P11" i="37"/>
  <c r="Q11" i="37"/>
  <c r="R11" i="37"/>
  <c r="S11" i="37"/>
  <c r="T11" i="37"/>
  <c r="U11" i="37"/>
  <c r="V11" i="37"/>
  <c r="W11" i="37"/>
  <c r="X11" i="37"/>
  <c r="Y11" i="37"/>
  <c r="Z11" i="37"/>
  <c r="AA11" i="37"/>
  <c r="AB11" i="37"/>
  <c r="AC11" i="37"/>
  <c r="AD11" i="37"/>
  <c r="AE11" i="37"/>
  <c r="AF11" i="37"/>
  <c r="AG11" i="37"/>
  <c r="E12" i="37"/>
  <c r="F12" i="37"/>
  <c r="G12" i="37"/>
  <c r="H12" i="37"/>
  <c r="I12" i="37"/>
  <c r="J12" i="37"/>
  <c r="K12" i="37"/>
  <c r="L12" i="37"/>
  <c r="M12" i="37"/>
  <c r="N12" i="37"/>
  <c r="O12" i="37"/>
  <c r="P12" i="37"/>
  <c r="Q12" i="37"/>
  <c r="R12" i="37"/>
  <c r="S12" i="37"/>
  <c r="T12" i="37"/>
  <c r="U12" i="37"/>
  <c r="V12" i="37"/>
  <c r="W12" i="37"/>
  <c r="X12" i="37"/>
  <c r="Y12" i="37"/>
  <c r="Z12" i="37"/>
  <c r="AA12" i="37"/>
  <c r="AB12" i="37"/>
  <c r="AC12" i="37"/>
  <c r="AD12" i="37"/>
  <c r="AE12" i="37"/>
  <c r="AF12" i="37"/>
  <c r="AG12" i="37"/>
  <c r="H15" i="37"/>
  <c r="I15" i="37"/>
  <c r="J15" i="37"/>
  <c r="K15" i="37"/>
  <c r="L15" i="37"/>
  <c r="M15" i="37"/>
  <c r="N15" i="37"/>
  <c r="O15" i="37"/>
  <c r="P15" i="37"/>
  <c r="Q15" i="37"/>
  <c r="R15" i="37"/>
  <c r="S15" i="37"/>
  <c r="T15" i="37"/>
  <c r="U15" i="37"/>
  <c r="V15" i="37"/>
  <c r="W15" i="37"/>
  <c r="X15" i="37"/>
  <c r="Y15" i="37"/>
  <c r="Z15" i="37"/>
  <c r="AA15" i="37"/>
  <c r="AB15" i="37"/>
  <c r="AC15" i="37"/>
  <c r="AD15" i="37"/>
  <c r="AE15" i="37"/>
  <c r="AF15" i="37"/>
  <c r="AG15" i="37"/>
  <c r="H16" i="37"/>
  <c r="I16" i="37"/>
  <c r="J16" i="37"/>
  <c r="K16" i="37"/>
  <c r="L16" i="37"/>
  <c r="M16" i="37"/>
  <c r="N16" i="37"/>
  <c r="O16" i="37"/>
  <c r="P16" i="37"/>
  <c r="Q16" i="37"/>
  <c r="R16" i="37"/>
  <c r="S16" i="37"/>
  <c r="T16" i="37"/>
  <c r="U16" i="37"/>
  <c r="V16" i="37"/>
  <c r="W16" i="37"/>
  <c r="X16" i="37"/>
  <c r="Y16" i="37"/>
  <c r="Z16" i="37"/>
  <c r="AA16" i="37"/>
  <c r="AB16" i="37"/>
  <c r="AC16" i="37"/>
  <c r="AD16" i="37"/>
  <c r="AE16" i="37"/>
  <c r="AF16" i="37"/>
  <c r="AG16" i="37"/>
  <c r="F17" i="37"/>
  <c r="G17" i="37"/>
  <c r="H17" i="37"/>
  <c r="I17" i="37"/>
  <c r="J17" i="37"/>
  <c r="K17" i="37"/>
  <c r="L17" i="37"/>
  <c r="M17" i="37"/>
  <c r="N17" i="37"/>
  <c r="O17" i="37"/>
  <c r="P17" i="37"/>
  <c r="Q17" i="37"/>
  <c r="R17" i="37"/>
  <c r="S17" i="37"/>
  <c r="T17" i="37"/>
  <c r="U17" i="37"/>
  <c r="V17" i="37"/>
  <c r="W17" i="37"/>
  <c r="X17" i="37"/>
  <c r="Y17" i="37"/>
  <c r="Z17" i="37"/>
  <c r="AA17" i="37"/>
  <c r="AB17" i="37"/>
  <c r="AC17" i="37"/>
  <c r="AD17" i="37"/>
  <c r="AE17" i="37"/>
  <c r="AF17" i="37"/>
  <c r="AG17" i="37"/>
  <c r="F19" i="37"/>
  <c r="G19" i="37"/>
  <c r="H19" i="37"/>
  <c r="I19" i="37"/>
  <c r="J19" i="37"/>
  <c r="K19" i="37"/>
  <c r="L19" i="37"/>
  <c r="M19" i="37"/>
  <c r="N19" i="37"/>
  <c r="O19" i="37"/>
  <c r="P19" i="37"/>
  <c r="Q19" i="37"/>
  <c r="R19" i="37"/>
  <c r="S19" i="37"/>
  <c r="T19" i="37"/>
  <c r="U19" i="37"/>
  <c r="V19" i="37"/>
  <c r="W19" i="37"/>
  <c r="X19" i="37"/>
  <c r="Y19" i="37"/>
  <c r="Z19" i="37"/>
  <c r="AA19" i="37"/>
  <c r="AB19" i="37"/>
  <c r="AC19" i="37"/>
  <c r="AD19" i="37"/>
  <c r="AE19" i="37"/>
  <c r="AF19" i="37"/>
  <c r="AG19" i="37"/>
  <c r="F20" i="37"/>
  <c r="G20" i="37"/>
  <c r="H20" i="37"/>
  <c r="I20" i="37"/>
  <c r="J20" i="37"/>
  <c r="K20" i="37"/>
  <c r="L20" i="37"/>
  <c r="M20" i="37"/>
  <c r="N20" i="37"/>
  <c r="O20" i="37"/>
  <c r="P20" i="37"/>
  <c r="Q20" i="37"/>
  <c r="R20" i="37"/>
  <c r="S20" i="37"/>
  <c r="T20" i="37"/>
  <c r="U20" i="37"/>
  <c r="V20" i="37"/>
  <c r="W20" i="37"/>
  <c r="X20" i="37"/>
  <c r="Y20" i="37"/>
  <c r="Z20" i="37"/>
  <c r="AA20" i="37"/>
  <c r="AB20" i="37"/>
  <c r="AC20" i="37"/>
  <c r="AD20" i="37"/>
  <c r="AE20" i="37"/>
  <c r="AF20" i="37"/>
  <c r="AG20" i="37"/>
  <c r="F21" i="37"/>
  <c r="G21" i="37"/>
  <c r="H21" i="37"/>
  <c r="I21" i="37"/>
  <c r="J21" i="37"/>
  <c r="K21" i="37"/>
  <c r="L21" i="37"/>
  <c r="M21" i="37"/>
  <c r="N21" i="37"/>
  <c r="O21" i="37"/>
  <c r="P21" i="37"/>
  <c r="Q21" i="37"/>
  <c r="R21" i="37"/>
  <c r="S21" i="37"/>
  <c r="T21" i="37"/>
  <c r="U21" i="37"/>
  <c r="V21" i="37"/>
  <c r="W21" i="37"/>
  <c r="X21" i="37"/>
  <c r="Y21" i="37"/>
  <c r="Z21" i="37"/>
  <c r="AA21" i="37"/>
  <c r="AB21" i="37"/>
  <c r="AC21" i="37"/>
  <c r="AD21" i="37"/>
  <c r="AE21" i="37"/>
  <c r="AF21" i="37"/>
  <c r="AG21" i="37"/>
  <c r="E22" i="37"/>
  <c r="F22" i="37"/>
  <c r="G22" i="37"/>
  <c r="H22" i="37"/>
  <c r="I22" i="37"/>
  <c r="J22" i="37"/>
  <c r="K22" i="37"/>
  <c r="L22" i="37"/>
  <c r="M22" i="37"/>
  <c r="N22" i="37"/>
  <c r="O22" i="37"/>
  <c r="P22" i="37"/>
  <c r="Q22" i="37"/>
  <c r="R22" i="37"/>
  <c r="S22" i="37"/>
  <c r="T22" i="37"/>
  <c r="U22" i="37"/>
  <c r="V22" i="37"/>
  <c r="W22" i="37"/>
  <c r="X22" i="37"/>
  <c r="Y22" i="37"/>
  <c r="Z22" i="37"/>
  <c r="AA22" i="37"/>
  <c r="AB22" i="37"/>
  <c r="AC22" i="37"/>
  <c r="AD22" i="37"/>
  <c r="AE22" i="37"/>
  <c r="AF22" i="37"/>
  <c r="F23" i="37"/>
  <c r="G23" i="37"/>
  <c r="H23" i="37"/>
  <c r="I23" i="37"/>
  <c r="J23" i="37"/>
  <c r="K23" i="37"/>
  <c r="L23" i="37"/>
  <c r="M23" i="37"/>
  <c r="N23" i="37"/>
  <c r="O23" i="37"/>
  <c r="P23" i="37"/>
  <c r="Q23" i="37"/>
  <c r="R23" i="37"/>
  <c r="S23" i="37"/>
  <c r="T23" i="37"/>
  <c r="U23" i="37"/>
  <c r="V23" i="37"/>
  <c r="W23" i="37"/>
  <c r="X23" i="37"/>
  <c r="Y23" i="37"/>
  <c r="Z23" i="37"/>
  <c r="AA23" i="37"/>
  <c r="AB23" i="37"/>
  <c r="AC23" i="37"/>
  <c r="AD23" i="37"/>
  <c r="AE23" i="37"/>
  <c r="AF23" i="37"/>
  <c r="AG23" i="37"/>
  <c r="E24" i="37"/>
  <c r="F24" i="37"/>
  <c r="G24" i="37"/>
  <c r="H24" i="37"/>
  <c r="I24" i="37"/>
  <c r="J24" i="37"/>
  <c r="K24" i="37"/>
  <c r="L24" i="37"/>
  <c r="M24" i="37"/>
  <c r="N24" i="37"/>
  <c r="O24" i="37"/>
  <c r="P24" i="37"/>
  <c r="Q24" i="37"/>
  <c r="R24" i="37"/>
  <c r="S24" i="37"/>
  <c r="T24" i="37"/>
  <c r="U24" i="37"/>
  <c r="V24" i="37"/>
  <c r="W24" i="37"/>
  <c r="X24" i="37"/>
  <c r="Y24" i="37"/>
  <c r="Z24" i="37"/>
  <c r="AA24" i="37"/>
  <c r="AB24" i="37"/>
  <c r="AC24" i="37"/>
  <c r="AD24" i="37"/>
  <c r="AE24" i="37"/>
  <c r="AF24" i="37"/>
  <c r="AG24" i="37"/>
  <c r="E25" i="37"/>
  <c r="F25" i="37"/>
  <c r="G25" i="37"/>
  <c r="H25" i="37"/>
  <c r="I25" i="37"/>
  <c r="J25" i="37"/>
  <c r="K25" i="37"/>
  <c r="L25" i="37"/>
  <c r="M25" i="37"/>
  <c r="N25" i="37"/>
  <c r="O25" i="37"/>
  <c r="P25" i="37"/>
  <c r="Q25" i="37"/>
  <c r="R25" i="37"/>
  <c r="S25" i="37"/>
  <c r="T25" i="37"/>
  <c r="U25" i="37"/>
  <c r="V25" i="37"/>
  <c r="W25" i="37"/>
  <c r="X25" i="37"/>
  <c r="Y25" i="37"/>
  <c r="Z25" i="37"/>
  <c r="AA25" i="37"/>
  <c r="AB25" i="37"/>
  <c r="AC25" i="37"/>
  <c r="AD25" i="37"/>
  <c r="AE25" i="37"/>
  <c r="AF25" i="37"/>
  <c r="AG25" i="37"/>
  <c r="H28" i="37"/>
  <c r="I28" i="37"/>
  <c r="J28" i="37"/>
  <c r="K28" i="37"/>
  <c r="L28" i="37"/>
  <c r="M28" i="37"/>
  <c r="N28" i="37"/>
  <c r="O28" i="37"/>
  <c r="P28" i="37"/>
  <c r="Q28" i="37"/>
  <c r="R28" i="37"/>
  <c r="S28" i="37"/>
  <c r="T28" i="37"/>
  <c r="U28" i="37"/>
  <c r="V28" i="37"/>
  <c r="W28" i="37"/>
  <c r="X28" i="37"/>
  <c r="Y28" i="37"/>
  <c r="Z28" i="37"/>
  <c r="AA28" i="37"/>
  <c r="AB28" i="37"/>
  <c r="AC28" i="37"/>
  <c r="AD28" i="37"/>
  <c r="AE28" i="37"/>
  <c r="AF28" i="37"/>
  <c r="AG28" i="37"/>
  <c r="H29" i="37"/>
  <c r="I29" i="37"/>
  <c r="J29" i="37"/>
  <c r="K29" i="37"/>
  <c r="L29" i="37"/>
  <c r="M29" i="37"/>
  <c r="N29" i="37"/>
  <c r="O29" i="37"/>
  <c r="P29" i="37"/>
  <c r="Q29" i="37"/>
  <c r="R29" i="37"/>
  <c r="S29" i="37"/>
  <c r="T29" i="37"/>
  <c r="U29" i="37"/>
  <c r="V29" i="37"/>
  <c r="W29" i="37"/>
  <c r="X29" i="37"/>
  <c r="Y29" i="37"/>
  <c r="Z29" i="37"/>
  <c r="AA29" i="37"/>
  <c r="AB29" i="37"/>
  <c r="AC29" i="37"/>
  <c r="AD29" i="37"/>
  <c r="AE29" i="37"/>
  <c r="AF29" i="37"/>
  <c r="AG29" i="37"/>
  <c r="F30" i="37"/>
  <c r="G30" i="37"/>
  <c r="H30" i="37"/>
  <c r="I30" i="37"/>
  <c r="J30" i="37"/>
  <c r="K30" i="37"/>
  <c r="L30" i="37"/>
  <c r="M30" i="37"/>
  <c r="N30" i="37"/>
  <c r="O30" i="37"/>
  <c r="P30" i="37"/>
  <c r="Q30" i="37"/>
  <c r="R30" i="37"/>
  <c r="S30" i="37"/>
  <c r="T30" i="37"/>
  <c r="U30" i="37"/>
  <c r="V30" i="37"/>
  <c r="W30" i="37"/>
  <c r="X30" i="37"/>
  <c r="Y30" i="37"/>
  <c r="Z30" i="37"/>
  <c r="AA30" i="37"/>
  <c r="AB30" i="37"/>
  <c r="AC30" i="37"/>
  <c r="AD30" i="37"/>
  <c r="AE30" i="37"/>
  <c r="AF30" i="37"/>
  <c r="AG30" i="37"/>
  <c r="F32" i="37"/>
  <c r="G32" i="37"/>
  <c r="H32" i="37"/>
  <c r="I32" i="37"/>
  <c r="J32" i="37"/>
  <c r="K32" i="37"/>
  <c r="L32" i="37"/>
  <c r="M32" i="37"/>
  <c r="N32" i="37"/>
  <c r="O32" i="37"/>
  <c r="P32" i="37"/>
  <c r="Q32" i="37"/>
  <c r="R32" i="37"/>
  <c r="S32" i="37"/>
  <c r="T32" i="37"/>
  <c r="U32" i="37"/>
  <c r="V32" i="37"/>
  <c r="W32" i="37"/>
  <c r="X32" i="37"/>
  <c r="Y32" i="37"/>
  <c r="Z32" i="37"/>
  <c r="AA32" i="37"/>
  <c r="AB32" i="37"/>
  <c r="AC32" i="37"/>
  <c r="AD32" i="37"/>
  <c r="AE32" i="37"/>
  <c r="AF32" i="37"/>
  <c r="AG32" i="37"/>
  <c r="F33" i="37"/>
  <c r="G33" i="37"/>
  <c r="H33" i="37"/>
  <c r="I33" i="37"/>
  <c r="J33" i="37"/>
  <c r="K33" i="37"/>
  <c r="L33" i="37"/>
  <c r="M33" i="37"/>
  <c r="N33" i="37"/>
  <c r="O33" i="37"/>
  <c r="P33" i="37"/>
  <c r="Q33" i="37"/>
  <c r="R33" i="37"/>
  <c r="S33" i="37"/>
  <c r="T33" i="37"/>
  <c r="U33" i="37"/>
  <c r="V33" i="37"/>
  <c r="W33" i="37"/>
  <c r="X33" i="37"/>
  <c r="Y33" i="37"/>
  <c r="Z33" i="37"/>
  <c r="AA33" i="37"/>
  <c r="AB33" i="37"/>
  <c r="AC33" i="37"/>
  <c r="AD33" i="37"/>
  <c r="AE33" i="37"/>
  <c r="AF33" i="37"/>
  <c r="AG33" i="37"/>
  <c r="F34" i="37"/>
  <c r="G34" i="37"/>
  <c r="H34" i="37"/>
  <c r="I34" i="37"/>
  <c r="J34" i="37"/>
  <c r="K34" i="37"/>
  <c r="L34" i="37"/>
  <c r="M34" i="37"/>
  <c r="N34" i="37"/>
  <c r="O34" i="37"/>
  <c r="P34" i="37"/>
  <c r="Q34" i="37"/>
  <c r="R34" i="37"/>
  <c r="S34" i="37"/>
  <c r="T34" i="37"/>
  <c r="U34" i="37"/>
  <c r="V34" i="37"/>
  <c r="W34" i="37"/>
  <c r="X34" i="37"/>
  <c r="Y34" i="37"/>
  <c r="Z34" i="37"/>
  <c r="AA34" i="37"/>
  <c r="AB34" i="37"/>
  <c r="AC34" i="37"/>
  <c r="AD34" i="37"/>
  <c r="AE34" i="37"/>
  <c r="AF34" i="37"/>
  <c r="AG34" i="37"/>
  <c r="E35" i="37"/>
  <c r="F35" i="37"/>
  <c r="G35" i="37"/>
  <c r="H35" i="37"/>
  <c r="I35" i="37"/>
  <c r="J35" i="37"/>
  <c r="K35" i="37"/>
  <c r="L35" i="37"/>
  <c r="M35" i="37"/>
  <c r="N35" i="37"/>
  <c r="O35" i="37"/>
  <c r="P35" i="37"/>
  <c r="Q35" i="37"/>
  <c r="R35" i="37"/>
  <c r="S35" i="37"/>
  <c r="T35" i="37"/>
  <c r="U35" i="37"/>
  <c r="V35" i="37"/>
  <c r="W35" i="37"/>
  <c r="X35" i="37"/>
  <c r="Y35" i="37"/>
  <c r="Z35" i="37"/>
  <c r="AA35" i="37"/>
  <c r="AB35" i="37"/>
  <c r="AC35" i="37"/>
  <c r="AD35" i="37"/>
  <c r="AE35" i="37"/>
  <c r="AF35" i="37"/>
  <c r="F36" i="37"/>
  <c r="G36" i="37"/>
  <c r="H36" i="37"/>
  <c r="I36" i="37"/>
  <c r="J36" i="37"/>
  <c r="K36" i="37"/>
  <c r="L36" i="37"/>
  <c r="M36" i="37"/>
  <c r="N36" i="37"/>
  <c r="O36" i="37"/>
  <c r="P36" i="37"/>
  <c r="Q36" i="37"/>
  <c r="R36" i="37"/>
  <c r="S36" i="37"/>
  <c r="T36" i="37"/>
  <c r="U36" i="37"/>
  <c r="V36" i="37"/>
  <c r="W36" i="37"/>
  <c r="X36" i="37"/>
  <c r="Y36" i="37"/>
  <c r="Z36" i="37"/>
  <c r="AA36" i="37"/>
  <c r="AB36" i="37"/>
  <c r="AC36" i="37"/>
  <c r="AD36" i="37"/>
  <c r="AE36" i="37"/>
  <c r="AF36" i="37"/>
  <c r="AG36" i="37"/>
  <c r="E37" i="37"/>
  <c r="F37" i="37"/>
  <c r="G37" i="37"/>
  <c r="H37" i="37"/>
  <c r="I37" i="37"/>
  <c r="J37" i="37"/>
  <c r="K37" i="37"/>
  <c r="L37" i="37"/>
  <c r="M37" i="37"/>
  <c r="N37" i="37"/>
  <c r="O37" i="37"/>
  <c r="P37" i="37"/>
  <c r="Q37" i="37"/>
  <c r="R37" i="37"/>
  <c r="S37" i="37"/>
  <c r="T37" i="37"/>
  <c r="U37" i="37"/>
  <c r="V37" i="37"/>
  <c r="W37" i="37"/>
  <c r="X37" i="37"/>
  <c r="Y37" i="37"/>
  <c r="Z37" i="37"/>
  <c r="AA37" i="37"/>
  <c r="AB37" i="37"/>
  <c r="AC37" i="37"/>
  <c r="AD37" i="37"/>
  <c r="AE37" i="37"/>
  <c r="AF37" i="37"/>
  <c r="AG37" i="37"/>
  <c r="E38" i="37"/>
  <c r="F38" i="37"/>
  <c r="G38" i="37"/>
  <c r="H38" i="37"/>
  <c r="I38" i="37"/>
  <c r="J38" i="37"/>
  <c r="K38" i="37"/>
  <c r="L38" i="37"/>
  <c r="M38" i="37"/>
  <c r="N38" i="37"/>
  <c r="O38" i="37"/>
  <c r="P38" i="37"/>
  <c r="Q38" i="37"/>
  <c r="R38" i="37"/>
  <c r="S38" i="37"/>
  <c r="T38" i="37"/>
  <c r="U38" i="37"/>
  <c r="V38" i="37"/>
  <c r="W38" i="37"/>
  <c r="X38" i="37"/>
  <c r="Y38" i="37"/>
  <c r="Z38" i="37"/>
  <c r="AA38" i="37"/>
  <c r="AB38" i="37"/>
  <c r="AC38" i="37"/>
  <c r="AD38" i="37"/>
  <c r="AE38" i="37"/>
  <c r="AF38" i="37"/>
  <c r="AG38" i="37"/>
  <c r="H41" i="37"/>
  <c r="I41" i="37"/>
  <c r="J41" i="37"/>
  <c r="K41" i="37"/>
  <c r="L41" i="37"/>
  <c r="M41" i="37"/>
  <c r="N41" i="37"/>
  <c r="O41" i="37"/>
  <c r="P41" i="37"/>
  <c r="Q41" i="37"/>
  <c r="R41" i="37"/>
  <c r="S41" i="37"/>
  <c r="T41" i="37"/>
  <c r="U41" i="37"/>
  <c r="V41" i="37"/>
  <c r="W41" i="37"/>
  <c r="X41" i="37"/>
  <c r="Y41" i="37"/>
  <c r="Z41" i="37"/>
  <c r="AA41" i="37"/>
  <c r="AB41" i="37"/>
  <c r="AC41" i="37"/>
  <c r="AD41" i="37"/>
  <c r="AE41" i="37"/>
  <c r="AF41" i="37"/>
  <c r="AG41" i="37"/>
  <c r="H42" i="37"/>
  <c r="I42" i="37"/>
  <c r="J42" i="37"/>
  <c r="K42" i="37"/>
  <c r="L42" i="37"/>
  <c r="M42" i="37"/>
  <c r="N42" i="37"/>
  <c r="O42" i="37"/>
  <c r="P42" i="37"/>
  <c r="Q42" i="37"/>
  <c r="R42" i="37"/>
  <c r="S42" i="37"/>
  <c r="T42" i="37"/>
  <c r="U42" i="37"/>
  <c r="V42" i="37"/>
  <c r="W42" i="37"/>
  <c r="X42" i="37"/>
  <c r="Y42" i="37"/>
  <c r="Z42" i="37"/>
  <c r="AA42" i="37"/>
  <c r="AB42" i="37"/>
  <c r="AC42" i="37"/>
  <c r="AD42" i="37"/>
  <c r="AE42" i="37"/>
  <c r="AF42" i="37"/>
  <c r="AG42" i="37"/>
  <c r="E43" i="37"/>
  <c r="F43" i="37"/>
  <c r="G43" i="37"/>
  <c r="H43" i="37"/>
  <c r="I43" i="37"/>
  <c r="J43" i="37"/>
  <c r="K43" i="37"/>
  <c r="L43" i="37"/>
  <c r="M43" i="37"/>
  <c r="N43" i="37"/>
  <c r="O43" i="37"/>
  <c r="P43" i="37"/>
  <c r="Q43" i="37"/>
  <c r="R43" i="37"/>
  <c r="S43" i="37"/>
  <c r="T43" i="37"/>
  <c r="U43" i="37"/>
  <c r="V43" i="37"/>
  <c r="W43" i="37"/>
  <c r="X43" i="37"/>
  <c r="Y43" i="37"/>
  <c r="Z43" i="37"/>
  <c r="AA43" i="37"/>
  <c r="AB43" i="37"/>
  <c r="AC43" i="37"/>
  <c r="AD43" i="37"/>
  <c r="AE43" i="37"/>
  <c r="AF43" i="37"/>
  <c r="AG43" i="37"/>
  <c r="E45" i="37"/>
  <c r="F45" i="37"/>
  <c r="G45" i="37"/>
  <c r="H45" i="37"/>
  <c r="I45" i="37"/>
  <c r="J45" i="37"/>
  <c r="K45" i="37"/>
  <c r="L45" i="37"/>
  <c r="M45" i="37"/>
  <c r="N45" i="37"/>
  <c r="O45" i="37"/>
  <c r="P45" i="37"/>
  <c r="Q45" i="37"/>
  <c r="R45" i="37"/>
  <c r="S45" i="37"/>
  <c r="T45" i="37"/>
  <c r="U45" i="37"/>
  <c r="V45" i="37"/>
  <c r="W45" i="37"/>
  <c r="X45" i="37"/>
  <c r="Y45" i="37"/>
  <c r="Z45" i="37"/>
  <c r="AA45" i="37"/>
  <c r="AB45" i="37"/>
  <c r="AC45" i="37"/>
  <c r="AD45" i="37"/>
  <c r="AE45" i="37"/>
  <c r="AF45" i="37"/>
  <c r="AG45" i="37"/>
  <c r="E46" i="37"/>
  <c r="F46" i="37"/>
  <c r="G46" i="37"/>
  <c r="H46" i="37"/>
  <c r="I46" i="37"/>
  <c r="J46" i="37"/>
  <c r="K46" i="37"/>
  <c r="L46" i="37"/>
  <c r="M46" i="37"/>
  <c r="N46" i="37"/>
  <c r="O46" i="37"/>
  <c r="P46" i="37"/>
  <c r="Q46" i="37"/>
  <c r="R46" i="37"/>
  <c r="S46" i="37"/>
  <c r="T46" i="37"/>
  <c r="U46" i="37"/>
  <c r="V46" i="37"/>
  <c r="W46" i="37"/>
  <c r="X46" i="37"/>
  <c r="Y46" i="37"/>
  <c r="Z46" i="37"/>
  <c r="AA46" i="37"/>
  <c r="AB46" i="37"/>
  <c r="AC46" i="37"/>
  <c r="AD46" i="37"/>
  <c r="AE46" i="37"/>
  <c r="AF46" i="37"/>
  <c r="AG46" i="37"/>
  <c r="E47" i="37"/>
  <c r="F47" i="37"/>
  <c r="G47" i="37"/>
  <c r="H47" i="37"/>
  <c r="I47" i="37"/>
  <c r="J47" i="37"/>
  <c r="K47" i="37"/>
  <c r="L47" i="37"/>
  <c r="M47" i="37"/>
  <c r="N47" i="37"/>
  <c r="O47" i="37"/>
  <c r="P47" i="37"/>
  <c r="Q47" i="37"/>
  <c r="R47" i="37"/>
  <c r="S47" i="37"/>
  <c r="T47" i="37"/>
  <c r="U47" i="37"/>
  <c r="V47" i="37"/>
  <c r="W47" i="37"/>
  <c r="X47" i="37"/>
  <c r="Y47" i="37"/>
  <c r="Z47" i="37"/>
  <c r="AA47" i="37"/>
  <c r="AB47" i="37"/>
  <c r="AC47" i="37"/>
  <c r="AD47" i="37"/>
  <c r="AE47" i="37"/>
  <c r="AF47" i="37"/>
  <c r="AG47" i="37"/>
  <c r="D48" i="37"/>
  <c r="E48" i="37"/>
  <c r="F48" i="37"/>
  <c r="G48" i="37"/>
  <c r="H48" i="37"/>
  <c r="I48" i="37"/>
  <c r="J48" i="37"/>
  <c r="K48" i="37"/>
  <c r="L48" i="37"/>
  <c r="M48" i="37"/>
  <c r="N48" i="37"/>
  <c r="O48" i="37"/>
  <c r="P48" i="37"/>
  <c r="Q48" i="37"/>
  <c r="R48" i="37"/>
  <c r="S48" i="37"/>
  <c r="T48" i="37"/>
  <c r="U48" i="37"/>
  <c r="V48" i="37"/>
  <c r="W48" i="37"/>
  <c r="X48" i="37"/>
  <c r="Y48" i="37"/>
  <c r="Z48" i="37"/>
  <c r="AA48" i="37"/>
  <c r="AB48" i="37"/>
  <c r="AC48" i="37"/>
  <c r="AD48" i="37"/>
  <c r="AE48" i="37"/>
  <c r="AF48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S49" i="37"/>
  <c r="T49" i="37"/>
  <c r="U49" i="37"/>
  <c r="V49" i="37"/>
  <c r="W49" i="37"/>
  <c r="X49" i="37"/>
  <c r="Y49" i="37"/>
  <c r="Z49" i="37"/>
  <c r="AA49" i="37"/>
  <c r="AB49" i="37"/>
  <c r="AC49" i="37"/>
  <c r="AD49" i="37"/>
  <c r="AE49" i="37"/>
  <c r="AF49" i="37"/>
  <c r="AG49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S50" i="37"/>
  <c r="T50" i="37"/>
  <c r="U50" i="37"/>
  <c r="V50" i="37"/>
  <c r="W50" i="37"/>
  <c r="X50" i="37"/>
  <c r="Y50" i="37"/>
  <c r="Z50" i="37"/>
  <c r="AA50" i="37"/>
  <c r="AB50" i="37"/>
  <c r="AC50" i="37"/>
  <c r="AD50" i="37"/>
  <c r="AE50" i="37"/>
  <c r="AF50" i="37"/>
  <c r="AG50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S51" i="37"/>
  <c r="T51" i="37"/>
  <c r="U51" i="37"/>
  <c r="V51" i="37"/>
  <c r="W51" i="37"/>
  <c r="X51" i="37"/>
  <c r="Y51" i="37"/>
  <c r="Z51" i="37"/>
  <c r="AA51" i="37"/>
  <c r="AB51" i="37"/>
  <c r="AC51" i="37"/>
  <c r="AD51" i="37"/>
  <c r="AE51" i="37"/>
  <c r="AF51" i="37"/>
  <c r="AG51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S53" i="37"/>
  <c r="T53" i="37"/>
  <c r="U53" i="37"/>
  <c r="V53" i="37"/>
  <c r="W53" i="37"/>
  <c r="X53" i="37"/>
  <c r="Y53" i="37"/>
  <c r="Z53" i="37"/>
  <c r="AA53" i="37"/>
  <c r="AB53" i="37"/>
  <c r="AC53" i="37"/>
  <c r="AD53" i="37"/>
  <c r="AE53" i="37"/>
  <c r="AF53" i="37"/>
  <c r="AG53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Z56" i="37"/>
  <c r="AA56" i="37"/>
  <c r="AB56" i="37"/>
  <c r="AC56" i="37"/>
  <c r="AD56" i="37"/>
  <c r="AE56" i="37"/>
  <c r="AF56" i="37"/>
  <c r="AG56" i="37"/>
  <c r="H57" i="37"/>
  <c r="I57" i="37"/>
  <c r="J57" i="37"/>
  <c r="K57" i="37"/>
  <c r="L57" i="37"/>
  <c r="M57" i="37"/>
  <c r="N57" i="37"/>
  <c r="O57" i="37"/>
  <c r="P57" i="37"/>
  <c r="Q57" i="37"/>
  <c r="R57" i="37"/>
  <c r="S57" i="37"/>
  <c r="T57" i="37"/>
  <c r="U57" i="37"/>
  <c r="V57" i="37"/>
  <c r="W57" i="37"/>
  <c r="X57" i="37"/>
  <c r="Y57" i="37"/>
  <c r="Z57" i="37"/>
  <c r="AA57" i="37"/>
  <c r="AB57" i="37"/>
  <c r="AC57" i="37"/>
  <c r="AD57" i="37"/>
  <c r="AE57" i="37"/>
  <c r="AF57" i="37"/>
  <c r="AG57" i="37"/>
  <c r="E58" i="37"/>
  <c r="F58" i="37"/>
  <c r="G58" i="37"/>
  <c r="H58" i="37"/>
  <c r="I58" i="37"/>
  <c r="J58" i="37"/>
  <c r="K58" i="37"/>
  <c r="L58" i="37"/>
  <c r="M58" i="37"/>
  <c r="N58" i="37"/>
  <c r="O58" i="37"/>
  <c r="P58" i="37"/>
  <c r="Q58" i="37"/>
  <c r="R58" i="37"/>
  <c r="S58" i="37"/>
  <c r="T58" i="37"/>
  <c r="U58" i="37"/>
  <c r="V58" i="37"/>
  <c r="W58" i="37"/>
  <c r="X58" i="37"/>
  <c r="Y58" i="37"/>
  <c r="Z58" i="37"/>
  <c r="AA58" i="37"/>
  <c r="AB58" i="37"/>
  <c r="AC58" i="37"/>
  <c r="AD58" i="37"/>
  <c r="AE58" i="37"/>
  <c r="AF58" i="37"/>
  <c r="AG58" i="37"/>
  <c r="E60" i="37"/>
  <c r="F60" i="37"/>
  <c r="G60" i="37"/>
  <c r="H60" i="37"/>
  <c r="I60" i="37"/>
  <c r="J60" i="37"/>
  <c r="K60" i="37"/>
  <c r="L60" i="37"/>
  <c r="M60" i="37"/>
  <c r="N60" i="37"/>
  <c r="O60" i="37"/>
  <c r="P60" i="37"/>
  <c r="Q60" i="37"/>
  <c r="R60" i="37"/>
  <c r="S60" i="37"/>
  <c r="T60" i="37"/>
  <c r="U60" i="37"/>
  <c r="V60" i="37"/>
  <c r="W60" i="37"/>
  <c r="X60" i="37"/>
  <c r="Y60" i="37"/>
  <c r="Z60" i="37"/>
  <c r="AA60" i="37"/>
  <c r="AB60" i="37"/>
  <c r="AC60" i="37"/>
  <c r="AD60" i="37"/>
  <c r="AE60" i="37"/>
  <c r="AF60" i="37"/>
  <c r="AG60" i="37"/>
  <c r="E61" i="37"/>
  <c r="F61" i="37"/>
  <c r="G61" i="37"/>
  <c r="H61" i="37"/>
  <c r="I61" i="37"/>
  <c r="J61" i="37"/>
  <c r="K61" i="37"/>
  <c r="L61" i="37"/>
  <c r="M61" i="37"/>
  <c r="N61" i="37"/>
  <c r="O61" i="37"/>
  <c r="P61" i="37"/>
  <c r="Q61" i="37"/>
  <c r="R61" i="37"/>
  <c r="S61" i="37"/>
  <c r="T61" i="37"/>
  <c r="U61" i="37"/>
  <c r="V61" i="37"/>
  <c r="W61" i="37"/>
  <c r="X61" i="37"/>
  <c r="Y61" i="37"/>
  <c r="Z61" i="37"/>
  <c r="AA61" i="37"/>
  <c r="AB61" i="37"/>
  <c r="AC61" i="37"/>
  <c r="AD61" i="37"/>
  <c r="AE61" i="37"/>
  <c r="AF61" i="37"/>
  <c r="AG61" i="37"/>
  <c r="E62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Z62" i="37"/>
  <c r="AA62" i="37"/>
  <c r="AB62" i="37"/>
  <c r="AC62" i="37"/>
  <c r="AD62" i="37"/>
  <c r="AE62" i="37"/>
  <c r="AF62" i="37"/>
  <c r="AG62" i="37"/>
  <c r="D63" i="37"/>
  <c r="E63" i="37"/>
  <c r="F63" i="37"/>
  <c r="G63" i="37"/>
  <c r="H63" i="37"/>
  <c r="I63" i="37"/>
  <c r="J63" i="37"/>
  <c r="K63" i="37"/>
  <c r="L63" i="37"/>
  <c r="M63" i="37"/>
  <c r="N63" i="37"/>
  <c r="O63" i="37"/>
  <c r="P63" i="37"/>
  <c r="Q63" i="37"/>
  <c r="R63" i="37"/>
  <c r="S63" i="37"/>
  <c r="T63" i="37"/>
  <c r="U63" i="37"/>
  <c r="V63" i="37"/>
  <c r="W63" i="37"/>
  <c r="X63" i="37"/>
  <c r="Y63" i="37"/>
  <c r="Z63" i="37"/>
  <c r="AA63" i="37"/>
  <c r="AB63" i="37"/>
  <c r="AC63" i="37"/>
  <c r="AD63" i="37"/>
  <c r="AE63" i="37"/>
  <c r="AF63" i="37"/>
  <c r="E64" i="37"/>
  <c r="F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Z64" i="37"/>
  <c r="AA64" i="37"/>
  <c r="AB64" i="37"/>
  <c r="AC64" i="37"/>
  <c r="AD64" i="37"/>
  <c r="AE64" i="37"/>
  <c r="AF64" i="37"/>
  <c r="AG64" i="37"/>
  <c r="E65" i="37"/>
  <c r="F65" i="37"/>
  <c r="G65" i="37"/>
  <c r="H65" i="37"/>
  <c r="I65" i="37"/>
  <c r="J65" i="37"/>
  <c r="K65" i="37"/>
  <c r="L65" i="37"/>
  <c r="M65" i="37"/>
  <c r="N65" i="37"/>
  <c r="O65" i="37"/>
  <c r="P65" i="37"/>
  <c r="Q65" i="37"/>
  <c r="R65" i="37"/>
  <c r="S65" i="37"/>
  <c r="T65" i="37"/>
  <c r="U65" i="37"/>
  <c r="V65" i="37"/>
  <c r="W65" i="37"/>
  <c r="X65" i="37"/>
  <c r="Y65" i="37"/>
  <c r="Z65" i="37"/>
  <c r="AA65" i="37"/>
  <c r="AB65" i="37"/>
  <c r="AC65" i="37"/>
  <c r="AD65" i="37"/>
  <c r="AE65" i="37"/>
  <c r="AF65" i="37"/>
  <c r="AG65" i="37"/>
  <c r="D66" i="37"/>
  <c r="E66" i="37"/>
  <c r="F66" i="37"/>
  <c r="G66" i="37"/>
  <c r="H66" i="37"/>
  <c r="I66" i="37"/>
  <c r="J66" i="37"/>
  <c r="K66" i="37"/>
  <c r="L66" i="37"/>
  <c r="M66" i="37"/>
  <c r="N66" i="37"/>
  <c r="O66" i="37"/>
  <c r="P66" i="37"/>
  <c r="Q66" i="37"/>
  <c r="R66" i="37"/>
  <c r="S66" i="37"/>
  <c r="T66" i="37"/>
  <c r="U66" i="37"/>
  <c r="V66" i="37"/>
  <c r="W66" i="37"/>
  <c r="X66" i="37"/>
  <c r="Y66" i="37"/>
  <c r="Z66" i="37"/>
  <c r="AA66" i="37"/>
  <c r="AB66" i="37"/>
  <c r="AC66" i="37"/>
  <c r="AD66" i="37"/>
  <c r="AE66" i="37"/>
  <c r="AF66" i="37"/>
  <c r="AG66" i="37"/>
  <c r="D67" i="37"/>
  <c r="E67" i="37"/>
  <c r="F67" i="37"/>
  <c r="G67" i="37"/>
  <c r="H67" i="37"/>
  <c r="I67" i="37"/>
  <c r="J67" i="37"/>
  <c r="K67" i="37"/>
  <c r="L67" i="37"/>
  <c r="M67" i="37"/>
  <c r="N67" i="37"/>
  <c r="O67" i="37"/>
  <c r="P67" i="37"/>
  <c r="Q67" i="37"/>
  <c r="R67" i="37"/>
  <c r="S67" i="37"/>
  <c r="T67" i="37"/>
  <c r="U67" i="37"/>
  <c r="V67" i="37"/>
  <c r="W67" i="37"/>
  <c r="X67" i="37"/>
  <c r="Y67" i="37"/>
  <c r="Z67" i="37"/>
  <c r="AA67" i="37"/>
  <c r="AB67" i="37"/>
  <c r="AC67" i="37"/>
  <c r="AD67" i="37"/>
  <c r="AE67" i="37"/>
  <c r="AF67" i="37"/>
  <c r="AG67" i="37"/>
  <c r="D69" i="37"/>
  <c r="E69" i="37"/>
  <c r="F69" i="37"/>
  <c r="G69" i="37"/>
  <c r="H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Z69" i="37"/>
  <c r="AA69" i="37"/>
  <c r="AB69" i="37"/>
  <c r="AC69" i="37"/>
  <c r="AD69" i="37"/>
  <c r="AE69" i="37"/>
  <c r="AF69" i="37"/>
  <c r="AG69" i="37"/>
  <c r="H73" i="37"/>
  <c r="I73" i="37"/>
  <c r="J73" i="37"/>
  <c r="K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Z73" i="37"/>
  <c r="AA73" i="37"/>
  <c r="AB73" i="37"/>
  <c r="AC73" i="37"/>
  <c r="AD73" i="37"/>
  <c r="AE73" i="37"/>
  <c r="AF73" i="37"/>
  <c r="AG73" i="37"/>
  <c r="F75" i="37"/>
  <c r="G75" i="37"/>
  <c r="H75" i="37"/>
  <c r="I75" i="37"/>
  <c r="J75" i="37"/>
  <c r="K75" i="37"/>
  <c r="L75" i="37"/>
  <c r="M75" i="37"/>
  <c r="N75" i="37"/>
  <c r="O75" i="37"/>
  <c r="P75" i="37"/>
  <c r="Q75" i="37"/>
  <c r="R75" i="37"/>
  <c r="S75" i="37"/>
  <c r="T75" i="37"/>
  <c r="U75" i="37"/>
  <c r="V75" i="37"/>
  <c r="W75" i="37"/>
  <c r="X75" i="37"/>
  <c r="Y75" i="37"/>
  <c r="Z75" i="37"/>
  <c r="AA75" i="37"/>
  <c r="AB75" i="37"/>
  <c r="AC75" i="37"/>
  <c r="AD75" i="37"/>
  <c r="AE75" i="37"/>
  <c r="AF75" i="37"/>
  <c r="AG75" i="37"/>
  <c r="F76" i="37"/>
  <c r="G76" i="37"/>
  <c r="H76" i="37"/>
  <c r="I76" i="37"/>
  <c r="J76" i="37"/>
  <c r="K76" i="37"/>
  <c r="L76" i="37"/>
  <c r="M76" i="37"/>
  <c r="N76" i="37"/>
  <c r="O76" i="37"/>
  <c r="P76" i="37"/>
  <c r="Q76" i="37"/>
  <c r="R76" i="37"/>
  <c r="S76" i="37"/>
  <c r="T76" i="37"/>
  <c r="U76" i="37"/>
  <c r="V76" i="37"/>
  <c r="W76" i="37"/>
  <c r="X76" i="37"/>
  <c r="Y76" i="37"/>
  <c r="Z76" i="37"/>
  <c r="AA76" i="37"/>
  <c r="AB76" i="37"/>
  <c r="AC76" i="37"/>
  <c r="AD76" i="37"/>
  <c r="AE76" i="37"/>
  <c r="AF76" i="37"/>
  <c r="AG76" i="37"/>
  <c r="E77" i="37"/>
  <c r="F77" i="37"/>
  <c r="G77" i="37"/>
  <c r="H77" i="37"/>
  <c r="I77" i="37"/>
  <c r="J77" i="37"/>
  <c r="K77" i="37"/>
  <c r="L77" i="37"/>
  <c r="M77" i="37"/>
  <c r="N77" i="37"/>
  <c r="O77" i="37"/>
  <c r="P77" i="37"/>
  <c r="Q77" i="37"/>
  <c r="R77" i="37"/>
  <c r="S77" i="37"/>
  <c r="T77" i="37"/>
  <c r="U77" i="37"/>
  <c r="V77" i="37"/>
  <c r="W77" i="37"/>
  <c r="X77" i="37"/>
  <c r="Y77" i="37"/>
  <c r="Z77" i="37"/>
  <c r="AA77" i="37"/>
  <c r="AB77" i="37"/>
  <c r="AC77" i="37"/>
  <c r="AD77" i="37"/>
  <c r="AE77" i="37"/>
  <c r="AF77" i="37"/>
  <c r="AG77" i="37"/>
  <c r="F78" i="37"/>
  <c r="G78" i="37"/>
  <c r="H78" i="37"/>
  <c r="I78" i="37"/>
  <c r="J78" i="37"/>
  <c r="K78" i="37"/>
  <c r="L78" i="37"/>
  <c r="M78" i="37"/>
  <c r="N78" i="37"/>
  <c r="O78" i="37"/>
  <c r="P78" i="37"/>
  <c r="Q78" i="37"/>
  <c r="R78" i="37"/>
  <c r="S78" i="37"/>
  <c r="T78" i="37"/>
  <c r="U78" i="37"/>
  <c r="V78" i="37"/>
  <c r="W78" i="37"/>
  <c r="X78" i="37"/>
  <c r="Y78" i="37"/>
  <c r="Z78" i="37"/>
  <c r="AA78" i="37"/>
  <c r="AB78" i="37"/>
  <c r="AC78" i="37"/>
  <c r="AD78" i="37"/>
  <c r="AE78" i="37"/>
  <c r="AF78" i="37"/>
  <c r="AG78" i="37"/>
  <c r="E79" i="37"/>
  <c r="F79" i="37"/>
  <c r="G79" i="37"/>
  <c r="H79" i="37"/>
  <c r="I79" i="37"/>
  <c r="J79" i="37"/>
  <c r="K79" i="37"/>
  <c r="L79" i="37"/>
  <c r="M79" i="37"/>
  <c r="N79" i="37"/>
  <c r="O79" i="37"/>
  <c r="P79" i="37"/>
  <c r="Q79" i="37"/>
  <c r="R79" i="37"/>
  <c r="S79" i="37"/>
  <c r="T79" i="37"/>
  <c r="U79" i="37"/>
  <c r="V79" i="37"/>
  <c r="W79" i="37"/>
  <c r="X79" i="37"/>
  <c r="Y79" i="37"/>
  <c r="Z79" i="37"/>
  <c r="AA79" i="37"/>
  <c r="AB79" i="37"/>
  <c r="AC79" i="37"/>
  <c r="AD79" i="37"/>
  <c r="AE79" i="37"/>
  <c r="AF79" i="37"/>
  <c r="AG79" i="37"/>
  <c r="E80" i="37"/>
  <c r="F80" i="37"/>
  <c r="G80" i="37"/>
  <c r="H80" i="37"/>
  <c r="I80" i="37"/>
  <c r="J80" i="37"/>
  <c r="K80" i="37"/>
  <c r="L80" i="37"/>
  <c r="M80" i="37"/>
  <c r="N80" i="37"/>
  <c r="O80" i="37"/>
  <c r="P80" i="37"/>
  <c r="Q80" i="37"/>
  <c r="R80" i="37"/>
  <c r="S80" i="37"/>
  <c r="T80" i="37"/>
  <c r="U80" i="37"/>
  <c r="V80" i="37"/>
  <c r="W80" i="37"/>
  <c r="X80" i="37"/>
  <c r="Y80" i="37"/>
  <c r="Z80" i="37"/>
  <c r="AA80" i="37"/>
  <c r="AB80" i="37"/>
  <c r="AC80" i="37"/>
  <c r="AD80" i="37"/>
  <c r="AE80" i="37"/>
  <c r="AF80" i="37"/>
  <c r="AG80" i="37"/>
  <c r="E82" i="37"/>
  <c r="F82" i="37"/>
  <c r="G82" i="37"/>
  <c r="H82" i="37"/>
  <c r="I82" i="37"/>
  <c r="J82" i="37"/>
  <c r="K82" i="37"/>
  <c r="L82" i="37"/>
  <c r="M82" i="37"/>
  <c r="N82" i="37"/>
  <c r="O82" i="37"/>
  <c r="P82" i="37"/>
  <c r="Q82" i="37"/>
  <c r="R82" i="37"/>
  <c r="S82" i="37"/>
  <c r="T82" i="37"/>
  <c r="U82" i="37"/>
  <c r="V82" i="37"/>
  <c r="W82" i="37"/>
  <c r="X82" i="37"/>
  <c r="Y82" i="37"/>
  <c r="Z82" i="37"/>
  <c r="AA82" i="37"/>
  <c r="AB82" i="37"/>
  <c r="AC82" i="37"/>
  <c r="AD82" i="37"/>
  <c r="AE82" i="37"/>
  <c r="AF82" i="37"/>
  <c r="AG82" i="37"/>
  <c r="E85" i="37"/>
  <c r="F85" i="37"/>
  <c r="G85" i="37"/>
  <c r="H85" i="37"/>
  <c r="I85" i="37"/>
  <c r="J85" i="37"/>
  <c r="K85" i="37"/>
  <c r="L85" i="37"/>
  <c r="M85" i="37"/>
  <c r="N85" i="37"/>
  <c r="O85" i="37"/>
  <c r="P85" i="37"/>
  <c r="Q85" i="37"/>
  <c r="R85" i="37"/>
  <c r="S85" i="37"/>
  <c r="T85" i="37"/>
  <c r="U85" i="37"/>
  <c r="V85" i="37"/>
  <c r="W85" i="37"/>
  <c r="X85" i="37"/>
  <c r="Y85" i="37"/>
  <c r="Z85" i="37"/>
  <c r="AA85" i="37"/>
  <c r="AB85" i="37"/>
  <c r="AC85" i="37"/>
  <c r="AD85" i="37"/>
  <c r="AE85" i="37"/>
  <c r="AF85" i="37"/>
  <c r="AG85" i="37"/>
  <c r="D87" i="37"/>
  <c r="E87" i="37"/>
  <c r="F87" i="37"/>
  <c r="G87" i="37"/>
  <c r="H87" i="37"/>
  <c r="I87" i="37"/>
  <c r="J87" i="37"/>
  <c r="K87" i="37"/>
  <c r="L87" i="37"/>
  <c r="M87" i="37"/>
  <c r="N87" i="37"/>
  <c r="O87" i="37"/>
  <c r="P87" i="37"/>
  <c r="Q87" i="37"/>
  <c r="R87" i="37"/>
  <c r="S87" i="37"/>
  <c r="T87" i="37"/>
  <c r="U87" i="37"/>
  <c r="V87" i="37"/>
  <c r="W87" i="37"/>
  <c r="X87" i="37"/>
  <c r="Y87" i="37"/>
  <c r="Z87" i="37"/>
  <c r="AA87" i="37"/>
  <c r="AB87" i="37"/>
  <c r="AC87" i="37"/>
  <c r="AD87" i="37"/>
  <c r="AE87" i="37"/>
  <c r="AF87" i="37"/>
  <c r="AG87" i="37"/>
  <c r="E88" i="37"/>
  <c r="F88" i="37"/>
  <c r="G88" i="37"/>
  <c r="H88" i="37"/>
  <c r="I88" i="37"/>
  <c r="J88" i="37"/>
  <c r="K88" i="37"/>
  <c r="L88" i="37"/>
  <c r="M88" i="37"/>
  <c r="N88" i="37"/>
  <c r="O88" i="37"/>
  <c r="P88" i="37"/>
  <c r="Q88" i="37"/>
  <c r="R88" i="37"/>
  <c r="S88" i="37"/>
  <c r="T88" i="37"/>
  <c r="U88" i="37"/>
  <c r="V88" i="37"/>
  <c r="W88" i="37"/>
  <c r="X88" i="37"/>
  <c r="Y88" i="37"/>
  <c r="Z88" i="37"/>
  <c r="AA88" i="37"/>
  <c r="AB88" i="37"/>
  <c r="AC88" i="37"/>
  <c r="AD88" i="37"/>
  <c r="AE88" i="37"/>
  <c r="AF88" i="37"/>
  <c r="D89" i="37"/>
  <c r="E89" i="37"/>
  <c r="F89" i="37"/>
  <c r="G89" i="37"/>
  <c r="H89" i="37"/>
  <c r="I89" i="37"/>
  <c r="J89" i="37"/>
  <c r="K89" i="37"/>
  <c r="L89" i="37"/>
  <c r="M89" i="37"/>
  <c r="N89" i="37"/>
  <c r="O89" i="37"/>
  <c r="P89" i="37"/>
  <c r="Q89" i="37"/>
  <c r="R89" i="37"/>
  <c r="S89" i="37"/>
  <c r="T89" i="37"/>
  <c r="U89" i="37"/>
  <c r="V89" i="37"/>
  <c r="W89" i="37"/>
  <c r="X89" i="37"/>
  <c r="Y89" i="37"/>
  <c r="Z89" i="37"/>
  <c r="AA89" i="37"/>
  <c r="AB89" i="37"/>
  <c r="AC89" i="37"/>
  <c r="AD89" i="37"/>
  <c r="AE89" i="37"/>
  <c r="AF89" i="37"/>
  <c r="AG89" i="37"/>
  <c r="E92" i="37"/>
  <c r="F92" i="37"/>
  <c r="G92" i="37"/>
  <c r="H92" i="37"/>
  <c r="I92" i="37"/>
  <c r="J92" i="37"/>
  <c r="K92" i="37"/>
  <c r="L92" i="37"/>
  <c r="M92" i="37"/>
  <c r="N92" i="37"/>
  <c r="O92" i="37"/>
  <c r="P92" i="37"/>
  <c r="Q92" i="37"/>
  <c r="R92" i="37"/>
  <c r="S92" i="37"/>
  <c r="T92" i="37"/>
  <c r="U92" i="37"/>
  <c r="V92" i="37"/>
  <c r="W92" i="37"/>
  <c r="X92" i="37"/>
  <c r="Y92" i="37"/>
  <c r="Z92" i="37"/>
  <c r="AA92" i="37"/>
  <c r="AB92" i="37"/>
  <c r="AC92" i="37"/>
  <c r="AD92" i="37"/>
  <c r="AE92" i="37"/>
  <c r="AF92" i="37"/>
  <c r="AG92" i="37"/>
  <c r="E93" i="37"/>
  <c r="F93" i="37"/>
  <c r="G93" i="37"/>
  <c r="H93" i="37"/>
  <c r="I93" i="37"/>
  <c r="J93" i="37"/>
  <c r="K93" i="37"/>
  <c r="L93" i="37"/>
  <c r="M93" i="37"/>
  <c r="N93" i="37"/>
  <c r="O93" i="37"/>
  <c r="P93" i="37"/>
  <c r="Q93" i="37"/>
  <c r="R93" i="37"/>
  <c r="S93" i="37"/>
  <c r="T93" i="37"/>
  <c r="U93" i="37"/>
  <c r="V93" i="37"/>
  <c r="W93" i="37"/>
  <c r="X93" i="37"/>
  <c r="Y93" i="37"/>
  <c r="Z93" i="37"/>
  <c r="AA93" i="37"/>
  <c r="AB93" i="37"/>
  <c r="AC93" i="37"/>
  <c r="AD93" i="37"/>
  <c r="AE93" i="37"/>
  <c r="AF93" i="37"/>
  <c r="AG93" i="37"/>
  <c r="E94" i="37"/>
  <c r="F94" i="37"/>
  <c r="G94" i="37"/>
  <c r="H94" i="37"/>
  <c r="I94" i="37"/>
  <c r="J94" i="37"/>
  <c r="K94" i="37"/>
  <c r="L94" i="37"/>
  <c r="M94" i="37"/>
  <c r="N94" i="37"/>
  <c r="O94" i="37"/>
  <c r="P94" i="37"/>
  <c r="Q94" i="37"/>
  <c r="R94" i="37"/>
  <c r="S94" i="37"/>
  <c r="T94" i="37"/>
  <c r="U94" i="37"/>
  <c r="V94" i="37"/>
  <c r="W94" i="37"/>
  <c r="X94" i="37"/>
  <c r="Y94" i="37"/>
  <c r="Z94" i="37"/>
  <c r="AA94" i="37"/>
  <c r="AB94" i="37"/>
  <c r="AC94" i="37"/>
  <c r="AD94" i="37"/>
  <c r="AE94" i="37"/>
  <c r="AF94" i="37"/>
  <c r="AG94" i="37"/>
  <c r="E95" i="37"/>
  <c r="F95" i="37"/>
  <c r="G95" i="37"/>
  <c r="H95" i="37"/>
  <c r="I95" i="37"/>
  <c r="J95" i="37"/>
  <c r="K95" i="37"/>
  <c r="L95" i="37"/>
  <c r="M95" i="37"/>
  <c r="N95" i="37"/>
  <c r="O95" i="37"/>
  <c r="P95" i="37"/>
  <c r="Q95" i="37"/>
  <c r="R95" i="37"/>
  <c r="S95" i="37"/>
  <c r="T95" i="37"/>
  <c r="U95" i="37"/>
  <c r="V95" i="37"/>
  <c r="W95" i="37"/>
  <c r="X95" i="37"/>
  <c r="Y95" i="37"/>
  <c r="Z95" i="37"/>
  <c r="AA95" i="37"/>
  <c r="AB95" i="37"/>
  <c r="AC95" i="37"/>
  <c r="AD95" i="37"/>
  <c r="AE95" i="37"/>
  <c r="AF95" i="37"/>
  <c r="AG95" i="37"/>
  <c r="D96" i="37"/>
  <c r="E96" i="37"/>
  <c r="F96" i="37"/>
  <c r="G96" i="37"/>
  <c r="H96" i="37"/>
  <c r="I96" i="37"/>
  <c r="J96" i="37"/>
  <c r="K96" i="37"/>
  <c r="L96" i="37"/>
  <c r="M96" i="37"/>
  <c r="N96" i="37"/>
  <c r="O96" i="37"/>
  <c r="P96" i="37"/>
  <c r="Q96" i="37"/>
  <c r="R96" i="37"/>
  <c r="S96" i="37"/>
  <c r="T96" i="37"/>
  <c r="U96" i="37"/>
  <c r="V96" i="37"/>
  <c r="W96" i="37"/>
  <c r="X96" i="37"/>
  <c r="Y96" i="37"/>
  <c r="Z96" i="37"/>
  <c r="AA96" i="37"/>
  <c r="AB96" i="37"/>
  <c r="AC96" i="37"/>
  <c r="AD96" i="37"/>
  <c r="AE96" i="37"/>
  <c r="AF96" i="37"/>
  <c r="D97" i="37"/>
  <c r="E97" i="37"/>
  <c r="F97" i="37"/>
  <c r="G97" i="37"/>
  <c r="H97" i="37"/>
  <c r="I97" i="37"/>
  <c r="J97" i="37"/>
  <c r="K97" i="37"/>
  <c r="L97" i="37"/>
  <c r="M97" i="37"/>
  <c r="N97" i="37"/>
  <c r="O97" i="37"/>
  <c r="P97" i="37"/>
  <c r="Q97" i="37"/>
  <c r="R97" i="37"/>
  <c r="S97" i="37"/>
  <c r="T97" i="37"/>
  <c r="U97" i="37"/>
  <c r="V97" i="37"/>
  <c r="W97" i="37"/>
  <c r="X97" i="37"/>
  <c r="Y97" i="37"/>
  <c r="Z97" i="37"/>
  <c r="AA97" i="37"/>
  <c r="AB97" i="37"/>
  <c r="AC97" i="37"/>
  <c r="AD97" i="37"/>
  <c r="AE97" i="37"/>
  <c r="AF97" i="37"/>
  <c r="AG97" i="37"/>
  <c r="D98" i="37"/>
  <c r="E98" i="37"/>
  <c r="F98" i="37"/>
  <c r="G98" i="37"/>
  <c r="H98" i="37"/>
  <c r="I98" i="37"/>
  <c r="J98" i="37"/>
  <c r="K98" i="37"/>
  <c r="L98" i="37"/>
  <c r="M98" i="37"/>
  <c r="N98" i="37"/>
  <c r="O98" i="37"/>
  <c r="P98" i="37"/>
  <c r="Q98" i="37"/>
  <c r="R98" i="37"/>
  <c r="S98" i="37"/>
  <c r="T98" i="37"/>
  <c r="U98" i="37"/>
  <c r="V98" i="37"/>
  <c r="W98" i="37"/>
  <c r="X98" i="37"/>
  <c r="Y98" i="37"/>
  <c r="Z98" i="37"/>
  <c r="AA98" i="37"/>
  <c r="AB98" i="37"/>
  <c r="AC98" i="37"/>
  <c r="AD98" i="37"/>
  <c r="AE98" i="37"/>
  <c r="AF98" i="37"/>
  <c r="AG98" i="37"/>
  <c r="D99" i="37"/>
  <c r="E99" i="37"/>
  <c r="F99" i="37"/>
  <c r="G99" i="37"/>
  <c r="H99" i="37"/>
  <c r="I99" i="37"/>
  <c r="J99" i="37"/>
  <c r="K99" i="37"/>
  <c r="L99" i="37"/>
  <c r="M99" i="37"/>
  <c r="N99" i="37"/>
  <c r="O99" i="37"/>
  <c r="P99" i="37"/>
  <c r="Q99" i="37"/>
  <c r="R99" i="37"/>
  <c r="S99" i="37"/>
  <c r="T99" i="37"/>
  <c r="U99" i="37"/>
  <c r="V99" i="37"/>
  <c r="W99" i="37"/>
  <c r="X99" i="37"/>
  <c r="Y99" i="37"/>
  <c r="Z99" i="37"/>
  <c r="AA99" i="37"/>
  <c r="AB99" i="37"/>
  <c r="AC99" i="37"/>
  <c r="AD99" i="37"/>
  <c r="AE99" i="37"/>
  <c r="AF99" i="37"/>
  <c r="AG99" i="37"/>
  <c r="E100" i="37"/>
  <c r="F100" i="37"/>
  <c r="G100" i="37"/>
  <c r="H100" i="37"/>
  <c r="I100" i="37"/>
  <c r="J100" i="37"/>
  <c r="K100" i="37"/>
  <c r="L100" i="37"/>
  <c r="M100" i="37"/>
  <c r="N100" i="37"/>
  <c r="O100" i="37"/>
  <c r="P100" i="37"/>
  <c r="Q100" i="37"/>
  <c r="R100" i="37"/>
  <c r="S100" i="37"/>
  <c r="T100" i="37"/>
  <c r="U100" i="37"/>
  <c r="V100" i="37"/>
  <c r="W100" i="37"/>
  <c r="X100" i="37"/>
  <c r="Y100" i="37"/>
  <c r="Z100" i="37"/>
  <c r="AA100" i="37"/>
  <c r="AB100" i="37"/>
  <c r="AC100" i="37"/>
  <c r="AD100" i="37"/>
  <c r="AE100" i="37"/>
  <c r="AF100" i="37"/>
  <c r="AG100" i="37"/>
  <c r="E101" i="37"/>
  <c r="F101" i="37"/>
  <c r="G101" i="37"/>
  <c r="H101" i="37"/>
  <c r="I101" i="37"/>
  <c r="J101" i="37"/>
  <c r="K101" i="37"/>
  <c r="L101" i="37"/>
  <c r="M101" i="37"/>
  <c r="N101" i="37"/>
  <c r="O101" i="37"/>
  <c r="P101" i="37"/>
  <c r="Q101" i="37"/>
  <c r="R101" i="37"/>
  <c r="S101" i="37"/>
  <c r="T101" i="37"/>
  <c r="U101" i="37"/>
  <c r="V101" i="37"/>
  <c r="W101" i="37"/>
  <c r="X101" i="37"/>
  <c r="Y101" i="37"/>
  <c r="Z101" i="37"/>
  <c r="AA101" i="37"/>
  <c r="AB101" i="37"/>
  <c r="AC101" i="37"/>
  <c r="AD101" i="37"/>
  <c r="AE101" i="37"/>
  <c r="AF101" i="37"/>
  <c r="AG101" i="37"/>
  <c r="D104" i="37"/>
  <c r="E104" i="37"/>
  <c r="F104" i="37"/>
  <c r="G104" i="37"/>
  <c r="H104" i="37"/>
  <c r="I104" i="37"/>
  <c r="J104" i="37"/>
  <c r="K104" i="37"/>
  <c r="L104" i="37"/>
  <c r="M104" i="37"/>
  <c r="N104" i="37"/>
  <c r="O104" i="37"/>
  <c r="P104" i="37"/>
  <c r="Q104" i="37"/>
  <c r="R104" i="37"/>
  <c r="S104" i="37"/>
  <c r="T104" i="37"/>
  <c r="U104" i="37"/>
  <c r="V104" i="37"/>
  <c r="W104" i="37"/>
  <c r="D105" i="37"/>
  <c r="D9" i="53"/>
  <c r="E9" i="53"/>
  <c r="F9" i="53"/>
  <c r="G9" i="53"/>
  <c r="H9" i="53"/>
  <c r="I9" i="53"/>
  <c r="J9" i="53"/>
  <c r="K9" i="53"/>
  <c r="L9" i="53"/>
  <c r="M9" i="53"/>
  <c r="N9" i="53"/>
  <c r="O9" i="53"/>
  <c r="P9" i="53"/>
  <c r="Q9" i="53"/>
  <c r="R9" i="53"/>
  <c r="S9" i="53"/>
  <c r="T9" i="53"/>
  <c r="U9" i="53"/>
  <c r="V9" i="53"/>
  <c r="W9" i="53"/>
  <c r="X9" i="53"/>
  <c r="Y9" i="53"/>
  <c r="Z9" i="53"/>
  <c r="AA9" i="53"/>
  <c r="E10" i="53"/>
  <c r="F10" i="53"/>
  <c r="G10" i="53"/>
  <c r="H10" i="53"/>
  <c r="I10" i="53"/>
  <c r="J10" i="53"/>
  <c r="K10" i="53"/>
  <c r="L10" i="53"/>
  <c r="M10" i="53"/>
  <c r="N10" i="53"/>
  <c r="O10" i="53"/>
  <c r="P10" i="53"/>
  <c r="Q10" i="53"/>
  <c r="R10" i="53"/>
  <c r="S10" i="53"/>
  <c r="T10" i="53"/>
  <c r="U10" i="53"/>
  <c r="V10" i="53"/>
  <c r="W10" i="53"/>
  <c r="X10" i="53"/>
  <c r="Y10" i="53"/>
  <c r="Z10" i="53"/>
  <c r="AA10" i="53"/>
  <c r="AB10" i="53"/>
  <c r="AC10" i="53"/>
  <c r="AD10" i="53"/>
  <c r="AE10" i="53"/>
  <c r="AF10" i="53"/>
  <c r="AG10" i="53"/>
  <c r="D12" i="53"/>
  <c r="E12" i="53"/>
  <c r="F12" i="53"/>
  <c r="G12" i="53"/>
  <c r="H12" i="53"/>
  <c r="I12" i="53"/>
  <c r="J12" i="53"/>
  <c r="K12" i="53"/>
  <c r="L12" i="53"/>
  <c r="M12" i="53"/>
  <c r="N12" i="53"/>
  <c r="O12" i="53"/>
  <c r="P12" i="53"/>
  <c r="Q12" i="53"/>
  <c r="R12" i="53"/>
  <c r="S12" i="53"/>
  <c r="T12" i="53"/>
  <c r="U12" i="53"/>
  <c r="V12" i="53"/>
  <c r="W12" i="53"/>
  <c r="X12" i="53"/>
  <c r="Y12" i="53"/>
  <c r="Z12" i="53"/>
  <c r="AA12" i="53"/>
  <c r="AB12" i="53"/>
  <c r="AC12" i="53"/>
  <c r="AD12" i="53"/>
  <c r="AE12" i="53"/>
  <c r="AF12" i="53"/>
  <c r="AG12" i="53"/>
  <c r="E13" i="53"/>
  <c r="F13" i="53"/>
  <c r="G13" i="53"/>
  <c r="H13" i="53"/>
  <c r="I13" i="53"/>
  <c r="J13" i="53"/>
  <c r="K13" i="53"/>
  <c r="L13" i="53"/>
  <c r="M13" i="53"/>
  <c r="N13" i="53"/>
  <c r="O13" i="53"/>
  <c r="P13" i="53"/>
  <c r="Q13" i="53"/>
  <c r="R13" i="53"/>
  <c r="S13" i="53"/>
  <c r="T13" i="53"/>
  <c r="U13" i="53"/>
  <c r="V13" i="53"/>
  <c r="W13" i="53"/>
  <c r="X13" i="53"/>
  <c r="Y13" i="53"/>
  <c r="Z13" i="53"/>
  <c r="AA13" i="53"/>
  <c r="AB13" i="53"/>
  <c r="AC13" i="53"/>
  <c r="AD13" i="53"/>
  <c r="AE13" i="53"/>
  <c r="AF13" i="53"/>
  <c r="AG13" i="53"/>
  <c r="H16" i="53"/>
  <c r="I16" i="53"/>
  <c r="J16" i="53"/>
  <c r="K16" i="53"/>
  <c r="L16" i="53"/>
  <c r="M16" i="53"/>
  <c r="N16" i="53"/>
  <c r="O16" i="53"/>
  <c r="P16" i="53"/>
  <c r="Q16" i="53"/>
  <c r="R16" i="53"/>
  <c r="S16" i="53"/>
  <c r="T16" i="53"/>
  <c r="U16" i="53"/>
  <c r="V16" i="53"/>
  <c r="W16" i="53"/>
  <c r="X16" i="53"/>
  <c r="Y16" i="53"/>
  <c r="Z16" i="53"/>
  <c r="AA16" i="53"/>
  <c r="AB16" i="53"/>
  <c r="AC16" i="53"/>
  <c r="AD16" i="53"/>
  <c r="AE16" i="53"/>
  <c r="AF16" i="53"/>
  <c r="H17" i="53"/>
  <c r="I17" i="53"/>
  <c r="J17" i="53"/>
  <c r="K17" i="53"/>
  <c r="L17" i="53"/>
  <c r="M17" i="53"/>
  <c r="N17" i="53"/>
  <c r="O17" i="53"/>
  <c r="P17" i="53"/>
  <c r="Q17" i="53"/>
  <c r="R17" i="53"/>
  <c r="S17" i="53"/>
  <c r="T17" i="53"/>
  <c r="U17" i="53"/>
  <c r="V17" i="53"/>
  <c r="W17" i="53"/>
  <c r="X17" i="53"/>
  <c r="Y17" i="53"/>
  <c r="Z17" i="53"/>
  <c r="AA17" i="53"/>
  <c r="AB17" i="53"/>
  <c r="AC17" i="53"/>
  <c r="AD17" i="53"/>
  <c r="AE17" i="53"/>
  <c r="AF17" i="53"/>
  <c r="F18" i="53"/>
  <c r="G18" i="53"/>
  <c r="H18" i="53"/>
  <c r="I18" i="53"/>
  <c r="J18" i="53"/>
  <c r="K18" i="53"/>
  <c r="L18" i="53"/>
  <c r="M18" i="53"/>
  <c r="N18" i="53"/>
  <c r="O18" i="53"/>
  <c r="P18" i="53"/>
  <c r="Q18" i="53"/>
  <c r="R18" i="53"/>
  <c r="S18" i="53"/>
  <c r="T18" i="53"/>
  <c r="U18" i="53"/>
  <c r="V18" i="53"/>
  <c r="W18" i="53"/>
  <c r="X18" i="53"/>
  <c r="Y18" i="53"/>
  <c r="Z18" i="53"/>
  <c r="AA18" i="53"/>
  <c r="AB18" i="53"/>
  <c r="AC18" i="53"/>
  <c r="AD18" i="53"/>
  <c r="AE18" i="53"/>
  <c r="AF18" i="53"/>
  <c r="AG18" i="53"/>
  <c r="F20" i="53"/>
  <c r="G20" i="53"/>
  <c r="H20" i="53"/>
  <c r="I20" i="53"/>
  <c r="J20" i="53"/>
  <c r="K20" i="53"/>
  <c r="L20" i="53"/>
  <c r="M20" i="53"/>
  <c r="N20" i="53"/>
  <c r="O20" i="53"/>
  <c r="P20" i="53"/>
  <c r="Q20" i="53"/>
  <c r="R20" i="53"/>
  <c r="S20" i="53"/>
  <c r="T20" i="53"/>
  <c r="U20" i="53"/>
  <c r="V20" i="53"/>
  <c r="W20" i="53"/>
  <c r="X20" i="53"/>
  <c r="Y20" i="53"/>
  <c r="Z20" i="53"/>
  <c r="AA20" i="53"/>
  <c r="AB20" i="53"/>
  <c r="AC20" i="53"/>
  <c r="AD20" i="53"/>
  <c r="AE20" i="53"/>
  <c r="AF20" i="53"/>
  <c r="AG20" i="53"/>
  <c r="F21" i="53"/>
  <c r="G21" i="53"/>
  <c r="H21" i="53"/>
  <c r="I21" i="53"/>
  <c r="J21" i="53"/>
  <c r="K21" i="53"/>
  <c r="L21" i="53"/>
  <c r="M21" i="53"/>
  <c r="N21" i="53"/>
  <c r="O21" i="53"/>
  <c r="P21" i="53"/>
  <c r="Q21" i="53"/>
  <c r="R21" i="53"/>
  <c r="S21" i="53"/>
  <c r="T21" i="53"/>
  <c r="U21" i="53"/>
  <c r="V21" i="53"/>
  <c r="W21" i="53"/>
  <c r="X21" i="53"/>
  <c r="Y21" i="53"/>
  <c r="Z21" i="53"/>
  <c r="AA21" i="53"/>
  <c r="AB21" i="53"/>
  <c r="AC21" i="53"/>
  <c r="AD21" i="53"/>
  <c r="AE21" i="53"/>
  <c r="AF21" i="53"/>
  <c r="AG21" i="53"/>
  <c r="F22" i="53"/>
  <c r="G22" i="53"/>
  <c r="H22" i="53"/>
  <c r="I22" i="53"/>
  <c r="J22" i="53"/>
  <c r="K22" i="53"/>
  <c r="L22" i="53"/>
  <c r="M22" i="53"/>
  <c r="N22" i="53"/>
  <c r="O22" i="53"/>
  <c r="P22" i="53"/>
  <c r="Q22" i="53"/>
  <c r="R22" i="53"/>
  <c r="S22" i="53"/>
  <c r="T22" i="53"/>
  <c r="U22" i="53"/>
  <c r="V22" i="53"/>
  <c r="W22" i="53"/>
  <c r="X22" i="53"/>
  <c r="Y22" i="53"/>
  <c r="Z22" i="53"/>
  <c r="AA22" i="53"/>
  <c r="AB22" i="53"/>
  <c r="AC22" i="53"/>
  <c r="AD22" i="53"/>
  <c r="AE22" i="53"/>
  <c r="AF22" i="53"/>
  <c r="AG22" i="53"/>
  <c r="E23" i="53"/>
  <c r="F23" i="53"/>
  <c r="G23" i="53"/>
  <c r="H23" i="53"/>
  <c r="I23" i="53"/>
  <c r="J23" i="53"/>
  <c r="K23" i="53"/>
  <c r="L23" i="53"/>
  <c r="M23" i="53"/>
  <c r="N23" i="53"/>
  <c r="O23" i="53"/>
  <c r="P23" i="53"/>
  <c r="Q23" i="53"/>
  <c r="R23" i="53"/>
  <c r="S23" i="53"/>
  <c r="T23" i="53"/>
  <c r="U23" i="53"/>
  <c r="V23" i="53"/>
  <c r="W23" i="53"/>
  <c r="X23" i="53"/>
  <c r="Y23" i="53"/>
  <c r="Z23" i="53"/>
  <c r="AA23" i="53"/>
  <c r="AB23" i="53"/>
  <c r="AC23" i="53"/>
  <c r="AD23" i="53"/>
  <c r="AE23" i="53"/>
  <c r="AF23" i="53"/>
  <c r="AG23" i="53"/>
  <c r="F24" i="53"/>
  <c r="G24" i="53"/>
  <c r="H24" i="53"/>
  <c r="I24" i="53"/>
  <c r="J24" i="53"/>
  <c r="K24" i="53"/>
  <c r="L24" i="53"/>
  <c r="M24" i="53"/>
  <c r="N24" i="53"/>
  <c r="O24" i="53"/>
  <c r="P24" i="53"/>
  <c r="Q24" i="53"/>
  <c r="R24" i="53"/>
  <c r="S24" i="53"/>
  <c r="T24" i="53"/>
  <c r="U24" i="53"/>
  <c r="V24" i="53"/>
  <c r="W24" i="53"/>
  <c r="X24" i="53"/>
  <c r="Y24" i="53"/>
  <c r="Z24" i="53"/>
  <c r="AA24" i="53"/>
  <c r="AB24" i="53"/>
  <c r="AC24" i="53"/>
  <c r="AD24" i="53"/>
  <c r="AE24" i="53"/>
  <c r="AF24" i="53"/>
  <c r="AG24" i="53"/>
  <c r="E25" i="53"/>
  <c r="F25" i="53"/>
  <c r="G25" i="53"/>
  <c r="H25" i="53"/>
  <c r="I25" i="53"/>
  <c r="J25" i="53"/>
  <c r="K25" i="53"/>
  <c r="L25" i="53"/>
  <c r="M25" i="53"/>
  <c r="N25" i="53"/>
  <c r="O25" i="53"/>
  <c r="P25" i="53"/>
  <c r="Q25" i="53"/>
  <c r="R25" i="53"/>
  <c r="S25" i="53"/>
  <c r="T25" i="53"/>
  <c r="U25" i="53"/>
  <c r="V25" i="53"/>
  <c r="W25" i="53"/>
  <c r="X25" i="53"/>
  <c r="Y25" i="53"/>
  <c r="Z25" i="53"/>
  <c r="AA25" i="53"/>
  <c r="AB25" i="53"/>
  <c r="AC25" i="53"/>
  <c r="AD25" i="53"/>
  <c r="AE25" i="53"/>
  <c r="AF25" i="53"/>
  <c r="AG25" i="53"/>
  <c r="E26" i="53"/>
  <c r="F26" i="53"/>
  <c r="G26" i="53"/>
  <c r="H26" i="53"/>
  <c r="I26" i="53"/>
  <c r="J26" i="53"/>
  <c r="K26" i="53"/>
  <c r="L26" i="53"/>
  <c r="M26" i="53"/>
  <c r="N26" i="53"/>
  <c r="O26" i="53"/>
  <c r="P26" i="53"/>
  <c r="Q26" i="53"/>
  <c r="R26" i="53"/>
  <c r="S26" i="53"/>
  <c r="T26" i="53"/>
  <c r="U26" i="53"/>
  <c r="V26" i="53"/>
  <c r="W26" i="53"/>
  <c r="X26" i="53"/>
  <c r="Y26" i="53"/>
  <c r="Z26" i="53"/>
  <c r="AA26" i="53"/>
  <c r="AB26" i="53"/>
  <c r="AC26" i="53"/>
  <c r="AD26" i="53"/>
  <c r="AE26" i="53"/>
  <c r="AF26" i="53"/>
  <c r="AG26" i="53"/>
  <c r="H29" i="53"/>
  <c r="I29" i="53"/>
  <c r="J29" i="53"/>
  <c r="K29" i="53"/>
  <c r="L29" i="53"/>
  <c r="M29" i="53"/>
  <c r="N29" i="53"/>
  <c r="O29" i="53"/>
  <c r="P29" i="53"/>
  <c r="Q29" i="53"/>
  <c r="R29" i="53"/>
  <c r="S29" i="53"/>
  <c r="T29" i="53"/>
  <c r="U29" i="53"/>
  <c r="V29" i="53"/>
  <c r="W29" i="53"/>
  <c r="X29" i="53"/>
  <c r="Y29" i="53"/>
  <c r="Z29" i="53"/>
  <c r="AA29" i="53"/>
  <c r="AB29" i="53"/>
  <c r="AC29" i="53"/>
  <c r="AD29" i="53"/>
  <c r="AE29" i="53"/>
  <c r="AF29" i="53"/>
  <c r="H30" i="53"/>
  <c r="I30" i="53"/>
  <c r="J30" i="53"/>
  <c r="K30" i="53"/>
  <c r="L30" i="53"/>
  <c r="M30" i="53"/>
  <c r="N30" i="53"/>
  <c r="O30" i="53"/>
  <c r="P30" i="53"/>
  <c r="Q30" i="53"/>
  <c r="R30" i="53"/>
  <c r="S30" i="53"/>
  <c r="T30" i="53"/>
  <c r="U30" i="53"/>
  <c r="V30" i="53"/>
  <c r="W30" i="53"/>
  <c r="X30" i="53"/>
  <c r="Y30" i="53"/>
  <c r="Z30" i="53"/>
  <c r="AA30" i="53"/>
  <c r="AB30" i="53"/>
  <c r="AC30" i="53"/>
  <c r="AD30" i="53"/>
  <c r="AE30" i="53"/>
  <c r="AF30" i="53"/>
  <c r="F31" i="53"/>
  <c r="G31" i="53"/>
  <c r="H31" i="53"/>
  <c r="I31" i="53"/>
  <c r="J31" i="53"/>
  <c r="K31" i="53"/>
  <c r="L31" i="53"/>
  <c r="M31" i="53"/>
  <c r="N31" i="53"/>
  <c r="O31" i="53"/>
  <c r="P31" i="53"/>
  <c r="Q31" i="53"/>
  <c r="R31" i="53"/>
  <c r="S31" i="53"/>
  <c r="T31" i="53"/>
  <c r="U31" i="53"/>
  <c r="V31" i="53"/>
  <c r="W31" i="53"/>
  <c r="X31" i="53"/>
  <c r="Y31" i="53"/>
  <c r="Z31" i="53"/>
  <c r="AA31" i="53"/>
  <c r="AB31" i="53"/>
  <c r="AC31" i="53"/>
  <c r="AD31" i="53"/>
  <c r="AE31" i="53"/>
  <c r="AF31" i="53"/>
  <c r="AG31" i="53"/>
  <c r="F33" i="53"/>
  <c r="G33" i="53"/>
  <c r="H33" i="53"/>
  <c r="I33" i="53"/>
  <c r="J33" i="53"/>
  <c r="K33" i="53"/>
  <c r="L33" i="53"/>
  <c r="M33" i="53"/>
  <c r="N33" i="53"/>
  <c r="O33" i="53"/>
  <c r="P33" i="53"/>
  <c r="Q33" i="53"/>
  <c r="R33" i="53"/>
  <c r="S33" i="53"/>
  <c r="T33" i="53"/>
  <c r="U33" i="53"/>
  <c r="V33" i="53"/>
  <c r="W33" i="53"/>
  <c r="X33" i="53"/>
  <c r="Y33" i="53"/>
  <c r="Z33" i="53"/>
  <c r="AA33" i="53"/>
  <c r="AB33" i="53"/>
  <c r="AC33" i="53"/>
  <c r="AD33" i="53"/>
  <c r="AE33" i="53"/>
  <c r="AF33" i="53"/>
  <c r="AG33" i="53"/>
  <c r="F34" i="53"/>
  <c r="G34" i="53"/>
  <c r="H34" i="53"/>
  <c r="I34" i="53"/>
  <c r="J34" i="53"/>
  <c r="K34" i="53"/>
  <c r="L34" i="53"/>
  <c r="M34" i="53"/>
  <c r="N34" i="53"/>
  <c r="O34" i="53"/>
  <c r="P34" i="53"/>
  <c r="Q34" i="53"/>
  <c r="R34" i="53"/>
  <c r="S34" i="53"/>
  <c r="T34" i="53"/>
  <c r="U34" i="53"/>
  <c r="V34" i="53"/>
  <c r="W34" i="53"/>
  <c r="X34" i="53"/>
  <c r="Y34" i="53"/>
  <c r="Z34" i="53"/>
  <c r="AA34" i="53"/>
  <c r="AB34" i="53"/>
  <c r="AC34" i="53"/>
  <c r="AD34" i="53"/>
  <c r="AE34" i="53"/>
  <c r="AF34" i="53"/>
  <c r="AG34" i="53"/>
  <c r="F35" i="53"/>
  <c r="G35" i="53"/>
  <c r="H35" i="53"/>
  <c r="I35" i="53"/>
  <c r="J35" i="53"/>
  <c r="K35" i="53"/>
  <c r="L35" i="53"/>
  <c r="M35" i="53"/>
  <c r="N35" i="53"/>
  <c r="O35" i="53"/>
  <c r="P35" i="53"/>
  <c r="Q35" i="53"/>
  <c r="R35" i="53"/>
  <c r="S35" i="53"/>
  <c r="T35" i="53"/>
  <c r="U35" i="53"/>
  <c r="V35" i="53"/>
  <c r="W35" i="53"/>
  <c r="X35" i="53"/>
  <c r="Y35" i="53"/>
  <c r="Z35" i="53"/>
  <c r="AA35" i="53"/>
  <c r="AB35" i="53"/>
  <c r="AC35" i="53"/>
  <c r="AD35" i="53"/>
  <c r="AE35" i="53"/>
  <c r="AF35" i="53"/>
  <c r="AG35" i="53"/>
  <c r="E36" i="53"/>
  <c r="F36" i="53"/>
  <c r="G36" i="53"/>
  <c r="H36" i="53"/>
  <c r="I36" i="53"/>
  <c r="J36" i="53"/>
  <c r="K36" i="53"/>
  <c r="L36" i="53"/>
  <c r="M36" i="53"/>
  <c r="N36" i="53"/>
  <c r="O36" i="53"/>
  <c r="P36" i="53"/>
  <c r="Q36" i="53"/>
  <c r="R36" i="53"/>
  <c r="S36" i="53"/>
  <c r="T36" i="53"/>
  <c r="U36" i="53"/>
  <c r="V36" i="53"/>
  <c r="W36" i="53"/>
  <c r="X36" i="53"/>
  <c r="Y36" i="53"/>
  <c r="Z36" i="53"/>
  <c r="AA36" i="53"/>
  <c r="AB36" i="53"/>
  <c r="AC36" i="53"/>
  <c r="AD36" i="53"/>
  <c r="AE36" i="53"/>
  <c r="AF36" i="53"/>
  <c r="AG36" i="53"/>
  <c r="F37" i="53"/>
  <c r="G37" i="53"/>
  <c r="H37" i="53"/>
  <c r="I37" i="53"/>
  <c r="J37" i="53"/>
  <c r="K37" i="53"/>
  <c r="L37" i="53"/>
  <c r="M37" i="53"/>
  <c r="N37" i="53"/>
  <c r="O37" i="53"/>
  <c r="P37" i="53"/>
  <c r="Q37" i="53"/>
  <c r="R37" i="53"/>
  <c r="S37" i="53"/>
  <c r="T37" i="53"/>
  <c r="U37" i="53"/>
  <c r="V37" i="53"/>
  <c r="W37" i="53"/>
  <c r="X37" i="53"/>
  <c r="Y37" i="53"/>
  <c r="Z37" i="53"/>
  <c r="AA37" i="53"/>
  <c r="AB37" i="53"/>
  <c r="AC37" i="53"/>
  <c r="AD37" i="53"/>
  <c r="AE37" i="53"/>
  <c r="AF37" i="53"/>
  <c r="AG37" i="53"/>
  <c r="E38" i="53"/>
  <c r="F38" i="53"/>
  <c r="G38" i="53"/>
  <c r="H38" i="53"/>
  <c r="I38" i="53"/>
  <c r="J38" i="53"/>
  <c r="K38" i="53"/>
  <c r="L38" i="53"/>
  <c r="M38" i="53"/>
  <c r="N38" i="53"/>
  <c r="O38" i="53"/>
  <c r="P38" i="53"/>
  <c r="Q38" i="53"/>
  <c r="R38" i="53"/>
  <c r="S38" i="53"/>
  <c r="T38" i="53"/>
  <c r="U38" i="53"/>
  <c r="V38" i="53"/>
  <c r="W38" i="53"/>
  <c r="X38" i="53"/>
  <c r="Y38" i="53"/>
  <c r="Z38" i="53"/>
  <c r="AA38" i="53"/>
  <c r="AB38" i="53"/>
  <c r="AC38" i="53"/>
  <c r="AD38" i="53"/>
  <c r="AE38" i="53"/>
  <c r="AF38" i="53"/>
  <c r="AG38" i="53"/>
  <c r="E39" i="53"/>
  <c r="F39" i="53"/>
  <c r="G39" i="53"/>
  <c r="H39" i="53"/>
  <c r="I39" i="53"/>
  <c r="J39" i="53"/>
  <c r="K39" i="53"/>
  <c r="L39" i="53"/>
  <c r="M39" i="53"/>
  <c r="N39" i="53"/>
  <c r="O39" i="53"/>
  <c r="P39" i="53"/>
  <c r="Q39" i="53"/>
  <c r="R39" i="53"/>
  <c r="S39" i="53"/>
  <c r="T39" i="53"/>
  <c r="U39" i="53"/>
  <c r="V39" i="53"/>
  <c r="W39" i="53"/>
  <c r="X39" i="53"/>
  <c r="Y39" i="53"/>
  <c r="Z39" i="53"/>
  <c r="AA39" i="53"/>
  <c r="AB39" i="53"/>
  <c r="AC39" i="53"/>
  <c r="AD39" i="53"/>
  <c r="AE39" i="53"/>
  <c r="AF39" i="53"/>
  <c r="AG39" i="53"/>
  <c r="H42" i="53"/>
  <c r="I42" i="53"/>
  <c r="J42" i="53"/>
  <c r="K42" i="53"/>
  <c r="L42" i="53"/>
  <c r="M42" i="53"/>
  <c r="N42" i="53"/>
  <c r="O42" i="53"/>
  <c r="P42" i="53"/>
  <c r="Q42" i="53"/>
  <c r="R42" i="53"/>
  <c r="S42" i="53"/>
  <c r="T42" i="53"/>
  <c r="U42" i="53"/>
  <c r="V42" i="53"/>
  <c r="W42" i="53"/>
  <c r="X42" i="53"/>
  <c r="Y42" i="53"/>
  <c r="Z42" i="53"/>
  <c r="AA42" i="53"/>
  <c r="AB42" i="53"/>
  <c r="AC42" i="53"/>
  <c r="AD42" i="53"/>
  <c r="AE42" i="53"/>
  <c r="AF42" i="53"/>
  <c r="H43" i="53"/>
  <c r="I43" i="53"/>
  <c r="J43" i="53"/>
  <c r="K43" i="53"/>
  <c r="L43" i="53"/>
  <c r="M43" i="53"/>
  <c r="N43" i="53"/>
  <c r="O43" i="53"/>
  <c r="P43" i="53"/>
  <c r="Q43" i="53"/>
  <c r="R43" i="53"/>
  <c r="S43" i="53"/>
  <c r="T43" i="53"/>
  <c r="U43" i="53"/>
  <c r="V43" i="53"/>
  <c r="W43" i="53"/>
  <c r="X43" i="53"/>
  <c r="Y43" i="53"/>
  <c r="Z43" i="53"/>
  <c r="AA43" i="53"/>
  <c r="AB43" i="53"/>
  <c r="AC43" i="53"/>
  <c r="AD43" i="53"/>
  <c r="AE43" i="53"/>
  <c r="AF43" i="53"/>
  <c r="F44" i="53"/>
  <c r="G44" i="53"/>
  <c r="H44" i="53"/>
  <c r="I44" i="53"/>
  <c r="J44" i="53"/>
  <c r="K44" i="53"/>
  <c r="L44" i="53"/>
  <c r="M44" i="53"/>
  <c r="N44" i="53"/>
  <c r="O44" i="53"/>
  <c r="P44" i="53"/>
  <c r="Q44" i="53"/>
  <c r="R44" i="53"/>
  <c r="S44" i="53"/>
  <c r="T44" i="53"/>
  <c r="U44" i="53"/>
  <c r="V44" i="53"/>
  <c r="W44" i="53"/>
  <c r="X44" i="53"/>
  <c r="Y44" i="53"/>
  <c r="Z44" i="53"/>
  <c r="AA44" i="53"/>
  <c r="AB44" i="53"/>
  <c r="AC44" i="53"/>
  <c r="AD44" i="53"/>
  <c r="AE44" i="53"/>
  <c r="AF44" i="53"/>
  <c r="AG44" i="53"/>
  <c r="F46" i="53"/>
  <c r="G46" i="53"/>
  <c r="H46" i="53"/>
  <c r="I46" i="53"/>
  <c r="J46" i="53"/>
  <c r="K46" i="53"/>
  <c r="L46" i="53"/>
  <c r="M46" i="53"/>
  <c r="N46" i="53"/>
  <c r="O46" i="53"/>
  <c r="P46" i="53"/>
  <c r="Q46" i="53"/>
  <c r="R46" i="53"/>
  <c r="S46" i="53"/>
  <c r="T46" i="53"/>
  <c r="U46" i="53"/>
  <c r="V46" i="53"/>
  <c r="W46" i="53"/>
  <c r="X46" i="53"/>
  <c r="Y46" i="53"/>
  <c r="Z46" i="53"/>
  <c r="AA46" i="53"/>
  <c r="AB46" i="53"/>
  <c r="AC46" i="53"/>
  <c r="AD46" i="53"/>
  <c r="AE46" i="53"/>
  <c r="AF46" i="53"/>
  <c r="AG46" i="53"/>
  <c r="F47" i="53"/>
  <c r="G47" i="53"/>
  <c r="H47" i="53"/>
  <c r="I47" i="53"/>
  <c r="J47" i="53"/>
  <c r="K47" i="53"/>
  <c r="L47" i="53"/>
  <c r="M47" i="53"/>
  <c r="N47" i="53"/>
  <c r="O47" i="53"/>
  <c r="P47" i="53"/>
  <c r="Q47" i="53"/>
  <c r="R47" i="53"/>
  <c r="S47" i="53"/>
  <c r="T47" i="53"/>
  <c r="U47" i="53"/>
  <c r="V47" i="53"/>
  <c r="W47" i="53"/>
  <c r="X47" i="53"/>
  <c r="Y47" i="53"/>
  <c r="Z47" i="53"/>
  <c r="AA47" i="53"/>
  <c r="AB47" i="53"/>
  <c r="AC47" i="53"/>
  <c r="AD47" i="53"/>
  <c r="AE47" i="53"/>
  <c r="AF47" i="53"/>
  <c r="AG47" i="53"/>
  <c r="F48" i="53"/>
  <c r="G48" i="53"/>
  <c r="H48" i="53"/>
  <c r="I48" i="53"/>
  <c r="J48" i="53"/>
  <c r="K48" i="53"/>
  <c r="L48" i="53"/>
  <c r="M48" i="53"/>
  <c r="N48" i="53"/>
  <c r="O48" i="53"/>
  <c r="P48" i="53"/>
  <c r="Q48" i="53"/>
  <c r="R48" i="53"/>
  <c r="S48" i="53"/>
  <c r="T48" i="53"/>
  <c r="U48" i="53"/>
  <c r="V48" i="53"/>
  <c r="W48" i="53"/>
  <c r="X48" i="53"/>
  <c r="Y48" i="53"/>
  <c r="Z48" i="53"/>
  <c r="AA48" i="53"/>
  <c r="AB48" i="53"/>
  <c r="AC48" i="53"/>
  <c r="AD48" i="53"/>
  <c r="AE48" i="53"/>
  <c r="AF48" i="53"/>
  <c r="AG48" i="53"/>
  <c r="E49" i="53"/>
  <c r="F49" i="53"/>
  <c r="G49" i="53"/>
  <c r="H49" i="53"/>
  <c r="I49" i="53"/>
  <c r="J49" i="53"/>
  <c r="K49" i="53"/>
  <c r="L49" i="53"/>
  <c r="M49" i="53"/>
  <c r="N49" i="53"/>
  <c r="O49" i="53"/>
  <c r="P49" i="53"/>
  <c r="Q49" i="53"/>
  <c r="R49" i="53"/>
  <c r="S49" i="53"/>
  <c r="T49" i="53"/>
  <c r="U49" i="53"/>
  <c r="V49" i="53"/>
  <c r="W49" i="53"/>
  <c r="X49" i="53"/>
  <c r="Y49" i="53"/>
  <c r="Z49" i="53"/>
  <c r="AA49" i="53"/>
  <c r="AB49" i="53"/>
  <c r="AC49" i="53"/>
  <c r="AD49" i="53"/>
  <c r="AE49" i="53"/>
  <c r="AF49" i="53"/>
  <c r="AG49" i="53"/>
  <c r="F50" i="53"/>
  <c r="G50" i="53"/>
  <c r="H50" i="53"/>
  <c r="I50" i="53"/>
  <c r="J50" i="53"/>
  <c r="K50" i="53"/>
  <c r="L50" i="53"/>
  <c r="M50" i="53"/>
  <c r="N50" i="53"/>
  <c r="O50" i="53"/>
  <c r="P50" i="53"/>
  <c r="Q50" i="53"/>
  <c r="R50" i="53"/>
  <c r="S50" i="53"/>
  <c r="T50" i="53"/>
  <c r="U50" i="53"/>
  <c r="V50" i="53"/>
  <c r="W50" i="53"/>
  <c r="X50" i="53"/>
  <c r="Y50" i="53"/>
  <c r="Z50" i="53"/>
  <c r="AA50" i="53"/>
  <c r="AB50" i="53"/>
  <c r="AC50" i="53"/>
  <c r="AD50" i="53"/>
  <c r="AE50" i="53"/>
  <c r="AF50" i="53"/>
  <c r="AG50" i="53"/>
  <c r="E51" i="53"/>
  <c r="F51" i="53"/>
  <c r="G51" i="53"/>
  <c r="H51" i="53"/>
  <c r="I51" i="53"/>
  <c r="J51" i="53"/>
  <c r="K51" i="53"/>
  <c r="L51" i="53"/>
  <c r="M51" i="53"/>
  <c r="N51" i="53"/>
  <c r="O51" i="53"/>
  <c r="P51" i="53"/>
  <c r="Q51" i="53"/>
  <c r="R51" i="53"/>
  <c r="S51" i="53"/>
  <c r="T51" i="53"/>
  <c r="U51" i="53"/>
  <c r="V51" i="53"/>
  <c r="W51" i="53"/>
  <c r="X51" i="53"/>
  <c r="Y51" i="53"/>
  <c r="Z51" i="53"/>
  <c r="AA51" i="53"/>
  <c r="AB51" i="53"/>
  <c r="AC51" i="53"/>
  <c r="AD51" i="53"/>
  <c r="AE51" i="53"/>
  <c r="AF51" i="53"/>
  <c r="AG51" i="53"/>
  <c r="E52" i="53"/>
  <c r="F52" i="53"/>
  <c r="G52" i="53"/>
  <c r="H52" i="53"/>
  <c r="I52" i="53"/>
  <c r="J52" i="53"/>
  <c r="K52" i="53"/>
  <c r="L52" i="53"/>
  <c r="M52" i="53"/>
  <c r="N52" i="53"/>
  <c r="O52" i="53"/>
  <c r="P52" i="53"/>
  <c r="Q52" i="53"/>
  <c r="R52" i="53"/>
  <c r="S52" i="53"/>
  <c r="T52" i="53"/>
  <c r="U52" i="53"/>
  <c r="V52" i="53"/>
  <c r="W52" i="53"/>
  <c r="X52" i="53"/>
  <c r="Y52" i="53"/>
  <c r="Z52" i="53"/>
  <c r="AA52" i="53"/>
  <c r="AB52" i="53"/>
  <c r="AC52" i="53"/>
  <c r="AD52" i="53"/>
  <c r="AE52" i="53"/>
  <c r="AF52" i="53"/>
  <c r="AG52" i="53"/>
  <c r="D54" i="53"/>
  <c r="E54" i="53"/>
  <c r="F54" i="53"/>
  <c r="G54" i="53"/>
  <c r="H54" i="53"/>
  <c r="I54" i="53"/>
  <c r="J54" i="53"/>
  <c r="K54" i="53"/>
  <c r="L54" i="53"/>
  <c r="M54" i="53"/>
  <c r="N54" i="53"/>
  <c r="O54" i="53"/>
  <c r="P54" i="53"/>
  <c r="Q54" i="53"/>
  <c r="R54" i="53"/>
  <c r="S54" i="53"/>
  <c r="T54" i="53"/>
  <c r="U54" i="53"/>
  <c r="V54" i="53"/>
  <c r="W54" i="53"/>
  <c r="X54" i="53"/>
  <c r="Y54" i="53"/>
  <c r="Z54" i="53"/>
  <c r="AA54" i="53"/>
  <c r="AB54" i="53"/>
  <c r="AC54" i="53"/>
  <c r="AD54" i="53"/>
  <c r="AE54" i="53"/>
  <c r="AF54" i="53"/>
  <c r="AG54" i="53"/>
  <c r="H57" i="53"/>
  <c r="I57" i="53"/>
  <c r="J57" i="53"/>
  <c r="K57" i="53"/>
  <c r="L57" i="53"/>
  <c r="M57" i="53"/>
  <c r="N57" i="53"/>
  <c r="O57" i="53"/>
  <c r="P57" i="53"/>
  <c r="Q57" i="53"/>
  <c r="R57" i="53"/>
  <c r="S57" i="53"/>
  <c r="T57" i="53"/>
  <c r="U57" i="53"/>
  <c r="V57" i="53"/>
  <c r="W57" i="53"/>
  <c r="X57" i="53"/>
  <c r="Y57" i="53"/>
  <c r="Z57" i="53"/>
  <c r="AA57" i="53"/>
  <c r="AB57" i="53"/>
  <c r="AC57" i="53"/>
  <c r="AD57" i="53"/>
  <c r="AE57" i="53"/>
  <c r="AF57" i="53"/>
  <c r="H58" i="53"/>
  <c r="I58" i="53"/>
  <c r="J58" i="53"/>
  <c r="K58" i="53"/>
  <c r="L58" i="53"/>
  <c r="M58" i="53"/>
  <c r="N58" i="53"/>
  <c r="O58" i="53"/>
  <c r="P58" i="53"/>
  <c r="Q58" i="53"/>
  <c r="R58" i="53"/>
  <c r="S58" i="53"/>
  <c r="T58" i="53"/>
  <c r="U58" i="53"/>
  <c r="V58" i="53"/>
  <c r="W58" i="53"/>
  <c r="X58" i="53"/>
  <c r="Y58" i="53"/>
  <c r="Z58" i="53"/>
  <c r="AA58" i="53"/>
  <c r="AB58" i="53"/>
  <c r="AC58" i="53"/>
  <c r="AD58" i="53"/>
  <c r="AE58" i="53"/>
  <c r="AF58" i="53"/>
  <c r="F59" i="53"/>
  <c r="G59" i="53"/>
  <c r="H59" i="53"/>
  <c r="I59" i="53"/>
  <c r="J59" i="53"/>
  <c r="K59" i="53"/>
  <c r="L59" i="53"/>
  <c r="M59" i="53"/>
  <c r="N59" i="53"/>
  <c r="O59" i="53"/>
  <c r="P59" i="53"/>
  <c r="Q59" i="53"/>
  <c r="R59" i="53"/>
  <c r="S59" i="53"/>
  <c r="T59" i="53"/>
  <c r="U59" i="53"/>
  <c r="V59" i="53"/>
  <c r="W59" i="53"/>
  <c r="X59" i="53"/>
  <c r="Y59" i="53"/>
  <c r="Z59" i="53"/>
  <c r="AA59" i="53"/>
  <c r="AB59" i="53"/>
  <c r="AC59" i="53"/>
  <c r="AD59" i="53"/>
  <c r="AE59" i="53"/>
  <c r="AF59" i="53"/>
  <c r="AG59" i="53"/>
  <c r="F61" i="53"/>
  <c r="G61" i="53"/>
  <c r="H61" i="53"/>
  <c r="I61" i="53"/>
  <c r="J61" i="53"/>
  <c r="K61" i="53"/>
  <c r="L61" i="53"/>
  <c r="M61" i="53"/>
  <c r="N61" i="53"/>
  <c r="O61" i="53"/>
  <c r="P61" i="53"/>
  <c r="Q61" i="53"/>
  <c r="R61" i="53"/>
  <c r="S61" i="53"/>
  <c r="T61" i="53"/>
  <c r="U61" i="53"/>
  <c r="V61" i="53"/>
  <c r="W61" i="53"/>
  <c r="X61" i="53"/>
  <c r="Y61" i="53"/>
  <c r="Z61" i="53"/>
  <c r="AA61" i="53"/>
  <c r="AB61" i="53"/>
  <c r="AC61" i="53"/>
  <c r="AD61" i="53"/>
  <c r="AE61" i="53"/>
  <c r="AF61" i="53"/>
  <c r="AG61" i="53"/>
  <c r="F62" i="53"/>
  <c r="G62" i="53"/>
  <c r="H62" i="53"/>
  <c r="I62" i="53"/>
  <c r="J62" i="53"/>
  <c r="K62" i="53"/>
  <c r="L62" i="53"/>
  <c r="M62" i="53"/>
  <c r="N62" i="53"/>
  <c r="O62" i="53"/>
  <c r="P62" i="53"/>
  <c r="Q62" i="53"/>
  <c r="R62" i="53"/>
  <c r="S62" i="53"/>
  <c r="T62" i="53"/>
  <c r="U62" i="53"/>
  <c r="V62" i="53"/>
  <c r="W62" i="53"/>
  <c r="X62" i="53"/>
  <c r="Y62" i="53"/>
  <c r="Z62" i="53"/>
  <c r="AA62" i="53"/>
  <c r="AB62" i="53"/>
  <c r="AC62" i="53"/>
  <c r="AD62" i="53"/>
  <c r="AE62" i="53"/>
  <c r="AF62" i="53"/>
  <c r="AG62" i="53"/>
  <c r="F63" i="53"/>
  <c r="G63" i="53"/>
  <c r="H63" i="53"/>
  <c r="I63" i="53"/>
  <c r="J63" i="53"/>
  <c r="K63" i="53"/>
  <c r="L63" i="53"/>
  <c r="M63" i="53"/>
  <c r="N63" i="53"/>
  <c r="O63" i="53"/>
  <c r="P63" i="53"/>
  <c r="Q63" i="53"/>
  <c r="R63" i="53"/>
  <c r="S63" i="53"/>
  <c r="T63" i="53"/>
  <c r="U63" i="53"/>
  <c r="V63" i="53"/>
  <c r="W63" i="53"/>
  <c r="X63" i="53"/>
  <c r="Y63" i="53"/>
  <c r="Z63" i="53"/>
  <c r="AA63" i="53"/>
  <c r="AB63" i="53"/>
  <c r="AC63" i="53"/>
  <c r="AD63" i="53"/>
  <c r="AE63" i="53"/>
  <c r="AF63" i="53"/>
  <c r="AG63" i="53"/>
  <c r="E64" i="53"/>
  <c r="F64" i="53"/>
  <c r="G64" i="53"/>
  <c r="H64" i="53"/>
  <c r="I64" i="53"/>
  <c r="J64" i="53"/>
  <c r="K64" i="53"/>
  <c r="L64" i="53"/>
  <c r="M64" i="53"/>
  <c r="N64" i="53"/>
  <c r="O64" i="53"/>
  <c r="P64" i="53"/>
  <c r="Q64" i="53"/>
  <c r="R64" i="53"/>
  <c r="S64" i="53"/>
  <c r="T64" i="53"/>
  <c r="U64" i="53"/>
  <c r="V64" i="53"/>
  <c r="W64" i="53"/>
  <c r="X64" i="53"/>
  <c r="Y64" i="53"/>
  <c r="Z64" i="53"/>
  <c r="AA64" i="53"/>
  <c r="AB64" i="53"/>
  <c r="AC64" i="53"/>
  <c r="AD64" i="53"/>
  <c r="AE64" i="53"/>
  <c r="AF64" i="53"/>
  <c r="AG64" i="53"/>
  <c r="F65" i="53"/>
  <c r="G65" i="53"/>
  <c r="H65" i="53"/>
  <c r="I65" i="53"/>
  <c r="J65" i="53"/>
  <c r="K65" i="53"/>
  <c r="L65" i="53"/>
  <c r="M65" i="53"/>
  <c r="N65" i="53"/>
  <c r="O65" i="53"/>
  <c r="P65" i="53"/>
  <c r="Q65" i="53"/>
  <c r="R65" i="53"/>
  <c r="S65" i="53"/>
  <c r="T65" i="53"/>
  <c r="U65" i="53"/>
  <c r="V65" i="53"/>
  <c r="W65" i="53"/>
  <c r="X65" i="53"/>
  <c r="Y65" i="53"/>
  <c r="Z65" i="53"/>
  <c r="AA65" i="53"/>
  <c r="AB65" i="53"/>
  <c r="AC65" i="53"/>
  <c r="AD65" i="53"/>
  <c r="AE65" i="53"/>
  <c r="AF65" i="53"/>
  <c r="AG65" i="53"/>
  <c r="E66" i="53"/>
  <c r="F66" i="53"/>
  <c r="G66" i="53"/>
  <c r="H66" i="53"/>
  <c r="I66" i="53"/>
  <c r="J66" i="53"/>
  <c r="K66" i="53"/>
  <c r="L66" i="53"/>
  <c r="M66" i="53"/>
  <c r="N66" i="53"/>
  <c r="O66" i="53"/>
  <c r="P66" i="53"/>
  <c r="Q66" i="53"/>
  <c r="R66" i="53"/>
  <c r="S66" i="53"/>
  <c r="T66" i="53"/>
  <c r="U66" i="53"/>
  <c r="V66" i="53"/>
  <c r="W66" i="53"/>
  <c r="X66" i="53"/>
  <c r="Y66" i="53"/>
  <c r="Z66" i="53"/>
  <c r="AA66" i="53"/>
  <c r="AB66" i="53"/>
  <c r="AC66" i="53"/>
  <c r="AD66" i="53"/>
  <c r="AE66" i="53"/>
  <c r="AF66" i="53"/>
  <c r="AG66" i="53"/>
  <c r="E67" i="53"/>
  <c r="F67" i="53"/>
  <c r="G67" i="53"/>
  <c r="H67" i="53"/>
  <c r="I67" i="53"/>
  <c r="J67" i="53"/>
  <c r="K67" i="53"/>
  <c r="L67" i="53"/>
  <c r="M67" i="53"/>
  <c r="N67" i="53"/>
  <c r="O67" i="53"/>
  <c r="P67" i="53"/>
  <c r="Q67" i="53"/>
  <c r="R67" i="53"/>
  <c r="S67" i="53"/>
  <c r="T67" i="53"/>
  <c r="U67" i="53"/>
  <c r="V67" i="53"/>
  <c r="W67" i="53"/>
  <c r="X67" i="53"/>
  <c r="Y67" i="53"/>
  <c r="Z67" i="53"/>
  <c r="AA67" i="53"/>
  <c r="AB67" i="53"/>
  <c r="AC67" i="53"/>
  <c r="AD67" i="53"/>
  <c r="AE67" i="53"/>
  <c r="AF67" i="53"/>
  <c r="AG67" i="53"/>
  <c r="E68" i="53"/>
  <c r="F68" i="53"/>
  <c r="G68" i="53"/>
  <c r="H68" i="53"/>
  <c r="I68" i="53"/>
  <c r="J68" i="53"/>
  <c r="K68" i="53"/>
  <c r="L68" i="53"/>
  <c r="M68" i="53"/>
  <c r="N68" i="53"/>
  <c r="O68" i="53"/>
  <c r="P68" i="53"/>
  <c r="Q68" i="53"/>
  <c r="R68" i="53"/>
  <c r="S68" i="53"/>
  <c r="T68" i="53"/>
  <c r="U68" i="53"/>
  <c r="V68" i="53"/>
  <c r="W68" i="53"/>
  <c r="X68" i="53"/>
  <c r="Y68" i="53"/>
  <c r="Z68" i="53"/>
  <c r="AA68" i="53"/>
  <c r="AB68" i="53"/>
  <c r="AC68" i="53"/>
  <c r="AD68" i="53"/>
  <c r="AE68" i="53"/>
  <c r="AF68" i="53"/>
  <c r="AG68" i="53"/>
  <c r="D70" i="53"/>
  <c r="E70" i="53"/>
  <c r="F70" i="53"/>
  <c r="G70" i="53"/>
  <c r="H70" i="53"/>
  <c r="I70" i="53"/>
  <c r="J70" i="53"/>
  <c r="K70" i="53"/>
  <c r="L70" i="53"/>
  <c r="M70" i="53"/>
  <c r="N70" i="53"/>
  <c r="O70" i="53"/>
  <c r="P70" i="53"/>
  <c r="Q70" i="53"/>
  <c r="R70" i="53"/>
  <c r="S70" i="53"/>
  <c r="T70" i="53"/>
  <c r="U70" i="53"/>
  <c r="V70" i="53"/>
  <c r="W70" i="53"/>
  <c r="X70" i="53"/>
  <c r="Y70" i="53"/>
  <c r="Z70" i="53"/>
  <c r="AA70" i="53"/>
  <c r="AB70" i="53"/>
  <c r="AC70" i="53"/>
  <c r="AD70" i="53"/>
  <c r="AE70" i="53"/>
  <c r="AF70" i="53"/>
  <c r="AG70" i="53"/>
  <c r="H74" i="53"/>
  <c r="I74" i="53"/>
  <c r="J74" i="53"/>
  <c r="K74" i="53"/>
  <c r="L74" i="53"/>
  <c r="M74" i="53"/>
  <c r="N74" i="53"/>
  <c r="O74" i="53"/>
  <c r="P74" i="53"/>
  <c r="Q74" i="53"/>
  <c r="R74" i="53"/>
  <c r="S74" i="53"/>
  <c r="T74" i="53"/>
  <c r="U74" i="53"/>
  <c r="V74" i="53"/>
  <c r="W74" i="53"/>
  <c r="X74" i="53"/>
  <c r="Y74" i="53"/>
  <c r="Z74" i="53"/>
  <c r="AA74" i="53"/>
  <c r="AB74" i="53"/>
  <c r="AC74" i="53"/>
  <c r="AD74" i="53"/>
  <c r="AE74" i="53"/>
  <c r="AF74" i="53"/>
  <c r="F76" i="53"/>
  <c r="G76" i="53"/>
  <c r="H76" i="53"/>
  <c r="I76" i="53"/>
  <c r="J76" i="53"/>
  <c r="K76" i="53"/>
  <c r="L76" i="53"/>
  <c r="M76" i="53"/>
  <c r="N76" i="53"/>
  <c r="O76" i="53"/>
  <c r="P76" i="53"/>
  <c r="Q76" i="53"/>
  <c r="R76" i="53"/>
  <c r="S76" i="53"/>
  <c r="T76" i="53"/>
  <c r="U76" i="53"/>
  <c r="V76" i="53"/>
  <c r="W76" i="53"/>
  <c r="X76" i="53"/>
  <c r="Y76" i="53"/>
  <c r="Z76" i="53"/>
  <c r="AA76" i="53"/>
  <c r="AB76" i="53"/>
  <c r="AC76" i="53"/>
  <c r="AD76" i="53"/>
  <c r="AE76" i="53"/>
  <c r="AF76" i="53"/>
  <c r="AG76" i="53"/>
  <c r="F77" i="53"/>
  <c r="G77" i="53"/>
  <c r="H77" i="53"/>
  <c r="I77" i="53"/>
  <c r="J77" i="53"/>
  <c r="K77" i="53"/>
  <c r="L77" i="53"/>
  <c r="M77" i="53"/>
  <c r="N77" i="53"/>
  <c r="O77" i="53"/>
  <c r="P77" i="53"/>
  <c r="Q77" i="53"/>
  <c r="R77" i="53"/>
  <c r="S77" i="53"/>
  <c r="T77" i="53"/>
  <c r="U77" i="53"/>
  <c r="V77" i="53"/>
  <c r="W77" i="53"/>
  <c r="X77" i="53"/>
  <c r="Y77" i="53"/>
  <c r="Z77" i="53"/>
  <c r="AA77" i="53"/>
  <c r="AB77" i="53"/>
  <c r="AC77" i="53"/>
  <c r="AD77" i="53"/>
  <c r="AE77" i="53"/>
  <c r="AF77" i="53"/>
  <c r="AG77" i="53"/>
  <c r="E78" i="53"/>
  <c r="F78" i="53"/>
  <c r="G78" i="53"/>
  <c r="H78" i="53"/>
  <c r="I78" i="53"/>
  <c r="J78" i="53"/>
  <c r="K78" i="53"/>
  <c r="L78" i="53"/>
  <c r="M78" i="53"/>
  <c r="N78" i="53"/>
  <c r="O78" i="53"/>
  <c r="P78" i="53"/>
  <c r="Q78" i="53"/>
  <c r="R78" i="53"/>
  <c r="S78" i="53"/>
  <c r="T78" i="53"/>
  <c r="U78" i="53"/>
  <c r="V78" i="53"/>
  <c r="W78" i="53"/>
  <c r="X78" i="53"/>
  <c r="Y78" i="53"/>
  <c r="Z78" i="53"/>
  <c r="AA78" i="53"/>
  <c r="AB78" i="53"/>
  <c r="AC78" i="53"/>
  <c r="AD78" i="53"/>
  <c r="AE78" i="53"/>
  <c r="AF78" i="53"/>
  <c r="AG78" i="53"/>
  <c r="F79" i="53"/>
  <c r="G79" i="53"/>
  <c r="H79" i="53"/>
  <c r="I79" i="53"/>
  <c r="J79" i="53"/>
  <c r="K79" i="53"/>
  <c r="L79" i="53"/>
  <c r="M79" i="53"/>
  <c r="N79" i="53"/>
  <c r="O79" i="53"/>
  <c r="P79" i="53"/>
  <c r="Q79" i="53"/>
  <c r="R79" i="53"/>
  <c r="S79" i="53"/>
  <c r="T79" i="53"/>
  <c r="U79" i="53"/>
  <c r="V79" i="53"/>
  <c r="W79" i="53"/>
  <c r="X79" i="53"/>
  <c r="Y79" i="53"/>
  <c r="Z79" i="53"/>
  <c r="AA79" i="53"/>
  <c r="AB79" i="53"/>
  <c r="AC79" i="53"/>
  <c r="AD79" i="53"/>
  <c r="AE79" i="53"/>
  <c r="AF79" i="53"/>
  <c r="AG79" i="53"/>
  <c r="E80" i="53"/>
  <c r="F80" i="53"/>
  <c r="G80" i="53"/>
  <c r="H80" i="53"/>
  <c r="I80" i="53"/>
  <c r="J80" i="53"/>
  <c r="K80" i="53"/>
  <c r="L80" i="53"/>
  <c r="M80" i="53"/>
  <c r="N80" i="53"/>
  <c r="O80" i="53"/>
  <c r="P80" i="53"/>
  <c r="Q80" i="53"/>
  <c r="R80" i="53"/>
  <c r="S80" i="53"/>
  <c r="T80" i="53"/>
  <c r="U80" i="53"/>
  <c r="V80" i="53"/>
  <c r="W80" i="53"/>
  <c r="X80" i="53"/>
  <c r="Y80" i="53"/>
  <c r="Z80" i="53"/>
  <c r="AA80" i="53"/>
  <c r="AB80" i="53"/>
  <c r="AC80" i="53"/>
  <c r="AD80" i="53"/>
  <c r="AE80" i="53"/>
  <c r="AF80" i="53"/>
  <c r="AG80" i="53"/>
  <c r="E81" i="53"/>
  <c r="F81" i="53"/>
  <c r="G81" i="53"/>
  <c r="H81" i="53"/>
  <c r="I81" i="53"/>
  <c r="J81" i="53"/>
  <c r="K81" i="53"/>
  <c r="L81" i="53"/>
  <c r="M81" i="53"/>
  <c r="N81" i="53"/>
  <c r="O81" i="53"/>
  <c r="P81" i="53"/>
  <c r="Q81" i="53"/>
  <c r="R81" i="53"/>
  <c r="S81" i="53"/>
  <c r="T81" i="53"/>
  <c r="U81" i="53"/>
  <c r="V81" i="53"/>
  <c r="W81" i="53"/>
  <c r="X81" i="53"/>
  <c r="Y81" i="53"/>
  <c r="Z81" i="53"/>
  <c r="AA81" i="53"/>
  <c r="AB81" i="53"/>
  <c r="AC81" i="53"/>
  <c r="AD81" i="53"/>
  <c r="AE81" i="53"/>
  <c r="AF81" i="53"/>
  <c r="AG81" i="53"/>
  <c r="E84" i="53"/>
  <c r="F84" i="53"/>
  <c r="G84" i="53"/>
  <c r="H84" i="53"/>
  <c r="I84" i="53"/>
  <c r="J84" i="53"/>
  <c r="K84" i="53"/>
  <c r="L84" i="53"/>
  <c r="M84" i="53"/>
  <c r="N84" i="53"/>
  <c r="O84" i="53"/>
  <c r="P84" i="53"/>
  <c r="Q84" i="53"/>
  <c r="R84" i="53"/>
  <c r="S84" i="53"/>
  <c r="T84" i="53"/>
  <c r="U84" i="53"/>
  <c r="V84" i="53"/>
  <c r="W84" i="53"/>
  <c r="X84" i="53"/>
  <c r="Y84" i="53"/>
  <c r="Z84" i="53"/>
  <c r="AA84" i="53"/>
  <c r="AB84" i="53"/>
  <c r="AC84" i="53"/>
  <c r="AD84" i="53"/>
  <c r="AE84" i="53"/>
  <c r="AF84" i="53"/>
  <c r="AG84" i="53"/>
  <c r="D85" i="53"/>
  <c r="E85" i="53"/>
  <c r="F85" i="53"/>
  <c r="G85" i="53"/>
  <c r="H85" i="53"/>
  <c r="I85" i="53"/>
  <c r="J85" i="53"/>
  <c r="K85" i="53"/>
  <c r="L85" i="53"/>
  <c r="M85" i="53"/>
  <c r="N85" i="53"/>
  <c r="O85" i="53"/>
  <c r="P85" i="53"/>
  <c r="Q85" i="53"/>
  <c r="R85" i="53"/>
  <c r="S85" i="53"/>
  <c r="T85" i="53"/>
  <c r="U85" i="53"/>
  <c r="V85" i="53"/>
  <c r="W85" i="53"/>
  <c r="X85" i="53"/>
  <c r="Y85" i="53"/>
  <c r="Z85" i="53"/>
  <c r="AA85" i="53"/>
  <c r="AB85" i="53"/>
  <c r="AC85" i="53"/>
  <c r="AD85" i="53"/>
  <c r="AE85" i="53"/>
  <c r="AF85" i="53"/>
  <c r="AG85" i="53"/>
  <c r="D86" i="53"/>
  <c r="E86" i="53"/>
  <c r="F86" i="53"/>
  <c r="G86" i="53"/>
  <c r="H86" i="53"/>
  <c r="I86" i="53"/>
  <c r="J86" i="53"/>
  <c r="K86" i="53"/>
  <c r="L86" i="53"/>
  <c r="M86" i="53"/>
  <c r="N86" i="53"/>
  <c r="O86" i="53"/>
  <c r="P86" i="53"/>
  <c r="Q86" i="53"/>
  <c r="R86" i="53"/>
  <c r="S86" i="53"/>
  <c r="T86" i="53"/>
  <c r="U86" i="53"/>
  <c r="V86" i="53"/>
  <c r="W86" i="53"/>
  <c r="X86" i="53"/>
  <c r="Y86" i="53"/>
  <c r="Z86" i="53"/>
  <c r="AA86" i="53"/>
  <c r="AB86" i="53"/>
  <c r="AC86" i="53"/>
  <c r="AD86" i="53"/>
  <c r="AE86" i="53"/>
  <c r="AF86" i="53"/>
  <c r="AG86" i="53"/>
  <c r="E88" i="53"/>
  <c r="F88" i="53"/>
  <c r="G88" i="53"/>
  <c r="H88" i="53"/>
  <c r="I88" i="53"/>
  <c r="J88" i="53"/>
  <c r="K88" i="53"/>
  <c r="L88" i="53"/>
  <c r="M88" i="53"/>
  <c r="N88" i="53"/>
  <c r="O88" i="53"/>
  <c r="P88" i="53"/>
  <c r="Q88" i="53"/>
  <c r="R88" i="53"/>
  <c r="S88" i="53"/>
  <c r="T88" i="53"/>
  <c r="U88" i="53"/>
  <c r="V88" i="53"/>
  <c r="W88" i="53"/>
  <c r="X88" i="53"/>
  <c r="Y88" i="53"/>
  <c r="Z88" i="53"/>
  <c r="AA88" i="53"/>
  <c r="AB88" i="53"/>
  <c r="AC88" i="53"/>
  <c r="AD88" i="53"/>
  <c r="AE88" i="53"/>
  <c r="AF88" i="53"/>
  <c r="AG88" i="53"/>
  <c r="E91" i="53"/>
  <c r="F91" i="53"/>
  <c r="G91" i="53"/>
  <c r="H91" i="53"/>
  <c r="I91" i="53"/>
  <c r="J91" i="53"/>
  <c r="K91" i="53"/>
  <c r="L91" i="53"/>
  <c r="M91" i="53"/>
  <c r="N91" i="53"/>
  <c r="O91" i="53"/>
  <c r="P91" i="53"/>
  <c r="Q91" i="53"/>
  <c r="R91" i="53"/>
  <c r="S91" i="53"/>
  <c r="T91" i="53"/>
  <c r="U91" i="53"/>
  <c r="V91" i="53"/>
  <c r="W91" i="53"/>
  <c r="X91" i="53"/>
  <c r="Y91" i="53"/>
  <c r="Z91" i="53"/>
  <c r="AA91" i="53"/>
  <c r="AB91" i="53"/>
  <c r="AC91" i="53"/>
  <c r="AD91" i="53"/>
  <c r="AE91" i="53"/>
  <c r="AF91" i="53"/>
  <c r="AG91" i="53"/>
  <c r="D93" i="53"/>
  <c r="E93" i="53"/>
  <c r="F93" i="53"/>
  <c r="G93" i="53"/>
  <c r="H93" i="53"/>
  <c r="I93" i="53"/>
  <c r="J93" i="53"/>
  <c r="K93" i="53"/>
  <c r="L93" i="53"/>
  <c r="M93" i="53"/>
  <c r="N93" i="53"/>
  <c r="O93" i="53"/>
  <c r="P93" i="53"/>
  <c r="Q93" i="53"/>
  <c r="R93" i="53"/>
  <c r="S93" i="53"/>
  <c r="T93" i="53"/>
  <c r="U93" i="53"/>
  <c r="V93" i="53"/>
  <c r="W93" i="53"/>
  <c r="X93" i="53"/>
  <c r="Y93" i="53"/>
  <c r="Z93" i="53"/>
  <c r="AA93" i="53"/>
  <c r="AB93" i="53"/>
  <c r="AC93" i="53"/>
  <c r="AD93" i="53"/>
  <c r="AE93" i="53"/>
  <c r="AF93" i="53"/>
  <c r="AG93" i="53"/>
  <c r="D94" i="53"/>
  <c r="E94" i="53"/>
  <c r="F94" i="53"/>
  <c r="G94" i="53"/>
  <c r="H94" i="53"/>
  <c r="I94" i="53"/>
  <c r="J94" i="53"/>
  <c r="K94" i="53"/>
  <c r="L94" i="53"/>
  <c r="M94" i="53"/>
  <c r="N94" i="53"/>
  <c r="O94" i="53"/>
  <c r="P94" i="53"/>
  <c r="Q94" i="53"/>
  <c r="R94" i="53"/>
  <c r="S94" i="53"/>
  <c r="T94" i="53"/>
  <c r="U94" i="53"/>
  <c r="V94" i="53"/>
  <c r="W94" i="53"/>
  <c r="X94" i="53"/>
  <c r="Y94" i="53"/>
  <c r="Z94" i="53"/>
  <c r="AA94" i="53"/>
  <c r="AB94" i="53"/>
  <c r="AC94" i="53"/>
  <c r="AD94" i="53"/>
  <c r="AE94" i="53"/>
  <c r="AF94" i="53"/>
  <c r="AG94" i="53"/>
  <c r="D95" i="53"/>
  <c r="E95" i="53"/>
  <c r="F95" i="53"/>
  <c r="G95" i="53"/>
  <c r="H95" i="53"/>
  <c r="I95" i="53"/>
  <c r="J95" i="53"/>
  <c r="K95" i="53"/>
  <c r="L95" i="53"/>
  <c r="M95" i="53"/>
  <c r="N95" i="53"/>
  <c r="O95" i="53"/>
  <c r="P95" i="53"/>
  <c r="Q95" i="53"/>
  <c r="R95" i="53"/>
  <c r="S95" i="53"/>
  <c r="T95" i="53"/>
  <c r="U95" i="53"/>
  <c r="V95" i="53"/>
  <c r="W95" i="53"/>
  <c r="X95" i="53"/>
  <c r="Y95" i="53"/>
  <c r="Z95" i="53"/>
  <c r="AA95" i="53"/>
  <c r="AB95" i="53"/>
  <c r="AC95" i="53"/>
  <c r="AD95" i="53"/>
  <c r="AE95" i="53"/>
  <c r="AF95" i="53"/>
  <c r="AG95" i="53"/>
  <c r="E98" i="53"/>
  <c r="F98" i="53"/>
  <c r="G98" i="53"/>
  <c r="H98" i="53"/>
  <c r="I98" i="53"/>
  <c r="J98" i="53"/>
  <c r="K98" i="53"/>
  <c r="L98" i="53"/>
  <c r="M98" i="53"/>
  <c r="N98" i="53"/>
  <c r="O98" i="53"/>
  <c r="P98" i="53"/>
  <c r="Q98" i="53"/>
  <c r="R98" i="53"/>
  <c r="S98" i="53"/>
  <c r="T98" i="53"/>
  <c r="U98" i="53"/>
  <c r="V98" i="53"/>
  <c r="W98" i="53"/>
  <c r="X98" i="53"/>
  <c r="Y98" i="53"/>
  <c r="Z98" i="53"/>
  <c r="AA98" i="53"/>
  <c r="AB98" i="53"/>
  <c r="AC98" i="53"/>
  <c r="AD98" i="53"/>
  <c r="AE98" i="53"/>
  <c r="AF98" i="53"/>
  <c r="AG98" i="53"/>
  <c r="E99" i="53"/>
  <c r="F99" i="53"/>
  <c r="G99" i="53"/>
  <c r="H99" i="53"/>
  <c r="I99" i="53"/>
  <c r="J99" i="53"/>
  <c r="K99" i="53"/>
  <c r="L99" i="53"/>
  <c r="M99" i="53"/>
  <c r="N99" i="53"/>
  <c r="O99" i="53"/>
  <c r="P99" i="53"/>
  <c r="Q99" i="53"/>
  <c r="R99" i="53"/>
  <c r="S99" i="53"/>
  <c r="T99" i="53"/>
  <c r="U99" i="53"/>
  <c r="V99" i="53"/>
  <c r="W99" i="53"/>
  <c r="X99" i="53"/>
  <c r="Y99" i="53"/>
  <c r="Z99" i="53"/>
  <c r="AA99" i="53"/>
  <c r="AB99" i="53"/>
  <c r="AC99" i="53"/>
  <c r="AD99" i="53"/>
  <c r="AE99" i="53"/>
  <c r="AF99" i="53"/>
  <c r="AG99" i="53"/>
  <c r="E100" i="53"/>
  <c r="F100" i="53"/>
  <c r="G100" i="53"/>
  <c r="H100" i="53"/>
  <c r="I100" i="53"/>
  <c r="J100" i="53"/>
  <c r="K100" i="53"/>
  <c r="L100" i="53"/>
  <c r="M100" i="53"/>
  <c r="N100" i="53"/>
  <c r="O100" i="53"/>
  <c r="P100" i="53"/>
  <c r="Q100" i="53"/>
  <c r="R100" i="53"/>
  <c r="S100" i="53"/>
  <c r="T100" i="53"/>
  <c r="U100" i="53"/>
  <c r="V100" i="53"/>
  <c r="W100" i="53"/>
  <c r="X100" i="53"/>
  <c r="Y100" i="53"/>
  <c r="Z100" i="53"/>
  <c r="AA100" i="53"/>
  <c r="AB100" i="53"/>
  <c r="AC100" i="53"/>
  <c r="AD100" i="53"/>
  <c r="AE100" i="53"/>
  <c r="AF100" i="53"/>
  <c r="AG100" i="53"/>
  <c r="F101" i="53"/>
  <c r="G101" i="53"/>
  <c r="H101" i="53"/>
  <c r="I101" i="53"/>
  <c r="J101" i="53"/>
  <c r="K101" i="53"/>
  <c r="L101" i="53"/>
  <c r="M101" i="53"/>
  <c r="N101" i="53"/>
  <c r="O101" i="53"/>
  <c r="P101" i="53"/>
  <c r="Q101" i="53"/>
  <c r="R101" i="53"/>
  <c r="S101" i="53"/>
  <c r="T101" i="53"/>
  <c r="U101" i="53"/>
  <c r="V101" i="53"/>
  <c r="W101" i="53"/>
  <c r="X101" i="53"/>
  <c r="Y101" i="53"/>
  <c r="Z101" i="53"/>
  <c r="AA101" i="53"/>
  <c r="AB101" i="53"/>
  <c r="AC101" i="53"/>
  <c r="AD101" i="53"/>
  <c r="AE101" i="53"/>
  <c r="AF101" i="53"/>
  <c r="AG101" i="53"/>
  <c r="E102" i="53"/>
  <c r="F102" i="53"/>
  <c r="G102" i="53"/>
  <c r="H102" i="53"/>
  <c r="I102" i="53"/>
  <c r="J102" i="53"/>
  <c r="K102" i="53"/>
  <c r="L102" i="53"/>
  <c r="M102" i="53"/>
  <c r="N102" i="53"/>
  <c r="O102" i="53"/>
  <c r="P102" i="53"/>
  <c r="Q102" i="53"/>
  <c r="R102" i="53"/>
  <c r="S102" i="53"/>
  <c r="T102" i="53"/>
  <c r="U102" i="53"/>
  <c r="V102" i="53"/>
  <c r="W102" i="53"/>
  <c r="X102" i="53"/>
  <c r="Y102" i="53"/>
  <c r="Z102" i="53"/>
  <c r="AA102" i="53"/>
  <c r="AB102" i="53"/>
  <c r="AC102" i="53"/>
  <c r="AD102" i="53"/>
  <c r="AE102" i="53"/>
  <c r="AF102" i="53"/>
  <c r="AG102" i="53"/>
  <c r="E103" i="53"/>
  <c r="F103" i="53"/>
  <c r="G103" i="53"/>
  <c r="H103" i="53"/>
  <c r="I103" i="53"/>
  <c r="J103" i="53"/>
  <c r="K103" i="53"/>
  <c r="L103" i="53"/>
  <c r="M103" i="53"/>
  <c r="N103" i="53"/>
  <c r="O103" i="53"/>
  <c r="P103" i="53"/>
  <c r="Q103" i="53"/>
  <c r="R103" i="53"/>
  <c r="S103" i="53"/>
  <c r="T103" i="53"/>
  <c r="U103" i="53"/>
  <c r="V103" i="53"/>
  <c r="W103" i="53"/>
  <c r="X103" i="53"/>
  <c r="Y103" i="53"/>
  <c r="Z103" i="53"/>
  <c r="AA103" i="53"/>
  <c r="AB103" i="53"/>
  <c r="AC103" i="53"/>
  <c r="AD103" i="53"/>
  <c r="AE103" i="53"/>
  <c r="AF103" i="53"/>
  <c r="AG103" i="53"/>
  <c r="E104" i="53"/>
  <c r="F104" i="53"/>
  <c r="G104" i="53"/>
  <c r="H104" i="53"/>
  <c r="I104" i="53"/>
  <c r="J104" i="53"/>
  <c r="K104" i="53"/>
  <c r="L104" i="53"/>
  <c r="M104" i="53"/>
  <c r="N104" i="53"/>
  <c r="O104" i="53"/>
  <c r="P104" i="53"/>
  <c r="Q104" i="53"/>
  <c r="R104" i="53"/>
  <c r="S104" i="53"/>
  <c r="T104" i="53"/>
  <c r="U104" i="53"/>
  <c r="V104" i="53"/>
  <c r="W104" i="53"/>
  <c r="X104" i="53"/>
  <c r="Y104" i="53"/>
  <c r="Z104" i="53"/>
  <c r="AA104" i="53"/>
  <c r="AB104" i="53"/>
  <c r="AC104" i="53"/>
  <c r="AD104" i="53"/>
  <c r="AE104" i="53"/>
  <c r="AF104" i="53"/>
  <c r="AG104" i="53"/>
  <c r="E105" i="53"/>
  <c r="F105" i="53"/>
  <c r="G105" i="53"/>
  <c r="H105" i="53"/>
  <c r="I105" i="53"/>
  <c r="J105" i="53"/>
  <c r="K105" i="53"/>
  <c r="L105" i="53"/>
  <c r="M105" i="53"/>
  <c r="N105" i="53"/>
  <c r="O105" i="53"/>
  <c r="P105" i="53"/>
  <c r="Q105" i="53"/>
  <c r="R105" i="53"/>
  <c r="S105" i="53"/>
  <c r="T105" i="53"/>
  <c r="U105" i="53"/>
  <c r="V105" i="53"/>
  <c r="W105" i="53"/>
  <c r="X105" i="53"/>
  <c r="Y105" i="53"/>
  <c r="Z105" i="53"/>
  <c r="AA105" i="53"/>
  <c r="AB105" i="53"/>
  <c r="AC105" i="53"/>
  <c r="AD105" i="53"/>
  <c r="AE105" i="53"/>
  <c r="AF105" i="53"/>
  <c r="AG105" i="53"/>
  <c r="E106" i="53"/>
  <c r="F106" i="53"/>
  <c r="G106" i="53"/>
  <c r="H106" i="53"/>
  <c r="I106" i="53"/>
  <c r="J106" i="53"/>
  <c r="K106" i="53"/>
  <c r="L106" i="53"/>
  <c r="M106" i="53"/>
  <c r="N106" i="53"/>
  <c r="O106" i="53"/>
  <c r="P106" i="53"/>
  <c r="Q106" i="53"/>
  <c r="R106" i="53"/>
  <c r="S106" i="53"/>
  <c r="T106" i="53"/>
  <c r="U106" i="53"/>
  <c r="V106" i="53"/>
  <c r="W106" i="53"/>
  <c r="X106" i="53"/>
  <c r="Y106" i="53"/>
  <c r="Z106" i="53"/>
  <c r="AA106" i="53"/>
  <c r="AB106" i="53"/>
  <c r="AC106" i="53"/>
  <c r="AD106" i="53"/>
  <c r="AE106" i="53"/>
  <c r="AF106" i="53"/>
  <c r="AG106" i="53"/>
  <c r="E107" i="53"/>
  <c r="F107" i="53"/>
  <c r="G107" i="53"/>
  <c r="H107" i="53"/>
  <c r="I107" i="53"/>
  <c r="J107" i="53"/>
  <c r="K107" i="53"/>
  <c r="L107" i="53"/>
  <c r="M107" i="53"/>
  <c r="N107" i="53"/>
  <c r="O107" i="53"/>
  <c r="P107" i="53"/>
  <c r="Q107" i="53"/>
  <c r="R107" i="53"/>
  <c r="S107" i="53"/>
  <c r="T107" i="53"/>
  <c r="U107" i="53"/>
  <c r="V107" i="53"/>
  <c r="W107" i="53"/>
  <c r="X107" i="53"/>
  <c r="Y107" i="53"/>
  <c r="Z107" i="53"/>
  <c r="AA107" i="53"/>
  <c r="AB107" i="53"/>
  <c r="AC107" i="53"/>
  <c r="AD107" i="53"/>
  <c r="AE107" i="53"/>
  <c r="AF107" i="53"/>
  <c r="AG107" i="53"/>
  <c r="J24" i="1"/>
  <c r="K24" i="1"/>
  <c r="L24" i="1"/>
  <c r="M24" i="1"/>
  <c r="N24" i="1"/>
  <c r="O24" i="1"/>
  <c r="P24" i="1"/>
  <c r="K25" i="1"/>
  <c r="L25" i="1"/>
  <c r="M25" i="1"/>
  <c r="N25" i="1"/>
  <c r="O25" i="1"/>
  <c r="P25" i="1"/>
  <c r="J26" i="1"/>
  <c r="K26" i="1"/>
  <c r="L26" i="1"/>
  <c r="M26" i="1"/>
  <c r="N26" i="1"/>
  <c r="O26" i="1"/>
  <c r="P26" i="1"/>
  <c r="F27" i="1"/>
  <c r="G27" i="1"/>
  <c r="H27" i="1"/>
  <c r="I27" i="1"/>
  <c r="J27" i="1"/>
  <c r="K27" i="1"/>
  <c r="L27" i="1"/>
  <c r="M27" i="1"/>
  <c r="N27" i="1"/>
  <c r="O27" i="1"/>
  <c r="P27" i="1"/>
  <c r="Q27" i="1"/>
  <c r="K31" i="1"/>
  <c r="L31" i="1"/>
  <c r="M31" i="1"/>
  <c r="N31" i="1"/>
  <c r="O31" i="1"/>
  <c r="P31" i="1"/>
  <c r="K32" i="1"/>
  <c r="L32" i="1"/>
  <c r="M32" i="1"/>
  <c r="N32" i="1"/>
  <c r="O32" i="1"/>
  <c r="P32" i="1"/>
  <c r="F38" i="1"/>
  <c r="G38" i="1"/>
  <c r="H38" i="1"/>
  <c r="I38" i="1"/>
  <c r="J38" i="1"/>
  <c r="K38" i="1"/>
  <c r="L38" i="1"/>
  <c r="M38" i="1"/>
  <c r="N38" i="1"/>
  <c r="O38" i="1"/>
  <c r="P38" i="1"/>
  <c r="Q38" i="1"/>
  <c r="F41" i="1"/>
  <c r="G41" i="1"/>
  <c r="H41" i="1"/>
  <c r="I41" i="1"/>
  <c r="J41" i="1"/>
  <c r="K41" i="1"/>
  <c r="L41" i="1"/>
  <c r="M41" i="1"/>
  <c r="N41" i="1"/>
  <c r="O41" i="1"/>
  <c r="P41" i="1"/>
  <c r="Q41" i="1"/>
  <c r="F44" i="1"/>
  <c r="G44" i="1"/>
  <c r="H44" i="1"/>
  <c r="I44" i="1"/>
  <c r="J44" i="1"/>
  <c r="K44" i="1"/>
  <c r="L44" i="1"/>
  <c r="M44" i="1"/>
  <c r="N44" i="1"/>
  <c r="O44" i="1"/>
  <c r="P44" i="1"/>
  <c r="Q44" i="1"/>
  <c r="K45" i="1"/>
  <c r="L45" i="1"/>
  <c r="M45" i="1"/>
  <c r="N45" i="1"/>
  <c r="O45" i="1"/>
  <c r="P45" i="1"/>
  <c r="K46" i="1"/>
  <c r="L46" i="1"/>
  <c r="M46" i="1"/>
  <c r="N46" i="1"/>
  <c r="O46" i="1"/>
  <c r="P46" i="1"/>
  <c r="K49" i="1"/>
  <c r="L49" i="1"/>
  <c r="M49" i="1"/>
  <c r="N49" i="1"/>
  <c r="O49" i="1"/>
  <c r="P49" i="1"/>
  <c r="K50" i="1"/>
  <c r="L50" i="1"/>
  <c r="M50" i="1"/>
  <c r="N50" i="1"/>
  <c r="O50" i="1"/>
  <c r="P50" i="1"/>
  <c r="K52" i="1"/>
  <c r="L52" i="1"/>
  <c r="M52" i="1"/>
  <c r="N52" i="1"/>
  <c r="O52" i="1"/>
  <c r="P52" i="1"/>
  <c r="K55" i="1"/>
  <c r="L55" i="1"/>
  <c r="M55" i="1"/>
  <c r="N55" i="1"/>
  <c r="O55" i="1"/>
  <c r="P55" i="1"/>
  <c r="F56" i="1"/>
  <c r="G56" i="1"/>
  <c r="H56" i="1"/>
  <c r="I56" i="1"/>
  <c r="J56" i="1"/>
  <c r="K56" i="1"/>
  <c r="L56" i="1"/>
  <c r="M56" i="1"/>
  <c r="N56" i="1"/>
  <c r="O56" i="1"/>
  <c r="P56" i="1"/>
  <c r="Q56" i="1"/>
  <c r="F57" i="1"/>
  <c r="G57" i="1"/>
  <c r="H57" i="1"/>
  <c r="I57" i="1"/>
  <c r="J57" i="1"/>
  <c r="K57" i="1"/>
  <c r="L57" i="1"/>
  <c r="M57" i="1"/>
  <c r="N57" i="1"/>
  <c r="O57" i="1"/>
  <c r="P57" i="1"/>
  <c r="Q57" i="1"/>
  <c r="J64" i="1"/>
  <c r="K64" i="1"/>
  <c r="L64" i="1"/>
  <c r="M64" i="1"/>
  <c r="N64" i="1"/>
  <c r="O64" i="1"/>
  <c r="P64" i="1"/>
  <c r="J66" i="1"/>
  <c r="K66" i="1"/>
  <c r="L66" i="1"/>
  <c r="M66" i="1"/>
  <c r="N66" i="1"/>
  <c r="O66" i="1"/>
  <c r="P66" i="1"/>
  <c r="F68" i="1"/>
  <c r="G68" i="1"/>
  <c r="H68" i="1"/>
  <c r="I68" i="1"/>
  <c r="J68" i="1"/>
  <c r="K68" i="1"/>
  <c r="L68" i="1"/>
  <c r="M68" i="1"/>
  <c r="N68" i="1"/>
  <c r="O68" i="1"/>
  <c r="P68" i="1"/>
  <c r="Q68" i="1"/>
  <c r="F69" i="1"/>
  <c r="G69" i="1"/>
  <c r="H69" i="1"/>
  <c r="I69" i="1"/>
  <c r="J69" i="1"/>
  <c r="K69" i="1"/>
  <c r="L69" i="1"/>
  <c r="M69" i="1"/>
  <c r="N69" i="1"/>
  <c r="O69" i="1"/>
  <c r="P69" i="1"/>
  <c r="Q69" i="1"/>
  <c r="J70" i="1"/>
  <c r="K70" i="1"/>
  <c r="L70" i="1"/>
  <c r="M70" i="1"/>
  <c r="N70" i="1"/>
  <c r="O70" i="1"/>
  <c r="P70" i="1"/>
  <c r="J71" i="1"/>
  <c r="K71" i="1"/>
  <c r="L71" i="1"/>
  <c r="M71" i="1"/>
  <c r="N71" i="1"/>
  <c r="O71" i="1"/>
  <c r="P71" i="1"/>
  <c r="J73" i="1"/>
  <c r="K73" i="1"/>
  <c r="L73" i="1"/>
  <c r="M73" i="1"/>
  <c r="N73" i="1"/>
  <c r="O73" i="1"/>
  <c r="P73" i="1"/>
  <c r="J74" i="1"/>
  <c r="K74" i="1"/>
  <c r="L74" i="1"/>
  <c r="M74" i="1"/>
  <c r="N74" i="1"/>
  <c r="O74" i="1"/>
  <c r="P74" i="1"/>
  <c r="J75" i="1"/>
  <c r="K75" i="1"/>
  <c r="L75" i="1"/>
  <c r="M75" i="1"/>
  <c r="N75" i="1"/>
  <c r="O75" i="1"/>
  <c r="P75" i="1"/>
  <c r="Q75" i="1"/>
  <c r="J76" i="1"/>
  <c r="K76" i="1"/>
  <c r="L76" i="1"/>
  <c r="M76" i="1"/>
  <c r="N76" i="1"/>
  <c r="O76" i="1"/>
  <c r="P76" i="1"/>
  <c r="K77" i="1"/>
  <c r="L77" i="1"/>
  <c r="M77" i="1"/>
  <c r="N77" i="1"/>
  <c r="O77" i="1"/>
  <c r="P77" i="1"/>
  <c r="Q77" i="1"/>
  <c r="F78" i="1"/>
  <c r="G78" i="1"/>
  <c r="H78" i="1"/>
  <c r="I78" i="1"/>
  <c r="J78" i="1"/>
  <c r="K78" i="1"/>
  <c r="L78" i="1"/>
  <c r="M78" i="1"/>
  <c r="N78" i="1"/>
  <c r="O78" i="1"/>
  <c r="P78" i="1"/>
  <c r="Q78" i="1"/>
  <c r="F79" i="1"/>
  <c r="G79" i="1"/>
  <c r="H79" i="1"/>
  <c r="I79" i="1"/>
  <c r="J79" i="1"/>
  <c r="K79" i="1"/>
  <c r="L79" i="1"/>
  <c r="M79" i="1"/>
  <c r="N79" i="1"/>
  <c r="O79" i="1"/>
  <c r="P79" i="1"/>
  <c r="Q79" i="1"/>
  <c r="F81" i="1"/>
  <c r="G81" i="1"/>
  <c r="H81" i="1"/>
  <c r="I81" i="1"/>
  <c r="J81" i="1"/>
  <c r="K81" i="1"/>
  <c r="L81" i="1"/>
  <c r="M81" i="1"/>
  <c r="N81" i="1"/>
  <c r="O81" i="1"/>
  <c r="P81" i="1"/>
  <c r="Q81" i="1"/>
  <c r="F82" i="1"/>
  <c r="G82" i="1"/>
  <c r="H82" i="1"/>
  <c r="I82" i="1"/>
  <c r="J82" i="1"/>
  <c r="K82" i="1"/>
  <c r="L82" i="1"/>
  <c r="M82" i="1"/>
  <c r="N82" i="1"/>
  <c r="O82" i="1"/>
  <c r="P82" i="1"/>
  <c r="Q82" i="1"/>
  <c r="F83" i="1"/>
  <c r="G83" i="1"/>
  <c r="H83" i="1"/>
  <c r="I83" i="1"/>
  <c r="J83" i="1"/>
  <c r="K83" i="1"/>
  <c r="L83" i="1"/>
  <c r="M83" i="1"/>
  <c r="N83" i="1"/>
  <c r="O83" i="1"/>
  <c r="P83" i="1"/>
  <c r="Q83" i="1"/>
  <c r="L84" i="1"/>
  <c r="M84" i="1"/>
  <c r="N84" i="1"/>
  <c r="O84" i="1"/>
  <c r="P84" i="1"/>
  <c r="Q84" i="1"/>
  <c r="K85" i="1"/>
  <c r="L85" i="1"/>
  <c r="M85" i="1"/>
  <c r="N85" i="1"/>
  <c r="O85" i="1"/>
  <c r="P85" i="1"/>
  <c r="K89" i="1"/>
  <c r="L89" i="1"/>
  <c r="M89" i="1"/>
  <c r="N89" i="1"/>
  <c r="O89" i="1"/>
  <c r="P89" i="1"/>
  <c r="K90" i="1"/>
  <c r="L90" i="1"/>
  <c r="M90" i="1"/>
  <c r="N90" i="1"/>
  <c r="O90" i="1"/>
  <c r="P90" i="1"/>
  <c r="K91" i="1"/>
  <c r="L91" i="1"/>
  <c r="M91" i="1"/>
  <c r="N91" i="1"/>
  <c r="O91" i="1"/>
  <c r="P91" i="1"/>
  <c r="K92" i="1"/>
  <c r="L92" i="1"/>
  <c r="M92" i="1"/>
  <c r="N92" i="1"/>
  <c r="O92" i="1"/>
  <c r="P92" i="1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AH17" i="38"/>
  <c r="AI17" i="38"/>
  <c r="AJ17" i="38"/>
  <c r="AK17" i="38"/>
  <c r="AL17" i="38"/>
  <c r="AM17" i="38"/>
  <c r="AN17" i="38"/>
  <c r="AO17" i="38"/>
  <c r="AP17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AH18" i="38"/>
  <c r="AI18" i="38"/>
  <c r="AJ18" i="38"/>
  <c r="AK18" i="38"/>
  <c r="AL18" i="38"/>
  <c r="AM18" i="38"/>
  <c r="AN18" i="38"/>
  <c r="AO18" i="38"/>
  <c r="AP18" i="38"/>
  <c r="P29" i="38"/>
  <c r="Q29" i="38"/>
  <c r="R29" i="38"/>
  <c r="S29" i="38"/>
  <c r="T29" i="38"/>
  <c r="U29" i="38"/>
  <c r="V29" i="38"/>
  <c r="W29" i="38"/>
  <c r="X29" i="38"/>
  <c r="Y29" i="38"/>
  <c r="Z29" i="38"/>
  <c r="AA29" i="38"/>
  <c r="AB29" i="38"/>
  <c r="AC29" i="38"/>
  <c r="AD29" i="38"/>
  <c r="AE29" i="38"/>
  <c r="AF29" i="38"/>
  <c r="AG29" i="38"/>
  <c r="AH29" i="38"/>
  <c r="AI29" i="38"/>
  <c r="AJ29" i="38"/>
  <c r="AK29" i="38"/>
  <c r="AL29" i="38"/>
  <c r="AM29" i="38"/>
  <c r="AN29" i="38"/>
  <c r="AO29" i="38"/>
  <c r="AP29" i="38"/>
  <c r="Q30" i="38"/>
  <c r="R30" i="38"/>
  <c r="S30" i="38"/>
  <c r="T30" i="38"/>
  <c r="U30" i="38"/>
  <c r="V30" i="38"/>
  <c r="W30" i="38"/>
  <c r="X30" i="38"/>
  <c r="Y30" i="38"/>
  <c r="Z30" i="38"/>
  <c r="AA30" i="38"/>
  <c r="AB30" i="38"/>
  <c r="AC30" i="38"/>
  <c r="AD30" i="38"/>
  <c r="AE30" i="38"/>
  <c r="AF30" i="38"/>
  <c r="AG30" i="38"/>
  <c r="AH30" i="38"/>
  <c r="AI30" i="38"/>
  <c r="AJ30" i="38"/>
  <c r="AK30" i="38"/>
  <c r="AL30" i="38"/>
  <c r="AM30" i="38"/>
  <c r="AN30" i="38"/>
  <c r="AO30" i="38"/>
  <c r="AP30" i="38"/>
  <c r="P38" i="38"/>
  <c r="Q38" i="38"/>
  <c r="R38" i="38"/>
  <c r="S38" i="38"/>
  <c r="T38" i="38"/>
  <c r="U38" i="38"/>
  <c r="V38" i="38"/>
  <c r="W38" i="38"/>
  <c r="X38" i="38"/>
  <c r="Y38" i="38"/>
  <c r="Z38" i="38"/>
  <c r="AA38" i="38"/>
  <c r="AB38" i="38"/>
  <c r="AC38" i="38"/>
  <c r="AD38" i="38"/>
  <c r="AE38" i="38"/>
  <c r="AF38" i="38"/>
  <c r="AG38" i="38"/>
  <c r="AH38" i="38"/>
  <c r="AI38" i="38"/>
  <c r="AJ38" i="38"/>
  <c r="AK38" i="38"/>
  <c r="AL38" i="38"/>
  <c r="AM38" i="38"/>
  <c r="AN38" i="38"/>
  <c r="AO38" i="38"/>
  <c r="AP38" i="38"/>
  <c r="Q39" i="38"/>
  <c r="R39" i="38"/>
  <c r="S39" i="38"/>
  <c r="T39" i="38"/>
  <c r="U39" i="38"/>
  <c r="V39" i="38"/>
  <c r="W39" i="38"/>
  <c r="X39" i="38"/>
  <c r="Y39" i="38"/>
  <c r="Z39" i="38"/>
  <c r="AA39" i="38"/>
  <c r="AB39" i="38"/>
  <c r="AC39" i="38"/>
  <c r="AD39" i="38"/>
  <c r="AE39" i="38"/>
  <c r="AF39" i="38"/>
  <c r="AG39" i="38"/>
  <c r="AH39" i="38"/>
  <c r="AI39" i="38"/>
  <c r="AJ39" i="38"/>
  <c r="AK39" i="38"/>
  <c r="AL39" i="38"/>
  <c r="AM39" i="38"/>
  <c r="AN39" i="38"/>
  <c r="AO39" i="38"/>
  <c r="AP39" i="38"/>
  <c r="P47" i="38"/>
  <c r="Q47" i="38"/>
  <c r="R47" i="38"/>
  <c r="S47" i="38"/>
  <c r="T47" i="38"/>
  <c r="U47" i="38"/>
  <c r="V47" i="38"/>
  <c r="W47" i="38"/>
  <c r="X47" i="38"/>
  <c r="Y47" i="38"/>
  <c r="Z47" i="38"/>
  <c r="AA47" i="38"/>
  <c r="AB47" i="38"/>
  <c r="AC47" i="38"/>
  <c r="AD47" i="38"/>
  <c r="AE47" i="38"/>
  <c r="AF47" i="38"/>
  <c r="AG47" i="38"/>
  <c r="AH47" i="38"/>
  <c r="AI47" i="38"/>
  <c r="AJ47" i="38"/>
  <c r="AK47" i="38"/>
  <c r="AL47" i="38"/>
  <c r="AM47" i="38"/>
  <c r="AN47" i="38"/>
  <c r="AO47" i="38"/>
  <c r="AP47" i="38"/>
  <c r="Q48" i="38"/>
  <c r="R48" i="38"/>
  <c r="S48" i="38"/>
  <c r="T48" i="38"/>
  <c r="U48" i="38"/>
  <c r="V48" i="38"/>
  <c r="W48" i="38"/>
  <c r="X48" i="38"/>
  <c r="Y48" i="38"/>
  <c r="Z48" i="38"/>
  <c r="AA48" i="38"/>
  <c r="AB48" i="38"/>
  <c r="AC48" i="38"/>
  <c r="AD48" i="38"/>
  <c r="AE48" i="38"/>
  <c r="AF48" i="38"/>
  <c r="AG48" i="38"/>
  <c r="AH48" i="38"/>
  <c r="AI48" i="38"/>
  <c r="AJ48" i="38"/>
  <c r="AK48" i="38"/>
  <c r="AL48" i="38"/>
  <c r="AM48" i="38"/>
  <c r="AN48" i="38"/>
  <c r="AO48" i="38"/>
  <c r="AP48" i="38"/>
  <c r="P54" i="38"/>
  <c r="Q54" i="38"/>
  <c r="R54" i="38"/>
  <c r="S54" i="38"/>
  <c r="T54" i="38"/>
  <c r="U54" i="38"/>
  <c r="V54" i="38"/>
  <c r="W54" i="38"/>
  <c r="X54" i="38"/>
  <c r="Y54" i="38"/>
  <c r="Z54" i="38"/>
  <c r="AA54" i="38"/>
  <c r="AB54" i="38"/>
  <c r="AC54" i="38"/>
  <c r="AD54" i="38"/>
  <c r="AE54" i="38"/>
  <c r="AF54" i="38"/>
  <c r="AG54" i="38"/>
  <c r="AH54" i="38"/>
  <c r="AI54" i="38"/>
  <c r="AJ54" i="38"/>
  <c r="AK54" i="38"/>
  <c r="AL54" i="38"/>
  <c r="AM54" i="38"/>
  <c r="AN54" i="38"/>
  <c r="AO54" i="38"/>
  <c r="AP54" i="38"/>
  <c r="Q55" i="38"/>
  <c r="R55" i="38"/>
  <c r="S55" i="38"/>
  <c r="T55" i="38"/>
  <c r="U55" i="38"/>
  <c r="V55" i="38"/>
  <c r="W55" i="38"/>
  <c r="X55" i="38"/>
  <c r="Y55" i="38"/>
  <c r="Z55" i="38"/>
  <c r="AA55" i="38"/>
  <c r="AB55" i="38"/>
  <c r="AC55" i="38"/>
  <c r="AD55" i="38"/>
  <c r="AE55" i="38"/>
  <c r="AF55" i="38"/>
  <c r="AG55" i="38"/>
  <c r="AH55" i="38"/>
  <c r="AI55" i="38"/>
  <c r="AJ55" i="38"/>
  <c r="AK55" i="38"/>
  <c r="AL55" i="38"/>
  <c r="AM55" i="38"/>
  <c r="AN55" i="38"/>
  <c r="AO55" i="38"/>
  <c r="AP55" i="38"/>
  <c r="P17" i="47"/>
  <c r="Q17" i="47"/>
  <c r="R17" i="47"/>
  <c r="S17" i="47"/>
  <c r="T17" i="47"/>
  <c r="U17" i="47"/>
  <c r="V17" i="47"/>
  <c r="W17" i="47"/>
  <c r="X17" i="47"/>
  <c r="Y17" i="47"/>
  <c r="Z17" i="47"/>
  <c r="AA17" i="47"/>
  <c r="AB17" i="47"/>
  <c r="AC17" i="47"/>
  <c r="AD17" i="47"/>
  <c r="AE17" i="47"/>
  <c r="AF17" i="47"/>
  <c r="AG17" i="47"/>
  <c r="AH17" i="47"/>
  <c r="AI17" i="47"/>
  <c r="AJ17" i="47"/>
  <c r="AK17" i="47"/>
  <c r="AL17" i="47"/>
  <c r="AM17" i="47"/>
  <c r="AN17" i="47"/>
  <c r="AO17" i="47"/>
  <c r="Q18" i="47"/>
  <c r="R18" i="47"/>
  <c r="S18" i="47"/>
  <c r="T18" i="47"/>
  <c r="U18" i="47"/>
  <c r="V18" i="47"/>
  <c r="W18" i="47"/>
  <c r="X18" i="47"/>
  <c r="Y18" i="47"/>
  <c r="Z18" i="47"/>
  <c r="AA18" i="47"/>
  <c r="AB18" i="47"/>
  <c r="AC18" i="47"/>
  <c r="AD18" i="47"/>
  <c r="AE18" i="47"/>
  <c r="AF18" i="47"/>
  <c r="AG18" i="47"/>
  <c r="AH18" i="47"/>
  <c r="AI18" i="47"/>
  <c r="AJ18" i="47"/>
  <c r="AK18" i="47"/>
  <c r="AL18" i="47"/>
  <c r="AM18" i="47"/>
  <c r="AN18" i="47"/>
  <c r="AO18" i="47"/>
  <c r="P26" i="47"/>
  <c r="Q26" i="47"/>
  <c r="R26" i="47"/>
  <c r="S26" i="47"/>
  <c r="T26" i="47"/>
  <c r="U26" i="47"/>
  <c r="V26" i="47"/>
  <c r="W26" i="47"/>
  <c r="X26" i="47"/>
  <c r="Y26" i="47"/>
  <c r="Z26" i="47"/>
  <c r="AA26" i="47"/>
  <c r="AB26" i="47"/>
  <c r="AC26" i="47"/>
  <c r="AD26" i="47"/>
  <c r="AE26" i="47"/>
  <c r="AF26" i="47"/>
  <c r="AG26" i="47"/>
  <c r="AH26" i="47"/>
  <c r="AI26" i="47"/>
  <c r="AJ26" i="47"/>
  <c r="AK26" i="47"/>
  <c r="AL26" i="47"/>
  <c r="AM26" i="47"/>
  <c r="AN26" i="47"/>
  <c r="AO26" i="47"/>
  <c r="Q27" i="47"/>
  <c r="R27" i="47"/>
  <c r="S27" i="47"/>
  <c r="T27" i="47"/>
  <c r="U27" i="47"/>
  <c r="V27" i="47"/>
  <c r="W27" i="47"/>
  <c r="X27" i="47"/>
  <c r="Y27" i="47"/>
  <c r="Z27" i="47"/>
  <c r="AA27" i="47"/>
  <c r="AB27" i="47"/>
  <c r="AC27" i="47"/>
  <c r="AD27" i="47"/>
  <c r="AE27" i="47"/>
  <c r="AF27" i="47"/>
  <c r="AG27" i="47"/>
  <c r="AH27" i="47"/>
  <c r="AI27" i="47"/>
  <c r="AJ27" i="47"/>
  <c r="AK27" i="47"/>
  <c r="AL27" i="47"/>
  <c r="AM27" i="47"/>
  <c r="AN27" i="47"/>
  <c r="AO27" i="47"/>
  <c r="P35" i="47"/>
  <c r="Q35" i="47"/>
  <c r="R35" i="47"/>
  <c r="S35" i="47"/>
  <c r="T35" i="47"/>
  <c r="U35" i="47"/>
  <c r="V35" i="47"/>
  <c r="W35" i="47"/>
  <c r="X35" i="47"/>
  <c r="Y35" i="47"/>
  <c r="Z35" i="47"/>
  <c r="AA35" i="47"/>
  <c r="AB35" i="47"/>
  <c r="AC35" i="47"/>
  <c r="AD35" i="47"/>
  <c r="AE35" i="47"/>
  <c r="AF35" i="47"/>
  <c r="AG35" i="47"/>
  <c r="AH35" i="47"/>
  <c r="AI35" i="47"/>
  <c r="AJ35" i="47"/>
  <c r="AK35" i="47"/>
  <c r="AL35" i="47"/>
  <c r="AM35" i="47"/>
  <c r="AN35" i="47"/>
  <c r="AO35" i="47"/>
  <c r="Q36" i="47"/>
  <c r="R36" i="47"/>
  <c r="S36" i="47"/>
  <c r="T36" i="47"/>
  <c r="U36" i="47"/>
  <c r="V36" i="47"/>
  <c r="W36" i="47"/>
  <c r="X36" i="47"/>
  <c r="Y36" i="47"/>
  <c r="Z36" i="47"/>
  <c r="AA36" i="47"/>
  <c r="AB36" i="47"/>
  <c r="AC36" i="47"/>
  <c r="AD36" i="47"/>
  <c r="AE36" i="47"/>
  <c r="AF36" i="47"/>
  <c r="AG36" i="47"/>
  <c r="AH36" i="47"/>
  <c r="AI36" i="47"/>
  <c r="AJ36" i="47"/>
  <c r="AK36" i="47"/>
  <c r="AL36" i="47"/>
  <c r="AM36" i="47"/>
  <c r="AN36" i="47"/>
  <c r="AO36" i="47"/>
  <c r="P44" i="47"/>
  <c r="Q44" i="47"/>
  <c r="R44" i="47"/>
  <c r="S44" i="47"/>
  <c r="T44" i="47"/>
  <c r="U44" i="47"/>
  <c r="V44" i="47"/>
  <c r="W44" i="47"/>
  <c r="X44" i="47"/>
  <c r="Y44" i="47"/>
  <c r="Z44" i="47"/>
  <c r="AA44" i="47"/>
  <c r="AB44" i="47"/>
  <c r="AC44" i="47"/>
  <c r="AD44" i="47"/>
  <c r="AE44" i="47"/>
  <c r="AF44" i="47"/>
  <c r="AG44" i="47"/>
  <c r="AH44" i="47"/>
  <c r="AI44" i="47"/>
  <c r="AJ44" i="47"/>
  <c r="AK44" i="47"/>
  <c r="AL44" i="47"/>
  <c r="AM44" i="47"/>
  <c r="AN44" i="47"/>
  <c r="AO44" i="47"/>
  <c r="Q45" i="47"/>
  <c r="R45" i="47"/>
  <c r="S45" i="47"/>
  <c r="T45" i="47"/>
  <c r="U45" i="47"/>
  <c r="V45" i="47"/>
  <c r="W45" i="47"/>
  <c r="X45" i="47"/>
  <c r="Y45" i="47"/>
  <c r="Z45" i="47"/>
  <c r="AA45" i="47"/>
  <c r="AB45" i="47"/>
  <c r="AC45" i="47"/>
  <c r="AD45" i="47"/>
  <c r="AE45" i="47"/>
  <c r="AF45" i="47"/>
  <c r="AG45" i="47"/>
  <c r="AH45" i="47"/>
  <c r="AI45" i="47"/>
  <c r="AJ45" i="47"/>
  <c r="AK45" i="47"/>
  <c r="AL45" i="47"/>
  <c r="AM45" i="47"/>
  <c r="AN45" i="47"/>
  <c r="AO45" i="47"/>
  <c r="P51" i="47"/>
  <c r="Q51" i="47"/>
  <c r="R51" i="47"/>
  <c r="S51" i="47"/>
  <c r="T51" i="47"/>
  <c r="U51" i="47"/>
  <c r="V51" i="47"/>
  <c r="W51" i="47"/>
  <c r="X51" i="47"/>
  <c r="Y51" i="47"/>
  <c r="Z51" i="47"/>
  <c r="AA51" i="47"/>
  <c r="AB51" i="47"/>
  <c r="AC51" i="47"/>
  <c r="AD51" i="47"/>
  <c r="AE51" i="47"/>
  <c r="AF51" i="47"/>
  <c r="AG51" i="47"/>
  <c r="AH51" i="47"/>
  <c r="AI51" i="47"/>
  <c r="AJ51" i="47"/>
  <c r="AK51" i="47"/>
  <c r="AL51" i="47"/>
  <c r="AM51" i="47"/>
  <c r="AN51" i="47"/>
  <c r="AO51" i="47"/>
  <c r="Q52" i="47"/>
  <c r="R52" i="47"/>
  <c r="S52" i="47"/>
  <c r="T52" i="47"/>
  <c r="U52" i="47"/>
  <c r="V52" i="47"/>
  <c r="W52" i="47"/>
  <c r="X52" i="47"/>
  <c r="Y52" i="47"/>
  <c r="Z52" i="47"/>
  <c r="AA52" i="47"/>
  <c r="AB52" i="47"/>
  <c r="AC52" i="47"/>
  <c r="AD52" i="47"/>
  <c r="AE52" i="47"/>
  <c r="AF52" i="47"/>
  <c r="AG52" i="47"/>
  <c r="AH52" i="47"/>
  <c r="AI52" i="47"/>
  <c r="AJ52" i="47"/>
  <c r="AK52" i="47"/>
  <c r="AL52" i="47"/>
  <c r="AM52" i="47"/>
  <c r="AN52" i="47"/>
  <c r="AO52" i="47"/>
  <c r="J119" i="23"/>
  <c r="K119" i="23"/>
  <c r="L119" i="23"/>
  <c r="M119" i="23"/>
  <c r="N119" i="23"/>
  <c r="O119" i="23"/>
  <c r="P119" i="23"/>
  <c r="J120" i="23"/>
  <c r="K120" i="23"/>
  <c r="L120" i="23"/>
  <c r="M120" i="23"/>
  <c r="N120" i="23"/>
  <c r="O120" i="23"/>
  <c r="P120" i="23"/>
  <c r="J122" i="23"/>
  <c r="K122" i="23"/>
  <c r="L122" i="23"/>
  <c r="M122" i="23"/>
  <c r="N122" i="23"/>
  <c r="O122" i="23"/>
  <c r="P122" i="23"/>
  <c r="J124" i="23"/>
  <c r="K124" i="23"/>
  <c r="L124" i="23"/>
  <c r="M124" i="23"/>
  <c r="N124" i="23"/>
  <c r="O124" i="23"/>
  <c r="P124" i="23"/>
  <c r="J125" i="23"/>
  <c r="K125" i="23"/>
  <c r="L125" i="23"/>
  <c r="M125" i="23"/>
  <c r="N125" i="23"/>
  <c r="O125" i="23"/>
  <c r="P125" i="23"/>
  <c r="J126" i="23"/>
  <c r="K126" i="23"/>
  <c r="L126" i="23"/>
  <c r="M126" i="23"/>
  <c r="N126" i="23"/>
  <c r="O126" i="23"/>
  <c r="P126" i="23"/>
  <c r="J128" i="23"/>
  <c r="K128" i="23"/>
  <c r="L128" i="23"/>
  <c r="M128" i="23"/>
  <c r="N128" i="23"/>
  <c r="O128" i="23"/>
  <c r="P128" i="23"/>
  <c r="J129" i="23"/>
  <c r="K129" i="23"/>
  <c r="L129" i="23"/>
  <c r="M129" i="23"/>
  <c r="N129" i="23"/>
  <c r="O129" i="23"/>
  <c r="P129" i="23"/>
  <c r="J131" i="23"/>
  <c r="K131" i="23"/>
  <c r="L131" i="23"/>
  <c r="M131" i="23"/>
  <c r="N131" i="23"/>
  <c r="O131" i="23"/>
  <c r="P131" i="23"/>
  <c r="J133" i="23"/>
  <c r="K133" i="23"/>
  <c r="L133" i="23"/>
  <c r="M133" i="23"/>
  <c r="N133" i="23"/>
  <c r="O133" i="23"/>
  <c r="P133" i="23"/>
  <c r="J140" i="23"/>
  <c r="K140" i="23"/>
  <c r="L140" i="23"/>
  <c r="M140" i="23"/>
  <c r="N140" i="23"/>
  <c r="O140" i="23"/>
  <c r="P140" i="23"/>
  <c r="J141" i="23"/>
  <c r="K141" i="23"/>
  <c r="L141" i="23"/>
  <c r="M141" i="23"/>
  <c r="N141" i="23"/>
  <c r="O141" i="23"/>
  <c r="P141" i="23"/>
  <c r="J142" i="23"/>
  <c r="K142" i="23"/>
  <c r="L142" i="23"/>
  <c r="M142" i="23"/>
  <c r="N142" i="23"/>
  <c r="O142" i="23"/>
  <c r="P142" i="23"/>
  <c r="F144" i="23"/>
  <c r="G144" i="23"/>
  <c r="H144" i="23"/>
  <c r="I144" i="23"/>
  <c r="J144" i="23"/>
  <c r="K144" i="23"/>
  <c r="L144" i="23"/>
  <c r="M144" i="23"/>
  <c r="N144" i="23"/>
  <c r="O144" i="23"/>
  <c r="P144" i="23"/>
  <c r="Q144" i="23"/>
  <c r="R144" i="23"/>
  <c r="F145" i="23"/>
  <c r="G145" i="23"/>
  <c r="H145" i="23"/>
  <c r="I145" i="23"/>
  <c r="J145" i="23"/>
  <c r="K145" i="23"/>
  <c r="L145" i="23"/>
  <c r="M145" i="23"/>
  <c r="N145" i="23"/>
  <c r="O145" i="23"/>
  <c r="P145" i="23"/>
  <c r="Q145" i="23"/>
  <c r="R145" i="23"/>
  <c r="J42" i="33"/>
  <c r="K42" i="33"/>
  <c r="L42" i="33"/>
  <c r="M42" i="33"/>
  <c r="N42" i="33"/>
  <c r="O42" i="33"/>
  <c r="P42" i="33"/>
  <c r="J43" i="33"/>
  <c r="K43" i="33"/>
  <c r="L43" i="33"/>
  <c r="M43" i="33"/>
  <c r="N43" i="33"/>
  <c r="O43" i="33"/>
  <c r="P43" i="33"/>
  <c r="J45" i="33"/>
  <c r="K45" i="33"/>
  <c r="L45" i="33"/>
  <c r="M45" i="33"/>
  <c r="N45" i="33"/>
  <c r="O45" i="33"/>
  <c r="P45" i="33"/>
  <c r="J48" i="33"/>
  <c r="K48" i="33"/>
  <c r="L48" i="33"/>
  <c r="M48" i="33"/>
  <c r="N48" i="33"/>
  <c r="O48" i="33"/>
  <c r="P48" i="33"/>
  <c r="J49" i="33"/>
  <c r="K49" i="33"/>
  <c r="L49" i="33"/>
  <c r="M49" i="33"/>
  <c r="N49" i="33"/>
  <c r="O49" i="33"/>
  <c r="P49" i="33"/>
  <c r="J50" i="33"/>
  <c r="K50" i="33"/>
  <c r="L50" i="33"/>
  <c r="M50" i="33"/>
  <c r="N50" i="33"/>
  <c r="O50" i="33"/>
  <c r="P50" i="33"/>
  <c r="J52" i="33"/>
  <c r="K52" i="33"/>
  <c r="L52" i="33"/>
  <c r="M52" i="33"/>
  <c r="N52" i="33"/>
  <c r="O52" i="33"/>
  <c r="P52" i="33"/>
  <c r="J54" i="33"/>
  <c r="K54" i="33"/>
  <c r="L54" i="33"/>
  <c r="M54" i="33"/>
  <c r="N54" i="33"/>
  <c r="O54" i="33"/>
  <c r="P54" i="33"/>
  <c r="J55" i="33"/>
  <c r="K55" i="33"/>
  <c r="L55" i="33"/>
  <c r="M55" i="33"/>
  <c r="N55" i="33"/>
  <c r="O55" i="33"/>
  <c r="P55" i="33"/>
  <c r="J56" i="33"/>
  <c r="K56" i="33"/>
  <c r="L56" i="33"/>
  <c r="M56" i="33"/>
  <c r="N56" i="33"/>
  <c r="O56" i="33"/>
  <c r="P56" i="33"/>
  <c r="J58" i="33"/>
  <c r="K58" i="33"/>
  <c r="L58" i="33"/>
  <c r="M58" i="33"/>
  <c r="N58" i="33"/>
  <c r="O58" i="33"/>
  <c r="P58" i="33"/>
  <c r="J59" i="33"/>
  <c r="K59" i="33"/>
  <c r="L59" i="33"/>
  <c r="M59" i="33"/>
  <c r="N59" i="33"/>
  <c r="O59" i="33"/>
  <c r="P59" i="33"/>
  <c r="J61" i="33"/>
  <c r="K61" i="33"/>
  <c r="L61" i="33"/>
  <c r="M61" i="33"/>
  <c r="N61" i="33"/>
  <c r="O61" i="33"/>
  <c r="P61" i="33"/>
  <c r="J63" i="33"/>
  <c r="K63" i="33"/>
  <c r="L63" i="33"/>
  <c r="M63" i="33"/>
  <c r="N63" i="33"/>
  <c r="O63" i="33"/>
  <c r="P63" i="33"/>
  <c r="J67" i="33"/>
  <c r="K67" i="33"/>
  <c r="L67" i="33"/>
  <c r="M67" i="33"/>
  <c r="N67" i="33"/>
  <c r="O67" i="33"/>
  <c r="P67" i="33"/>
  <c r="J68" i="33"/>
  <c r="K68" i="33"/>
  <c r="L68" i="33"/>
  <c r="M68" i="33"/>
  <c r="N68" i="33"/>
  <c r="O68" i="33"/>
  <c r="P68" i="33"/>
  <c r="J69" i="33"/>
  <c r="K69" i="33"/>
  <c r="L69" i="33"/>
  <c r="M69" i="33"/>
  <c r="N69" i="33"/>
  <c r="O69" i="33"/>
  <c r="P69" i="33"/>
  <c r="F71" i="33"/>
  <c r="G71" i="33"/>
  <c r="H71" i="33"/>
  <c r="I71" i="33"/>
  <c r="J71" i="33"/>
  <c r="K71" i="33"/>
  <c r="L71" i="33"/>
  <c r="M71" i="33"/>
  <c r="N71" i="33"/>
  <c r="O71" i="33"/>
  <c r="P71" i="33"/>
  <c r="Q71" i="33"/>
  <c r="R71" i="33"/>
  <c r="S71" i="33"/>
  <c r="T71" i="33"/>
  <c r="U71" i="33"/>
  <c r="F72" i="33"/>
  <c r="G72" i="33"/>
  <c r="H72" i="33"/>
  <c r="I72" i="33"/>
  <c r="J72" i="33"/>
  <c r="K72" i="33"/>
  <c r="L72" i="33"/>
  <c r="M72" i="33"/>
  <c r="N72" i="33"/>
  <c r="O72" i="33"/>
  <c r="P72" i="33"/>
  <c r="Q72" i="33"/>
  <c r="R72" i="33"/>
  <c r="S72" i="33"/>
  <c r="T72" i="33"/>
  <c r="U72" i="33"/>
  <c r="F94" i="29"/>
  <c r="G94" i="29"/>
  <c r="H94" i="29"/>
  <c r="I94" i="29"/>
  <c r="J94" i="29"/>
  <c r="K94" i="29"/>
  <c r="L94" i="29"/>
  <c r="M94" i="29"/>
  <c r="N94" i="29"/>
  <c r="O94" i="29"/>
  <c r="P94" i="29"/>
  <c r="Q94" i="29"/>
  <c r="R94" i="29"/>
  <c r="F95" i="29"/>
  <c r="G95" i="29"/>
  <c r="H95" i="29"/>
  <c r="I95" i="29"/>
  <c r="J95" i="29"/>
  <c r="K95" i="29"/>
  <c r="L95" i="29"/>
  <c r="M95" i="29"/>
  <c r="N95" i="29"/>
  <c r="O95" i="29"/>
  <c r="P95" i="29"/>
  <c r="Q95" i="29"/>
  <c r="R95" i="29"/>
  <c r="J77" i="48"/>
  <c r="K77" i="48"/>
  <c r="L77" i="48"/>
  <c r="M77" i="48"/>
  <c r="N77" i="48"/>
  <c r="O77" i="48"/>
  <c r="P77" i="48"/>
  <c r="J79" i="48"/>
  <c r="K79" i="48"/>
  <c r="L79" i="48"/>
  <c r="M79" i="48"/>
  <c r="N79" i="48"/>
  <c r="O79" i="48"/>
  <c r="P79" i="48"/>
  <c r="J80" i="48"/>
  <c r="K80" i="48"/>
  <c r="L80" i="48"/>
  <c r="M80" i="48"/>
  <c r="N80" i="48"/>
  <c r="O80" i="48"/>
  <c r="P80" i="48"/>
  <c r="J81" i="48"/>
  <c r="K81" i="48"/>
  <c r="L81" i="48"/>
  <c r="M81" i="48"/>
  <c r="N81" i="48"/>
  <c r="O81" i="48"/>
  <c r="P81" i="48"/>
  <c r="J83" i="48"/>
  <c r="K83" i="48"/>
  <c r="L83" i="48"/>
  <c r="M83" i="48"/>
  <c r="N83" i="48"/>
  <c r="O83" i="48"/>
  <c r="P83" i="48"/>
  <c r="J84" i="48"/>
  <c r="K84" i="48"/>
  <c r="L84" i="48"/>
  <c r="M84" i="48"/>
  <c r="N84" i="48"/>
  <c r="O84" i="48"/>
  <c r="P84" i="48"/>
  <c r="J86" i="48"/>
  <c r="K86" i="48"/>
  <c r="L86" i="48"/>
  <c r="M86" i="48"/>
  <c r="N86" i="48"/>
  <c r="O86" i="48"/>
  <c r="P86" i="48"/>
  <c r="J90" i="48"/>
  <c r="K90" i="48"/>
  <c r="L90" i="48"/>
  <c r="M90" i="48"/>
  <c r="N90" i="48"/>
  <c r="O90" i="48"/>
  <c r="P90" i="48"/>
  <c r="J91" i="48"/>
  <c r="K91" i="48"/>
  <c r="L91" i="48"/>
  <c r="M91" i="48"/>
  <c r="N91" i="48"/>
  <c r="O91" i="48"/>
  <c r="P91" i="48"/>
  <c r="J92" i="48"/>
  <c r="K92" i="48"/>
  <c r="L92" i="48"/>
  <c r="M92" i="48"/>
  <c r="N92" i="48"/>
  <c r="O92" i="48"/>
  <c r="P92" i="48"/>
  <c r="F94" i="48"/>
  <c r="G94" i="48"/>
  <c r="H94" i="48"/>
  <c r="I94" i="48"/>
  <c r="J94" i="48"/>
  <c r="K94" i="48"/>
  <c r="L94" i="48"/>
  <c r="M94" i="48"/>
  <c r="N94" i="48"/>
  <c r="O94" i="48"/>
  <c r="P94" i="48"/>
  <c r="Q94" i="48"/>
  <c r="R94" i="48"/>
  <c r="F95" i="48"/>
  <c r="G95" i="48"/>
  <c r="H95" i="48"/>
  <c r="I95" i="48"/>
  <c r="J95" i="48"/>
  <c r="K95" i="48"/>
  <c r="L95" i="48"/>
  <c r="M95" i="48"/>
  <c r="N95" i="48"/>
  <c r="O95" i="48"/>
  <c r="P95" i="48"/>
  <c r="Q95" i="48"/>
  <c r="R95" i="48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AC20" i="36"/>
  <c r="AD20" i="36"/>
  <c r="AE20" i="36"/>
  <c r="AF20" i="36"/>
  <c r="AG20" i="36"/>
  <c r="AH20" i="36"/>
  <c r="AI20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AC22" i="36"/>
  <c r="AD22" i="36"/>
  <c r="AE22" i="36"/>
  <c r="AF22" i="36"/>
  <c r="AG22" i="36"/>
  <c r="AH22" i="36"/>
  <c r="AI22" i="36"/>
  <c r="AJ22" i="36"/>
  <c r="AK22" i="36"/>
  <c r="AL22" i="36"/>
  <c r="AM22" i="36"/>
  <c r="AN22" i="36"/>
  <c r="AO22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AC24" i="36"/>
  <c r="AD24" i="36"/>
  <c r="AE24" i="36"/>
  <c r="AF24" i="36"/>
  <c r="AG24" i="36"/>
  <c r="AH24" i="36"/>
  <c r="AI24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AC26" i="36"/>
  <c r="AD26" i="36"/>
  <c r="AE26" i="36"/>
  <c r="AF26" i="36"/>
  <c r="AG26" i="36"/>
  <c r="AH26" i="36"/>
  <c r="AI26" i="36"/>
  <c r="AJ26" i="36"/>
  <c r="AK26" i="36"/>
  <c r="AL26" i="36"/>
  <c r="AM26" i="36"/>
  <c r="AN26" i="36"/>
  <c r="AO26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AC28" i="36"/>
  <c r="AD28" i="36"/>
  <c r="AE28" i="36"/>
  <c r="AF28" i="36"/>
  <c r="AG28" i="36"/>
  <c r="AH28" i="36"/>
  <c r="AI28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AC30" i="36"/>
  <c r="AD30" i="36"/>
  <c r="AE30" i="36"/>
  <c r="AF30" i="36"/>
  <c r="AG30" i="36"/>
  <c r="AH30" i="36"/>
  <c r="AI30" i="36"/>
  <c r="AJ30" i="36"/>
  <c r="AK30" i="36"/>
  <c r="AL30" i="36"/>
  <c r="AM30" i="36"/>
  <c r="AN30" i="36"/>
  <c r="AO30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AC31" i="36"/>
  <c r="AD31" i="36"/>
  <c r="AE31" i="36"/>
  <c r="AF31" i="36"/>
  <c r="AG31" i="36"/>
  <c r="AH31" i="36"/>
  <c r="AI31" i="36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L30" i="54"/>
  <c r="M30" i="54"/>
  <c r="N30" i="54"/>
  <c r="O30" i="54"/>
  <c r="P30" i="54"/>
  <c r="Q30" i="54"/>
  <c r="R30" i="54"/>
  <c r="S30" i="54"/>
  <c r="T30" i="54"/>
  <c r="U30" i="54"/>
  <c r="V30" i="54"/>
  <c r="W30" i="54"/>
  <c r="X30" i="54"/>
  <c r="Y30" i="54"/>
  <c r="Z30" i="54"/>
  <c r="AA30" i="54"/>
  <c r="AB30" i="54"/>
  <c r="AC30" i="54"/>
  <c r="AD30" i="54"/>
  <c r="AE30" i="54"/>
  <c r="AF30" i="54"/>
  <c r="AG30" i="54"/>
  <c r="AH30" i="54"/>
  <c r="AI30" i="54"/>
</calcChain>
</file>

<file path=xl/comments1.xml><?xml version="1.0" encoding="utf-8"?>
<comments xmlns="http://schemas.openxmlformats.org/spreadsheetml/2006/main">
  <authors>
    <author>NT47799</author>
  </authors>
  <commentList>
    <comment ref="D134" authorId="0" shapeId="0">
      <text>
        <r>
          <rPr>
            <b/>
            <sz val="9"/>
            <color indexed="81"/>
            <rFont val="Tahoma"/>
            <family val="2"/>
          </rPr>
          <t>NT47799:</t>
        </r>
        <r>
          <rPr>
            <sz val="9"/>
            <color indexed="81"/>
            <rFont val="Tahoma"/>
            <family val="2"/>
          </rPr>
          <t xml:space="preserve">
included in other entities</t>
        </r>
      </text>
    </comment>
  </commentList>
</comments>
</file>

<file path=xl/comments2.xml><?xml version="1.0" encoding="utf-8"?>
<comments xmlns="http://schemas.openxmlformats.org/spreadsheetml/2006/main">
  <authors>
    <author>Matthias Witt</author>
  </authors>
  <commentList>
    <comment ref="C45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other current assets in forecast</t>
        </r>
      </text>
    </comment>
    <comment ref="C82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PPE in projection</t>
        </r>
      </text>
    </comment>
    <comment ref="C101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other current liabilities in projection</t>
        </r>
      </text>
    </comment>
  </commentList>
</comments>
</file>

<file path=xl/comments3.xml><?xml version="1.0" encoding="utf-8"?>
<comments xmlns="http://schemas.openxmlformats.org/spreadsheetml/2006/main">
  <authors>
    <author>Matthias Witt</author>
  </authors>
  <commentList>
    <comment ref="C35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pik interest is seen as loan drawdown</t>
        </r>
      </text>
    </comment>
  </commentList>
</comments>
</file>

<file path=xl/comments4.xml><?xml version="1.0" encoding="utf-8"?>
<comments xmlns="http://schemas.openxmlformats.org/spreadsheetml/2006/main">
  <authors>
    <author>Matthias Witt</author>
  </authors>
  <commentList>
    <comment ref="C41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other current assets in forecast</t>
        </r>
      </text>
    </comment>
    <comment ref="C68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PPE in projection</t>
        </r>
      </text>
    </comment>
    <comment ref="C82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other current liabilities in projection</t>
        </r>
      </text>
    </comment>
  </commentList>
</comments>
</file>

<file path=xl/comments5.xml><?xml version="1.0" encoding="utf-8"?>
<comments xmlns="http://schemas.openxmlformats.org/spreadsheetml/2006/main">
  <authors>
    <author>Matthias Witt</author>
  </authors>
  <commentList>
    <comment ref="C35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pik interest is seen as loan drawdown</t>
        </r>
      </text>
    </comment>
  </commentList>
</comments>
</file>

<file path=xl/comments6.xml><?xml version="1.0" encoding="utf-8"?>
<comments xmlns="http://schemas.openxmlformats.org/spreadsheetml/2006/main">
  <authors>
    <author>Matthias Witt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before drawdown of debt</t>
        </r>
      </text>
    </comment>
  </commentList>
</comments>
</file>

<file path=xl/comments7.xml><?xml version="1.0" encoding="utf-8"?>
<comments xmlns="http://schemas.openxmlformats.org/spreadsheetml/2006/main">
  <authors>
    <author>Matthias Witt</author>
  </authors>
  <commentList>
    <comment ref="C41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other current assets in forecast</t>
        </r>
      </text>
    </comment>
    <comment ref="C67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PPE in projection</t>
        </r>
      </text>
    </comment>
    <comment ref="C81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other current liabilities in projection</t>
        </r>
      </text>
    </comment>
  </commentList>
</comments>
</file>

<file path=xl/comments8.xml><?xml version="1.0" encoding="utf-8"?>
<comments xmlns="http://schemas.openxmlformats.org/spreadsheetml/2006/main">
  <authors>
    <author>Matthias Witt</author>
  </authors>
  <commentList>
    <comment ref="C35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pik interest is seen as loan drawdown</t>
        </r>
      </text>
    </comment>
  </commentList>
</comments>
</file>

<file path=xl/comments9.xml><?xml version="1.0" encoding="utf-8"?>
<comments xmlns="http://schemas.openxmlformats.org/spreadsheetml/2006/main">
  <authors>
    <author>Matthias Witt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before drawdown of debt</t>
        </r>
      </text>
    </comment>
  </commentList>
</comments>
</file>

<file path=xl/comments10.xml><?xml version="1.0" encoding="utf-8"?>
<comments xmlns="http://schemas.openxmlformats.org/spreadsheetml/2006/main">
  <authors>
    <author>Matthias Witt</author>
  </authors>
  <commentList>
    <comment ref="C41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other current assets in forecast</t>
        </r>
      </text>
    </comment>
    <comment ref="C67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PPE in projection</t>
        </r>
      </text>
    </comment>
    <comment ref="C81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included in other current liabilities in projection</t>
        </r>
      </text>
    </comment>
  </commentList>
</comments>
</file>

<file path=xl/comments11.xml><?xml version="1.0" encoding="utf-8"?>
<comments xmlns="http://schemas.openxmlformats.org/spreadsheetml/2006/main">
  <authors>
    <author>Matthias Witt</author>
  </authors>
  <commentList>
    <comment ref="C35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pik interest is seen as loan drawdown</t>
        </r>
      </text>
    </comment>
  </commentList>
</comments>
</file>

<file path=xl/comments12.xml><?xml version="1.0" encoding="utf-8"?>
<comments xmlns="http://schemas.openxmlformats.org/spreadsheetml/2006/main">
  <authors>
    <author>Matthias Witt</author>
  </authors>
  <commentList>
    <comment ref="D10" authorId="0" shapeId="0">
      <text>
        <r>
          <rPr>
            <b/>
            <sz val="9"/>
            <color indexed="81"/>
            <rFont val="Tahoma"/>
            <family val="2"/>
          </rPr>
          <t>Matthias Witt:</t>
        </r>
        <r>
          <rPr>
            <sz val="9"/>
            <color indexed="81"/>
            <rFont val="Tahoma"/>
            <family val="2"/>
          </rPr>
          <t xml:space="preserve">
before drawdown of debt</t>
        </r>
      </text>
    </comment>
  </commentList>
</comments>
</file>

<file path=xl/comments13.xml><?xml version="1.0" encoding="utf-8"?>
<comments xmlns="http://schemas.openxmlformats.org/spreadsheetml/2006/main">
  <authors>
    <author>nt18017</author>
  </authors>
  <commentList>
    <comment ref="D138" authorId="0" shapeId="0">
      <text>
        <r>
          <rPr>
            <b/>
            <sz val="9"/>
            <color indexed="81"/>
            <rFont val="Tahoma"/>
            <family val="2"/>
          </rPr>
          <t>nt18017: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含應付商業本票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承兌匯票</t>
        </r>
      </text>
    </comment>
  </commentList>
</comments>
</file>

<file path=xl/comments14.xml><?xml version="1.0" encoding="utf-8"?>
<comments xmlns="http://schemas.openxmlformats.org/spreadsheetml/2006/main">
  <authors>
    <author>nt18017</author>
  </authors>
  <commentList>
    <comment ref="C63" authorId="0" shapeId="0">
      <text>
        <r>
          <rPr>
            <b/>
            <sz val="9"/>
            <color indexed="81"/>
            <rFont val="Tahoma"/>
            <family val="2"/>
          </rPr>
          <t>nt18017: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含應付商業本票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承兌匯票</t>
        </r>
      </text>
    </comment>
    <comment ref="C82" authorId="0" shapeId="0">
      <text>
        <r>
          <rPr>
            <b/>
            <sz val="9"/>
            <color indexed="81"/>
            <rFont val="Tahoma"/>
            <family val="2"/>
          </rPr>
          <t xml:space="preserve">tFormatSetting=3###_x000D_
tFormatExcel=1###_x000D_
tRankingField=###_x000D_
tSearchString=2|||0|||wim4|||0112,012C,012H,012K,012M,012N,012P,0130,017Z,0160,0165,0170,017L,0180,0140,0197,0182,016A,0190,0100,0340,0350,0360,0370,0380,0390,0314,0315,0400,0821,082J,082C,0823,0820,0813,0814,0810,089Q,032A,0847,0846,017N,0395,0890,0960,0010,1120,1110,1123,1128,1129,1130,118D,1190,1181,123A,1199,1197,1180,1220,112A,1140,1230,1100,1580,1583,1584,1485,1421,1411,1441,1560,1490,1510,1515,1590,1800,1000,2110,2120,2200,2300,2302,211E,2311,2313,2314,231K,2315,2317,2318,2319,231A,231L,2316,2310,2320,2330,2340,2341,2360,2461,246A,2462,2370,2470,2471,2440,2480,2400,200E,2801,2802,2900,2000,0020,3105,3102,310A,3118,3101,3103,3130,3100,3206,3203,320A,3218,3204,3205,3200,3295,3296,3297,3300,3352,3355,3356,339S,339R,3395,3410,3484,34AW,343K,34AX,3491,3494,3493,34BF,348C,3489,3440,3434,3460,34BD,34AY,3436,3447,345C,345D,345E,3498,34BE,3599,358E,359A,3540,3534,3560,359U,359T,3536,3547,354W,354X,354Z,35BD,359V,359W,3510,351C,351N,3501,343L,3530,343C,3701,3700,3900,3910,3920,3925,3966,3970,394A,394E,394B,394C,394F,3948,3949,394G,394D,394H,3947,3971,3950,3960,3964,3956,3961,3967,3990,211F,2117,395S,3995,211I,2402,2403,R531,240D,240E,240G,7002,7211,7212,7513,721P,7532,721K,7533,721J,7333,7227,7213,7214,7221,7222,722F,722G,7233,7234,723H,723M,7225,7224,722H,7243,7244,723C,723D,723E,723N,723W,7511,7521,7531,7278,723F,723I,723J,723K,7512,7280,7282,723L,7546,7253,7510,720C,724L,7714,7713,7721,729B,7210,7361,7362,7363,7364,7365,7366,7367,7331,7336,7335,7324,7323,7340,7560,7368,7350,7352,739C,739B,739D,739A,7300,7411,7412,7443,7444,7441,7442,7448,7449,7446,7445,7447,7611,7431,7430,7432,7470,744A,7353,74AB,7712,7460,749B,7400,7700,7800,7910,7920,7917,7918,|||QUARTER###_x000D_
tFieldType=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公司|||年月|||現金及約當現金|||透過損益按公允價值衡量之金融資產─流動|||備供出售金融資產─流動|||持有至到期日金融資產─流動|||避險之衍生金融資產─流動|||以成本衡量之金融資產─流動|||無活絡市場之債券投資─流動|||應收帳款及票據|||應收建造合約款|||其他應收款|||資金貸予他人─流動|||存貨|||生物資產流動|||預付費用及預付款|||應收代理店款|||待出售非流動資產|||當期所得稅資產─流動|||其他金融資產─流動|||其他流動資產|||流動資產|||透過損益按公允價值衡量之金融資產─非流動|||備供出售金融資產─非流動|||持有至到期日金融資產─非流動|||避險之衍生金融資產─非流動|||以成本衡量之金融資產─非流動|||無活絡市場之債券投資─非流動|||採權益法之長期股權投資|||預付投資款|||不動產廠房及設備|||商譽淨額|||特許權|||發展中之無形資產|||其他無形資產淨額|||商譽及無形資產合計|||遞延所得稅資產|||其他遞延資產淨額|||遞延資產合計|||遞延借項─非流動|||投資性不動產淨額|||預付設備款|||長期預付租金|||生物資產非流動|||其他非流動資產─其他|||其他非流動資產|||非流動資產|||資產總額|||短期借款|||應付商業本票／承兌匯票|||透過損益按公允價值衡量之金融負債─流動|||避險之衍生金融負債─流動|||以成本衡量之金融負債─流動|||應付帳款及票據|||應付建造合約款|||其他應付款|||當期所得稅負債|||負債準備─流動|||與待出售非流動資產直接相關之負債|||其他金融負債─流動|||預收款項|||一年內到期長期負債|||特別股負債─流動|||應付代理店款|||其他流動負債|||流動負債|||透過損益按公允價值衡量之金融負債─非流動|||避險之衍生金融負債─非流動|||以成本衡量之金融負債─非流動|||特別股負債─非流動|||應付公司債─非流動|||銀行借款─非流動|||其他長期借款─非流動|||負債準備─非流動|||遞延貸項|||應計退休金負債|||遞延所得稅|||其他非流動負債|||非流動負債|||負債總額|||普通股股本|||特別股股本|||預收股款|||待分配股票股利|||換股權利證書|||股本|||資本公積─發行溢價|||資本公積─處分資產增益|||資本公積─採權益法認列關聯企業及合資企業股權淨值之變動數|||資本公積─處分子公司股權價格與帳面價值差額|||資本公積─受贈資產|||資本公積─庫藏股票交易|||資本公積─合併溢額|||資本公積─員工認股權|||資本公積─認股權|||資本公積─限制員工權利股票|||資本公積─其他|||資本公積合計|||法定盈餘公積|||特別盈餘公積|||未分配盈餘|||保留盈餘|||國外營運機構財務報表換算之兌換差額|||備供出售金融資產未實現損益|||國外營運機構淨投資避險中屬有效避險部分之避險工具損益|||現金流量避險中屬有效避險部分之避險工具損益|||重估增值|||與待出售非流動資產直接相關之權益|||其他權益--員工未賺得酬勞|||股東權益其他調整項|||其他權益|||庫藏股票帳面值|||母公司股東權益合計|||共同控制下前手權益|||合併前非屬共同控制股權|||非控制權益|||股東權益總額|||負債及股東權益總額|||營業收入毛額|||營收─租金收入|||營收─處分土地收入|||營收─利息收入|||營收─處分投資收入|||營收─投資收益|||退回及折讓|||營業收入淨額|||銷貨成本|||成本─租金成本|||成本─出售土地|||成本─利息支出|||成本─處分投資成本|||成本─投資損失|||營業成本|||營業毛利|||聯屬公司已〈未〉實現銷貨利益|||已實現銷貨毛利|||營業費用|||推銷費用|||管理費用|||研究發展費|||其他費用|||其他收益及費損淨額|||營業利益|||利息收入|||租金收入|||權利金收入|||股利收入|||廉價購買收益|||違約金收入|||壞帳轉回利益|||沖銷逾期應付帳款利益|||補助收益|||其他收入─其他|||其他收入|||處分不動產、廠房及設備利益|||處分投資利益|||外幣兌換利益|||透過損益按公允價值衡量之金融資產（負債）利益|||資產評價利益|||金融資產減損迴轉利益|||資產減損迴轉利益|||不動產、廠房及設備減損迴轉利益|||無形資產減損迴轉利益|||其他減損迴轉利益|||賠償收入|||買回公司債利益|||停工損失|||合約損失|||賠償損失|||處分不動產、廠房及設備損失|||處分投資損失|||外幣兌換損失|||透過損益按公允價值衡量之金融資產（負債）損失|||資產評價損失|||金融資產減損損失|||資產減損損失|||不動產、廠房及設備減損損失|||無形資產減損損失|||其他減損損失|||買回公司債損失|||其他利益及損失─其他|||其他利益及損失|||利息支出|||負債性特別股股息|||財務成本-其他|||財務成本|||採用權益法認列之關聯企業及合資利益之份額|||採用權益法認列之關聯企業及合資損失之份額|||採權益法之關聯企業及合資損益|||營業外收入及支出─其他|||營業外收入及支出|||稅前淨利|||所得稅費用|||繼續營業單位損益|||停業單位損益|||合併前非屬共同控制股權損益|||合併總損益|||國外營運機構財務報表換算之兌換差額─OCI|||權益工具投資損益─OCI|||備供出售金融資產未實現評價損益─OCI|||現金流量避險─OCI|||國外營運機構淨投資避險─OCI|||重估價之利益（損失）─OCI|||確定福利計畫精算損益─OCI|||採用權益法認列之關聯企業及合資之其他綜合損益之份額─OCI|||其他綜合損益─其他─OCI|||與其他綜合損益組成部分相關之所得稅─OCI|||其他綜合損益─OCI|||本期綜合損益總額|||歸屬母公司淨利(損)|||歸屬非控制權益淨利(損)|||歸屬共同控制下前手權益淨利(損)|||綜合損益歸屬母公司|||綜合損益歸屬非控制權益|||綜合損益歸屬共同控制下前手權益|||每股盈餘（元）|||加權平均股數 (仟股)|||發放特別股股息|||稀釋稅後淨利|||每股盈餘─完全稀釋|||加權平均股數─稀釋|||稅前息前淨利|||稅前息前折舊前淨利|||常續性稅後淨利|||庫藏股數─母公司|||庫藏股數─子公司持有母公司股票或其他|||庫藏股數 (母+ 子) 仟股|||稅前淨利-CFO|||折舊|||攤提|||呆帳損失增 〈減〉|||透過損益按公允價值衡量金融資產及負債之淨損失（利益）|||存貨跌價損失增 (減)|||利息支出CFO|||存貨盤 (盈) 虧及報廢|||利息收入CFO|||股利收入CFO|||股份基礎給付酬勞成本|||採用權益法認列之關聯企業及合資利益份額CFO|||採用權益法認列之關聯企業及合資損失份額CFO|||處分不動產、廠房及設備收益CFO|||處分不動產、廠房及設備損失CFO|||處分投資性不動產損(益)|||處分無形資產損(益)|||處分投資損失CFO|||處分投資利益CFO|||金融商品減損損失CFO|||金融商品減損迴轉利益CFO|||資產減損損失CFO|||資產減損迴轉利益CFO|||買回公司債損(益)CFO|||提列各項準備|||回轉各項準備|||透過損益按公允價值衡量金融資產〈增〉減CFO|||備供出售金融資產〈增〉減CFO|||避險之衍生性金融資產〈增〉減CFO|||以成本衡量之金融資產〈增〉減CFO|||持有至到期日金融資產〈增〉減CFO|||應收帳款〈增〉減|||其他應收帳款〈增〉減|||存貨〈增〉減|||預付款〈增〉減|||其他金融資產〈增〉減─CFO|||透過損益按公允價值衡量金融負債〈減〉|||避險之衍生性金融負債增〈減〉─CFO|||以成本衡量之金融負債增〈減〉|||應付帳款增〈減〉|||其他應付款增〈減〉|||預收款增〈減〉|||其他金融負債增〈減〉CFO|||負債準備增〈減〉CFO|||提列員工退休金準備|||支付員工退休金|||利息收現─CFO|||收取股利─CFO|||支付利息─CFO|||支付股利─CFO|||退還(支付)所得稅─CFO|||CFO─調整項(出貨)|||來自營運之現金流量|||（買）賣透過損益按公允價值衡量之金融資產CFI|||（買）賣備供出售金融資產CFI|||持有至到期日金融資產〈增〉減CFI|||以成本衡量之金融資產損〈增〉減CFI|||無活絡市場之債券投資 〈增〉減CFI|||避險之衍生性金融資產〈增〉減CFI|||避險之衍生性金融負債增〈減〉CFI|||應收款項增〈減〉CFI|||新增投資|||出售投資|||購置不動產廠房設備(含預付)|||處分不動產廠房設備(含預付)|||投資性不動產出售(購)|||無形資產〈增〉減|||其他金融資產〈增〉減CFI|||購併他公司支付現金淨額|||取得購併公司現金|||收到利息─CFI|||收到股利─CFI|||退還(支付)所得稅─CFI|||CFI─調整項(出貨)|||投資活動之現金流量|||短期借款增〈減〉|||應付短期票券增〈減〉|||發行公司債|||償還公司債|||舉借長期借款|||償還長期借款|||發行特別股負債|||償還長特別股負債|||庫藏股票減〈增〉|||現金增 〈減〉 資|||行使員工認股權|||支付現金股利|||透過損益按公允價值衡量之金融商品增〈減〉CFF|||避險之衍生金融商品增減─CFF|||其他金融負債增〈減〉CFF|||非控制權益增〈減〉|||取得子公司股權CFF|||處分子公司現金流出CFF|||處分子公司股權CFF|||支付利息CFF|||退還(支付)所得稅CFF|||CFF─調整項(出貨)|||籌資活動之現金流量|||匯率影響數|||本期產生現金流量|||期初現金及約當現金|||期末現金及約當現金|||資產負債表帳列現金|||其他符合國際會計準則第七號現金及約當現金定義之項目|||###_x000D_
tFieldUOM=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-|||-|||T|||T|||-|||-|||T|||T|||T|||-|||-|||-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###_x000D_
tLockIDDateCell=###_x000D_
tDescending=N###_x000D_
tLastestDate=N###_x000D_
tActualDate=N###_x000D_
tAdvancedDateOptions=Y###_x000D_
tLastestDataInEachField=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###_x000D_
tAdvancedFilter=###_x000D_
tIDCompanyView=###_x000D_
tFunction=0|||CALCULATE_QUARTER|||noNull|||20120101~99999999||||||QUARTER###_x000D_
tMacroName=###_x000D_
tUOM=-###_x000D_
tTableLanguage=TCHINESE###_x000D_
tTableCountry=TW###_x000D_
tDataOnly=N###_x000D_
tFixedCOID=###_x000D_
tFixedDate=###_x000D_
</t>
        </r>
      </text>
    </comment>
  </commentList>
</comments>
</file>

<file path=xl/comments15.xml><?xml version="1.0" encoding="utf-8"?>
<comments xmlns="http://schemas.openxmlformats.org/spreadsheetml/2006/main">
  <authors>
    <author>nt18017</author>
  </authors>
  <commentList>
    <comment ref="C63" authorId="0" shapeId="0">
      <text>
        <r>
          <rPr>
            <b/>
            <sz val="9"/>
            <color indexed="81"/>
            <rFont val="Tahoma"/>
            <family val="2"/>
          </rPr>
          <t>nt18017: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含應付商業本票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承兌匯票</t>
        </r>
      </text>
    </comment>
    <comment ref="C82" authorId="0" shapeId="0">
      <text>
        <r>
          <rPr>
            <b/>
            <sz val="9"/>
            <color indexed="81"/>
            <rFont val="Tahoma"/>
            <family val="2"/>
          </rPr>
          <t xml:space="preserve">tFormatSetting=3###_x000D_
tFormatExcel=1###_x000D_
tRankingField=###_x000D_
tSearchString=2|||0|||wim4|||0112,012C,012H,012K,012M,012N,012P,0130,017Z,0160,0165,0170,017L,0180,0140,0197,0182,016A,0190,0100,0340,0350,0360,0370,0380,0390,0314,0315,0400,0821,082J,082C,0823,0820,0813,0814,0810,089Q,032A,0847,0846,017N,0395,0890,0960,0010,1120,1110,1123,1128,1129,1130,118D,1190,1181,123A,1199,1197,1180,1220,112A,1140,1230,1100,1580,1583,1584,1485,1421,1411,1441,1560,1490,1510,1515,1590,1800,1000,2110,2120,2200,2300,2302,211E,2311,2313,2314,231K,2315,2317,2318,2319,231A,231L,2316,2310,2320,2330,2340,2341,2360,2461,246A,2462,2370,2470,2471,2440,2480,2400,200E,2801,2802,2900,2000,0020,3105,3102,310A,3118,3101,3103,3130,3100,3206,3203,320A,3218,3204,3205,3200,3295,3296,3297,3300,3352,3355,3356,339S,339R,3395,3410,3484,34AW,343K,34AX,3491,3494,3493,34BF,348C,3489,3440,3434,3460,34BD,34AY,3436,3447,345C,345D,345E,3498,34BE,3599,358E,359A,3540,3534,3560,359U,359T,3536,3547,354W,354X,354Z,35BD,359V,359W,3510,351C,351N,3501,343L,3530,343C,3701,3700,3900,3910,3920,3925,3966,3970,394A,394E,394B,394C,394F,3948,3949,394G,394D,394H,3947,3971,3950,3960,3964,3956,3961,3967,3990,211F,2117,395S,3995,211I,2402,2403,R531,240D,240E,240G,7002,7211,7212,7513,721P,7532,721K,7533,721J,7333,7227,7213,7214,7221,7222,722F,722G,7233,7234,723H,723M,7225,7224,722H,7243,7244,723C,723D,723E,723N,723W,7511,7521,7531,7278,723F,723I,723J,723K,7512,7280,7282,723L,7546,7253,7510,720C,724L,7714,7713,7721,729B,7210,7361,7362,7363,7364,7365,7366,7367,7331,7336,7335,7324,7323,7340,7560,7368,7350,7352,739C,739B,739D,739A,7300,7411,7412,7443,7444,7441,7442,7448,7449,7446,7445,7447,7611,7431,7430,7432,7470,744A,7353,74AB,7712,7460,749B,7400,7700,7800,7910,7920,7917,7918,|||QUARTER###_x000D_
tFieldType=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公司|||年月|||現金及約當現金|||透過損益按公允價值衡量之金融資產─流動|||備供出售金融資產─流動|||持有至到期日金融資產─流動|||避險之衍生金融資產─流動|||以成本衡量之金融資產─流動|||無活絡市場之債券投資─流動|||應收帳款及票據|||應收建造合約款|||其他應收款|||資金貸予他人─流動|||存貨|||生物資產流動|||預付費用及預付款|||應收代理店款|||待出售非流動資產|||當期所得稅資產─流動|||其他金融資產─流動|||其他流動資產|||流動資產|||透過損益按公允價值衡量之金融資產─非流動|||備供出售金融資產─非流動|||持有至到期日金融資產─非流動|||避險之衍生金融資產─非流動|||以成本衡量之金融資產─非流動|||無活絡市場之債券投資─非流動|||採權益法之長期股權投資|||預付投資款|||不動產廠房及設備|||商譽淨額|||特許權|||發展中之無形資產|||其他無形資產淨額|||商譽及無形資產合計|||遞延所得稅資產|||其他遞延資產淨額|||遞延資產合計|||遞延借項─非流動|||投資性不動產淨額|||預付設備款|||長期預付租金|||生物資產非流動|||其他非流動資產─其他|||其他非流動資產|||非流動資產|||資產總額|||短期借款|||應付商業本票／承兌匯票|||透過損益按公允價值衡量之金融負債─流動|||避險之衍生金融負債─流動|||以成本衡量之金融負債─流動|||應付帳款及票據|||應付建造合約款|||其他應付款|||當期所得稅負債|||負債準備─流動|||與待出售非流動資產直接相關之負債|||其他金融負債─流動|||預收款項|||一年內到期長期負債|||特別股負債─流動|||應付代理店款|||其他流動負債|||流動負債|||透過損益按公允價值衡量之金融負債─非流動|||避險之衍生金融負債─非流動|||以成本衡量之金融負債─非流動|||特別股負債─非流動|||應付公司債─非流動|||銀行借款─非流動|||其他長期借款─非流動|||負債準備─非流動|||遞延貸項|||應計退休金負債|||遞延所得稅|||其他非流動負債|||非流動負債|||負債總額|||普通股股本|||特別股股本|||預收股款|||待分配股票股利|||換股權利證書|||股本|||資本公積─發行溢價|||資本公積─處分資產增益|||資本公積─採權益法認列關聯企業及合資企業股權淨值之變動數|||資本公積─處分子公司股權價格與帳面價值差額|||資本公積─受贈資產|||資本公積─庫藏股票交易|||資本公積─合併溢額|||資本公積─員工認股權|||資本公積─認股權|||資本公積─限制員工權利股票|||資本公積─其他|||資本公積合計|||法定盈餘公積|||特別盈餘公積|||未分配盈餘|||保留盈餘|||國外營運機構財務報表換算之兌換差額|||備供出售金融資產未實現損益|||國外營運機構淨投資避險中屬有效避險部分之避險工具損益|||現金流量避險中屬有效避險部分之避險工具損益|||重估增值|||與待出售非流動資產直接相關之權益|||其他權益--員工未賺得酬勞|||股東權益其他調整項|||其他權益|||庫藏股票帳面值|||母公司股東權益合計|||共同控制下前手權益|||合併前非屬共同控制股權|||非控制權益|||股東權益總額|||負債及股東權益總額|||營業收入毛額|||營收─租金收入|||營收─處分土地收入|||營收─利息收入|||營收─處分投資收入|||營收─投資收益|||退回及折讓|||營業收入淨額|||銷貨成本|||成本─租金成本|||成本─出售土地|||成本─利息支出|||成本─處分投資成本|||成本─投資損失|||營業成本|||營業毛利|||聯屬公司已〈未〉實現銷貨利益|||已實現銷貨毛利|||營業費用|||推銷費用|||管理費用|||研究發展費|||其他費用|||其他收益及費損淨額|||營業利益|||利息收入|||租金收入|||權利金收入|||股利收入|||廉價購買收益|||違約金收入|||壞帳轉回利益|||沖銷逾期應付帳款利益|||補助收益|||其他收入─其他|||其他收入|||處分不動產、廠房及設備利益|||處分投資利益|||外幣兌換利益|||透過損益按公允價值衡量之金融資產（負債）利益|||資產評價利益|||金融資產減損迴轉利益|||資產減損迴轉利益|||不動產、廠房及設備減損迴轉利益|||無形資產減損迴轉利益|||其他減損迴轉利益|||賠償收入|||買回公司債利益|||停工損失|||合約損失|||賠償損失|||處分不動產、廠房及設備損失|||處分投資損失|||外幣兌換損失|||透過損益按公允價值衡量之金融資產（負債）損失|||資產評價損失|||金融資產減損損失|||資產減損損失|||不動產、廠房及設備減損損失|||無形資產減損損失|||其他減損損失|||買回公司債損失|||其他利益及損失─其他|||其他利益及損失|||利息支出|||負債性特別股股息|||財務成本-其他|||財務成本|||採用權益法認列之關聯企業及合資利益之份額|||採用權益法認列之關聯企業及合資損失之份額|||採權益法之關聯企業及合資損益|||營業外收入及支出─其他|||營業外收入及支出|||稅前淨利|||所得稅費用|||繼續營業單位損益|||停業單位損益|||合併前非屬共同控制股權損益|||合併總損益|||國外營運機構財務報表換算之兌換差額─OCI|||權益工具投資損益─OCI|||備供出售金融資產未實現評價損益─OCI|||現金流量避險─OCI|||國外營運機構淨投資避險─OCI|||重估價之利益（損失）─OCI|||確定福利計畫精算損益─OCI|||採用權益法認列之關聯企業及合資之其他綜合損益之份額─OCI|||其他綜合損益─其他─OCI|||與其他綜合損益組成部分相關之所得稅─OCI|||其他綜合損益─OCI|||本期綜合損益總額|||歸屬母公司淨利(損)|||歸屬非控制權益淨利(損)|||歸屬共同控制下前手權益淨利(損)|||綜合損益歸屬母公司|||綜合損益歸屬非控制權益|||綜合損益歸屬共同控制下前手權益|||每股盈餘（元）|||加權平均股數 (仟股)|||發放特別股股息|||稀釋稅後淨利|||每股盈餘─完全稀釋|||加權平均股數─稀釋|||稅前息前淨利|||稅前息前折舊前淨利|||常續性稅後淨利|||庫藏股數─母公司|||庫藏股數─子公司持有母公司股票或其他|||庫藏股數 (母+ 子) 仟股|||稅前淨利-CFO|||折舊|||攤提|||呆帳損失增 〈減〉|||透過損益按公允價值衡量金融資產及負債之淨損失（利益）|||存貨跌價損失增 (減)|||利息支出CFO|||存貨盤 (盈) 虧及報廢|||利息收入CFO|||股利收入CFO|||股份基礎給付酬勞成本|||採用權益法認列之關聯企業及合資利益份額CFO|||採用權益法認列之關聯企業及合資損失份額CFO|||處分不動產、廠房及設備收益CFO|||處分不動產、廠房及設備損失CFO|||處分投資性不動產損(益)|||處分無形資產損(益)|||處分投資損失CFO|||處分投資利益CFO|||金融商品減損損失CFO|||金融商品減損迴轉利益CFO|||資產減損損失CFO|||資產減損迴轉利益CFO|||買回公司債損(益)CFO|||提列各項準備|||回轉各項準備|||透過損益按公允價值衡量金融資產〈增〉減CFO|||備供出售金融資產〈增〉減CFO|||避險之衍生性金融資產〈增〉減CFO|||以成本衡量之金融資產〈增〉減CFO|||持有至到期日金融資產〈增〉減CFO|||應收帳款〈增〉減|||其他應收帳款〈增〉減|||存貨〈增〉減|||預付款〈增〉減|||其他金融資產〈增〉減─CFO|||透過損益按公允價值衡量金融負債〈減〉|||避險之衍生性金融負債增〈減〉─CFO|||以成本衡量之金融負債增〈減〉|||應付帳款增〈減〉|||其他應付款增〈減〉|||預收款增〈減〉|||其他金融負債增〈減〉CFO|||負債準備增〈減〉CFO|||提列員工退休金準備|||支付員工退休金|||利息收現─CFO|||收取股利─CFO|||支付利息─CFO|||支付股利─CFO|||退還(支付)所得稅─CFO|||CFO─調整項(出貨)|||來自營運之現金流量|||（買）賣透過損益按公允價值衡量之金融資產CFI|||（買）賣備供出售金融資產CFI|||持有至到期日金融資產〈增〉減CFI|||以成本衡量之金融資產損〈增〉減CFI|||無活絡市場之債券投資 〈增〉減CFI|||避險之衍生性金融資產〈增〉減CFI|||避險之衍生性金融負債增〈減〉CFI|||應收款項增〈減〉CFI|||新增投資|||出售投資|||購置不動產廠房設備(含預付)|||處分不動產廠房設備(含預付)|||投資性不動產出售(購)|||無形資產〈增〉減|||其他金融資產〈增〉減CFI|||購併他公司支付現金淨額|||取得購併公司現金|||收到利息─CFI|||收到股利─CFI|||退還(支付)所得稅─CFI|||CFI─調整項(出貨)|||投資活動之現金流量|||短期借款增〈減〉|||應付短期票券增〈減〉|||發行公司債|||償還公司債|||舉借長期借款|||償還長期借款|||發行特別股負債|||償還長特別股負債|||庫藏股票減〈增〉|||現金增 〈減〉 資|||行使員工認股權|||支付現金股利|||透過損益按公允價值衡量之金融商品增〈減〉CFF|||避險之衍生金融商品增減─CFF|||其他金融負債增〈減〉CFF|||非控制權益增〈減〉|||取得子公司股權CFF|||處分子公司現金流出CFF|||處分子公司股權CFF|||支付利息CFF|||退還(支付)所得稅CFF|||CFF─調整項(出貨)|||籌資活動之現金流量|||匯率影響數|||本期產生現金流量|||期初現金及約當現金|||期末現金及約當現金|||資產負債表帳列現金|||其他符合國際會計準則第七號現金及約當現金定義之項目|||###_x000D_
tFieldUOM=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-|||-|||T|||T|||-|||-|||T|||T|||T|||-|||-|||-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###_x000D_
tLockIDDateCell=###_x000D_
tDescending=N###_x000D_
tLastestDate=N###_x000D_
tActualDate=N###_x000D_
tAdvancedDateOptions=Y###_x000D_
tLastestDataInEachField=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###_x000D_
tAdvancedFilter=###_x000D_
tIDCompanyView=###_x000D_
tFunction=0|||CALCULATE_QUARTER|||noNull|||20120101~99999999||||||QUARTER###_x000D_
tMacroName=###_x000D_
tUOM=-###_x000D_
tTableLanguage=TCHINESE###_x000D_
tTableCountry=TW###_x000D_
tDataOnly=N###_x000D_
tFixedCOID=###_x000D_
tFixedDate=###_x000D_
</t>
        </r>
      </text>
    </comment>
  </commentList>
</comments>
</file>

<file path=xl/comments16.xml><?xml version="1.0" encoding="utf-8"?>
<comments xmlns="http://schemas.openxmlformats.org/spreadsheetml/2006/main">
  <authors>
    <author>nt18017</author>
  </authors>
  <commentList>
    <comment ref="C63" authorId="0" shapeId="0">
      <text>
        <r>
          <rPr>
            <b/>
            <sz val="9"/>
            <color indexed="81"/>
            <rFont val="Tahoma"/>
            <family val="2"/>
          </rPr>
          <t>nt18017: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含應付商業本票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承兌匯票</t>
        </r>
      </text>
    </comment>
    <comment ref="C82" authorId="0" shapeId="0">
      <text>
        <r>
          <rPr>
            <b/>
            <sz val="9"/>
            <color indexed="81"/>
            <rFont val="Tahoma"/>
            <family val="2"/>
          </rPr>
          <t xml:space="preserve">tFormatSetting=3###_x000D_
tFormatExcel=1###_x000D_
tRankingField=###_x000D_
tSearchString=2|||0|||wim4|||0112,012C,012H,012K,012M,012N,012P,0130,017Z,0160,0165,0170,017L,0180,0140,0197,0182,016A,0190,0100,0340,0350,0360,0370,0380,0390,0314,0315,0400,0821,082J,082C,0823,0820,0813,0814,0810,089Q,032A,0847,0846,017N,0395,0890,0960,0010,1120,1110,1123,1128,1129,1130,118D,1190,1181,123A,1199,1197,1180,1220,112A,1140,1230,1100,1580,1583,1584,1485,1421,1411,1441,1560,1490,1510,1515,1590,1800,1000,2110,2120,2200,2300,2302,211E,2311,2313,2314,231K,2315,2317,2318,2319,231A,231L,2316,2310,2320,2330,2340,2341,2360,2461,246A,2462,2370,2470,2471,2440,2480,2400,200E,2801,2802,2900,2000,0020,3105,3102,310A,3118,3101,3103,3130,3100,3206,3203,320A,3218,3204,3205,3200,3295,3296,3297,3300,3352,3355,3356,339S,339R,3395,3410,3484,34AW,343K,34AX,3491,3494,3493,34BF,348C,3489,3440,3434,3460,34BD,34AY,3436,3447,345C,345D,345E,3498,34BE,3599,358E,359A,3540,3534,3560,359U,359T,3536,3547,354W,354X,354Z,35BD,359V,359W,3510,351C,351N,3501,343L,3530,343C,3701,3700,3900,3910,3920,3925,3966,3970,394A,394E,394B,394C,394F,3948,3949,394G,394D,394H,3947,3971,3950,3960,3964,3956,3961,3967,3990,211F,2117,395S,3995,211I,2402,2403,R531,240D,240E,240G,7002,7211,7212,7513,721P,7532,721K,7533,721J,7333,7227,7213,7214,7221,7222,722F,722G,7233,7234,723H,723M,7225,7224,722H,7243,7244,723C,723D,723E,723N,723W,7511,7521,7531,7278,723F,723I,723J,723K,7512,7280,7282,723L,7546,7253,7510,720C,724L,7714,7713,7721,729B,7210,7361,7362,7363,7364,7365,7366,7367,7331,7336,7335,7324,7323,7340,7560,7368,7350,7352,739C,739B,739D,739A,7300,7411,7412,7443,7444,7441,7442,7448,7449,7446,7445,7447,7611,7431,7430,7432,7470,744A,7353,74AB,7712,7460,749B,7400,7700,7800,7910,7920,7917,7918,|||QUARTER###_x000D_
tFieldType=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公司|||年月|||現金及約當現金|||透過損益按公允價值衡量之金融資產─流動|||備供出售金融資產─流動|||持有至到期日金融資產─流動|||避險之衍生金融資產─流動|||以成本衡量之金融資產─流動|||無活絡市場之債券投資─流動|||應收帳款及票據|||應收建造合約款|||其他應收款|||資金貸予他人─流動|||存貨|||生物資產流動|||預付費用及預付款|||應收代理店款|||待出售非流動資產|||當期所得稅資產─流動|||其他金融資產─流動|||其他流動資產|||流動資產|||透過損益按公允價值衡量之金融資產─非流動|||備供出售金融資產─非流動|||持有至到期日金融資產─非流動|||避險之衍生金融資產─非流動|||以成本衡量之金融資產─非流動|||無活絡市場之債券投資─非流動|||採權益法之長期股權投資|||預付投資款|||不動產廠房及設備|||商譽淨額|||特許權|||發展中之無形資產|||其他無形資產淨額|||商譽及無形資產合計|||遞延所得稅資產|||其他遞延資產淨額|||遞延資產合計|||遞延借項─非流動|||投資性不動產淨額|||預付設備款|||長期預付租金|||生物資產非流動|||其他非流動資產─其他|||其他非流動資產|||非流動資產|||資產總額|||短期借款|||應付商業本票／承兌匯票|||透過損益按公允價值衡量之金融負債─流動|||避險之衍生金融負債─流動|||以成本衡量之金融負債─流動|||應付帳款及票據|||應付建造合約款|||其他應付款|||當期所得稅負債|||負債準備─流動|||與待出售非流動資產直接相關之負債|||其他金融負債─流動|||預收款項|||一年內到期長期負債|||特別股負債─流動|||應付代理店款|||其他流動負債|||流動負債|||透過損益按公允價值衡量之金融負債─非流動|||避險之衍生金融負債─非流動|||以成本衡量之金融負債─非流動|||特別股負債─非流動|||應付公司債─非流動|||銀行借款─非流動|||其他長期借款─非流動|||負債準備─非流動|||遞延貸項|||應計退休金負債|||遞延所得稅|||其他非流動負債|||非流動負債|||負債總額|||普通股股本|||特別股股本|||預收股款|||待分配股票股利|||換股權利證書|||股本|||資本公積─發行溢價|||資本公積─處分資產增益|||資本公積─採權益法認列關聯企業及合資企業股權淨值之變動數|||資本公積─處分子公司股權價格與帳面價值差額|||資本公積─受贈資產|||資本公積─庫藏股票交易|||資本公積─合併溢額|||資本公積─員工認股權|||資本公積─認股權|||資本公積─限制員工權利股票|||資本公積─其他|||資本公積合計|||法定盈餘公積|||特別盈餘公積|||未分配盈餘|||保留盈餘|||國外營運機構財務報表換算之兌換差額|||備供出售金融資產未實現損益|||國外營運機構淨投資避險中屬有效避險部分之避險工具損益|||現金流量避險中屬有效避險部分之避險工具損益|||重估增值|||與待出售非流動資產直接相關之權益|||其他權益--員工未賺得酬勞|||股東權益其他調整項|||其他權益|||庫藏股票帳面值|||母公司股東權益合計|||共同控制下前手權益|||合併前非屬共同控制股權|||非控制權益|||股東權益總額|||負債及股東權益總額|||營業收入毛額|||營收─租金收入|||營收─處分土地收入|||營收─利息收入|||營收─處分投資收入|||營收─投資收益|||退回及折讓|||營業收入淨額|||銷貨成本|||成本─租金成本|||成本─出售土地|||成本─利息支出|||成本─處分投資成本|||成本─投資損失|||營業成本|||營業毛利|||聯屬公司已〈未〉實現銷貨利益|||已實現銷貨毛利|||營業費用|||推銷費用|||管理費用|||研究發展費|||其他費用|||其他收益及費損淨額|||營業利益|||利息收入|||租金收入|||權利金收入|||股利收入|||廉價購買收益|||違約金收入|||壞帳轉回利益|||沖銷逾期應付帳款利益|||補助收益|||其他收入─其他|||其他收入|||處分不動產、廠房及設備利益|||處分投資利益|||外幣兌換利益|||透過損益按公允價值衡量之金融資產（負債）利益|||資產評價利益|||金融資產減損迴轉利益|||資產減損迴轉利益|||不動產、廠房及設備減損迴轉利益|||無形資產減損迴轉利益|||其他減損迴轉利益|||賠償收入|||買回公司債利益|||停工損失|||合約損失|||賠償損失|||處分不動產、廠房及設備損失|||處分投資損失|||外幣兌換損失|||透過損益按公允價值衡量之金融資產（負債）損失|||資產評價損失|||金融資產減損損失|||資產減損損失|||不動產、廠房及設備減損損失|||無形資產減損損失|||其他減損損失|||買回公司債損失|||其他利益及損失─其他|||其他利益及損失|||利息支出|||負債性特別股股息|||財務成本-其他|||財務成本|||採用權益法認列之關聯企業及合資利益之份額|||採用權益法認列之關聯企業及合資損失之份額|||採權益法之關聯企業及合資損益|||營業外收入及支出─其他|||營業外收入及支出|||稅前淨利|||所得稅費用|||繼續營業單位損益|||停業單位損益|||合併前非屬共同控制股權損益|||合併總損益|||國外營運機構財務報表換算之兌換差額─OCI|||權益工具投資損益─OCI|||備供出售金融資產未實現評價損益─OCI|||現金流量避險─OCI|||國外營運機構淨投資避險─OCI|||重估價之利益（損失）─OCI|||確定福利計畫精算損益─OCI|||採用權益法認列之關聯企業及合資之其他綜合損益之份額─OCI|||其他綜合損益─其他─OCI|||與其他綜合損益組成部分相關之所得稅─OCI|||其他綜合損益─OCI|||本期綜合損益總額|||歸屬母公司淨利(損)|||歸屬非控制權益淨利(損)|||歸屬共同控制下前手權益淨利(損)|||綜合損益歸屬母公司|||綜合損益歸屬非控制權益|||綜合損益歸屬共同控制下前手權益|||每股盈餘（元）|||加權平均股數 (仟股)|||發放特別股股息|||稀釋稅後淨利|||每股盈餘─完全稀釋|||加權平均股數─稀釋|||稅前息前淨利|||稅前息前折舊前淨利|||常續性稅後淨利|||庫藏股數─母公司|||庫藏股數─子公司持有母公司股票或其他|||庫藏股數 (母+ 子) 仟股|||稅前淨利-CFO|||折舊|||攤提|||呆帳損失增 〈減〉|||透過損益按公允價值衡量金融資產及負債之淨損失（利益）|||存貨跌價損失增 (減)|||利息支出CFO|||存貨盤 (盈) 虧及報廢|||利息收入CFO|||股利收入CFO|||股份基礎給付酬勞成本|||採用權益法認列之關聯企業及合資利益份額CFO|||採用權益法認列之關聯企業及合資損失份額CFO|||處分不動產、廠房及設備收益CFO|||處分不動產、廠房及設備損失CFO|||處分投資性不動產損(益)|||處分無形資產損(益)|||處分投資損失CFO|||處分投資利益CFO|||金融商品減損損失CFO|||金融商品減損迴轉利益CFO|||資產減損損失CFO|||資產減損迴轉利益CFO|||買回公司債損(益)CFO|||提列各項準備|||回轉各項準備|||透過損益按公允價值衡量金融資產〈增〉減CFO|||備供出售金融資產〈增〉減CFO|||避險之衍生性金融資產〈增〉減CFO|||以成本衡量之金融資產〈增〉減CFO|||持有至到期日金融資產〈增〉減CFO|||應收帳款〈增〉減|||其他應收帳款〈增〉減|||存貨〈增〉減|||預付款〈增〉減|||其他金融資產〈增〉減─CFO|||透過損益按公允價值衡量金融負債〈減〉|||避險之衍生性金融負債增〈減〉─CFO|||以成本衡量之金融負債增〈減〉|||應付帳款增〈減〉|||其他應付款增〈減〉|||預收款增〈減〉|||其他金融負債增〈減〉CFO|||負債準備增〈減〉CFO|||提列員工退休金準備|||支付員工退休金|||利息收現─CFO|||收取股利─CFO|||支付利息─CFO|||支付股利─CFO|||退還(支付)所得稅─CFO|||CFO─調整項(出貨)|||來自營運之現金流量|||（買）賣透過損益按公允價值衡量之金融資產CFI|||（買）賣備供出售金融資產CFI|||持有至到期日金融資產〈增〉減CFI|||以成本衡量之金融資產損〈增〉減CFI|||無活絡市場之債券投資 〈增〉減CFI|||避險之衍生性金融資產〈增〉減CFI|||避險之衍生性金融負債增〈減〉CFI|||應收款項增〈減〉CFI|||新增投資|||出售投資|||購置不動產廠房設備(含預付)|||處分不動產廠房設備(含預付)|||投資性不動產出售(購)|||無形資產〈增〉減|||其他金融資產〈增〉減CFI|||購併他公司支付現金淨額|||取得購併公司現金|||收到利息─CFI|||收到股利─CFI|||退還(支付)所得稅─CFI|||CFI─調整項(出貨)|||投資活動之現金流量|||短期借款增〈減〉|||應付短期票券增〈減〉|||發行公司債|||償還公司債|||舉借長期借款|||償還長期借款|||發行特別股負債|||償還長特別股負債|||庫藏股票減〈增〉|||現金增 〈減〉 資|||行使員工認股權|||支付現金股利|||透過損益按公允價值衡量之金融商品增〈減〉CFF|||避險之衍生金融商品增減─CFF|||其他金融負債增〈減〉CFF|||非控制權益增〈減〉|||取得子公司股權CFF|||處分子公司現金流出CFF|||處分子公司股權CFF|||支付利息CFF|||退還(支付)所得稅CFF|||CFF─調整項(出貨)|||籌資活動之現金流量|||匯率影響數|||本期產生現金流量|||期初現金及約當現金|||期末現金及約當現金|||資產負債表帳列現金|||其他符合國際會計準則第七號現金及約當現金定義之項目|||###_x000D_
tFieldUOM=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-|||-|||T|||T|||-|||-|||T|||T|||T|||-|||-|||-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###_x000D_
tLockIDDateCell=###_x000D_
tDescending=N###_x000D_
tLastestDate=N###_x000D_
tActualDate=N###_x000D_
tAdvancedDateOptions=Y###_x000D_
tLastestDataInEachField=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###_x000D_
tAdvancedFilter=###_x000D_
tIDCompanyView=###_x000D_
tFunction=0|||CALCULATE_QUARTER|||noNull|||20120101~99999999||||||QUARTER###_x000D_
tMacroName=###_x000D_
tUOM=-###_x000D_
tTableLanguage=TCHINESE###_x000D_
tTableCountry=TW###_x000D_
tDataOnly=N###_x000D_
tFixedCOID=###_x000D_
tFixedDate=###_x000D_
</t>
        </r>
      </text>
    </comment>
  </commentList>
</comments>
</file>

<file path=xl/comments17.xml><?xml version="1.0" encoding="utf-8"?>
<comments xmlns="http://schemas.openxmlformats.org/spreadsheetml/2006/main">
  <authors>
    <author>nt18017</author>
    <author>黎藍平</author>
  </authors>
  <commentList>
    <comment ref="C63" authorId="0" shapeId="0">
      <text>
        <r>
          <rPr>
            <b/>
            <sz val="9"/>
            <color indexed="81"/>
            <rFont val="Tahoma"/>
            <family val="2"/>
          </rPr>
          <t>nt18017: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含應付商業本票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承兌匯票</t>
        </r>
      </text>
    </comment>
    <comment ref="C82" authorId="0" shapeId="0">
      <text>
        <r>
          <rPr>
            <b/>
            <sz val="9"/>
            <color indexed="81"/>
            <rFont val="Tahoma"/>
            <family val="2"/>
          </rPr>
          <t xml:space="preserve">tFormatSetting=3###_x000D_
tFormatExcel=1###_x000D_
tRankingField=###_x000D_
tSearchString=2|||0|||wim4|||0112,012C,012H,012K,012M,012N,012P,0130,017Z,0160,0165,0170,017L,0180,0140,0197,0182,016A,0190,0100,0340,0350,0360,0370,0380,0390,0314,0315,0400,0821,082J,082C,0823,0820,0813,0814,0810,089Q,032A,0847,0846,017N,0395,0890,0960,0010,1120,1110,1123,1128,1129,1130,118D,1190,1181,123A,1199,1197,1180,1220,112A,1140,1230,1100,1580,1583,1584,1485,1421,1411,1441,1560,1490,1510,1515,1590,1800,1000,2110,2120,2200,2300,2302,211E,2311,2313,2314,231K,2315,2317,2318,2319,231A,231L,2316,2310,2320,2330,2340,2341,2360,2461,246A,2462,2370,2470,2471,2440,2480,2400,200E,2801,2802,2900,2000,0020,3105,3102,310A,3118,3101,3103,3130,3100,3206,3203,320A,3218,3204,3205,3200,3295,3296,3297,3300,3352,3355,3356,339S,339R,3395,3410,3484,34AW,343K,34AX,3491,3494,3493,34BF,348C,3489,3440,3434,3460,34BD,34AY,3436,3447,345C,345D,345E,3498,34BE,3599,358E,359A,3540,3534,3560,359U,359T,3536,3547,354W,354X,354Z,35BD,359V,359W,3510,351C,351N,3501,343L,3530,343C,3701,3700,3900,3910,3920,3925,3966,3970,394A,394E,394B,394C,394F,3948,3949,394G,394D,394H,3947,3971,3950,3960,3964,3956,3961,3967,3990,211F,2117,395S,3995,211I,2402,2403,R531,240D,240E,240G,7002,7211,7212,7513,721P,7532,721K,7533,721J,7333,7227,7213,7214,7221,7222,722F,722G,7233,7234,723H,723M,7225,7224,722H,7243,7244,723C,723D,723E,723N,723W,7511,7521,7531,7278,723F,723I,723J,723K,7512,7280,7282,723L,7546,7253,7510,720C,724L,7714,7713,7721,729B,7210,7361,7362,7363,7364,7365,7366,7367,7331,7336,7335,7324,7323,7340,7560,7368,7350,7352,739C,739B,739D,739A,7300,7411,7412,7443,7444,7441,7442,7448,7449,7446,7445,7447,7611,7431,7430,7432,7470,744A,7353,74AB,7712,7460,749B,7400,7700,7800,7910,7920,7917,7918,|||QUARTER###_x000D_
tFieldType=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公司|||年月|||現金及約當現金|||透過損益按公允價值衡量之金融資產─流動|||備供出售金融資產─流動|||持有至到期日金融資產─流動|||避險之衍生金融資產─流動|||以成本衡量之金融資產─流動|||無活絡市場之債券投資─流動|||應收帳款及票據|||應收建造合約款|||其他應收款|||資金貸予他人─流動|||存貨|||生物資產流動|||預付費用及預付款|||應收代理店款|||待出售非流動資產|||當期所得稅資產─流動|||其他金融資產─流動|||其他流動資產|||流動資產|||透過損益按公允價值衡量之金融資產─非流動|||備供出售金融資產─非流動|||持有至到期日金融資產─非流動|||避險之衍生金融資產─非流動|||以成本衡量之金融資產─非流動|||無活絡市場之債券投資─非流動|||採權益法之長期股權投資|||預付投資款|||不動產廠房及設備|||商譽淨額|||特許權|||發展中之無形資產|||其他無形資產淨額|||商譽及無形資產合計|||遞延所得稅資產|||其他遞延資產淨額|||遞延資產合計|||遞延借項─非流動|||投資性不動產淨額|||預付設備款|||長期預付租金|||生物資產非流動|||其他非流動資產─其他|||其他非流動資產|||非流動資產|||資產總額|||短期借款|||應付商業本票／承兌匯票|||透過損益按公允價值衡量之金融負債─流動|||避險之衍生金融負債─流動|||以成本衡量之金融負債─流動|||應付帳款及票據|||應付建造合約款|||其他應付款|||當期所得稅負債|||負債準備─流動|||與待出售非流動資產直接相關之負債|||其他金融負債─流動|||預收款項|||一年內到期長期負債|||特別股負債─流動|||應付代理店款|||其他流動負債|||流動負債|||透過損益按公允價值衡量之金融負債─非流動|||避險之衍生金融負債─非流動|||以成本衡量之金融負債─非流動|||特別股負債─非流動|||應付公司債─非流動|||銀行借款─非流動|||其他長期借款─非流動|||負債準備─非流動|||遞延貸項|||應計退休金負債|||遞延所得稅|||其他非流動負債|||非流動負債|||負債總額|||普通股股本|||特別股股本|||預收股款|||待分配股票股利|||換股權利證書|||股本|||資本公積─發行溢價|||資本公積─處分資產增益|||資本公積─採權益法認列關聯企業及合資企業股權淨值之變動數|||資本公積─處分子公司股權價格與帳面價值差額|||資本公積─受贈資產|||資本公積─庫藏股票交易|||資本公積─合併溢額|||資本公積─員工認股權|||資本公積─認股權|||資本公積─限制員工權利股票|||資本公積─其他|||資本公積合計|||法定盈餘公積|||特別盈餘公積|||未分配盈餘|||保留盈餘|||國外營運機構財務報表換算之兌換差額|||備供出售金融資產未實現損益|||國外營運機構淨投資避險中屬有效避險部分之避險工具損益|||現金流量避險中屬有效避險部分之避險工具損益|||重估增值|||與待出售非流動資產直接相關之權益|||其他權益--員工未賺得酬勞|||股東權益其他調整項|||其他權益|||庫藏股票帳面值|||母公司股東權益合計|||共同控制下前手權益|||合併前非屬共同控制股權|||非控制權益|||股東權益總額|||負債及股東權益總額|||營業收入毛額|||營收─租金收入|||營收─處分土地收入|||營收─利息收入|||營收─處分投資收入|||營收─投資收益|||退回及折讓|||營業收入淨額|||銷貨成本|||成本─租金成本|||成本─出售土地|||成本─利息支出|||成本─處分投資成本|||成本─投資損失|||營業成本|||營業毛利|||聯屬公司已〈未〉實現銷貨利益|||已實現銷貨毛利|||營業費用|||推銷費用|||管理費用|||研究發展費|||其他費用|||其他收益及費損淨額|||營業利益|||利息收入|||租金收入|||權利金收入|||股利收入|||廉價購買收益|||違約金收入|||壞帳轉回利益|||沖銷逾期應付帳款利益|||補助收益|||其他收入─其他|||其他收入|||處分不動產、廠房及設備利益|||處分投資利益|||外幣兌換利益|||透過損益按公允價值衡量之金融資產（負債）利益|||資產評價利益|||金融資產減損迴轉利益|||資產減損迴轉利益|||不動產、廠房及設備減損迴轉利益|||無形資產減損迴轉利益|||其他減損迴轉利益|||賠償收入|||買回公司債利益|||停工損失|||合約損失|||賠償損失|||處分不動產、廠房及設備損失|||處分投資損失|||外幣兌換損失|||透過損益按公允價值衡量之金融資產（負債）損失|||資產評價損失|||金融資產減損損失|||資產減損損失|||不動產、廠房及設備減損損失|||無形資產減損損失|||其他減損損失|||買回公司債損失|||其他利益及損失─其他|||其他利益及損失|||利息支出|||負債性特別股股息|||財務成本-其他|||財務成本|||採用權益法認列之關聯企業及合資利益之份額|||採用權益法認列之關聯企業及合資損失之份額|||採權益法之關聯企業及合資損益|||營業外收入及支出─其他|||營業外收入及支出|||稅前淨利|||所得稅費用|||繼續營業單位損益|||停業單位損益|||合併前非屬共同控制股權損益|||合併總損益|||國外營運機構財務報表換算之兌換差額─OCI|||權益工具投資損益─OCI|||備供出售金融資產未實現評價損益─OCI|||現金流量避險─OCI|||國外營運機構淨投資避險─OCI|||重估價之利益（損失）─OCI|||確定福利計畫精算損益─OCI|||採用權益法認列之關聯企業及合資之其他綜合損益之份額─OCI|||其他綜合損益─其他─OCI|||與其他綜合損益組成部分相關之所得稅─OCI|||其他綜合損益─OCI|||本期綜合損益總額|||歸屬母公司淨利(損)|||歸屬非控制權益淨利(損)|||歸屬共同控制下前手權益淨利(損)|||綜合損益歸屬母公司|||綜合損益歸屬非控制權益|||綜合損益歸屬共同控制下前手權益|||每股盈餘（元）|||加權平均股數 (仟股)|||發放特別股股息|||稀釋稅後淨利|||每股盈餘─完全稀釋|||加權平均股數─稀釋|||稅前息前淨利|||稅前息前折舊前淨利|||常續性稅後淨利|||庫藏股數─母公司|||庫藏股數─子公司持有母公司股票或其他|||庫藏股數 (母+ 子) 仟股|||稅前淨利-CFO|||折舊|||攤提|||呆帳損失增 〈減〉|||透過損益按公允價值衡量金融資產及負債之淨損失（利益）|||存貨跌價損失增 (減)|||利息支出CFO|||存貨盤 (盈) 虧及報廢|||利息收入CFO|||股利收入CFO|||股份基礎給付酬勞成本|||採用權益法認列之關聯企業及合資利益份額CFO|||採用權益法認列之關聯企業及合資損失份額CFO|||處分不動產、廠房及設備收益CFO|||處分不動產、廠房及設備損失CFO|||處分投資性不動產損(益)|||處分無形資產損(益)|||處分投資損失CFO|||處分投資利益CFO|||金融商品減損損失CFO|||金融商品減損迴轉利益CFO|||資產減損損失CFO|||資產減損迴轉利益CFO|||買回公司債損(益)CFO|||提列各項準備|||回轉各項準備|||透過損益按公允價值衡量金融資產〈增〉減CFO|||備供出售金融資產〈增〉減CFO|||避險之衍生性金融資產〈增〉減CFO|||以成本衡量之金融資產〈增〉減CFO|||持有至到期日金融資產〈增〉減CFO|||應收帳款〈增〉減|||其他應收帳款〈增〉減|||存貨〈增〉減|||預付款〈增〉減|||其他金融資產〈增〉減─CFO|||透過損益按公允價值衡量金融負債〈減〉|||避險之衍生性金融負債增〈減〉─CFO|||以成本衡量之金融負債增〈減〉|||應付帳款增〈減〉|||其他應付款增〈減〉|||預收款增〈減〉|||其他金融負債增〈減〉CFO|||負債準備增〈減〉CFO|||提列員工退休金準備|||支付員工退休金|||利息收現─CFO|||收取股利─CFO|||支付利息─CFO|||支付股利─CFO|||退還(支付)所得稅─CFO|||CFO─調整項(出貨)|||來自營運之現金流量|||（買）賣透過損益按公允價值衡量之金融資產CFI|||（買）賣備供出售金融資產CFI|||持有至到期日金融資產〈增〉減CFI|||以成本衡量之金融資產損〈增〉減CFI|||無活絡市場之債券投資 〈增〉減CFI|||避險之衍生性金融資產〈增〉減CFI|||避險之衍生性金融負債增〈減〉CFI|||應收款項增〈減〉CFI|||新增投資|||出售投資|||購置不動產廠房設備(含預付)|||處分不動產廠房設備(含預付)|||投資性不動產出售(購)|||無形資產〈增〉減|||其他金融資產〈增〉減CFI|||購併他公司支付現金淨額|||取得購併公司現金|||收到利息─CFI|||收到股利─CFI|||退還(支付)所得稅─CFI|||CFI─調整項(出貨)|||投資活動之現金流量|||短期借款增〈減〉|||應付短期票券增〈減〉|||發行公司債|||償還公司債|||舉借長期借款|||償還長期借款|||發行特別股負債|||償還長特別股負債|||庫藏股票減〈增〉|||現金增 〈減〉 資|||行使員工認股權|||支付現金股利|||透過損益按公允價值衡量之金融商品增〈減〉CFF|||避險之衍生金融商品增減─CFF|||其他金融負債增〈減〉CFF|||非控制權益增〈減〉|||取得子公司股權CFF|||處分子公司現金流出CFF|||處分子公司股權CFF|||支付利息CFF|||退還(支付)所得稅CFF|||CFF─調整項(出貨)|||籌資活動之現金流量|||匯率影響數|||本期產生現金流量|||期初現金及約當現金|||期末現金及約當現金|||資產負債表帳列現金|||其他符合國際會計準則第七號現金及約當現金定義之項目|||###_x000D_
tFieldUOM=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-|||-|||T|||T|||-|||-|||T|||T|||T|||-|||-|||-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###_x000D_
tLockIDDateCell=###_x000D_
tDescending=N###_x000D_
tLastestDate=N###_x000D_
tActualDate=N###_x000D_
tAdvancedDateOptions=Y###_x000D_
tLastestDataInEachField=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###_x000D_
tAdvancedFilter=###_x000D_
tIDCompanyView=###_x000D_
tFunction=0|||CALCULATE_QUARTER|||noNull|||20120101~99999999||||||QUARTER###_x000D_
tMacroName=###_x000D_
tUOM=-###_x000D_
tTableLanguage=TCHINESE###_x000D_
tTableCountry=TW###_x000D_
tDataOnly=N###_x000D_
tFixedCOID=###_x000D_
tFixedDate=###_x000D_
</t>
        </r>
      </text>
    </comment>
    <comment ref="I143" authorId="1" shapeId="0">
      <text>
        <r>
          <rPr>
            <b/>
            <sz val="9"/>
            <color indexed="81"/>
            <rFont val="細明體"/>
            <family val="3"/>
            <charset val="136"/>
          </rPr>
          <t>黎藍平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get from covenant test
</t>
        </r>
      </text>
    </comment>
  </commentList>
</comments>
</file>

<file path=xl/comments18.xml><?xml version="1.0" encoding="utf-8"?>
<comments xmlns="http://schemas.openxmlformats.org/spreadsheetml/2006/main">
  <authors>
    <author>nt18017</author>
  </authors>
  <commentList>
    <comment ref="C63" authorId="0" shapeId="0">
      <text>
        <r>
          <rPr>
            <b/>
            <sz val="9"/>
            <color indexed="81"/>
            <rFont val="Tahoma"/>
            <family val="2"/>
          </rPr>
          <t>nt18017: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含應付商業本票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細明體"/>
            <family val="3"/>
            <charset val="136"/>
          </rPr>
          <t>承兌匯票</t>
        </r>
      </text>
    </comment>
    <comment ref="C82" authorId="0" shapeId="0">
      <text>
        <r>
          <rPr>
            <b/>
            <sz val="9"/>
            <color indexed="81"/>
            <rFont val="Tahoma"/>
            <family val="2"/>
          </rPr>
          <t xml:space="preserve">tFormatSetting=3###_x000D_
tFormatExcel=1###_x000D_
tRankingField=###_x000D_
tSearchString=2|||0|||wim4|||0112,012C,012H,012K,012M,012N,012P,0130,017Z,0160,0165,0170,017L,0180,0140,0197,0182,016A,0190,0100,0340,0350,0360,0370,0380,0390,0314,0315,0400,0821,082J,082C,0823,0820,0813,0814,0810,089Q,032A,0847,0846,017N,0395,0890,0960,0010,1120,1110,1123,1128,1129,1130,118D,1190,1181,123A,1199,1197,1180,1220,112A,1140,1230,1100,1580,1583,1584,1485,1421,1411,1441,1560,1490,1510,1515,1590,1800,1000,2110,2120,2200,2300,2302,211E,2311,2313,2314,231K,2315,2317,2318,2319,231A,231L,2316,2310,2320,2330,2340,2341,2360,2461,246A,2462,2370,2470,2471,2440,2480,2400,200E,2801,2802,2900,2000,0020,3105,3102,310A,3118,3101,3103,3130,3100,3206,3203,320A,3218,3204,3205,3200,3295,3296,3297,3300,3352,3355,3356,339S,339R,3395,3410,3484,34AW,343K,34AX,3491,3494,3493,34BF,348C,3489,3440,3434,3460,34BD,34AY,3436,3447,345C,345D,345E,3498,34BE,3599,358E,359A,3540,3534,3560,359U,359T,3536,3547,354W,354X,354Z,35BD,359V,359W,3510,351C,351N,3501,343L,3530,343C,3701,3700,3900,3910,3920,3925,3966,3970,394A,394E,394B,394C,394F,3948,3949,394G,394D,394H,3947,3971,3950,3960,3964,3956,3961,3967,3990,211F,2117,395S,3995,211I,2402,2403,R531,240D,240E,240G,7002,7211,7212,7513,721P,7532,721K,7533,721J,7333,7227,7213,7214,7221,7222,722F,722G,7233,7234,723H,723M,7225,7224,722H,7243,7244,723C,723D,723E,723N,723W,7511,7521,7531,7278,723F,723I,723J,723K,7512,7280,7282,723L,7546,7253,7510,720C,724L,7714,7713,7721,729B,7210,7361,7362,7363,7364,7365,7366,7367,7331,7336,7335,7324,7323,7340,7560,7368,7350,7352,739C,739B,739D,739A,7300,7411,7412,7443,7444,7441,7442,7448,7449,7446,7445,7447,7611,7431,7430,7432,7470,744A,7353,74AB,7712,7460,749B,7400,7700,7800,7910,7920,7917,7918,|||QUARTER###_x000D_
tFieldType=System.String|||System.String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System.Double|||###_x000D_
tFieldName=公司|||年月|||現金及約當現金|||透過損益按公允價值衡量之金融資產─流動|||備供出售金融資產─流動|||持有至到期日金融資產─流動|||避險之衍生金融資產─流動|||以成本衡量之金融資產─流動|||無活絡市場之債券投資─流動|||應收帳款及票據|||應收建造合約款|||其他應收款|||資金貸予他人─流動|||存貨|||生物資產流動|||預付費用及預付款|||應收代理店款|||待出售非流動資產|||當期所得稅資產─流動|||其他金融資產─流動|||其他流動資產|||流動資產|||透過損益按公允價值衡量之金融資產─非流動|||備供出售金融資產─非流動|||持有至到期日金融資產─非流動|||避險之衍生金融資產─非流動|||以成本衡量之金融資產─非流動|||無活絡市場之債券投資─非流動|||採權益法之長期股權投資|||預付投資款|||不動產廠房及設備|||商譽淨額|||特許權|||發展中之無形資產|||其他無形資產淨額|||商譽及無形資產合計|||遞延所得稅資產|||其他遞延資產淨額|||遞延資產合計|||遞延借項─非流動|||投資性不動產淨額|||預付設備款|||長期預付租金|||生物資產非流動|||其他非流動資產─其他|||其他非流動資產|||非流動資產|||資產總額|||短期借款|||應付商業本票／承兌匯票|||透過損益按公允價值衡量之金融負債─流動|||避險之衍生金融負債─流動|||以成本衡量之金融負債─流動|||應付帳款及票據|||應付建造合約款|||其他應付款|||當期所得稅負債|||負債準備─流動|||與待出售非流動資產直接相關之負債|||其他金融負債─流動|||預收款項|||一年內到期長期負債|||特別股負債─流動|||應付代理店款|||其他流動負債|||流動負債|||透過損益按公允價值衡量之金融負債─非流動|||避險之衍生金融負債─非流動|||以成本衡量之金融負債─非流動|||特別股負債─非流動|||應付公司債─非流動|||銀行借款─非流動|||其他長期借款─非流動|||負債準備─非流動|||遞延貸項|||應計退休金負債|||遞延所得稅|||其他非流動負債|||非流動負債|||負債總額|||普通股股本|||特別股股本|||預收股款|||待分配股票股利|||換股權利證書|||股本|||資本公積─發行溢價|||資本公積─處分資產增益|||資本公積─採權益法認列關聯企業及合資企業股權淨值之變動數|||資本公積─處分子公司股權價格與帳面價值差額|||資本公積─受贈資產|||資本公積─庫藏股票交易|||資本公積─合併溢額|||資本公積─員工認股權|||資本公積─認股權|||資本公積─限制員工權利股票|||資本公積─其他|||資本公積合計|||法定盈餘公積|||特別盈餘公積|||未分配盈餘|||保留盈餘|||國外營運機構財務報表換算之兌換差額|||備供出售金融資產未實現損益|||國外營運機構淨投資避險中屬有效避險部分之避險工具損益|||現金流量避險中屬有效避險部分之避險工具損益|||重估增值|||與待出售非流動資產直接相關之權益|||其他權益--員工未賺得酬勞|||股東權益其他調整項|||其他權益|||庫藏股票帳面值|||母公司股東權益合計|||共同控制下前手權益|||合併前非屬共同控制股權|||非控制權益|||股東權益總額|||負債及股東權益總額|||營業收入毛額|||營收─租金收入|||營收─處分土地收入|||營收─利息收入|||營收─處分投資收入|||營收─投資收益|||退回及折讓|||營業收入淨額|||銷貨成本|||成本─租金成本|||成本─出售土地|||成本─利息支出|||成本─處分投資成本|||成本─投資損失|||營業成本|||營業毛利|||聯屬公司已〈未〉實現銷貨利益|||已實現銷貨毛利|||營業費用|||推銷費用|||管理費用|||研究發展費|||其他費用|||其他收益及費損淨額|||營業利益|||利息收入|||租金收入|||權利金收入|||股利收入|||廉價購買收益|||違約金收入|||壞帳轉回利益|||沖銷逾期應付帳款利益|||補助收益|||其他收入─其他|||其他收入|||處分不動產、廠房及設備利益|||處分投資利益|||外幣兌換利益|||透過損益按公允價值衡量之金融資產（負債）利益|||資產評價利益|||金融資產減損迴轉利益|||資產減損迴轉利益|||不動產、廠房及設備減損迴轉利益|||無形資產減損迴轉利益|||其他減損迴轉利益|||賠償收入|||買回公司債利益|||停工損失|||合約損失|||賠償損失|||處分不動產、廠房及設備損失|||處分投資損失|||外幣兌換損失|||透過損益按公允價值衡量之金融資產（負債）損失|||資產評價損失|||金融資產減損損失|||資產減損損失|||不動產、廠房及設備減損損失|||無形資產減損損失|||其他減損損失|||買回公司債損失|||其他利益及損失─其他|||其他利益及損失|||利息支出|||負債性特別股股息|||財務成本-其他|||財務成本|||採用權益法認列之關聯企業及合資利益之份額|||採用權益法認列之關聯企業及合資損失之份額|||採權益法之關聯企業及合資損益|||營業外收入及支出─其他|||營業外收入及支出|||稅前淨利|||所得稅費用|||繼續營業單位損益|||停業單位損益|||合併前非屬共同控制股權損益|||合併總損益|||國外營運機構財務報表換算之兌換差額─OCI|||權益工具投資損益─OCI|||備供出售金融資產未實現評價損益─OCI|||現金流量避險─OCI|||國外營運機構淨投資避險─OCI|||重估價之利益（損失）─OCI|||確定福利計畫精算損益─OCI|||採用權益法認列之關聯企業及合資之其他綜合損益之份額─OCI|||其他綜合損益─其他─OCI|||與其他綜合損益組成部分相關之所得稅─OCI|||其他綜合損益─OCI|||本期綜合損益總額|||歸屬母公司淨利(損)|||歸屬非控制權益淨利(損)|||歸屬共同控制下前手權益淨利(損)|||綜合損益歸屬母公司|||綜合損益歸屬非控制權益|||綜合損益歸屬共同控制下前手權益|||每股盈餘（元）|||加權平均股數 (仟股)|||發放特別股股息|||稀釋稅後淨利|||每股盈餘─完全稀釋|||加權平均股數─稀釋|||稅前息前淨利|||稅前息前折舊前淨利|||常續性稅後淨利|||庫藏股數─母公司|||庫藏股數─子公司持有母公司股票或其他|||庫藏股數 (母+ 子) 仟股|||稅前淨利-CFO|||折舊|||攤提|||呆帳損失增 〈減〉|||透過損益按公允價值衡量金融資產及負債之淨損失（利益）|||存貨跌價損失增 (減)|||利息支出CFO|||存貨盤 (盈) 虧及報廢|||利息收入CFO|||股利收入CFO|||股份基礎給付酬勞成本|||採用權益法認列之關聯企業及合資利益份額CFO|||採用權益法認列之關聯企業及合資損失份額CFO|||處分不動產、廠房及設備收益CFO|||處分不動產、廠房及設備損失CFO|||處分投資性不動產損(益)|||處分無形資產損(益)|||處分投資損失CFO|||處分投資利益CFO|||金融商品減損損失CFO|||金融商品減損迴轉利益CFO|||資產減損損失CFO|||資產減損迴轉利益CFO|||買回公司債損(益)CFO|||提列各項準備|||回轉各項準備|||透過損益按公允價值衡量金融資產〈增〉減CFO|||備供出售金融資產〈增〉減CFO|||避險之衍生性金融資產〈增〉減CFO|||以成本衡量之金融資產〈增〉減CFO|||持有至到期日金融資產〈增〉減CFO|||應收帳款〈增〉減|||其他應收帳款〈增〉減|||存貨〈增〉減|||預付款〈增〉減|||其他金融資產〈增〉減─CFO|||透過損益按公允價值衡量金融負債〈減〉|||避險之衍生性金融負債增〈減〉─CFO|||以成本衡量之金融負債增〈減〉|||應付帳款增〈減〉|||其他應付款增〈減〉|||預收款增〈減〉|||其他金融負債增〈減〉CFO|||負債準備增〈減〉CFO|||提列員工退休金準備|||支付員工退休金|||利息收現─CFO|||收取股利─CFO|||支付利息─CFO|||支付股利─CFO|||退還(支付)所得稅─CFO|||CFO─調整項(出貨)|||來自營運之現金流量|||（買）賣透過損益按公允價值衡量之金融資產CFI|||（買）賣備供出售金融資產CFI|||持有至到期日金融資產〈增〉減CFI|||以成本衡量之金融資產損〈增〉減CFI|||無活絡市場之債券投資 〈增〉減CFI|||避險之衍生性金融資產〈增〉減CFI|||避險之衍生性金融負債增〈減〉CFI|||應收款項增〈減〉CFI|||新增投資|||出售投資|||購置不動產廠房設備(含預付)|||處分不動產廠房設備(含預付)|||投資性不動產出售(購)|||無形資產〈增〉減|||其他金融資產〈增〉減CFI|||購併他公司支付現金淨額|||取得購併公司現金|||收到利息─CFI|||收到股利─CFI|||退還(支付)所得稅─CFI|||CFI─調整項(出貨)|||投資活動之現金流量|||短期借款增〈減〉|||應付短期票券增〈減〉|||發行公司債|||償還公司債|||舉借長期借款|||償還長期借款|||發行特別股負債|||償還長特別股負債|||庫藏股票減〈增〉|||現金增 〈減〉 資|||行使員工認股權|||支付現金股利|||透過損益按公允價值衡量之金融商品增〈減〉CFF|||避險之衍生金融商品增減─CFF|||其他金融負債增〈減〉CFF|||非控制權益增〈減〉|||取得子公司股權CFF|||處分子公司現金流出CFF|||處分子公司股權CFF|||支付利息CFF|||退還(支付)所得稅CFF|||CFF─調整項(出貨)|||籌資活動之現金流量|||匯率影響數|||本期產生現金流量|||期初現金及約當現金|||期末現金及約當現金|||資產負債表帳列現金|||其他符合國際會計準則第七號現金及約當現金定義之項目|||###_x000D_
tFieldUOM=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-|||-|||T|||T|||-|||-|||T|||T|||T|||-|||-|||-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|||T###_x000D_
tLockIDDateCell=###_x000D_
tDescending=N###_x000D_
tLastestDate=N###_x000D_
tActualDate=N###_x000D_
tAdvancedDateOptions=Y###_x000D_
tLastestDataInEachField=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|||N###_x000D_
tAdvancedFilter=###_x000D_
tIDCompanyView=###_x000D_
tFunction=0|||CALCULATE_QUARTER|||noNull|||20120101~99999999||||||QUARTER###_x000D_
tMacroName=###_x000D_
tUOM=-###_x000D_
tTableLanguage=TCHINESE###_x000D_
tTableCountry=TW###_x000D_
tDataOnly=N###_x000D_
tFixedCOID=###_x000D_
tFixedDate=###_x000D_
</t>
        </r>
      </text>
    </comment>
  </commentList>
</comments>
</file>

<file path=xl/sharedStrings.xml><?xml version="1.0" encoding="utf-8"?>
<sst xmlns="http://schemas.openxmlformats.org/spreadsheetml/2006/main" count="8057" uniqueCount="1779">
  <si>
    <t>Active Scenario</t>
    <phoneticPr fontId="3" type="noConversion"/>
  </si>
  <si>
    <t>Revenue</t>
    <phoneticPr fontId="3" type="noConversion"/>
  </si>
  <si>
    <t xml:space="preserve">  YoY %</t>
    <phoneticPr fontId="3" type="noConversion"/>
  </si>
  <si>
    <t>EBIT</t>
    <phoneticPr fontId="3" type="noConversion"/>
  </si>
  <si>
    <t>Current Assets</t>
  </si>
  <si>
    <t>Cash and cash equivalents</t>
  </si>
  <si>
    <t>Inventories</t>
  </si>
  <si>
    <t>Trade and other receivables</t>
  </si>
  <si>
    <t>Non Current Assets</t>
  </si>
  <si>
    <t>Other PPE</t>
  </si>
  <si>
    <t>Total Assets</t>
  </si>
  <si>
    <t>Current Liabilities</t>
  </si>
  <si>
    <t>Trade and Other Payables</t>
  </si>
  <si>
    <t>Amounts due to fellow subsidiaries</t>
  </si>
  <si>
    <t>Other Current Liabilities</t>
  </si>
  <si>
    <t>Non-Current Liabilities</t>
  </si>
  <si>
    <t>Loan</t>
  </si>
  <si>
    <t>Total Liabilities</t>
  </si>
  <si>
    <t>Total Equity</t>
  </si>
  <si>
    <t>Check</t>
  </si>
  <si>
    <t>- Changes in Net Working Capital</t>
  </si>
  <si>
    <t>Others</t>
  </si>
  <si>
    <t>Ending Cash</t>
  </si>
  <si>
    <t>Financial covenants</t>
  </si>
  <si>
    <t>General Assumptions</t>
  </si>
  <si>
    <t>LTM EBITDA</t>
  </si>
  <si>
    <t>x LTM EBITDA</t>
  </si>
  <si>
    <t>Amount</t>
  </si>
  <si>
    <t>Avg. Life</t>
  </si>
  <si>
    <t xml:space="preserve">TLA Margin </t>
  </si>
  <si>
    <t>Spread</t>
    <phoneticPr fontId="3" type="noConversion"/>
  </si>
  <si>
    <t>Transaction Sources and Uses</t>
  </si>
  <si>
    <t>Sources</t>
  </si>
  <si>
    <t>%</t>
  </si>
  <si>
    <t>Uses</t>
  </si>
  <si>
    <t>Refinancing current debt</t>
    <phoneticPr fontId="3" type="noConversion"/>
  </si>
  <si>
    <t>Total</t>
  </si>
  <si>
    <t>other</t>
    <phoneticPr fontId="2" type="noConversion"/>
  </si>
  <si>
    <t>Sponsor base</t>
  </si>
  <si>
    <t>Equity</t>
    <phoneticPr fontId="3" type="noConversion"/>
  </si>
  <si>
    <t>Company</t>
    <phoneticPr fontId="2" type="noConversion"/>
  </si>
  <si>
    <t>Current financial assets (revaluations through IS)</t>
    <phoneticPr fontId="2" type="noConversion"/>
  </si>
  <si>
    <t>Current financial assets held for disposal</t>
    <phoneticPr fontId="2" type="noConversion"/>
  </si>
  <si>
    <t>Current financial assets held till maturity</t>
    <phoneticPr fontId="2" type="noConversion"/>
  </si>
  <si>
    <t>Current financial assets held for heding purposes</t>
    <phoneticPr fontId="2" type="noConversion"/>
  </si>
  <si>
    <t>Current financial assets - valued at acquisition costs</t>
    <phoneticPr fontId="2" type="noConversion"/>
  </si>
  <si>
    <t>Current bonds - not listed on liquid markets</t>
    <phoneticPr fontId="2" type="noConversion"/>
  </si>
  <si>
    <t>Accounts receivables and checques</t>
    <phoneticPr fontId="2" type="noConversion"/>
  </si>
  <si>
    <t>Construction receivables</t>
    <phoneticPr fontId="2" type="noConversion"/>
  </si>
  <si>
    <t>Other receivables</t>
    <phoneticPr fontId="2" type="noConversion"/>
  </si>
  <si>
    <t>Inventories</t>
    <phoneticPr fontId="2" type="noConversion"/>
  </si>
  <si>
    <t>Short term loans receivable</t>
    <phoneticPr fontId="2" type="noConversion"/>
  </si>
  <si>
    <t>Current biological assets</t>
    <phoneticPr fontId="2" type="noConversion"/>
  </si>
  <si>
    <t>Prepaid expenses</t>
    <phoneticPr fontId="2" type="noConversion"/>
  </si>
  <si>
    <t>Franchise receivables</t>
    <phoneticPr fontId="2" type="noConversion"/>
  </si>
  <si>
    <t>CAS</t>
    <phoneticPr fontId="2" type="noConversion"/>
  </si>
  <si>
    <t>CFA</t>
    <phoneticPr fontId="2" type="noConversion"/>
  </si>
  <si>
    <t>ORE</t>
    <phoneticPr fontId="2" type="noConversion"/>
  </si>
  <si>
    <t>INV</t>
    <phoneticPr fontId="2" type="noConversion"/>
  </si>
  <si>
    <t>Noncurrent assets held for sale</t>
    <phoneticPr fontId="2" type="noConversion"/>
  </si>
  <si>
    <t>OCA</t>
    <phoneticPr fontId="2" type="noConversion"/>
  </si>
  <si>
    <t>Tax receivables</t>
    <phoneticPr fontId="2" type="noConversion"/>
  </si>
  <si>
    <t>Current financial assets - other</t>
    <phoneticPr fontId="2" type="noConversion"/>
  </si>
  <si>
    <t>ACR</t>
    <phoneticPr fontId="2" type="noConversion"/>
  </si>
  <si>
    <t>Other current assets</t>
    <phoneticPr fontId="2" type="noConversion"/>
  </si>
  <si>
    <t>Current Assets - total</t>
    <phoneticPr fontId="2" type="noConversion"/>
  </si>
  <si>
    <t>LFA</t>
    <phoneticPr fontId="2" type="noConversion"/>
  </si>
  <si>
    <t>LT Financial Assets (revaluations through IS)</t>
    <phoneticPr fontId="2" type="noConversion"/>
  </si>
  <si>
    <t>LT Financial Assets held for disposal</t>
    <phoneticPr fontId="2" type="noConversion"/>
  </si>
  <si>
    <t>LT Financial Assets held till maturity</t>
    <phoneticPr fontId="2" type="noConversion"/>
  </si>
  <si>
    <t>LT Financial Assets held for heding purposes</t>
    <phoneticPr fontId="2" type="noConversion"/>
  </si>
  <si>
    <t>LT Financial Assets - valued at acquisition costs</t>
    <phoneticPr fontId="2" type="noConversion"/>
  </si>
  <si>
    <t>Bonds - not listed on liquid markets</t>
    <phoneticPr fontId="2" type="noConversion"/>
  </si>
  <si>
    <t>Long term investments - equity method</t>
    <phoneticPr fontId="2" type="noConversion"/>
  </si>
  <si>
    <t>Prepayments for investments</t>
    <phoneticPr fontId="2" type="noConversion"/>
  </si>
  <si>
    <t>Real estate and equipment</t>
    <phoneticPr fontId="2" type="noConversion"/>
  </si>
  <si>
    <t>INT</t>
    <phoneticPr fontId="2" type="noConversion"/>
  </si>
  <si>
    <t>Goodwill</t>
    <phoneticPr fontId="2" type="noConversion"/>
  </si>
  <si>
    <t>Concessions</t>
    <phoneticPr fontId="2" type="noConversion"/>
  </si>
  <si>
    <t>Intangibles under development</t>
    <phoneticPr fontId="2" type="noConversion"/>
  </si>
  <si>
    <t>other intangibles</t>
    <phoneticPr fontId="2" type="noConversion"/>
  </si>
  <si>
    <t>Total intangibles</t>
    <phoneticPr fontId="2" type="noConversion"/>
  </si>
  <si>
    <t>OLA</t>
    <phoneticPr fontId="2" type="noConversion"/>
  </si>
  <si>
    <t>Deferred tax assets</t>
    <phoneticPr fontId="2" type="noConversion"/>
  </si>
  <si>
    <t>Other deferred assets</t>
    <phoneticPr fontId="2" type="noConversion"/>
  </si>
  <si>
    <t>Total deferred assets</t>
    <phoneticPr fontId="2" type="noConversion"/>
  </si>
  <si>
    <t>LT Debtors</t>
    <phoneticPr fontId="2" type="noConversion"/>
  </si>
  <si>
    <t>Real estate investments</t>
    <phoneticPr fontId="2" type="noConversion"/>
  </si>
  <si>
    <t>Prepayments for equipment</t>
    <phoneticPr fontId="2" type="noConversion"/>
  </si>
  <si>
    <t>Total other long term assets</t>
    <phoneticPr fontId="2" type="noConversion"/>
  </si>
  <si>
    <t>Total Long term assets</t>
    <phoneticPr fontId="2" type="noConversion"/>
  </si>
  <si>
    <t>Total assets</t>
    <phoneticPr fontId="2" type="noConversion"/>
  </si>
  <si>
    <t>STD</t>
    <phoneticPr fontId="2" type="noConversion"/>
  </si>
  <si>
    <t>Short Term Borrowings</t>
    <phoneticPr fontId="2" type="noConversion"/>
  </si>
  <si>
    <t>Checques payable</t>
    <phoneticPr fontId="2" type="noConversion"/>
  </si>
  <si>
    <t>Short Term Borrowings (based on market values- revaluations through IS)</t>
    <phoneticPr fontId="2" type="noConversion"/>
  </si>
  <si>
    <t>OSL</t>
    <phoneticPr fontId="2" type="noConversion"/>
  </si>
  <si>
    <t>ST Hedging liabilities</t>
    <phoneticPr fontId="2" type="noConversion"/>
  </si>
  <si>
    <t>ST financial liabilities - at original cost</t>
    <phoneticPr fontId="2" type="noConversion"/>
  </si>
  <si>
    <t>Accounts and checques payable</t>
    <phoneticPr fontId="2" type="noConversion"/>
  </si>
  <si>
    <t>ACP</t>
    <phoneticPr fontId="2" type="noConversion"/>
  </si>
  <si>
    <t>Construction payables</t>
    <phoneticPr fontId="2" type="noConversion"/>
  </si>
  <si>
    <t>Other accounts payable</t>
    <phoneticPr fontId="2" type="noConversion"/>
  </si>
  <si>
    <t>Current tax payables</t>
    <phoneticPr fontId="2" type="noConversion"/>
  </si>
  <si>
    <t>Accruals payable</t>
    <phoneticPr fontId="2" type="noConversion"/>
  </si>
  <si>
    <t>Liabilities related to assets held for sale</t>
    <phoneticPr fontId="2" type="noConversion"/>
  </si>
  <si>
    <t>Other current financial liabilities</t>
    <phoneticPr fontId="2" type="noConversion"/>
  </si>
  <si>
    <t>Advance receipts</t>
    <phoneticPr fontId="2" type="noConversion"/>
  </si>
  <si>
    <t>Current Portion of Long Term Debt</t>
    <phoneticPr fontId="2" type="noConversion"/>
  </si>
  <si>
    <t>Current Preferred shares liabilities</t>
    <phoneticPr fontId="2" type="noConversion"/>
  </si>
  <si>
    <t>Franchise payables</t>
    <phoneticPr fontId="2" type="noConversion"/>
  </si>
  <si>
    <t>Current liabilities</t>
    <phoneticPr fontId="2" type="noConversion"/>
  </si>
  <si>
    <t>Other current liabilities</t>
    <phoneticPr fontId="2" type="noConversion"/>
  </si>
  <si>
    <t>LT Financial liabilities - at market value</t>
    <phoneticPr fontId="2" type="noConversion"/>
  </si>
  <si>
    <t>OLL</t>
    <phoneticPr fontId="2" type="noConversion"/>
  </si>
  <si>
    <t>LT Hedging liabilities</t>
    <phoneticPr fontId="2" type="noConversion"/>
  </si>
  <si>
    <t>LT Financial liabilities - at original cost</t>
    <phoneticPr fontId="2" type="noConversion"/>
  </si>
  <si>
    <t>LT preferred shares liabilities</t>
    <phoneticPr fontId="2" type="noConversion"/>
  </si>
  <si>
    <t>LTD</t>
    <phoneticPr fontId="2" type="noConversion"/>
  </si>
  <si>
    <t>LT Bonds payable</t>
    <phoneticPr fontId="2" type="noConversion"/>
  </si>
  <si>
    <t>LT Bank debt</t>
    <phoneticPr fontId="2" type="noConversion"/>
  </si>
  <si>
    <t>Other LT borrowings</t>
    <phoneticPr fontId="2" type="noConversion"/>
  </si>
  <si>
    <t>LT accrued liabilities</t>
    <phoneticPr fontId="2" type="noConversion"/>
  </si>
  <si>
    <t>Deferred payments</t>
    <phoneticPr fontId="2" type="noConversion"/>
  </si>
  <si>
    <t>Pension liabilities</t>
    <phoneticPr fontId="2" type="noConversion"/>
  </si>
  <si>
    <t>Deferred tax liabilities</t>
    <phoneticPr fontId="2" type="noConversion"/>
  </si>
  <si>
    <t>Other LT liabilities</t>
    <phoneticPr fontId="2" type="noConversion"/>
  </si>
  <si>
    <t>Total Liabilities</t>
    <phoneticPr fontId="2" type="noConversion"/>
  </si>
  <si>
    <t>Total Long term liabilities</t>
    <phoneticPr fontId="2" type="noConversion"/>
  </si>
  <si>
    <t>EQT</t>
    <phoneticPr fontId="2" type="noConversion"/>
  </si>
  <si>
    <t>Normal share capital</t>
    <phoneticPr fontId="2" type="noConversion"/>
  </si>
  <si>
    <t>Preferred share capital</t>
    <phoneticPr fontId="2" type="noConversion"/>
  </si>
  <si>
    <t>Equity prepayments</t>
    <phoneticPr fontId="2" type="noConversion"/>
  </si>
  <si>
    <t>Dividends payables</t>
    <phoneticPr fontId="2" type="noConversion"/>
  </si>
  <si>
    <t>Convertibles</t>
    <phoneticPr fontId="2" type="noConversion"/>
  </si>
  <si>
    <t>Share capital</t>
    <phoneticPr fontId="2" type="noConversion"/>
  </si>
  <si>
    <t>Additional paid in capital - share premium</t>
    <phoneticPr fontId="2" type="noConversion"/>
  </si>
  <si>
    <t>Additional paid in capital - revaluation reserve</t>
    <phoneticPr fontId="2" type="noConversion"/>
  </si>
  <si>
    <t>Additional paid in capital - revaluation of interests in related parties</t>
    <phoneticPr fontId="2" type="noConversion"/>
  </si>
  <si>
    <t>Additional paid in capital - return on disposal of subsidiaries</t>
    <phoneticPr fontId="2" type="noConversion"/>
  </si>
  <si>
    <t>Additional paid in capital - treasury stock</t>
    <phoneticPr fontId="2" type="noConversion"/>
  </si>
  <si>
    <t>Additional paid in capital - consolidation excess</t>
    <phoneticPr fontId="2" type="noConversion"/>
  </si>
  <si>
    <t>Additional paid in capital - employee share options</t>
    <phoneticPr fontId="2" type="noConversion"/>
  </si>
  <si>
    <t>Additional paid in capital - share options</t>
    <phoneticPr fontId="2" type="noConversion"/>
  </si>
  <si>
    <t>Additional paid in capital - restricted employee share options</t>
    <phoneticPr fontId="2" type="noConversion"/>
  </si>
  <si>
    <t>Additional paid in capital - other</t>
    <phoneticPr fontId="2" type="noConversion"/>
  </si>
  <si>
    <t>Total Additional paid in capital</t>
    <phoneticPr fontId="2" type="noConversion"/>
  </si>
  <si>
    <t>Legal reserves</t>
    <phoneticPr fontId="2" type="noConversion"/>
  </si>
  <si>
    <t>Special surplus reserves</t>
    <phoneticPr fontId="2" type="noConversion"/>
  </si>
  <si>
    <t>Undistributed earnings</t>
    <phoneticPr fontId="2" type="noConversion"/>
  </si>
  <si>
    <t>Retained earnings</t>
    <phoneticPr fontId="2" type="noConversion"/>
  </si>
  <si>
    <t>Conversion loss on overseas assets</t>
    <phoneticPr fontId="2" type="noConversion"/>
  </si>
  <si>
    <t>Unrealised result on financial assets held for sale</t>
    <phoneticPr fontId="2" type="noConversion"/>
  </si>
  <si>
    <t>Unrealised result on overseas hedging instruments</t>
    <phoneticPr fontId="2" type="noConversion"/>
  </si>
  <si>
    <t>Unrealised result on cash flow hedging instruments</t>
    <phoneticPr fontId="2" type="noConversion"/>
  </si>
  <si>
    <t>Revaluation reserve</t>
    <phoneticPr fontId="2" type="noConversion"/>
  </si>
  <si>
    <t>Unrealised return on fixed assets held for sale</t>
    <phoneticPr fontId="2" type="noConversion"/>
  </si>
  <si>
    <t>Fixed assets - other</t>
    <phoneticPr fontId="2" type="noConversion"/>
  </si>
  <si>
    <t>Fixed rent downpayments</t>
    <phoneticPr fontId="2" type="noConversion"/>
  </si>
  <si>
    <t>Fixed biological assets</t>
    <phoneticPr fontId="2" type="noConversion"/>
  </si>
  <si>
    <t>Other rights - unrealised bonus by employees</t>
    <phoneticPr fontId="2" type="noConversion"/>
  </si>
  <si>
    <t>Other adjustments to shareholders' rights</t>
    <phoneticPr fontId="2" type="noConversion"/>
  </si>
  <si>
    <t>Other equity</t>
    <phoneticPr fontId="2" type="noConversion"/>
  </si>
  <si>
    <t>Face value of treasury stock</t>
    <phoneticPr fontId="2" type="noConversion"/>
  </si>
  <si>
    <t xml:space="preserve">Total equity </t>
    <phoneticPr fontId="2" type="noConversion"/>
  </si>
  <si>
    <t>MIN</t>
    <phoneticPr fontId="2" type="noConversion"/>
  </si>
  <si>
    <t>Minority shareholders' rights</t>
    <phoneticPr fontId="2" type="noConversion"/>
  </si>
  <si>
    <t>Total shareholders rights (excl. minority)</t>
    <phoneticPr fontId="2" type="noConversion"/>
  </si>
  <si>
    <t>Total liabilities and equity</t>
    <phoneticPr fontId="2" type="noConversion"/>
  </si>
  <si>
    <t>REV</t>
    <phoneticPr fontId="2" type="noConversion"/>
  </si>
  <si>
    <t>Revenue</t>
  </si>
  <si>
    <t>OIN</t>
    <phoneticPr fontId="2" type="noConversion"/>
  </si>
  <si>
    <t>Other income - rent</t>
    <phoneticPr fontId="2" type="noConversion"/>
  </si>
  <si>
    <t>Other income - sales of land</t>
    <phoneticPr fontId="2" type="noConversion"/>
  </si>
  <si>
    <t>Other income - interest income</t>
    <phoneticPr fontId="2" type="noConversion"/>
  </si>
  <si>
    <t>Other income - profit on disposal of investments</t>
    <phoneticPr fontId="2" type="noConversion"/>
  </si>
  <si>
    <t>Other income - investing returns</t>
    <phoneticPr fontId="2" type="noConversion"/>
  </si>
  <si>
    <t>Gross Revenue</t>
    <phoneticPr fontId="2" type="noConversion"/>
  </si>
  <si>
    <t>Return of goods or discounts</t>
    <phoneticPr fontId="2" type="noConversion"/>
  </si>
  <si>
    <t>Net Revenue</t>
    <phoneticPr fontId="2" type="noConversion"/>
  </si>
  <si>
    <t>COG</t>
    <phoneticPr fontId="2" type="noConversion"/>
  </si>
  <si>
    <t>Cost of Goods Sold</t>
    <phoneticPr fontId="2" type="noConversion"/>
  </si>
  <si>
    <t>SGA</t>
    <phoneticPr fontId="2" type="noConversion"/>
  </si>
  <si>
    <t>Expenses for rental income</t>
    <phoneticPr fontId="2" type="noConversion"/>
  </si>
  <si>
    <t>Expense for sale of land</t>
    <phoneticPr fontId="2" type="noConversion"/>
  </si>
  <si>
    <t>Expense for interest income</t>
    <phoneticPr fontId="2" type="noConversion"/>
  </si>
  <si>
    <t>Expense for disposal of investments</t>
    <phoneticPr fontId="2" type="noConversion"/>
  </si>
  <si>
    <t>Investment loss</t>
    <phoneticPr fontId="2" type="noConversion"/>
  </si>
  <si>
    <t>Total Cost of Goods Sold</t>
    <phoneticPr fontId="2" type="noConversion"/>
  </si>
  <si>
    <t>Gross margin</t>
    <phoneticPr fontId="2" type="noConversion"/>
  </si>
  <si>
    <t>Realised (unrealised) profit on transactions with related parties</t>
    <phoneticPr fontId="2" type="noConversion"/>
  </si>
  <si>
    <t>Realised gross margin</t>
    <phoneticPr fontId="2" type="noConversion"/>
  </si>
  <si>
    <t>Net Income</t>
  </si>
  <si>
    <t>YL</t>
  </si>
  <si>
    <t>Year Level Variables</t>
  </si>
  <si>
    <t>YL115</t>
  </si>
  <si>
    <t>Days In Period</t>
  </si>
  <si>
    <t>YL101</t>
  </si>
  <si>
    <t>Year end date</t>
  </si>
  <si>
    <t>YL102</t>
  </si>
  <si>
    <t>I</t>
  </si>
  <si>
    <t>SG&amp;A Expense</t>
  </si>
  <si>
    <t>Depreciation on Tangible Fixed Assets</t>
  </si>
  <si>
    <t>Amortisation of Goodwill / Intangibles</t>
  </si>
  <si>
    <t>Operating EBIT</t>
  </si>
  <si>
    <t>Interest Expense</t>
  </si>
  <si>
    <t>Interest Income</t>
  </si>
  <si>
    <t>Profit Before Taxes</t>
  </si>
  <si>
    <t>Profit After Tax</t>
  </si>
  <si>
    <t>Minority Interest</t>
  </si>
  <si>
    <t>B</t>
  </si>
  <si>
    <t>Balance Sheet Check</t>
  </si>
  <si>
    <t>Assets</t>
  </si>
  <si>
    <t>Cash and Cash Equivalents</t>
  </si>
  <si>
    <t>Financial Investments / Marketable Securities</t>
  </si>
  <si>
    <t>Trade Accounts Receivable</t>
  </si>
  <si>
    <t>Other Current Assets: Operating</t>
  </si>
  <si>
    <t>Total Current Assets</t>
  </si>
  <si>
    <t>Net Property, Plant and Equipment</t>
  </si>
  <si>
    <t>Deferred Tax Assets</t>
  </si>
  <si>
    <t>Other Investments</t>
  </si>
  <si>
    <t>Goodwill / Intangibles</t>
  </si>
  <si>
    <t>Other Non-Current Assets: Operating</t>
  </si>
  <si>
    <t>Total Non-Current Assets</t>
  </si>
  <si>
    <t>Liabilities</t>
  </si>
  <si>
    <t>Trade Accounts Payable</t>
  </si>
  <si>
    <t>Accruals</t>
  </si>
  <si>
    <t>Income Taxes Payable</t>
  </si>
  <si>
    <t>Advances received</t>
  </si>
  <si>
    <t>Other Current Operating Liabilities</t>
  </si>
  <si>
    <t>Dividends Payable</t>
  </si>
  <si>
    <t>Reported Short Term Borrowings</t>
  </si>
  <si>
    <t>Current Maturities - LTD</t>
  </si>
  <si>
    <t>Total Current Liabilities</t>
  </si>
  <si>
    <t>Finance Lease Obligations</t>
  </si>
  <si>
    <t>Senior Long Term Debt</t>
  </si>
  <si>
    <t>Total Long Term Debt</t>
  </si>
  <si>
    <t>Deferred Tax Liability</t>
  </si>
  <si>
    <t>Other Long Term Liabilities: Operating</t>
  </si>
  <si>
    <t>Preferred Stock</t>
  </si>
  <si>
    <t>Common Stock</t>
  </si>
  <si>
    <t>Additional Paid-in Capital</t>
  </si>
  <si>
    <t>Retained Earnings</t>
  </si>
  <si>
    <t>Total Net Worth</t>
  </si>
  <si>
    <t>Total Liabilities and Equity</t>
  </si>
  <si>
    <t>Dividends received</t>
  </si>
  <si>
    <t>Other Gains</t>
  </si>
  <si>
    <t>Other Losses</t>
  </si>
  <si>
    <r>
      <rPr>
        <sz val="12"/>
        <rFont val="新細明體"/>
        <family val="1"/>
        <charset val="136"/>
      </rPr>
      <t>現金及約當現金</t>
    </r>
  </si>
  <si>
    <r>
      <rPr>
        <sz val="12"/>
        <rFont val="新細明體"/>
        <family val="1"/>
        <charset val="136"/>
      </rPr>
      <t>透過損益按公允價值衡量之金融資產─流動</t>
    </r>
  </si>
  <si>
    <r>
      <rPr>
        <sz val="12"/>
        <rFont val="新細明體"/>
        <family val="1"/>
        <charset val="136"/>
      </rPr>
      <t>備供出售金融資產─流動</t>
    </r>
  </si>
  <si>
    <r>
      <rPr>
        <sz val="12"/>
        <rFont val="新細明體"/>
        <family val="1"/>
        <charset val="136"/>
      </rPr>
      <t>持有至到期日金融資產─流動</t>
    </r>
  </si>
  <si>
    <r>
      <rPr>
        <sz val="12"/>
        <rFont val="新細明體"/>
        <family val="1"/>
        <charset val="136"/>
      </rPr>
      <t>避險之衍生金融資產─流動</t>
    </r>
  </si>
  <si>
    <r>
      <rPr>
        <sz val="12"/>
        <rFont val="新細明體"/>
        <family val="1"/>
        <charset val="136"/>
      </rPr>
      <t>以成本衡量之金融資產─流動</t>
    </r>
  </si>
  <si>
    <r>
      <rPr>
        <sz val="12"/>
        <rFont val="新細明體"/>
        <family val="1"/>
        <charset val="136"/>
      </rPr>
      <t>無活絡市場之債券投資─流動</t>
    </r>
  </si>
  <si>
    <r>
      <rPr>
        <sz val="12"/>
        <rFont val="新細明體"/>
        <family val="1"/>
        <charset val="136"/>
      </rPr>
      <t>應收帳款及票據</t>
    </r>
  </si>
  <si>
    <r>
      <rPr>
        <sz val="12"/>
        <rFont val="新細明體"/>
        <family val="1"/>
        <charset val="136"/>
      </rPr>
      <t>應收建造合約款</t>
    </r>
  </si>
  <si>
    <r>
      <rPr>
        <sz val="12"/>
        <rFont val="新細明體"/>
        <family val="1"/>
        <charset val="136"/>
      </rPr>
      <t>其他應收款</t>
    </r>
  </si>
  <si>
    <r>
      <rPr>
        <sz val="12"/>
        <rFont val="新細明體"/>
        <family val="1"/>
        <charset val="136"/>
      </rPr>
      <t>資金貸予他人─流動</t>
    </r>
  </si>
  <si>
    <r>
      <rPr>
        <sz val="12"/>
        <rFont val="新細明體"/>
        <family val="1"/>
        <charset val="136"/>
      </rPr>
      <t>存貨</t>
    </r>
  </si>
  <si>
    <r>
      <rPr>
        <sz val="12"/>
        <rFont val="新細明體"/>
        <family val="1"/>
        <charset val="136"/>
      </rPr>
      <t>預付費用及預付款</t>
    </r>
  </si>
  <si>
    <r>
      <rPr>
        <sz val="12"/>
        <rFont val="新細明體"/>
        <family val="1"/>
        <charset val="136"/>
      </rPr>
      <t>應收代理店款</t>
    </r>
  </si>
  <si>
    <r>
      <rPr>
        <sz val="12"/>
        <rFont val="新細明體"/>
        <family val="1"/>
        <charset val="136"/>
      </rPr>
      <t>待出售非流動資產</t>
    </r>
  </si>
  <si>
    <r>
      <rPr>
        <sz val="12"/>
        <rFont val="新細明體"/>
        <family val="1"/>
        <charset val="136"/>
      </rPr>
      <t>當期所得稅資產─流動</t>
    </r>
  </si>
  <si>
    <r>
      <rPr>
        <sz val="12"/>
        <rFont val="新細明體"/>
        <family val="1"/>
        <charset val="136"/>
      </rPr>
      <t>其他金融資產─流動</t>
    </r>
  </si>
  <si>
    <r>
      <rPr>
        <sz val="12"/>
        <rFont val="新細明體"/>
        <family val="1"/>
        <charset val="136"/>
      </rPr>
      <t>其他流動資產</t>
    </r>
  </si>
  <si>
    <r>
      <rPr>
        <sz val="12"/>
        <rFont val="新細明體"/>
        <family val="1"/>
        <charset val="136"/>
      </rPr>
      <t>流動資產</t>
    </r>
  </si>
  <si>
    <r>
      <rPr>
        <sz val="12"/>
        <rFont val="新細明體"/>
        <family val="1"/>
        <charset val="136"/>
      </rPr>
      <t>透過損益按公允價值衡量之金融資產─非流動</t>
    </r>
  </si>
  <si>
    <r>
      <rPr>
        <sz val="12"/>
        <rFont val="新細明體"/>
        <family val="1"/>
        <charset val="136"/>
      </rPr>
      <t>備供出售金融資產─非流動</t>
    </r>
  </si>
  <si>
    <r>
      <rPr>
        <sz val="12"/>
        <rFont val="新細明體"/>
        <family val="1"/>
        <charset val="136"/>
      </rPr>
      <t>持有至到期日金融資產─非流動</t>
    </r>
  </si>
  <si>
    <r>
      <rPr>
        <sz val="12"/>
        <rFont val="新細明體"/>
        <family val="1"/>
        <charset val="136"/>
      </rPr>
      <t>避險之衍生金融資產─非流動</t>
    </r>
  </si>
  <si>
    <r>
      <rPr>
        <sz val="12"/>
        <rFont val="新細明體"/>
        <family val="1"/>
        <charset val="136"/>
      </rPr>
      <t>以成本衡量之金融資產─非流動</t>
    </r>
  </si>
  <si>
    <r>
      <rPr>
        <sz val="12"/>
        <rFont val="新細明體"/>
        <family val="1"/>
        <charset val="136"/>
      </rPr>
      <t>無活絡市場之債券投資─非流動</t>
    </r>
  </si>
  <si>
    <r>
      <rPr>
        <sz val="12"/>
        <rFont val="新細明體"/>
        <family val="1"/>
        <charset val="136"/>
      </rPr>
      <t>採權益法之長期股權投資</t>
    </r>
  </si>
  <si>
    <r>
      <rPr>
        <sz val="12"/>
        <rFont val="新細明體"/>
        <family val="1"/>
        <charset val="136"/>
      </rPr>
      <t>預付投資款</t>
    </r>
  </si>
  <si>
    <r>
      <rPr>
        <sz val="12"/>
        <rFont val="新細明體"/>
        <family val="1"/>
        <charset val="136"/>
      </rPr>
      <t>不動產廠房及設備</t>
    </r>
  </si>
  <si>
    <r>
      <rPr>
        <sz val="12"/>
        <rFont val="新細明體"/>
        <family val="1"/>
        <charset val="136"/>
      </rPr>
      <t>商譽淨額</t>
    </r>
  </si>
  <si>
    <r>
      <rPr>
        <sz val="12"/>
        <rFont val="新細明體"/>
        <family val="1"/>
        <charset val="136"/>
      </rPr>
      <t>特許權</t>
    </r>
  </si>
  <si>
    <r>
      <rPr>
        <sz val="12"/>
        <rFont val="新細明體"/>
        <family val="1"/>
        <charset val="136"/>
      </rPr>
      <t>發展中之無形資產</t>
    </r>
  </si>
  <si>
    <r>
      <rPr>
        <sz val="12"/>
        <rFont val="新細明體"/>
        <family val="1"/>
        <charset val="136"/>
      </rPr>
      <t>其他無形資產淨額</t>
    </r>
  </si>
  <si>
    <r>
      <rPr>
        <sz val="12"/>
        <rFont val="新細明體"/>
        <family val="1"/>
        <charset val="136"/>
      </rPr>
      <t>商譽及無形資產合計</t>
    </r>
  </si>
  <si>
    <r>
      <rPr>
        <sz val="12"/>
        <rFont val="新細明體"/>
        <family val="1"/>
        <charset val="136"/>
      </rPr>
      <t>遞延所得稅資產</t>
    </r>
  </si>
  <si>
    <r>
      <rPr>
        <sz val="12"/>
        <rFont val="新細明體"/>
        <family val="1"/>
        <charset val="136"/>
      </rPr>
      <t>其他遞延資產淨額</t>
    </r>
  </si>
  <si>
    <r>
      <rPr>
        <sz val="12"/>
        <rFont val="新細明體"/>
        <family val="1"/>
        <charset val="136"/>
      </rPr>
      <t>遞延資產合計</t>
    </r>
  </si>
  <si>
    <r>
      <rPr>
        <sz val="12"/>
        <rFont val="新細明體"/>
        <family val="1"/>
        <charset val="136"/>
      </rPr>
      <t>遞延借項─非流動</t>
    </r>
  </si>
  <si>
    <r>
      <rPr>
        <sz val="12"/>
        <rFont val="新細明體"/>
        <family val="1"/>
        <charset val="136"/>
      </rPr>
      <t>投資性不動產淨額</t>
    </r>
  </si>
  <si>
    <r>
      <rPr>
        <sz val="12"/>
        <rFont val="新細明體"/>
        <family val="1"/>
        <charset val="136"/>
      </rPr>
      <t>預付設備款</t>
    </r>
  </si>
  <si>
    <r>
      <rPr>
        <sz val="12"/>
        <rFont val="新細明體"/>
        <family val="1"/>
        <charset val="136"/>
      </rPr>
      <t>長期預付租金</t>
    </r>
  </si>
  <si>
    <r>
      <rPr>
        <sz val="12"/>
        <rFont val="新細明體"/>
        <family val="1"/>
        <charset val="136"/>
      </rPr>
      <t>生物資產非流動</t>
    </r>
  </si>
  <si>
    <r>
      <rPr>
        <sz val="12"/>
        <rFont val="新細明體"/>
        <family val="1"/>
        <charset val="136"/>
      </rPr>
      <t>其他非流動資產─其他</t>
    </r>
  </si>
  <si>
    <r>
      <rPr>
        <sz val="12"/>
        <rFont val="新細明體"/>
        <family val="1"/>
        <charset val="136"/>
      </rPr>
      <t>其他非流動資產</t>
    </r>
  </si>
  <si>
    <r>
      <rPr>
        <sz val="12"/>
        <rFont val="新細明體"/>
        <family val="1"/>
        <charset val="136"/>
      </rPr>
      <t>非流動資產</t>
    </r>
  </si>
  <si>
    <r>
      <rPr>
        <sz val="12"/>
        <rFont val="新細明體"/>
        <family val="1"/>
        <charset val="136"/>
      </rPr>
      <t>資產總額</t>
    </r>
  </si>
  <si>
    <r>
      <rPr>
        <sz val="12"/>
        <rFont val="新細明體"/>
        <family val="1"/>
        <charset val="136"/>
      </rPr>
      <t>短期借款</t>
    </r>
  </si>
  <si>
    <r>
      <rPr>
        <sz val="12"/>
        <rFont val="新細明體"/>
        <family val="1"/>
        <charset val="136"/>
      </rPr>
      <t>應付商業本票／承兌匯票</t>
    </r>
  </si>
  <si>
    <r>
      <rPr>
        <sz val="12"/>
        <rFont val="新細明體"/>
        <family val="1"/>
        <charset val="136"/>
      </rPr>
      <t>透過損益按公允價值衡量之金融負債─流動</t>
    </r>
  </si>
  <si>
    <r>
      <rPr>
        <sz val="12"/>
        <rFont val="新細明體"/>
        <family val="1"/>
        <charset val="136"/>
      </rPr>
      <t>避險之衍生金融負債─流動</t>
    </r>
  </si>
  <si>
    <r>
      <rPr>
        <sz val="12"/>
        <rFont val="新細明體"/>
        <family val="1"/>
        <charset val="136"/>
      </rPr>
      <t>以成本衡量之金融負債─流動</t>
    </r>
  </si>
  <si>
    <r>
      <rPr>
        <sz val="12"/>
        <rFont val="新細明體"/>
        <family val="1"/>
        <charset val="136"/>
      </rPr>
      <t>應付帳款及票據</t>
    </r>
  </si>
  <si>
    <r>
      <rPr>
        <sz val="12"/>
        <rFont val="新細明體"/>
        <family val="1"/>
        <charset val="136"/>
      </rPr>
      <t>應付建造合約款</t>
    </r>
  </si>
  <si>
    <r>
      <rPr>
        <sz val="12"/>
        <rFont val="新細明體"/>
        <family val="1"/>
        <charset val="136"/>
      </rPr>
      <t>其他應付款</t>
    </r>
  </si>
  <si>
    <r>
      <rPr>
        <sz val="12"/>
        <rFont val="新細明體"/>
        <family val="1"/>
        <charset val="136"/>
      </rPr>
      <t>當期所得稅負債</t>
    </r>
  </si>
  <si>
    <r>
      <rPr>
        <sz val="12"/>
        <rFont val="新細明體"/>
        <family val="1"/>
        <charset val="136"/>
      </rPr>
      <t>負債準備─流動</t>
    </r>
  </si>
  <si>
    <r>
      <rPr>
        <sz val="12"/>
        <rFont val="新細明體"/>
        <family val="1"/>
        <charset val="136"/>
      </rPr>
      <t>與待出售非流動資產直接相關之負債</t>
    </r>
  </si>
  <si>
    <r>
      <rPr>
        <sz val="12"/>
        <rFont val="新細明體"/>
        <family val="1"/>
        <charset val="136"/>
      </rPr>
      <t>其他金融負債─流動</t>
    </r>
  </si>
  <si>
    <r>
      <rPr>
        <sz val="12"/>
        <rFont val="新細明體"/>
        <family val="1"/>
        <charset val="136"/>
      </rPr>
      <t>預收款項</t>
    </r>
  </si>
  <si>
    <r>
      <rPr>
        <sz val="12"/>
        <rFont val="新細明體"/>
        <family val="1"/>
        <charset val="136"/>
      </rPr>
      <t>一年內到期長期負債</t>
    </r>
  </si>
  <si>
    <r>
      <rPr>
        <sz val="12"/>
        <rFont val="新細明體"/>
        <family val="1"/>
        <charset val="136"/>
      </rPr>
      <t>特別股負債─流動</t>
    </r>
  </si>
  <si>
    <r>
      <rPr>
        <sz val="12"/>
        <rFont val="新細明體"/>
        <family val="1"/>
        <charset val="136"/>
      </rPr>
      <t>應付代理店款</t>
    </r>
  </si>
  <si>
    <r>
      <rPr>
        <sz val="12"/>
        <rFont val="新細明體"/>
        <family val="1"/>
        <charset val="136"/>
      </rPr>
      <t>其他流動負債</t>
    </r>
  </si>
  <si>
    <r>
      <rPr>
        <sz val="12"/>
        <rFont val="新細明體"/>
        <family val="1"/>
        <charset val="136"/>
      </rPr>
      <t>流動負債</t>
    </r>
  </si>
  <si>
    <r>
      <rPr>
        <sz val="12"/>
        <rFont val="新細明體"/>
        <family val="1"/>
        <charset val="136"/>
      </rPr>
      <t>透過損益按公允價值衡量之金融負債─非流動</t>
    </r>
  </si>
  <si>
    <r>
      <rPr>
        <sz val="12"/>
        <rFont val="新細明體"/>
        <family val="1"/>
        <charset val="136"/>
      </rPr>
      <t>避險之衍生金融負債─非流動</t>
    </r>
  </si>
  <si>
    <r>
      <rPr>
        <sz val="12"/>
        <rFont val="新細明體"/>
        <family val="1"/>
        <charset val="136"/>
      </rPr>
      <t>以成本衡量之金融負債─非流動</t>
    </r>
  </si>
  <si>
    <r>
      <rPr>
        <sz val="12"/>
        <rFont val="新細明體"/>
        <family val="1"/>
        <charset val="136"/>
      </rPr>
      <t>特別股負債─非流動</t>
    </r>
  </si>
  <si>
    <r>
      <rPr>
        <sz val="12"/>
        <rFont val="新細明體"/>
        <family val="1"/>
        <charset val="136"/>
      </rPr>
      <t>應付公司債─非流動</t>
    </r>
  </si>
  <si>
    <r>
      <rPr>
        <sz val="12"/>
        <rFont val="新細明體"/>
        <family val="1"/>
        <charset val="136"/>
      </rPr>
      <t>銀行借款─非流動</t>
    </r>
  </si>
  <si>
    <r>
      <rPr>
        <sz val="12"/>
        <rFont val="新細明體"/>
        <family val="1"/>
        <charset val="136"/>
      </rPr>
      <t>其他長期借款─非流動</t>
    </r>
  </si>
  <si>
    <r>
      <rPr>
        <sz val="12"/>
        <rFont val="新細明體"/>
        <family val="1"/>
        <charset val="136"/>
      </rPr>
      <t>負債準備─非流動</t>
    </r>
  </si>
  <si>
    <r>
      <rPr>
        <sz val="12"/>
        <rFont val="新細明體"/>
        <family val="1"/>
        <charset val="136"/>
      </rPr>
      <t>遞延貸項</t>
    </r>
  </si>
  <si>
    <r>
      <rPr>
        <sz val="12"/>
        <rFont val="新細明體"/>
        <family val="1"/>
        <charset val="136"/>
      </rPr>
      <t>應計退休金負債</t>
    </r>
  </si>
  <si>
    <r>
      <rPr>
        <sz val="12"/>
        <rFont val="新細明體"/>
        <family val="1"/>
        <charset val="136"/>
      </rPr>
      <t>遞延所得稅</t>
    </r>
  </si>
  <si>
    <r>
      <rPr>
        <sz val="12"/>
        <rFont val="新細明體"/>
        <family val="1"/>
        <charset val="136"/>
      </rPr>
      <t>其他非流動負債</t>
    </r>
  </si>
  <si>
    <r>
      <rPr>
        <sz val="12"/>
        <rFont val="新細明體"/>
        <family val="1"/>
        <charset val="136"/>
      </rPr>
      <t>非流動負債</t>
    </r>
  </si>
  <si>
    <r>
      <rPr>
        <sz val="12"/>
        <rFont val="新細明體"/>
        <family val="1"/>
        <charset val="136"/>
      </rPr>
      <t>負債總額</t>
    </r>
  </si>
  <si>
    <r>
      <rPr>
        <sz val="12"/>
        <rFont val="新細明體"/>
        <family val="1"/>
        <charset val="136"/>
      </rPr>
      <t>普通股股本</t>
    </r>
  </si>
  <si>
    <r>
      <rPr>
        <sz val="12"/>
        <rFont val="新細明體"/>
        <family val="1"/>
        <charset val="136"/>
      </rPr>
      <t>特別股股本</t>
    </r>
  </si>
  <si>
    <r>
      <rPr>
        <sz val="12"/>
        <rFont val="新細明體"/>
        <family val="1"/>
        <charset val="136"/>
      </rPr>
      <t>預收股款</t>
    </r>
  </si>
  <si>
    <r>
      <rPr>
        <sz val="12"/>
        <rFont val="新細明體"/>
        <family val="1"/>
        <charset val="136"/>
      </rPr>
      <t>待分配股票股利</t>
    </r>
  </si>
  <si>
    <r>
      <rPr>
        <sz val="12"/>
        <rFont val="新細明體"/>
        <family val="1"/>
        <charset val="136"/>
      </rPr>
      <t>換股權利證書</t>
    </r>
  </si>
  <si>
    <r>
      <rPr>
        <sz val="12"/>
        <rFont val="新細明體"/>
        <family val="1"/>
        <charset val="136"/>
      </rPr>
      <t>股本</t>
    </r>
  </si>
  <si>
    <r>
      <rPr>
        <sz val="12"/>
        <rFont val="新細明體"/>
        <family val="1"/>
        <charset val="136"/>
      </rPr>
      <t>資本公積─發行溢價</t>
    </r>
  </si>
  <si>
    <r>
      <rPr>
        <sz val="12"/>
        <rFont val="新細明體"/>
        <family val="1"/>
        <charset val="136"/>
      </rPr>
      <t>資本公積─處分資產增益</t>
    </r>
  </si>
  <si>
    <r>
      <rPr>
        <sz val="12"/>
        <rFont val="新細明體"/>
        <family val="1"/>
        <charset val="136"/>
      </rPr>
      <t>資本公積─採權益法認列關聯企業及合資企業股權淨值之變動數</t>
    </r>
  </si>
  <si>
    <r>
      <rPr>
        <sz val="12"/>
        <rFont val="新細明體"/>
        <family val="1"/>
        <charset val="136"/>
      </rPr>
      <t>資本公積─處分子公司股權價格與帳面價值差額</t>
    </r>
  </si>
  <si>
    <r>
      <rPr>
        <sz val="12"/>
        <rFont val="新細明體"/>
        <family val="1"/>
        <charset val="136"/>
      </rPr>
      <t>資本公積─受贈資產</t>
    </r>
  </si>
  <si>
    <r>
      <rPr>
        <sz val="12"/>
        <rFont val="新細明體"/>
        <family val="1"/>
        <charset val="136"/>
      </rPr>
      <t>資本公積─庫藏股票交易</t>
    </r>
  </si>
  <si>
    <r>
      <rPr>
        <sz val="12"/>
        <rFont val="新細明體"/>
        <family val="1"/>
        <charset val="136"/>
      </rPr>
      <t>資本公積─合併溢額</t>
    </r>
  </si>
  <si>
    <r>
      <rPr>
        <sz val="12"/>
        <rFont val="新細明體"/>
        <family val="1"/>
        <charset val="136"/>
      </rPr>
      <t>資本公積─員工認股權</t>
    </r>
  </si>
  <si>
    <r>
      <rPr>
        <sz val="12"/>
        <rFont val="新細明體"/>
        <family val="1"/>
        <charset val="136"/>
      </rPr>
      <t>資本公積─認股權</t>
    </r>
  </si>
  <si>
    <r>
      <rPr>
        <sz val="12"/>
        <rFont val="新細明體"/>
        <family val="1"/>
        <charset val="136"/>
      </rPr>
      <t>資本公積─限制員工權利股票</t>
    </r>
  </si>
  <si>
    <r>
      <rPr>
        <sz val="12"/>
        <rFont val="新細明體"/>
        <family val="1"/>
        <charset val="136"/>
      </rPr>
      <t>資本公積─其他</t>
    </r>
  </si>
  <si>
    <r>
      <rPr>
        <sz val="12"/>
        <rFont val="新細明體"/>
        <family val="1"/>
        <charset val="136"/>
      </rPr>
      <t>資本公積合計</t>
    </r>
  </si>
  <si>
    <r>
      <rPr>
        <sz val="12"/>
        <rFont val="新細明體"/>
        <family val="1"/>
        <charset val="136"/>
      </rPr>
      <t>法定盈餘公積</t>
    </r>
  </si>
  <si>
    <r>
      <rPr>
        <sz val="12"/>
        <rFont val="新細明體"/>
        <family val="1"/>
        <charset val="136"/>
      </rPr>
      <t>特別盈餘公積</t>
    </r>
  </si>
  <si>
    <r>
      <rPr>
        <sz val="12"/>
        <rFont val="新細明體"/>
        <family val="1"/>
        <charset val="136"/>
      </rPr>
      <t>未分配盈餘</t>
    </r>
  </si>
  <si>
    <r>
      <rPr>
        <sz val="12"/>
        <rFont val="新細明體"/>
        <family val="1"/>
        <charset val="136"/>
      </rPr>
      <t>保留盈餘</t>
    </r>
  </si>
  <si>
    <r>
      <rPr>
        <sz val="12"/>
        <rFont val="新細明體"/>
        <family val="1"/>
        <charset val="136"/>
      </rPr>
      <t>國外營運機構財務報表換算之兌換差額</t>
    </r>
  </si>
  <si>
    <r>
      <rPr>
        <sz val="12"/>
        <rFont val="新細明體"/>
        <family val="1"/>
        <charset val="136"/>
      </rPr>
      <t>備供出售金融資產未實現損益</t>
    </r>
  </si>
  <si>
    <r>
      <rPr>
        <sz val="12"/>
        <rFont val="新細明體"/>
        <family val="1"/>
        <charset val="136"/>
      </rPr>
      <t>國外營運機構淨投資避險中屬有效避險部分之避險工具損益</t>
    </r>
  </si>
  <si>
    <r>
      <rPr>
        <sz val="12"/>
        <rFont val="新細明體"/>
        <family val="1"/>
        <charset val="136"/>
      </rPr>
      <t>現金流量避險中屬有效避險部分之避險工具損益</t>
    </r>
  </si>
  <si>
    <r>
      <rPr>
        <sz val="12"/>
        <rFont val="新細明體"/>
        <family val="1"/>
        <charset val="136"/>
      </rPr>
      <t>重估增值</t>
    </r>
  </si>
  <si>
    <r>
      <rPr>
        <sz val="12"/>
        <rFont val="新細明體"/>
        <family val="1"/>
        <charset val="136"/>
      </rPr>
      <t>與待出售非流動資產直接相關之權益</t>
    </r>
  </si>
  <si>
    <r>
      <rPr>
        <sz val="12"/>
        <rFont val="新細明體"/>
        <family val="1"/>
        <charset val="136"/>
      </rPr>
      <t>其他權益</t>
    </r>
    <r>
      <rPr>
        <sz val="12"/>
        <rFont val="Calibri"/>
        <family val="2"/>
      </rPr>
      <t>--</t>
    </r>
    <r>
      <rPr>
        <sz val="12"/>
        <rFont val="新細明體"/>
        <family val="1"/>
        <charset val="136"/>
      </rPr>
      <t>員工未賺得酬勞</t>
    </r>
  </si>
  <si>
    <r>
      <rPr>
        <sz val="12"/>
        <rFont val="新細明體"/>
        <family val="1"/>
        <charset val="136"/>
      </rPr>
      <t>股東權益其他調整項</t>
    </r>
  </si>
  <si>
    <r>
      <rPr>
        <sz val="12"/>
        <rFont val="新細明體"/>
        <family val="1"/>
        <charset val="136"/>
      </rPr>
      <t>其他權益</t>
    </r>
  </si>
  <si>
    <r>
      <rPr>
        <sz val="12"/>
        <rFont val="新細明體"/>
        <family val="1"/>
        <charset val="136"/>
      </rPr>
      <t>庫藏股票帳面值</t>
    </r>
  </si>
  <si>
    <r>
      <rPr>
        <sz val="12"/>
        <rFont val="新細明體"/>
        <family val="1"/>
        <charset val="136"/>
      </rPr>
      <t>母公司股東權益合計</t>
    </r>
  </si>
  <si>
    <r>
      <rPr>
        <sz val="12"/>
        <rFont val="新細明體"/>
        <family val="1"/>
        <charset val="136"/>
      </rPr>
      <t>共同控制下前手權益</t>
    </r>
  </si>
  <si>
    <r>
      <rPr>
        <sz val="12"/>
        <rFont val="新細明體"/>
        <family val="1"/>
        <charset val="136"/>
      </rPr>
      <t>合併前非屬共同控制股權</t>
    </r>
  </si>
  <si>
    <r>
      <rPr>
        <sz val="12"/>
        <rFont val="新細明體"/>
        <family val="1"/>
        <charset val="136"/>
      </rPr>
      <t>非控制權益</t>
    </r>
  </si>
  <si>
    <r>
      <rPr>
        <sz val="12"/>
        <rFont val="新細明體"/>
        <family val="1"/>
        <charset val="136"/>
      </rPr>
      <t>股東權益總額</t>
    </r>
  </si>
  <si>
    <r>
      <rPr>
        <sz val="12"/>
        <rFont val="新細明體"/>
        <family val="1"/>
        <charset val="136"/>
      </rPr>
      <t>負債及股東權益總額</t>
    </r>
  </si>
  <si>
    <r>
      <rPr>
        <sz val="12"/>
        <rFont val="新細明體"/>
        <family val="1"/>
        <charset val="136"/>
      </rPr>
      <t>營業收入毛額</t>
    </r>
  </si>
  <si>
    <r>
      <rPr>
        <sz val="12"/>
        <rFont val="新細明體"/>
        <family val="1"/>
        <charset val="136"/>
      </rPr>
      <t>營收─租金收入</t>
    </r>
  </si>
  <si>
    <r>
      <rPr>
        <sz val="12"/>
        <rFont val="新細明體"/>
        <family val="1"/>
        <charset val="136"/>
      </rPr>
      <t>營收─處分土地收入</t>
    </r>
  </si>
  <si>
    <r>
      <rPr>
        <sz val="12"/>
        <rFont val="新細明體"/>
        <family val="1"/>
        <charset val="136"/>
      </rPr>
      <t>營收─利息收入</t>
    </r>
  </si>
  <si>
    <r>
      <rPr>
        <sz val="12"/>
        <rFont val="新細明體"/>
        <family val="1"/>
        <charset val="136"/>
      </rPr>
      <t>營收─處分投資收入</t>
    </r>
  </si>
  <si>
    <r>
      <rPr>
        <sz val="12"/>
        <rFont val="新細明體"/>
        <family val="1"/>
        <charset val="136"/>
      </rPr>
      <t>營收─投資收益</t>
    </r>
  </si>
  <si>
    <r>
      <rPr>
        <sz val="12"/>
        <rFont val="新細明體"/>
        <family val="1"/>
        <charset val="136"/>
      </rPr>
      <t>退回及折讓</t>
    </r>
  </si>
  <si>
    <r>
      <rPr>
        <sz val="12"/>
        <rFont val="新細明體"/>
        <family val="1"/>
        <charset val="136"/>
      </rPr>
      <t>營業收入淨額</t>
    </r>
  </si>
  <si>
    <r>
      <rPr>
        <sz val="12"/>
        <rFont val="新細明體"/>
        <family val="1"/>
        <charset val="136"/>
      </rPr>
      <t>銷貨成本</t>
    </r>
  </si>
  <si>
    <r>
      <rPr>
        <sz val="12"/>
        <rFont val="新細明體"/>
        <family val="1"/>
        <charset val="136"/>
      </rPr>
      <t>成本─租金成本</t>
    </r>
  </si>
  <si>
    <r>
      <rPr>
        <sz val="12"/>
        <rFont val="新細明體"/>
        <family val="1"/>
        <charset val="136"/>
      </rPr>
      <t>成本─出售土地</t>
    </r>
  </si>
  <si>
    <r>
      <rPr>
        <sz val="12"/>
        <rFont val="新細明體"/>
        <family val="1"/>
        <charset val="136"/>
      </rPr>
      <t>成本─利息支出</t>
    </r>
  </si>
  <si>
    <r>
      <rPr>
        <sz val="12"/>
        <rFont val="新細明體"/>
        <family val="1"/>
        <charset val="136"/>
      </rPr>
      <t>成本─處分投資成本</t>
    </r>
  </si>
  <si>
    <r>
      <rPr>
        <sz val="12"/>
        <rFont val="新細明體"/>
        <family val="1"/>
        <charset val="136"/>
      </rPr>
      <t>成本─投資損失</t>
    </r>
  </si>
  <si>
    <r>
      <rPr>
        <sz val="12"/>
        <rFont val="新細明體"/>
        <family val="1"/>
        <charset val="136"/>
      </rPr>
      <t>營業成本</t>
    </r>
  </si>
  <si>
    <r>
      <rPr>
        <sz val="12"/>
        <rFont val="新細明體"/>
        <family val="1"/>
        <charset val="136"/>
      </rPr>
      <t>營業毛利</t>
    </r>
  </si>
  <si>
    <r>
      <rPr>
        <sz val="12"/>
        <rFont val="新細明體"/>
        <family val="1"/>
        <charset val="136"/>
      </rPr>
      <t>聯屬公司已〈未〉實現銷貨利益</t>
    </r>
  </si>
  <si>
    <r>
      <rPr>
        <sz val="12"/>
        <rFont val="新細明體"/>
        <family val="1"/>
        <charset val="136"/>
      </rPr>
      <t>已實現銷貨毛利</t>
    </r>
  </si>
  <si>
    <r>
      <rPr>
        <sz val="12"/>
        <rFont val="新細明體"/>
        <family val="1"/>
        <charset val="136"/>
      </rPr>
      <t>營業費用</t>
    </r>
  </si>
  <si>
    <r>
      <rPr>
        <sz val="12"/>
        <rFont val="新細明體"/>
        <family val="1"/>
        <charset val="136"/>
      </rPr>
      <t>推銷費用</t>
    </r>
  </si>
  <si>
    <r>
      <rPr>
        <sz val="12"/>
        <rFont val="新細明體"/>
        <family val="1"/>
        <charset val="136"/>
      </rPr>
      <t>管理費用</t>
    </r>
  </si>
  <si>
    <r>
      <rPr>
        <sz val="12"/>
        <rFont val="新細明體"/>
        <family val="1"/>
        <charset val="136"/>
      </rPr>
      <t>研究發展費</t>
    </r>
  </si>
  <si>
    <r>
      <rPr>
        <sz val="12"/>
        <rFont val="新細明體"/>
        <family val="1"/>
        <charset val="136"/>
      </rPr>
      <t>其他費用</t>
    </r>
  </si>
  <si>
    <r>
      <rPr>
        <sz val="12"/>
        <rFont val="新細明體"/>
        <family val="1"/>
        <charset val="136"/>
      </rPr>
      <t>其他收益及費損淨額</t>
    </r>
  </si>
  <si>
    <r>
      <rPr>
        <sz val="12"/>
        <rFont val="新細明體"/>
        <family val="1"/>
        <charset val="136"/>
      </rPr>
      <t>營業利益</t>
    </r>
  </si>
  <si>
    <r>
      <rPr>
        <sz val="12"/>
        <rFont val="新細明體"/>
        <family val="1"/>
        <charset val="136"/>
      </rPr>
      <t>利息收入</t>
    </r>
  </si>
  <si>
    <r>
      <rPr>
        <sz val="12"/>
        <rFont val="新細明體"/>
        <family val="1"/>
        <charset val="136"/>
      </rPr>
      <t>租金收入</t>
    </r>
  </si>
  <si>
    <r>
      <rPr>
        <sz val="12"/>
        <rFont val="新細明體"/>
        <family val="1"/>
        <charset val="136"/>
      </rPr>
      <t>權利金收入</t>
    </r>
  </si>
  <si>
    <r>
      <rPr>
        <sz val="12"/>
        <rFont val="新細明體"/>
        <family val="1"/>
        <charset val="136"/>
      </rPr>
      <t>股利收入</t>
    </r>
  </si>
  <si>
    <r>
      <rPr>
        <sz val="12"/>
        <rFont val="新細明體"/>
        <family val="1"/>
        <charset val="136"/>
      </rPr>
      <t>廉價購買收益</t>
    </r>
  </si>
  <si>
    <r>
      <rPr>
        <sz val="12"/>
        <rFont val="新細明體"/>
        <family val="1"/>
        <charset val="136"/>
      </rPr>
      <t>違約金收入</t>
    </r>
  </si>
  <si>
    <r>
      <rPr>
        <sz val="12"/>
        <rFont val="新細明體"/>
        <family val="1"/>
        <charset val="136"/>
      </rPr>
      <t>壞帳轉回利益</t>
    </r>
  </si>
  <si>
    <r>
      <rPr>
        <sz val="12"/>
        <rFont val="新細明體"/>
        <family val="1"/>
        <charset val="136"/>
      </rPr>
      <t>沖銷逾期應付帳款利益</t>
    </r>
  </si>
  <si>
    <r>
      <rPr>
        <sz val="12"/>
        <rFont val="新細明體"/>
        <family val="1"/>
        <charset val="136"/>
      </rPr>
      <t>補助收益</t>
    </r>
  </si>
  <si>
    <r>
      <rPr>
        <sz val="12"/>
        <rFont val="新細明體"/>
        <family val="1"/>
        <charset val="136"/>
      </rPr>
      <t>其他收入─其他</t>
    </r>
  </si>
  <si>
    <r>
      <rPr>
        <sz val="12"/>
        <rFont val="新細明體"/>
        <family val="1"/>
        <charset val="136"/>
      </rPr>
      <t>其他收入</t>
    </r>
  </si>
  <si>
    <r>
      <rPr>
        <sz val="12"/>
        <rFont val="新細明體"/>
        <family val="1"/>
        <charset val="136"/>
      </rPr>
      <t>處分不動產、廠房及設備利益</t>
    </r>
  </si>
  <si>
    <r>
      <rPr>
        <sz val="12"/>
        <rFont val="新細明體"/>
        <family val="1"/>
        <charset val="136"/>
      </rPr>
      <t>處分投資利益</t>
    </r>
  </si>
  <si>
    <r>
      <rPr>
        <sz val="12"/>
        <rFont val="新細明體"/>
        <family val="1"/>
        <charset val="136"/>
      </rPr>
      <t>外幣兌換利益</t>
    </r>
  </si>
  <si>
    <r>
      <rPr>
        <sz val="12"/>
        <rFont val="新細明體"/>
        <family val="1"/>
        <charset val="136"/>
      </rPr>
      <t>透過損益按公允價值衡量之金融資產（負債）利益</t>
    </r>
  </si>
  <si>
    <r>
      <rPr>
        <sz val="12"/>
        <rFont val="新細明體"/>
        <family val="1"/>
        <charset val="136"/>
      </rPr>
      <t>資產評價利益</t>
    </r>
  </si>
  <si>
    <r>
      <rPr>
        <sz val="12"/>
        <rFont val="新細明體"/>
        <family val="1"/>
        <charset val="136"/>
      </rPr>
      <t>金融資產減損迴轉利益</t>
    </r>
  </si>
  <si>
    <r>
      <rPr>
        <sz val="12"/>
        <rFont val="新細明體"/>
        <family val="1"/>
        <charset val="136"/>
      </rPr>
      <t>資產減損迴轉利益</t>
    </r>
  </si>
  <si>
    <r>
      <rPr>
        <sz val="12"/>
        <rFont val="新細明體"/>
        <family val="1"/>
        <charset val="136"/>
      </rPr>
      <t>不動產、廠房及設備減損迴轉利益</t>
    </r>
  </si>
  <si>
    <r>
      <rPr>
        <sz val="12"/>
        <rFont val="新細明體"/>
        <family val="1"/>
        <charset val="136"/>
      </rPr>
      <t>無形資產減損迴轉利益</t>
    </r>
  </si>
  <si>
    <r>
      <rPr>
        <sz val="12"/>
        <rFont val="新細明體"/>
        <family val="1"/>
        <charset val="136"/>
      </rPr>
      <t>其他減損迴轉利益</t>
    </r>
  </si>
  <si>
    <r>
      <rPr>
        <sz val="12"/>
        <rFont val="新細明體"/>
        <family val="1"/>
        <charset val="136"/>
      </rPr>
      <t>賠償收入</t>
    </r>
  </si>
  <si>
    <r>
      <rPr>
        <sz val="12"/>
        <rFont val="新細明體"/>
        <family val="1"/>
        <charset val="136"/>
      </rPr>
      <t>買回公司債利益</t>
    </r>
  </si>
  <si>
    <r>
      <rPr>
        <sz val="12"/>
        <rFont val="新細明體"/>
        <family val="1"/>
        <charset val="136"/>
      </rPr>
      <t>停工損失</t>
    </r>
  </si>
  <si>
    <r>
      <rPr>
        <sz val="12"/>
        <rFont val="新細明體"/>
        <family val="1"/>
        <charset val="136"/>
      </rPr>
      <t>合約損失</t>
    </r>
  </si>
  <si>
    <r>
      <rPr>
        <sz val="12"/>
        <rFont val="新細明體"/>
        <family val="1"/>
        <charset val="136"/>
      </rPr>
      <t>賠償損失</t>
    </r>
  </si>
  <si>
    <r>
      <rPr>
        <sz val="12"/>
        <rFont val="新細明體"/>
        <family val="1"/>
        <charset val="136"/>
      </rPr>
      <t>處分不動產、廠房及設備損失</t>
    </r>
  </si>
  <si>
    <r>
      <rPr>
        <sz val="12"/>
        <rFont val="新細明體"/>
        <family val="1"/>
        <charset val="136"/>
      </rPr>
      <t>處分投資損失</t>
    </r>
  </si>
  <si>
    <r>
      <rPr>
        <sz val="12"/>
        <rFont val="新細明體"/>
        <family val="1"/>
        <charset val="136"/>
      </rPr>
      <t>外幣兌換損失</t>
    </r>
  </si>
  <si>
    <r>
      <rPr>
        <sz val="12"/>
        <rFont val="新細明體"/>
        <family val="1"/>
        <charset val="136"/>
      </rPr>
      <t>透過損益按公允價值衡量之金融資產（負債）損失</t>
    </r>
  </si>
  <si>
    <r>
      <rPr>
        <sz val="12"/>
        <rFont val="新細明體"/>
        <family val="1"/>
        <charset val="136"/>
      </rPr>
      <t>資產評價損失</t>
    </r>
  </si>
  <si>
    <r>
      <rPr>
        <sz val="12"/>
        <rFont val="新細明體"/>
        <family val="1"/>
        <charset val="136"/>
      </rPr>
      <t>金融資產減損損失</t>
    </r>
  </si>
  <si>
    <r>
      <rPr>
        <sz val="12"/>
        <rFont val="新細明體"/>
        <family val="1"/>
        <charset val="136"/>
      </rPr>
      <t>資產減損損失</t>
    </r>
  </si>
  <si>
    <r>
      <rPr>
        <sz val="12"/>
        <rFont val="新細明體"/>
        <family val="1"/>
        <charset val="136"/>
      </rPr>
      <t>不動產、廠房及設備減損損失</t>
    </r>
  </si>
  <si>
    <r>
      <rPr>
        <sz val="12"/>
        <rFont val="新細明體"/>
        <family val="1"/>
        <charset val="136"/>
      </rPr>
      <t>無形資產減損損失</t>
    </r>
  </si>
  <si>
    <r>
      <rPr>
        <sz val="12"/>
        <rFont val="新細明體"/>
        <family val="1"/>
        <charset val="136"/>
      </rPr>
      <t>其他減損損失</t>
    </r>
  </si>
  <si>
    <r>
      <rPr>
        <sz val="12"/>
        <rFont val="新細明體"/>
        <family val="1"/>
        <charset val="136"/>
      </rPr>
      <t>買回公司債損失</t>
    </r>
  </si>
  <si>
    <r>
      <rPr>
        <sz val="12"/>
        <rFont val="新細明體"/>
        <family val="1"/>
        <charset val="136"/>
      </rPr>
      <t>其他利益及損失─其他</t>
    </r>
  </si>
  <si>
    <r>
      <rPr>
        <sz val="12"/>
        <rFont val="新細明體"/>
        <family val="1"/>
        <charset val="136"/>
      </rPr>
      <t>其他利益及損失</t>
    </r>
  </si>
  <si>
    <r>
      <rPr>
        <sz val="12"/>
        <rFont val="新細明體"/>
        <family val="1"/>
        <charset val="136"/>
      </rPr>
      <t>利息支出</t>
    </r>
  </si>
  <si>
    <r>
      <rPr>
        <sz val="12"/>
        <rFont val="新細明體"/>
        <family val="1"/>
        <charset val="136"/>
      </rPr>
      <t>負債性特別股股息</t>
    </r>
  </si>
  <si>
    <r>
      <rPr>
        <sz val="12"/>
        <rFont val="新細明體"/>
        <family val="1"/>
        <charset val="136"/>
      </rPr>
      <t>財務成本</t>
    </r>
    <r>
      <rPr>
        <sz val="12"/>
        <rFont val="Calibri"/>
        <family val="2"/>
      </rPr>
      <t>-</t>
    </r>
    <r>
      <rPr>
        <sz val="12"/>
        <rFont val="新細明體"/>
        <family val="1"/>
        <charset val="136"/>
      </rPr>
      <t>其他</t>
    </r>
  </si>
  <si>
    <r>
      <rPr>
        <sz val="12"/>
        <rFont val="新細明體"/>
        <family val="1"/>
        <charset val="136"/>
      </rPr>
      <t>財務成本</t>
    </r>
  </si>
  <si>
    <r>
      <rPr>
        <sz val="12"/>
        <rFont val="新細明體"/>
        <family val="1"/>
        <charset val="136"/>
      </rPr>
      <t>採用權益法認列之關聯企業及合資利益之份額</t>
    </r>
  </si>
  <si>
    <r>
      <rPr>
        <sz val="12"/>
        <rFont val="新細明體"/>
        <family val="1"/>
        <charset val="136"/>
      </rPr>
      <t>採用權益法認列之關聯企業及合資損失之份額</t>
    </r>
  </si>
  <si>
    <r>
      <rPr>
        <sz val="12"/>
        <rFont val="新細明體"/>
        <family val="1"/>
        <charset val="136"/>
      </rPr>
      <t>採權益法之關聯企業及合資損益</t>
    </r>
  </si>
  <si>
    <r>
      <rPr>
        <sz val="12"/>
        <rFont val="新細明體"/>
        <family val="1"/>
        <charset val="136"/>
      </rPr>
      <t>營業外收入及支出─其他</t>
    </r>
  </si>
  <si>
    <r>
      <rPr>
        <sz val="12"/>
        <rFont val="新細明體"/>
        <family val="1"/>
        <charset val="136"/>
      </rPr>
      <t>營業外收入及支出</t>
    </r>
  </si>
  <si>
    <r>
      <rPr>
        <sz val="12"/>
        <rFont val="新細明體"/>
        <family val="1"/>
        <charset val="136"/>
      </rPr>
      <t>稅前淨利</t>
    </r>
  </si>
  <si>
    <r>
      <rPr>
        <sz val="12"/>
        <rFont val="新細明體"/>
        <family val="1"/>
        <charset val="136"/>
      </rPr>
      <t>所得稅費用</t>
    </r>
  </si>
  <si>
    <r>
      <rPr>
        <sz val="12"/>
        <rFont val="新細明體"/>
        <family val="1"/>
        <charset val="136"/>
      </rPr>
      <t>繼續營業單位損益</t>
    </r>
  </si>
  <si>
    <r>
      <rPr>
        <sz val="12"/>
        <rFont val="新細明體"/>
        <family val="1"/>
        <charset val="136"/>
      </rPr>
      <t>停業單位損益</t>
    </r>
  </si>
  <si>
    <r>
      <rPr>
        <sz val="12"/>
        <rFont val="新細明體"/>
        <family val="1"/>
        <charset val="136"/>
      </rPr>
      <t>合併前非屬共同控制股權損益</t>
    </r>
  </si>
  <si>
    <r>
      <rPr>
        <sz val="12"/>
        <rFont val="新細明體"/>
        <family val="1"/>
        <charset val="136"/>
      </rPr>
      <t>合併總損益</t>
    </r>
  </si>
  <si>
    <r>
      <rPr>
        <sz val="12"/>
        <rFont val="新細明體"/>
        <family val="1"/>
        <charset val="136"/>
      </rPr>
      <t>國外營運機構財務報表換算之兌換差額─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</si>
  <si>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權益工具投資損益─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</si>
  <si>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備供出售金融資產未實現評價損益─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</si>
  <si>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現金流量避險─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</si>
  <si>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國外營運機構淨投資避險─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</si>
  <si>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重估價之利益（損失）─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</si>
  <si>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確定福利計畫精算損益─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</si>
  <si>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採用權益法認列之關聯企業及合資之其他綜合損益之份額─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</si>
  <si>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其他綜合損益─其他─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</si>
  <si>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與其他綜合損益組成部分相關之所得稅─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</si>
  <si>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其他綜合損益─</t>
    </r>
    <r>
      <rPr>
        <sz val="12"/>
        <rFont val="Calibri"/>
        <family val="2"/>
      </rPr>
      <t>OCI</t>
    </r>
  </si>
  <si>
    <r>
      <rPr>
        <sz val="12"/>
        <rFont val="新細明體"/>
        <family val="1"/>
        <charset val="136"/>
      </rPr>
      <t>本期綜合損益總額</t>
    </r>
  </si>
  <si>
    <r>
      <rPr>
        <sz val="12"/>
        <rFont val="新細明體"/>
        <family val="1"/>
        <charset val="136"/>
      </rPr>
      <t>歸屬母公司淨利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損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</si>
  <si>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歸屬非控制權益淨利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損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</si>
  <si>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歸屬共同控制下前手權益淨利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損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</si>
  <si>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綜合損益歸屬母公司</t>
    </r>
  </si>
  <si>
    <r>
      <rPr>
        <sz val="12"/>
        <rFont val="新細明體"/>
        <family val="1"/>
        <charset val="136"/>
      </rPr>
      <t>綜合損益歸屬非控制權益</t>
    </r>
  </si>
  <si>
    <r>
      <rPr>
        <sz val="12"/>
        <rFont val="新細明體"/>
        <family val="1"/>
        <charset val="136"/>
      </rPr>
      <t>綜合損益歸屬共同控制下前手權益</t>
    </r>
  </si>
  <si>
    <r>
      <rPr>
        <sz val="12"/>
        <rFont val="新細明體"/>
        <family val="1"/>
        <charset val="136"/>
      </rPr>
      <t>每股盈餘（元）</t>
    </r>
  </si>
  <si>
    <r>
      <rPr>
        <sz val="12"/>
        <rFont val="新細明體"/>
        <family val="1"/>
        <charset val="136"/>
      </rPr>
      <t>加權平均股數</t>
    </r>
    <r>
      <rPr>
        <sz val="12"/>
        <rFont val="Calibri"/>
        <family val="2"/>
      </rPr>
      <t xml:space="preserve"> (</t>
    </r>
    <r>
      <rPr>
        <sz val="12"/>
        <rFont val="新細明體"/>
        <family val="1"/>
        <charset val="136"/>
      </rPr>
      <t>仟股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</si>
  <si>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發放特別股股息</t>
    </r>
  </si>
  <si>
    <r>
      <rPr>
        <sz val="12"/>
        <rFont val="新細明體"/>
        <family val="1"/>
        <charset val="136"/>
      </rPr>
      <t>稀釋稅後淨利</t>
    </r>
  </si>
  <si>
    <r>
      <rPr>
        <sz val="12"/>
        <rFont val="新細明體"/>
        <family val="1"/>
        <charset val="136"/>
      </rPr>
      <t>每股盈餘─完全稀釋</t>
    </r>
  </si>
  <si>
    <r>
      <rPr>
        <sz val="12"/>
        <rFont val="新細明體"/>
        <family val="1"/>
        <charset val="136"/>
      </rPr>
      <t>加權平均股數─稀釋</t>
    </r>
  </si>
  <si>
    <r>
      <rPr>
        <sz val="12"/>
        <rFont val="新細明體"/>
        <family val="1"/>
        <charset val="136"/>
      </rPr>
      <t>稅前息前淨利</t>
    </r>
  </si>
  <si>
    <r>
      <rPr>
        <sz val="12"/>
        <rFont val="新細明體"/>
        <family val="1"/>
        <charset val="136"/>
      </rPr>
      <t>稅前息前折舊前淨利</t>
    </r>
  </si>
  <si>
    <r>
      <rPr>
        <sz val="12"/>
        <rFont val="新細明體"/>
        <family val="1"/>
        <charset val="136"/>
      </rPr>
      <t>常續性稅後淨利</t>
    </r>
  </si>
  <si>
    <r>
      <rPr>
        <sz val="12"/>
        <rFont val="新細明體"/>
        <family val="1"/>
        <charset val="136"/>
      </rPr>
      <t>庫藏股數─母公司</t>
    </r>
  </si>
  <si>
    <r>
      <rPr>
        <sz val="12"/>
        <rFont val="新細明體"/>
        <family val="1"/>
        <charset val="136"/>
      </rPr>
      <t>庫藏股數─子公司持有母公司股票或其他</t>
    </r>
  </si>
  <si>
    <r>
      <rPr>
        <sz val="12"/>
        <rFont val="新細明體"/>
        <family val="1"/>
        <charset val="136"/>
      </rPr>
      <t>庫藏股數</t>
    </r>
    <r>
      <rPr>
        <sz val="12"/>
        <rFont val="Calibri"/>
        <family val="2"/>
      </rPr>
      <t xml:space="preserve"> (</t>
    </r>
    <r>
      <rPr>
        <sz val="12"/>
        <rFont val="新細明體"/>
        <family val="1"/>
        <charset val="136"/>
      </rPr>
      <t>母</t>
    </r>
    <r>
      <rPr>
        <sz val="12"/>
        <rFont val="Calibri"/>
        <family val="2"/>
      </rPr>
      <t xml:space="preserve">+ </t>
    </r>
    <r>
      <rPr>
        <sz val="12"/>
        <rFont val="新細明體"/>
        <family val="1"/>
        <charset val="136"/>
      </rPr>
      <t>子</t>
    </r>
    <r>
      <rPr>
        <sz val="12"/>
        <rFont val="Calibri"/>
        <family val="2"/>
      </rPr>
      <t xml:space="preserve">) </t>
    </r>
    <r>
      <rPr>
        <sz val="12"/>
        <rFont val="新細明體"/>
        <family val="1"/>
        <charset val="136"/>
      </rPr>
      <t>仟股</t>
    </r>
  </si>
  <si>
    <r>
      <rPr>
        <sz val="12"/>
        <rFont val="新細明體"/>
        <family val="1"/>
        <charset val="136"/>
      </rPr>
      <t>稅前淨利</t>
    </r>
    <r>
      <rPr>
        <sz val="12"/>
        <rFont val="Calibri"/>
        <family val="2"/>
      </rPr>
      <t>-CFO</t>
    </r>
  </si>
  <si>
    <r>
      <rPr>
        <sz val="12"/>
        <rFont val="新細明體"/>
        <family val="1"/>
        <charset val="136"/>
      </rPr>
      <t>折舊</t>
    </r>
  </si>
  <si>
    <r>
      <rPr>
        <sz val="12"/>
        <rFont val="新細明體"/>
        <family val="1"/>
        <charset val="136"/>
      </rPr>
      <t>攤提</t>
    </r>
  </si>
  <si>
    <r>
      <rPr>
        <sz val="12"/>
        <rFont val="新細明體"/>
        <family val="1"/>
        <charset val="136"/>
      </rPr>
      <t>呆帳損失增</t>
    </r>
    <r>
      <rPr>
        <sz val="12"/>
        <rFont val="Calibri"/>
        <family val="2"/>
      </rPr>
      <t xml:space="preserve"> </t>
    </r>
    <r>
      <rPr>
        <sz val="12"/>
        <rFont val="新細明體"/>
        <family val="1"/>
        <charset val="136"/>
      </rPr>
      <t>〈減〉</t>
    </r>
  </si>
  <si>
    <r>
      <rPr>
        <sz val="12"/>
        <rFont val="新細明體"/>
        <family val="1"/>
        <charset val="136"/>
      </rPr>
      <t>透過損益按公允價值衡量金融資產及負債之淨損失（利益）</t>
    </r>
  </si>
  <si>
    <r>
      <rPr>
        <sz val="12"/>
        <rFont val="新細明體"/>
        <family val="1"/>
        <charset val="136"/>
      </rPr>
      <t>存貨跌價損失增</t>
    </r>
    <r>
      <rPr>
        <sz val="12"/>
        <rFont val="Calibri"/>
        <family val="2"/>
      </rPr>
      <t xml:space="preserve"> (</t>
    </r>
    <r>
      <rPr>
        <sz val="12"/>
        <rFont val="新細明體"/>
        <family val="1"/>
        <charset val="136"/>
      </rPr>
      <t>減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</si>
  <si>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利息支出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</si>
  <si>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存貨盤</t>
    </r>
    <r>
      <rPr>
        <sz val="12"/>
        <rFont val="Calibri"/>
        <family val="2"/>
      </rPr>
      <t xml:space="preserve"> (</t>
    </r>
    <r>
      <rPr>
        <sz val="12"/>
        <rFont val="新細明體"/>
        <family val="1"/>
        <charset val="136"/>
      </rPr>
      <t>盈</t>
    </r>
    <r>
      <rPr>
        <sz val="12"/>
        <rFont val="Calibri"/>
        <family val="2"/>
      </rPr>
      <t xml:space="preserve">) </t>
    </r>
    <r>
      <rPr>
        <sz val="12"/>
        <rFont val="新細明體"/>
        <family val="1"/>
        <charset val="136"/>
      </rPr>
      <t>虧及報廢</t>
    </r>
  </si>
  <si>
    <r>
      <rPr>
        <sz val="12"/>
        <rFont val="新細明體"/>
        <family val="1"/>
        <charset val="136"/>
      </rPr>
      <t>利息收入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</si>
  <si>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股利收入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</si>
  <si>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股份基礎給付酬勞成本</t>
    </r>
  </si>
  <si>
    <r>
      <rPr>
        <sz val="12"/>
        <rFont val="新細明體"/>
        <family val="1"/>
        <charset val="136"/>
      </rPr>
      <t>採用權益法認列之關聯企業及合資利益份額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</si>
  <si>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採用權益法認列之關聯企業及合資損失份額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</si>
  <si>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處分不動產、廠房及設備收益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</si>
  <si>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處分不動產、廠房及設備損失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</si>
  <si>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處分投資性不動產損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益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</si>
  <si>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處分無形資產損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益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</si>
  <si>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處分投資損失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</si>
  <si>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處分投資利益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</si>
  <si>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金融商品減損損失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</si>
  <si>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金融商品減損迴轉利益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</si>
  <si>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資產減損損失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</si>
  <si>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資產減損迴轉利益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</si>
  <si>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買回公司債損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益</t>
    </r>
    <r>
      <rPr>
        <sz val="12"/>
        <rFont val="Calibri"/>
        <family val="2"/>
      </rPr>
      <t>)CFO</t>
    </r>
  </si>
  <si>
    <r>
      <rPr>
        <sz val="12"/>
        <rFont val="新細明體"/>
        <family val="1"/>
        <charset val="136"/>
      </rPr>
      <t>提列各項準備</t>
    </r>
  </si>
  <si>
    <r>
      <rPr>
        <sz val="12"/>
        <rFont val="新細明體"/>
        <family val="1"/>
        <charset val="136"/>
      </rPr>
      <t>回轉各項準備</t>
    </r>
  </si>
  <si>
    <r>
      <rPr>
        <sz val="12"/>
        <rFont val="新細明體"/>
        <family val="1"/>
        <charset val="136"/>
      </rPr>
      <t>透過損益按公允價值衡量金融資產〈增〉減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</si>
  <si>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備供出售金融資產〈增〉減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</si>
  <si>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避險之衍生性金融資產〈增〉減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</si>
  <si>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以成本衡量之金融資產〈增〉減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</si>
  <si>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持有至到期日金融資產〈增〉減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</si>
  <si>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應收帳款〈增〉減</t>
    </r>
  </si>
  <si>
    <r>
      <rPr>
        <sz val="12"/>
        <rFont val="新細明體"/>
        <family val="1"/>
        <charset val="136"/>
      </rPr>
      <t>其他應收帳款〈增〉減</t>
    </r>
  </si>
  <si>
    <r>
      <rPr>
        <sz val="12"/>
        <rFont val="新細明體"/>
        <family val="1"/>
        <charset val="136"/>
      </rPr>
      <t>存貨〈增〉減</t>
    </r>
  </si>
  <si>
    <r>
      <rPr>
        <sz val="12"/>
        <rFont val="新細明體"/>
        <family val="1"/>
        <charset val="136"/>
      </rPr>
      <t>預付款〈增〉減</t>
    </r>
  </si>
  <si>
    <r>
      <rPr>
        <sz val="12"/>
        <rFont val="新細明體"/>
        <family val="1"/>
        <charset val="136"/>
      </rPr>
      <t>其他金融資產〈增〉減─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</si>
  <si>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透過損益按公允價值衡量金融負債〈減〉</t>
    </r>
  </si>
  <si>
    <r>
      <rPr>
        <sz val="12"/>
        <rFont val="新細明體"/>
        <family val="1"/>
        <charset val="136"/>
      </rPr>
      <t>避險之衍生性金融負債增〈減〉─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</si>
  <si>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以成本衡量之金融負債增〈減〉</t>
    </r>
  </si>
  <si>
    <r>
      <rPr>
        <sz val="12"/>
        <rFont val="新細明體"/>
        <family val="1"/>
        <charset val="136"/>
      </rPr>
      <t>應付帳款增〈減〉</t>
    </r>
  </si>
  <si>
    <r>
      <rPr>
        <sz val="12"/>
        <rFont val="新細明體"/>
        <family val="1"/>
        <charset val="136"/>
      </rPr>
      <t>其他應付款增〈減〉</t>
    </r>
  </si>
  <si>
    <r>
      <rPr>
        <sz val="12"/>
        <rFont val="新細明體"/>
        <family val="1"/>
        <charset val="136"/>
      </rPr>
      <t>預收款增〈減〉</t>
    </r>
  </si>
  <si>
    <r>
      <rPr>
        <sz val="12"/>
        <rFont val="新細明體"/>
        <family val="1"/>
        <charset val="136"/>
      </rPr>
      <t>其他金融負債增〈減〉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</si>
  <si>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負債準備增〈減〉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</si>
  <si>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提列員工退休金準備</t>
    </r>
  </si>
  <si>
    <r>
      <rPr>
        <sz val="12"/>
        <rFont val="新細明體"/>
        <family val="1"/>
        <charset val="136"/>
      </rPr>
      <t>支付員工退休金</t>
    </r>
  </si>
  <si>
    <r>
      <rPr>
        <sz val="12"/>
        <rFont val="新細明體"/>
        <family val="1"/>
        <charset val="136"/>
      </rPr>
      <t>利息收現─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</si>
  <si>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收取股利─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</si>
  <si>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支付利息─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</si>
  <si>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支付股利─</t>
    </r>
    <r>
      <rPr>
        <sz val="12"/>
        <rFont val="Calibri"/>
        <family val="2"/>
      </rPr>
      <t>CFO</t>
    </r>
  </si>
  <si>
    <r>
      <rPr>
        <sz val="12"/>
        <rFont val="新細明體"/>
        <family val="1"/>
        <charset val="136"/>
      </rPr>
      <t>退還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支付</t>
    </r>
    <r>
      <rPr>
        <sz val="12"/>
        <rFont val="Calibri"/>
        <family val="2"/>
      </rPr>
      <t>)</t>
    </r>
    <r>
      <rPr>
        <sz val="12"/>
        <rFont val="新細明體"/>
        <family val="1"/>
        <charset val="136"/>
      </rPr>
      <t>所得稅─</t>
    </r>
    <r>
      <rPr>
        <sz val="12"/>
        <rFont val="Calibri"/>
        <family val="2"/>
      </rPr>
      <t>CFO</t>
    </r>
  </si>
  <si>
    <r>
      <t>CFO</t>
    </r>
    <r>
      <rPr>
        <sz val="12"/>
        <rFont val="新細明體"/>
        <family val="1"/>
        <charset val="136"/>
      </rPr>
      <t>─調整項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出貨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</si>
  <si>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來自營運之現金流量</t>
    </r>
  </si>
  <si>
    <r>
      <rPr>
        <sz val="12"/>
        <rFont val="新細明體"/>
        <family val="1"/>
        <charset val="136"/>
      </rPr>
      <t>（買）賣透過損益按公允價值衡量之金融資產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</si>
  <si>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（買）賣備供出售金融資產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</si>
  <si>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持有至到期日金融資產〈增〉減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</si>
  <si>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以成本衡量之金融資產損〈增〉減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</si>
  <si>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無活絡市場之債券投資</t>
    </r>
    <r>
      <rPr>
        <sz val="12"/>
        <rFont val="Calibri"/>
        <family val="2"/>
      </rPr>
      <t xml:space="preserve"> </t>
    </r>
    <r>
      <rPr>
        <sz val="12"/>
        <rFont val="新細明體"/>
        <family val="1"/>
        <charset val="136"/>
      </rPr>
      <t>〈增〉減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</si>
  <si>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避險之衍生性金融資產〈增〉減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</si>
  <si>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避險之衍生性金融負債增〈減〉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</si>
  <si>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應收款項增〈減〉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</si>
  <si>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新增投資</t>
    </r>
  </si>
  <si>
    <r>
      <rPr>
        <sz val="12"/>
        <rFont val="新細明體"/>
        <family val="1"/>
        <charset val="136"/>
      </rPr>
      <t>出售投資</t>
    </r>
  </si>
  <si>
    <r>
      <rPr>
        <sz val="12"/>
        <rFont val="新細明體"/>
        <family val="1"/>
        <charset val="136"/>
      </rPr>
      <t>購置不動產廠房設備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含預付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</si>
  <si>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處分不動產廠房設備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含預付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</si>
  <si>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投資性不動產出售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購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</si>
  <si>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無形資產〈增〉減</t>
    </r>
  </si>
  <si>
    <r>
      <rPr>
        <sz val="12"/>
        <rFont val="新細明體"/>
        <family val="1"/>
        <charset val="136"/>
      </rPr>
      <t>其他金融資產〈增〉減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</si>
  <si>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購併他公司支付現金淨額</t>
    </r>
  </si>
  <si>
    <r>
      <rPr>
        <sz val="12"/>
        <rFont val="新細明體"/>
        <family val="1"/>
        <charset val="136"/>
      </rPr>
      <t>取得購併公司現金</t>
    </r>
  </si>
  <si>
    <r>
      <rPr>
        <sz val="12"/>
        <rFont val="新細明體"/>
        <family val="1"/>
        <charset val="136"/>
      </rPr>
      <t>收到利息─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</si>
  <si>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收到股利─</t>
    </r>
    <r>
      <rPr>
        <sz val="12"/>
        <rFont val="Calibri"/>
        <family val="2"/>
      </rPr>
      <t>CFI</t>
    </r>
  </si>
  <si>
    <r>
      <rPr>
        <sz val="12"/>
        <rFont val="新細明體"/>
        <family val="1"/>
        <charset val="136"/>
      </rPr>
      <t>退還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支付</t>
    </r>
    <r>
      <rPr>
        <sz val="12"/>
        <rFont val="Calibri"/>
        <family val="2"/>
      </rPr>
      <t>)</t>
    </r>
    <r>
      <rPr>
        <sz val="12"/>
        <rFont val="新細明體"/>
        <family val="1"/>
        <charset val="136"/>
      </rPr>
      <t>所得稅─</t>
    </r>
    <r>
      <rPr>
        <sz val="12"/>
        <rFont val="Calibri"/>
        <family val="2"/>
      </rPr>
      <t>CFI</t>
    </r>
  </si>
  <si>
    <r>
      <t>CFI</t>
    </r>
    <r>
      <rPr>
        <sz val="12"/>
        <rFont val="新細明體"/>
        <family val="1"/>
        <charset val="136"/>
      </rPr>
      <t>─調整項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出貨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</si>
  <si>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投資活動之現金流量</t>
    </r>
  </si>
  <si>
    <r>
      <rPr>
        <sz val="12"/>
        <rFont val="新細明體"/>
        <family val="1"/>
        <charset val="136"/>
      </rPr>
      <t>短期借款增〈減〉</t>
    </r>
  </si>
  <si>
    <r>
      <rPr>
        <sz val="12"/>
        <rFont val="新細明體"/>
        <family val="1"/>
        <charset val="136"/>
      </rPr>
      <t>應付短期票券增〈減〉</t>
    </r>
  </si>
  <si>
    <r>
      <rPr>
        <sz val="12"/>
        <rFont val="新細明體"/>
        <family val="1"/>
        <charset val="136"/>
      </rPr>
      <t>發行公司債</t>
    </r>
  </si>
  <si>
    <r>
      <rPr>
        <sz val="12"/>
        <rFont val="新細明體"/>
        <family val="1"/>
        <charset val="136"/>
      </rPr>
      <t>償還公司債</t>
    </r>
  </si>
  <si>
    <r>
      <rPr>
        <sz val="12"/>
        <rFont val="新細明體"/>
        <family val="1"/>
        <charset val="136"/>
      </rPr>
      <t>舉借長期借款</t>
    </r>
  </si>
  <si>
    <r>
      <rPr>
        <sz val="12"/>
        <rFont val="新細明體"/>
        <family val="1"/>
        <charset val="136"/>
      </rPr>
      <t>償還長期借款</t>
    </r>
  </si>
  <si>
    <r>
      <rPr>
        <sz val="12"/>
        <rFont val="新細明體"/>
        <family val="1"/>
        <charset val="136"/>
      </rPr>
      <t>發行特別股負債</t>
    </r>
  </si>
  <si>
    <r>
      <rPr>
        <sz val="12"/>
        <rFont val="新細明體"/>
        <family val="1"/>
        <charset val="136"/>
      </rPr>
      <t>償還長特別股負債</t>
    </r>
  </si>
  <si>
    <r>
      <rPr>
        <sz val="12"/>
        <rFont val="新細明體"/>
        <family val="1"/>
        <charset val="136"/>
      </rPr>
      <t>庫藏股票減〈增〉</t>
    </r>
  </si>
  <si>
    <r>
      <rPr>
        <sz val="12"/>
        <rFont val="新細明體"/>
        <family val="1"/>
        <charset val="136"/>
      </rPr>
      <t>現金增</t>
    </r>
    <r>
      <rPr>
        <sz val="12"/>
        <rFont val="Calibri"/>
        <family val="2"/>
      </rPr>
      <t xml:space="preserve"> </t>
    </r>
    <r>
      <rPr>
        <sz val="12"/>
        <rFont val="新細明體"/>
        <family val="1"/>
        <charset val="136"/>
      </rPr>
      <t>〈減〉</t>
    </r>
    <r>
      <rPr>
        <sz val="12"/>
        <rFont val="Calibri"/>
        <family val="2"/>
      </rPr>
      <t xml:space="preserve"> </t>
    </r>
    <r>
      <rPr>
        <sz val="12"/>
        <rFont val="新細明體"/>
        <family val="1"/>
        <charset val="136"/>
      </rPr>
      <t>資</t>
    </r>
  </si>
  <si>
    <r>
      <rPr>
        <sz val="12"/>
        <rFont val="新細明體"/>
        <family val="1"/>
        <charset val="136"/>
      </rPr>
      <t>行使員工認股權</t>
    </r>
  </si>
  <si>
    <r>
      <rPr>
        <sz val="12"/>
        <rFont val="新細明體"/>
        <family val="1"/>
        <charset val="136"/>
      </rPr>
      <t>支付現金股利</t>
    </r>
  </si>
  <si>
    <r>
      <rPr>
        <sz val="12"/>
        <rFont val="新細明體"/>
        <family val="1"/>
        <charset val="136"/>
      </rPr>
      <t>透過損益按公允價值衡量之金融商品增〈減〉</t>
    </r>
    <r>
      <rPr>
        <sz val="12"/>
        <rFont val="Calibri"/>
        <family val="2"/>
      </rPr>
      <t>CFF</t>
    </r>
  </si>
  <si>
    <r>
      <rPr>
        <sz val="12"/>
        <rFont val="新細明體"/>
        <family val="1"/>
        <charset val="136"/>
      </rPr>
      <t>避險之衍生金融商品增減─</t>
    </r>
    <r>
      <rPr>
        <sz val="12"/>
        <rFont val="Calibri"/>
        <family val="2"/>
      </rPr>
      <t>CFF</t>
    </r>
  </si>
  <si>
    <r>
      <rPr>
        <sz val="12"/>
        <rFont val="新細明體"/>
        <family val="1"/>
        <charset val="136"/>
      </rPr>
      <t>其他金融負債增〈減〉</t>
    </r>
    <r>
      <rPr>
        <sz val="12"/>
        <rFont val="Calibri"/>
        <family val="2"/>
      </rPr>
      <t>CFF</t>
    </r>
  </si>
  <si>
    <r>
      <rPr>
        <sz val="12"/>
        <rFont val="新細明體"/>
        <family val="1"/>
        <charset val="136"/>
      </rPr>
      <t>非控制權益增〈減〉</t>
    </r>
  </si>
  <si>
    <r>
      <rPr>
        <sz val="12"/>
        <rFont val="新細明體"/>
        <family val="1"/>
        <charset val="136"/>
      </rPr>
      <t>取得子公司股權</t>
    </r>
    <r>
      <rPr>
        <sz val="12"/>
        <rFont val="Calibri"/>
        <family val="2"/>
      </rPr>
      <t>CFF</t>
    </r>
  </si>
  <si>
    <r>
      <rPr>
        <sz val="12"/>
        <rFont val="新細明體"/>
        <family val="1"/>
        <charset val="136"/>
      </rPr>
      <t>處分子公司現金流出</t>
    </r>
    <r>
      <rPr>
        <sz val="12"/>
        <rFont val="Calibri"/>
        <family val="2"/>
      </rPr>
      <t>CFF</t>
    </r>
  </si>
  <si>
    <r>
      <rPr>
        <sz val="12"/>
        <rFont val="新細明體"/>
        <family val="1"/>
        <charset val="136"/>
      </rPr>
      <t>處分子公司股權</t>
    </r>
    <r>
      <rPr>
        <sz val="12"/>
        <rFont val="Calibri"/>
        <family val="2"/>
      </rPr>
      <t>CFF</t>
    </r>
  </si>
  <si>
    <r>
      <rPr>
        <sz val="12"/>
        <rFont val="新細明體"/>
        <family val="1"/>
        <charset val="136"/>
      </rPr>
      <t>支付利息</t>
    </r>
    <r>
      <rPr>
        <sz val="12"/>
        <rFont val="Calibri"/>
        <family val="2"/>
      </rPr>
      <t>CFF</t>
    </r>
  </si>
  <si>
    <r>
      <rPr>
        <sz val="12"/>
        <rFont val="新細明體"/>
        <family val="1"/>
        <charset val="136"/>
      </rPr>
      <t>退還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支付</t>
    </r>
    <r>
      <rPr>
        <sz val="12"/>
        <rFont val="Calibri"/>
        <family val="2"/>
      </rPr>
      <t>)</t>
    </r>
    <r>
      <rPr>
        <sz val="12"/>
        <rFont val="新細明體"/>
        <family val="1"/>
        <charset val="136"/>
      </rPr>
      <t>所得稅</t>
    </r>
    <r>
      <rPr>
        <sz val="12"/>
        <rFont val="Calibri"/>
        <family val="2"/>
      </rPr>
      <t>CFF</t>
    </r>
  </si>
  <si>
    <r>
      <t>CFF</t>
    </r>
    <r>
      <rPr>
        <sz val="12"/>
        <rFont val="新細明體"/>
        <family val="1"/>
        <charset val="136"/>
      </rPr>
      <t>─調整項</t>
    </r>
    <r>
      <rPr>
        <sz val="12"/>
        <rFont val="Calibri"/>
        <family val="2"/>
      </rPr>
      <t>(</t>
    </r>
    <r>
      <rPr>
        <sz val="12"/>
        <rFont val="新細明體"/>
        <family val="1"/>
        <charset val="136"/>
      </rPr>
      <t>出貨</t>
    </r>
    <r>
      <rPr>
        <sz val="12"/>
        <rFont val="Calibri"/>
        <family val="2"/>
      </rPr>
      <t>)</t>
    </r>
  </si>
  <si>
    <r>
      <rPr>
        <sz val="12"/>
        <rFont val="新細明體"/>
        <family val="1"/>
        <charset val="136"/>
      </rPr>
      <t>籌資活動之現金流量</t>
    </r>
  </si>
  <si>
    <r>
      <rPr>
        <sz val="12"/>
        <rFont val="新細明體"/>
        <family val="1"/>
        <charset val="136"/>
      </rPr>
      <t>匯率影響數</t>
    </r>
  </si>
  <si>
    <r>
      <rPr>
        <sz val="12"/>
        <rFont val="新細明體"/>
        <family val="1"/>
        <charset val="136"/>
      </rPr>
      <t>本期產生現金流量</t>
    </r>
  </si>
  <si>
    <r>
      <rPr>
        <sz val="12"/>
        <rFont val="新細明體"/>
        <family val="1"/>
        <charset val="136"/>
      </rPr>
      <t>期初現金及約當現金</t>
    </r>
  </si>
  <si>
    <r>
      <rPr>
        <sz val="12"/>
        <rFont val="新細明體"/>
        <family val="1"/>
        <charset val="136"/>
      </rPr>
      <t>期末現金及約當現金</t>
    </r>
  </si>
  <si>
    <r>
      <rPr>
        <sz val="12"/>
        <rFont val="新細明體"/>
        <family val="1"/>
        <charset val="136"/>
      </rPr>
      <t>資產負債表帳列現金</t>
    </r>
  </si>
  <si>
    <r>
      <rPr>
        <sz val="12"/>
        <rFont val="新細明體"/>
        <family val="1"/>
        <charset val="136"/>
      </rPr>
      <t>其他符合國際會計準則第七號現金及約當現金定義之項目</t>
    </r>
  </si>
  <si>
    <r>
      <rPr>
        <sz val="12"/>
        <rFont val="新細明體"/>
        <family val="1"/>
        <charset val="136"/>
      </rPr>
      <t>生物資產流動</t>
    </r>
    <phoneticPr fontId="2" type="noConversion"/>
  </si>
  <si>
    <r>
      <t>Additional paid in capital</t>
    </r>
    <r>
      <rPr>
        <sz val="12"/>
        <rFont val="新細明體"/>
        <family val="1"/>
        <charset val="136"/>
      </rPr>
      <t>─受贈資產</t>
    </r>
    <phoneticPr fontId="2" type="noConversion"/>
  </si>
  <si>
    <r>
      <rPr>
        <sz val="12"/>
        <rFont val="新細明體"/>
        <family val="1"/>
        <charset val="136"/>
      </rPr>
      <t>共同控制下前手權益</t>
    </r>
    <phoneticPr fontId="2" type="noConversion"/>
  </si>
  <si>
    <r>
      <rPr>
        <sz val="12"/>
        <rFont val="新細明體"/>
        <family val="1"/>
        <charset val="136"/>
      </rPr>
      <t>廉價購買收益</t>
    </r>
    <phoneticPr fontId="2" type="noConversion"/>
  </si>
  <si>
    <t xml:space="preserve"> </t>
    <phoneticPr fontId="8" type="noConversion"/>
  </si>
  <si>
    <t>Balance Sheet</t>
    <phoneticPr fontId="8" type="noConversion"/>
  </si>
  <si>
    <t>Other Receivables</t>
    <phoneticPr fontId="2" type="noConversion"/>
  </si>
  <si>
    <t>PPE</t>
    <phoneticPr fontId="2" type="noConversion"/>
  </si>
  <si>
    <t>DTA</t>
    <phoneticPr fontId="2" type="noConversion"/>
  </si>
  <si>
    <t>ITG</t>
    <phoneticPr fontId="2" type="noConversion"/>
  </si>
  <si>
    <t>ACC</t>
    <phoneticPr fontId="2" type="noConversion"/>
  </si>
  <si>
    <t>CTL</t>
    <phoneticPr fontId="2" type="noConversion"/>
  </si>
  <si>
    <t>ADV</t>
    <phoneticPr fontId="2" type="noConversion"/>
  </si>
  <si>
    <t>DVP</t>
    <phoneticPr fontId="2" type="noConversion"/>
  </si>
  <si>
    <t>CPL</t>
    <phoneticPr fontId="2" type="noConversion"/>
  </si>
  <si>
    <t>DTL</t>
    <phoneticPr fontId="2" type="noConversion"/>
  </si>
  <si>
    <t>PRF</t>
    <phoneticPr fontId="2" type="noConversion"/>
  </si>
  <si>
    <t>SHC</t>
    <phoneticPr fontId="2" type="noConversion"/>
  </si>
  <si>
    <t>APC</t>
    <phoneticPr fontId="2" type="noConversion"/>
  </si>
  <si>
    <t>RES</t>
    <phoneticPr fontId="2" type="noConversion"/>
  </si>
  <si>
    <t>Reserves</t>
    <phoneticPr fontId="2" type="noConversion"/>
  </si>
  <si>
    <t>RET</t>
    <phoneticPr fontId="2" type="noConversion"/>
  </si>
  <si>
    <t>Other Equity</t>
    <phoneticPr fontId="2" type="noConversion"/>
  </si>
  <si>
    <t>Historic</t>
    <phoneticPr fontId="2" type="noConversion"/>
  </si>
  <si>
    <t>Sponsor base</t>
    <phoneticPr fontId="2" type="noConversion"/>
  </si>
  <si>
    <t>Sponsor worse</t>
    <phoneticPr fontId="2" type="noConversion"/>
  </si>
  <si>
    <t>Bank case</t>
    <phoneticPr fontId="2" type="noConversion"/>
  </si>
  <si>
    <t>Bank worse</t>
    <phoneticPr fontId="2" type="noConversion"/>
  </si>
  <si>
    <t>Historic/ Active</t>
    <phoneticPr fontId="2" type="noConversion"/>
  </si>
  <si>
    <t>% revenue</t>
    <phoneticPr fontId="2" type="noConversion"/>
  </si>
  <si>
    <t>SG&amp;A</t>
    <phoneticPr fontId="2" type="noConversion"/>
  </si>
  <si>
    <t>Operating expenses</t>
    <phoneticPr fontId="2" type="noConversion"/>
  </si>
  <si>
    <t>SAL</t>
    <phoneticPr fontId="2" type="noConversion"/>
  </si>
  <si>
    <t>Sales expenses</t>
    <phoneticPr fontId="2" type="noConversion"/>
  </si>
  <si>
    <t>Management expenses</t>
    <phoneticPr fontId="2" type="noConversion"/>
  </si>
  <si>
    <t>RND</t>
    <phoneticPr fontId="2" type="noConversion"/>
  </si>
  <si>
    <t>R&amp;D expenses</t>
    <phoneticPr fontId="2" type="noConversion"/>
  </si>
  <si>
    <t>Other expenses</t>
    <phoneticPr fontId="2" type="noConversion"/>
  </si>
  <si>
    <t>Other income and expenses</t>
    <phoneticPr fontId="2" type="noConversion"/>
  </si>
  <si>
    <t>Operating profit</t>
    <phoneticPr fontId="2" type="noConversion"/>
  </si>
  <si>
    <t>INR</t>
    <phoneticPr fontId="2" type="noConversion"/>
  </si>
  <si>
    <t>Interest received</t>
    <phoneticPr fontId="2" type="noConversion"/>
  </si>
  <si>
    <t>Rental income</t>
    <phoneticPr fontId="2" type="noConversion"/>
  </si>
  <si>
    <t>Remuneration</t>
    <phoneticPr fontId="2" type="noConversion"/>
  </si>
  <si>
    <t>DIR</t>
    <phoneticPr fontId="2" type="noConversion"/>
  </si>
  <si>
    <t>Dividend received</t>
    <phoneticPr fontId="2" type="noConversion"/>
  </si>
  <si>
    <t>Breach of contract income</t>
    <phoneticPr fontId="2" type="noConversion"/>
  </si>
  <si>
    <t>Receipt from impaired debtors</t>
    <phoneticPr fontId="2" type="noConversion"/>
  </si>
  <si>
    <t>Interest received from overdue debtors</t>
    <phoneticPr fontId="2" type="noConversion"/>
  </si>
  <si>
    <t>Subsidy received</t>
    <phoneticPr fontId="2" type="noConversion"/>
  </si>
  <si>
    <t>Other income - other</t>
    <phoneticPr fontId="2" type="noConversion"/>
  </si>
  <si>
    <t>Total other income</t>
    <phoneticPr fontId="2" type="noConversion"/>
  </si>
  <si>
    <t>OGA</t>
    <phoneticPr fontId="2" type="noConversion"/>
  </si>
  <si>
    <t>Income from disposal of real estate and equipment</t>
    <phoneticPr fontId="2" type="noConversion"/>
  </si>
  <si>
    <t>Income from disposal of investments</t>
    <phoneticPr fontId="2" type="noConversion"/>
  </si>
  <si>
    <t>Currency conversion gain (loss)</t>
    <phoneticPr fontId="2" type="noConversion"/>
  </si>
  <si>
    <t>Realised gains (losses) on financial assets</t>
    <phoneticPr fontId="2" type="noConversion"/>
  </si>
  <si>
    <t>Revaluation gains (losses)</t>
    <phoneticPr fontId="2" type="noConversion"/>
  </si>
  <si>
    <t>Reversal of impairment loss on financial assets</t>
    <phoneticPr fontId="2" type="noConversion"/>
  </si>
  <si>
    <t>Reversal of impairment loss on assets</t>
    <phoneticPr fontId="2" type="noConversion"/>
  </si>
  <si>
    <t>Reversal of impairment loss on fixed assets</t>
    <phoneticPr fontId="2" type="noConversion"/>
  </si>
  <si>
    <t>Reversal of impairment loss on intangible assets</t>
    <phoneticPr fontId="2" type="noConversion"/>
  </si>
  <si>
    <t>Other reversal of loss on assets</t>
    <phoneticPr fontId="2" type="noConversion"/>
  </si>
  <si>
    <t>Compensation income</t>
    <phoneticPr fontId="2" type="noConversion"/>
  </si>
  <si>
    <t>Result on share buybacks</t>
    <phoneticPr fontId="2" type="noConversion"/>
  </si>
  <si>
    <t>OLO</t>
    <phoneticPr fontId="2" type="noConversion"/>
  </si>
  <si>
    <t>Downtime losses</t>
    <phoneticPr fontId="2" type="noConversion"/>
  </si>
  <si>
    <t>Contract losses</t>
    <phoneticPr fontId="2" type="noConversion"/>
  </si>
  <si>
    <t>Compensation losses</t>
    <phoneticPr fontId="2" type="noConversion"/>
  </si>
  <si>
    <t>Loss on disposal of fixed assets</t>
    <phoneticPr fontId="2" type="noConversion"/>
  </si>
  <si>
    <t>Loss on disposal of investments</t>
    <phoneticPr fontId="2" type="noConversion"/>
  </si>
  <si>
    <t>Currency conversion loss</t>
    <phoneticPr fontId="2" type="noConversion"/>
  </si>
  <si>
    <t>Valuation loss on publicly traded financial assets</t>
    <phoneticPr fontId="2" type="noConversion"/>
  </si>
  <si>
    <t>Valuation losses</t>
    <phoneticPr fontId="2" type="noConversion"/>
  </si>
  <si>
    <t>Valuation loss on financial assets</t>
    <phoneticPr fontId="2" type="noConversion"/>
  </si>
  <si>
    <t>Impairment losses</t>
    <phoneticPr fontId="2" type="noConversion"/>
  </si>
  <si>
    <t>Impairment loss on fixed assets</t>
    <phoneticPr fontId="2" type="noConversion"/>
  </si>
  <si>
    <t>Impairment loss on intangible assets</t>
    <phoneticPr fontId="2" type="noConversion"/>
  </si>
  <si>
    <t>Other impairment losses</t>
    <phoneticPr fontId="2" type="noConversion"/>
  </si>
  <si>
    <t>Loss on repurchase of issued bonds</t>
    <phoneticPr fontId="2" type="noConversion"/>
  </si>
  <si>
    <t>Other gains and losses - other</t>
    <phoneticPr fontId="2" type="noConversion"/>
  </si>
  <si>
    <t>Other gains and losses</t>
    <phoneticPr fontId="2" type="noConversion"/>
  </si>
  <si>
    <t>Interest expenses</t>
    <phoneticPr fontId="2" type="noConversion"/>
  </si>
  <si>
    <t>Interest on preferred equity with debt characteristics</t>
    <phoneticPr fontId="2" type="noConversion"/>
  </si>
  <si>
    <t>Financial costs - other</t>
    <phoneticPr fontId="2" type="noConversion"/>
  </si>
  <si>
    <t>Financial costs</t>
    <phoneticPr fontId="2" type="noConversion"/>
  </si>
  <si>
    <t>Gains on investments - equity method</t>
    <phoneticPr fontId="2" type="noConversion"/>
  </si>
  <si>
    <t>Loss on investments - equity method</t>
    <phoneticPr fontId="2" type="noConversion"/>
  </si>
  <si>
    <t>Result on investments - equity method</t>
    <phoneticPr fontId="2" type="noConversion"/>
  </si>
  <si>
    <t>Other non-operating income or losses - other</t>
    <phoneticPr fontId="2" type="noConversion"/>
  </si>
  <si>
    <t>Non-operating income/losses</t>
    <phoneticPr fontId="2" type="noConversion"/>
  </si>
  <si>
    <t>Earning Before Tax</t>
    <phoneticPr fontId="2" type="noConversion"/>
  </si>
  <si>
    <t>TAX</t>
    <phoneticPr fontId="2" type="noConversion"/>
  </si>
  <si>
    <t>Income tax</t>
    <phoneticPr fontId="2" type="noConversion"/>
  </si>
  <si>
    <t>Net income from continuing operations</t>
    <phoneticPr fontId="2" type="noConversion"/>
  </si>
  <si>
    <t>Result from non continuing operations</t>
    <phoneticPr fontId="2" type="noConversion"/>
  </si>
  <si>
    <t>RMI</t>
    <phoneticPr fontId="2" type="noConversion"/>
  </si>
  <si>
    <t>Result attributable to minority shareholders</t>
    <phoneticPr fontId="2" type="noConversion"/>
  </si>
  <si>
    <t>Net Income</t>
    <phoneticPr fontId="2" type="noConversion"/>
  </si>
  <si>
    <t>DEP</t>
    <phoneticPr fontId="2" type="noConversion"/>
  </si>
  <si>
    <t>AMO</t>
    <phoneticPr fontId="2" type="noConversion"/>
  </si>
  <si>
    <t>- Tax</t>
    <phoneticPr fontId="3" type="noConversion"/>
  </si>
  <si>
    <t>Operating Cashflow</t>
    <phoneticPr fontId="3" type="noConversion"/>
  </si>
  <si>
    <t>Investing Cashflow</t>
    <phoneticPr fontId="3" type="noConversion"/>
  </si>
  <si>
    <t>- Cash Sweep</t>
    <phoneticPr fontId="3" type="noConversion"/>
  </si>
  <si>
    <t>- Dividend</t>
    <phoneticPr fontId="4" type="noConversion"/>
  </si>
  <si>
    <t>Financing Cashflow</t>
    <phoneticPr fontId="3" type="noConversion"/>
  </si>
  <si>
    <t>Beginning Cash</t>
    <phoneticPr fontId="3" type="noConversion"/>
  </si>
  <si>
    <t>EBITDA</t>
    <phoneticPr fontId="2" type="noConversion"/>
  </si>
  <si>
    <t>- Tax</t>
    <phoneticPr fontId="2" type="noConversion"/>
  </si>
  <si>
    <t>Historical trigger</t>
    <phoneticPr fontId="2" type="noConversion"/>
  </si>
  <si>
    <t>Stub trigger</t>
    <phoneticPr fontId="2" type="noConversion"/>
  </si>
  <si>
    <t>Acquisition trigger</t>
    <phoneticPr fontId="2" type="noConversion"/>
  </si>
  <si>
    <t>Acquisition date</t>
    <phoneticPr fontId="2" type="noConversion"/>
  </si>
  <si>
    <t>Year</t>
    <phoneticPr fontId="2" type="noConversion"/>
  </si>
  <si>
    <t>Stub  date</t>
    <phoneticPr fontId="2" type="noConversion"/>
  </si>
  <si>
    <t>Period</t>
    <phoneticPr fontId="2" type="noConversion"/>
  </si>
  <si>
    <t>Historical years</t>
    <phoneticPr fontId="2" type="noConversion"/>
  </si>
  <si>
    <t>Projection trigger</t>
    <phoneticPr fontId="2" type="noConversion"/>
  </si>
  <si>
    <t>Days in period</t>
    <phoneticPr fontId="2" type="noConversion"/>
  </si>
  <si>
    <t>Assets</t>
    <phoneticPr fontId="2" type="noConversion"/>
  </si>
  <si>
    <t>BU1</t>
    <phoneticPr fontId="2" type="noConversion"/>
  </si>
  <si>
    <t>Last closing balance</t>
    <phoneticPr fontId="2" type="noConversion"/>
  </si>
  <si>
    <t>After acquisition</t>
    <phoneticPr fontId="2" type="noConversion"/>
  </si>
  <si>
    <t>Adjustments</t>
    <phoneticPr fontId="2" type="noConversion"/>
  </si>
  <si>
    <t>check</t>
    <phoneticPr fontId="2" type="noConversion"/>
  </si>
  <si>
    <t>FLO</t>
    <phoneticPr fontId="2" type="noConversion"/>
  </si>
  <si>
    <t>Opening Cash</t>
    <phoneticPr fontId="2" type="noConversion"/>
  </si>
  <si>
    <t>Closing Cash</t>
    <phoneticPr fontId="2" type="noConversion"/>
  </si>
  <si>
    <t>Projection years</t>
    <phoneticPr fontId="2" type="noConversion"/>
  </si>
  <si>
    <t>Consolidated operating projection</t>
    <phoneticPr fontId="2" type="noConversion"/>
  </si>
  <si>
    <t>BU2</t>
    <phoneticPr fontId="2" type="noConversion"/>
  </si>
  <si>
    <t>Holdco</t>
    <phoneticPr fontId="2" type="noConversion"/>
  </si>
  <si>
    <t>Withholding tax BU1</t>
    <phoneticPr fontId="2" type="noConversion"/>
  </si>
  <si>
    <t>Withholding tax BU2</t>
    <phoneticPr fontId="2" type="noConversion"/>
  </si>
  <si>
    <t>Withholding tax other</t>
    <phoneticPr fontId="2" type="noConversion"/>
  </si>
  <si>
    <t>Historical</t>
    <phoneticPr fontId="2" type="noConversion"/>
  </si>
  <si>
    <t>Tax calculated on consolidated level (on BU level)</t>
    <phoneticPr fontId="2" type="noConversion"/>
  </si>
  <si>
    <t>Business Unit EBITDA</t>
    <phoneticPr fontId="2" type="noConversion"/>
  </si>
  <si>
    <t>- SG&amp;A Holding</t>
    <phoneticPr fontId="2" type="noConversion"/>
  </si>
  <si>
    <t>- Withholding tax paid</t>
    <phoneticPr fontId="2" type="noConversion"/>
  </si>
  <si>
    <t>Cash flow distribution Stub year</t>
    <phoneticPr fontId="2" type="noConversion"/>
  </si>
  <si>
    <t>Cash flow distribution projection</t>
    <phoneticPr fontId="2" type="noConversion"/>
  </si>
  <si>
    <t>Date</t>
    <phoneticPr fontId="2" type="noConversion"/>
  </si>
  <si>
    <t>Part of stub year</t>
    <phoneticPr fontId="2" type="noConversion"/>
  </si>
  <si>
    <t>Seasonality factor</t>
    <phoneticPr fontId="2" type="noConversion"/>
  </si>
  <si>
    <t>Quarterly operating cash flow</t>
    <phoneticPr fontId="2" type="noConversion"/>
  </si>
  <si>
    <t>Free cash flow</t>
    <phoneticPr fontId="2" type="noConversion"/>
  </si>
  <si>
    <t>+ Beginning Cash</t>
    <phoneticPr fontId="2" type="noConversion"/>
  </si>
  <si>
    <t>+ drawdown</t>
    <phoneticPr fontId="2" type="noConversion"/>
  </si>
  <si>
    <t>+ interest expense</t>
    <phoneticPr fontId="2" type="noConversion"/>
  </si>
  <si>
    <t>- scheduled repayment</t>
    <phoneticPr fontId="2" type="noConversion"/>
  </si>
  <si>
    <t>- cash sweep</t>
    <phoneticPr fontId="2" type="noConversion"/>
  </si>
  <si>
    <t>- interest paid</t>
    <phoneticPr fontId="2" type="noConversion"/>
  </si>
  <si>
    <t>Opening balance</t>
    <phoneticPr fontId="2" type="noConversion"/>
  </si>
  <si>
    <t>Closing balance</t>
    <phoneticPr fontId="2" type="noConversion"/>
  </si>
  <si>
    <t>+ drawdown/ repayment</t>
    <phoneticPr fontId="2" type="noConversion"/>
  </si>
  <si>
    <t>- cash sweep adjustment on repayment</t>
    <phoneticPr fontId="2" type="noConversion"/>
  </si>
  <si>
    <t>Ending cash</t>
    <phoneticPr fontId="2" type="noConversion"/>
  </si>
  <si>
    <t>Dividend</t>
    <phoneticPr fontId="2" type="noConversion"/>
  </si>
  <si>
    <t>Senior loan A</t>
    <phoneticPr fontId="2" type="noConversion"/>
  </si>
  <si>
    <t>Senior loan B</t>
    <phoneticPr fontId="2" type="noConversion"/>
  </si>
  <si>
    <t>Senior loan C</t>
    <phoneticPr fontId="2" type="noConversion"/>
  </si>
  <si>
    <t>interest %</t>
    <phoneticPr fontId="2" type="noConversion"/>
  </si>
  <si>
    <t>PIK interest</t>
    <phoneticPr fontId="2" type="noConversion"/>
  </si>
  <si>
    <t>cash interest%</t>
    <phoneticPr fontId="2" type="noConversion"/>
  </si>
  <si>
    <t>Senior Loan A Assumptions</t>
    <phoneticPr fontId="2" type="noConversion"/>
  </si>
  <si>
    <t>years</t>
    <phoneticPr fontId="2" type="noConversion"/>
  </si>
  <si>
    <t>Senior Loan B Assumptions</t>
    <phoneticPr fontId="2" type="noConversion"/>
  </si>
  <si>
    <t>Senior Loan C Assumptions</t>
    <phoneticPr fontId="2" type="noConversion"/>
  </si>
  <si>
    <t>Junior loan</t>
    <phoneticPr fontId="2" type="noConversion"/>
  </si>
  <si>
    <t>+ default</t>
    <phoneticPr fontId="2" type="noConversion"/>
  </si>
  <si>
    <t>Cash available for senior debt service</t>
    <phoneticPr fontId="2" type="noConversion"/>
  </si>
  <si>
    <t>Cash available for junior debt service</t>
    <phoneticPr fontId="2" type="noConversion"/>
  </si>
  <si>
    <t>Cash flow senior loan C</t>
    <phoneticPr fontId="2" type="noConversion"/>
  </si>
  <si>
    <t>Cash flow senior loan B</t>
    <phoneticPr fontId="2" type="noConversion"/>
  </si>
  <si>
    <t>Junior Loan A Assumptions</t>
    <phoneticPr fontId="2" type="noConversion"/>
  </si>
  <si>
    <t>Cash flow before RCF</t>
    <phoneticPr fontId="2" type="noConversion"/>
  </si>
  <si>
    <t>Effective tax rate</t>
    <phoneticPr fontId="2" type="noConversion"/>
  </si>
  <si>
    <t>Tax shield interest</t>
    <phoneticPr fontId="2" type="noConversion"/>
  </si>
  <si>
    <t>commitment fee</t>
    <phoneticPr fontId="2" type="noConversion"/>
  </si>
  <si>
    <t>Commitment fee</t>
    <phoneticPr fontId="3" type="noConversion"/>
  </si>
  <si>
    <t>Opening undrawn amount</t>
    <phoneticPr fontId="2" type="noConversion"/>
  </si>
  <si>
    <t>Tax shield toggle</t>
    <phoneticPr fontId="2" type="noConversion"/>
  </si>
  <si>
    <t>ETR for tax shield</t>
    <phoneticPr fontId="2" type="noConversion"/>
  </si>
  <si>
    <t>Senior Debt</t>
    <phoneticPr fontId="2" type="noConversion"/>
  </si>
  <si>
    <t>Junior Debt</t>
    <phoneticPr fontId="2" type="noConversion"/>
  </si>
  <si>
    <t>Total Debt</t>
    <phoneticPr fontId="2" type="noConversion"/>
  </si>
  <si>
    <t>Senior Net leverage</t>
    <phoneticPr fontId="2" type="noConversion"/>
  </si>
  <si>
    <t>Covenant</t>
    <phoneticPr fontId="2" type="noConversion"/>
  </si>
  <si>
    <t>Headroom</t>
    <phoneticPr fontId="2" type="noConversion"/>
  </si>
  <si>
    <t>Senior Gross leverage</t>
    <phoneticPr fontId="2" type="noConversion"/>
  </si>
  <si>
    <t>Total Gross leverage</t>
    <phoneticPr fontId="2" type="noConversion"/>
  </si>
  <si>
    <t>Total Net Leverage</t>
    <phoneticPr fontId="2" type="noConversion"/>
  </si>
  <si>
    <t>Operating Cash Flow</t>
    <phoneticPr fontId="2" type="noConversion"/>
  </si>
  <si>
    <t>EBITDA</t>
  </si>
  <si>
    <t>Senior interest</t>
    <phoneticPr fontId="2" type="noConversion"/>
  </si>
  <si>
    <t>Total interest</t>
    <phoneticPr fontId="2" type="noConversion"/>
  </si>
  <si>
    <t>Senior loan amortization</t>
    <phoneticPr fontId="2" type="noConversion"/>
  </si>
  <si>
    <t>Junior loan amortization</t>
    <phoneticPr fontId="2" type="noConversion"/>
  </si>
  <si>
    <t>CAPEX</t>
    <phoneticPr fontId="2" type="noConversion"/>
  </si>
  <si>
    <t>Senior ICR</t>
    <phoneticPr fontId="2" type="noConversion"/>
  </si>
  <si>
    <t>Total ICR</t>
    <phoneticPr fontId="2" type="noConversion"/>
  </si>
  <si>
    <t>Senior DSCR</t>
    <phoneticPr fontId="2" type="noConversion"/>
  </si>
  <si>
    <t>Total DSCR</t>
    <phoneticPr fontId="2" type="noConversion"/>
  </si>
  <si>
    <t>Capex</t>
    <phoneticPr fontId="2" type="noConversion"/>
  </si>
  <si>
    <t>Free Cash Flow</t>
  </si>
  <si>
    <t>Free Cash Flow</t>
    <phoneticPr fontId="2" type="noConversion"/>
  </si>
  <si>
    <t>Covenant parameters</t>
    <phoneticPr fontId="2" type="noConversion"/>
  </si>
  <si>
    <t>Covenants tested on … quarters</t>
    <phoneticPr fontId="2" type="noConversion"/>
  </si>
  <si>
    <t>First covenant test</t>
    <phoneticPr fontId="2" type="noConversion"/>
  </si>
  <si>
    <t>Senior DSCR incl. opening cash</t>
    <phoneticPr fontId="2" type="noConversion"/>
  </si>
  <si>
    <t>Total DSCR incl opening cash</t>
    <phoneticPr fontId="2" type="noConversion"/>
  </si>
  <si>
    <t>Opening cash</t>
    <phoneticPr fontId="2" type="noConversion"/>
  </si>
  <si>
    <t>% to Senior Loan A</t>
    <phoneticPr fontId="2" type="noConversion"/>
  </si>
  <si>
    <t>% to Senior Loan B</t>
    <phoneticPr fontId="2" type="noConversion"/>
  </si>
  <si>
    <t>% to Senior Loan C</t>
    <phoneticPr fontId="2" type="noConversion"/>
  </si>
  <si>
    <t>% to Junior Loan A</t>
    <phoneticPr fontId="2" type="noConversion"/>
  </si>
  <si>
    <t>Cash sweep trigger</t>
    <phoneticPr fontId="2" type="noConversion"/>
  </si>
  <si>
    <t xml:space="preserve">TLB Margin </t>
    <phoneticPr fontId="2" type="noConversion"/>
  </si>
  <si>
    <t xml:space="preserve">TLC Margin </t>
    <phoneticPr fontId="2" type="noConversion"/>
  </si>
  <si>
    <t xml:space="preserve">JLA Margin </t>
    <phoneticPr fontId="2" type="noConversion"/>
  </si>
  <si>
    <t xml:space="preserve">RCF Margin </t>
    <phoneticPr fontId="2" type="noConversion"/>
  </si>
  <si>
    <t>Interest &amp; Repayment</t>
    <phoneticPr fontId="2" type="noConversion"/>
  </si>
  <si>
    <t>Repayment</t>
    <phoneticPr fontId="2" type="noConversion"/>
  </si>
  <si>
    <t>Repayment %</t>
    <phoneticPr fontId="2" type="noConversion"/>
  </si>
  <si>
    <t>Multiple</t>
    <phoneticPr fontId="2" type="noConversion"/>
  </si>
  <si>
    <t>Applicable interest</t>
    <phoneticPr fontId="2" type="noConversion"/>
  </si>
  <si>
    <t>Fixed/ variable interest</t>
    <phoneticPr fontId="2" type="noConversion"/>
  </si>
  <si>
    <t>Variable</t>
  </si>
  <si>
    <t>Cash sweep basis</t>
    <phoneticPr fontId="2" type="noConversion"/>
  </si>
  <si>
    <t>Sweep % age</t>
    <phoneticPr fontId="2" type="noConversion"/>
  </si>
  <si>
    <t>Dividend payout</t>
    <phoneticPr fontId="2" type="noConversion"/>
  </si>
  <si>
    <t>+ Dividends/ loan repayments received</t>
    <phoneticPr fontId="2" type="noConversion"/>
  </si>
  <si>
    <t>+Increase in provisions</t>
    <phoneticPr fontId="2" type="noConversion"/>
  </si>
  <si>
    <t>- CAPEX</t>
    <phoneticPr fontId="2" type="noConversion"/>
  </si>
  <si>
    <t>+ decrease (- increase) in Working Capital</t>
    <phoneticPr fontId="2" type="noConversion"/>
  </si>
  <si>
    <t>- Minimum cash balance</t>
    <phoneticPr fontId="2" type="noConversion"/>
  </si>
  <si>
    <t>Total cash sweep for period</t>
    <phoneticPr fontId="2" type="noConversion"/>
  </si>
  <si>
    <t>Minimum cash balance</t>
    <phoneticPr fontId="2" type="noConversion"/>
  </si>
  <si>
    <t>Cash sweep application</t>
    <phoneticPr fontId="2" type="noConversion"/>
  </si>
  <si>
    <t>Max cash sweep Senior Loan A</t>
    <phoneticPr fontId="2" type="noConversion"/>
  </si>
  <si>
    <t>Cash sweep applied</t>
    <phoneticPr fontId="2" type="noConversion"/>
  </si>
  <si>
    <t>Max cash sweep Senior Loan B</t>
    <phoneticPr fontId="2" type="noConversion"/>
  </si>
  <si>
    <t>Max cash sweep Senior Loan C</t>
    <phoneticPr fontId="2" type="noConversion"/>
  </si>
  <si>
    <t>Max cash sweep Junior Loan A</t>
    <phoneticPr fontId="2" type="noConversion"/>
  </si>
  <si>
    <t>Cash available for dividend</t>
    <phoneticPr fontId="2" type="noConversion"/>
  </si>
  <si>
    <t>Ending cash before dividend</t>
    <phoneticPr fontId="2" type="noConversion"/>
  </si>
  <si>
    <t>Total interest expense</t>
    <phoneticPr fontId="2" type="noConversion"/>
  </si>
  <si>
    <t>Total interest paid</t>
    <phoneticPr fontId="2" type="noConversion"/>
  </si>
  <si>
    <t>Total loan amortization</t>
    <phoneticPr fontId="2" type="noConversion"/>
  </si>
  <si>
    <t>Total cash sweep</t>
    <phoneticPr fontId="2" type="noConversion"/>
  </si>
  <si>
    <t>Total debt</t>
    <phoneticPr fontId="2" type="noConversion"/>
  </si>
  <si>
    <t>Total senior debt</t>
    <phoneticPr fontId="2" type="noConversion"/>
  </si>
  <si>
    <t>Total defaulted debt</t>
    <phoneticPr fontId="2" type="noConversion"/>
  </si>
  <si>
    <t>x</t>
  </si>
  <si>
    <t>Stub</t>
    <phoneticPr fontId="2" type="noConversion"/>
  </si>
  <si>
    <t>Acquisition</t>
    <phoneticPr fontId="2" type="noConversion"/>
  </si>
  <si>
    <t>Actual</t>
    <phoneticPr fontId="2" type="noConversion"/>
  </si>
  <si>
    <t>Forecast</t>
    <phoneticPr fontId="2" type="noConversion"/>
  </si>
  <si>
    <t>Consolidated</t>
    <phoneticPr fontId="2" type="noConversion"/>
  </si>
  <si>
    <t>Total LT debt</t>
    <phoneticPr fontId="2" type="noConversion"/>
  </si>
  <si>
    <t>Combination</t>
    <phoneticPr fontId="2" type="noConversion"/>
  </si>
  <si>
    <t>Interest on Cash</t>
    <phoneticPr fontId="2" type="noConversion"/>
  </si>
  <si>
    <t>Interest on cash</t>
    <phoneticPr fontId="2" type="noConversion"/>
  </si>
  <si>
    <t>BU1 operating EBITDA (local currency)</t>
    <phoneticPr fontId="2" type="noConversion"/>
  </si>
  <si>
    <t>Total drawdown</t>
    <phoneticPr fontId="2" type="noConversion"/>
  </si>
  <si>
    <t>- Repayment</t>
    <phoneticPr fontId="2" type="noConversion"/>
  </si>
  <si>
    <t>+other gains and losses</t>
    <phoneticPr fontId="2" type="noConversion"/>
  </si>
  <si>
    <t>+ acquisition adjustments</t>
    <phoneticPr fontId="2" type="noConversion"/>
  </si>
  <si>
    <t>Ending cash BS</t>
    <phoneticPr fontId="2" type="noConversion"/>
  </si>
  <si>
    <t>- Total Interest Expense</t>
    <phoneticPr fontId="2" type="noConversion"/>
  </si>
  <si>
    <t>+ defaulted debt payments</t>
    <phoneticPr fontId="2" type="noConversion"/>
  </si>
  <si>
    <t>Model currency</t>
    <phoneticPr fontId="2" type="noConversion"/>
  </si>
  <si>
    <t>CPLTD</t>
    <phoneticPr fontId="2" type="noConversion"/>
  </si>
  <si>
    <t>Short term borrowings</t>
    <phoneticPr fontId="2" type="noConversion"/>
  </si>
  <si>
    <t>Long Term Debt</t>
    <phoneticPr fontId="2" type="noConversion"/>
  </si>
  <si>
    <t>- Increase in other assets</t>
    <phoneticPr fontId="2" type="noConversion"/>
  </si>
  <si>
    <t>BU1 Currency conversion factor cashflow</t>
    <phoneticPr fontId="2" type="noConversion"/>
  </si>
  <si>
    <t>BU1 Currency conversion factor balance sheet</t>
    <phoneticPr fontId="2" type="noConversion"/>
  </si>
  <si>
    <t>Other gains and losses - other gains</t>
    <phoneticPr fontId="2" type="noConversion"/>
  </si>
  <si>
    <t>Cash on hand</t>
    <phoneticPr fontId="2" type="noConversion"/>
  </si>
  <si>
    <t>Opening use of RCF</t>
    <phoneticPr fontId="2" type="noConversion"/>
  </si>
  <si>
    <t>projection starting</t>
    <phoneticPr fontId="2" type="noConversion"/>
  </si>
  <si>
    <t>Senior Net leverage</t>
  </si>
  <si>
    <t>Senior Gross leverage</t>
  </si>
  <si>
    <t>- Loan repayments</t>
    <phoneticPr fontId="2" type="noConversion"/>
  </si>
  <si>
    <t>- Interest payments</t>
    <phoneticPr fontId="2" type="noConversion"/>
  </si>
  <si>
    <t>- Outstanding RC</t>
    <phoneticPr fontId="2" type="noConversion"/>
  </si>
  <si>
    <t>Other</t>
    <phoneticPr fontId="2" type="noConversion"/>
  </si>
  <si>
    <t>Project Name</t>
    <phoneticPr fontId="2" type="noConversion"/>
  </si>
  <si>
    <t>Active Scenario</t>
    <phoneticPr fontId="2" type="noConversion"/>
  </si>
  <si>
    <t>EBITDA</t>
    <phoneticPr fontId="3" type="noConversion"/>
  </si>
  <si>
    <t xml:space="preserve">  Margin %</t>
    <phoneticPr fontId="3" type="noConversion"/>
  </si>
  <si>
    <t>Projection starting:</t>
    <phoneticPr fontId="2" type="noConversion"/>
  </si>
  <si>
    <t>Active scenario</t>
    <phoneticPr fontId="2" type="noConversion"/>
  </si>
  <si>
    <t>Projection</t>
    <phoneticPr fontId="2" type="noConversion"/>
  </si>
  <si>
    <t>Currency conversion BU1</t>
    <phoneticPr fontId="2" type="noConversion"/>
  </si>
  <si>
    <t>Currency conversion BU2</t>
    <phoneticPr fontId="2" type="noConversion"/>
  </si>
  <si>
    <t>Currency conversion other</t>
    <phoneticPr fontId="2" type="noConversion"/>
  </si>
  <si>
    <t>YoY%</t>
    <phoneticPr fontId="3" type="noConversion"/>
  </si>
  <si>
    <t>As % of Revenue</t>
    <phoneticPr fontId="3" type="noConversion"/>
  </si>
  <si>
    <t>Sales expenses</t>
    <phoneticPr fontId="3" type="noConversion"/>
  </si>
  <si>
    <t>R&amp;D expenses</t>
    <phoneticPr fontId="3" type="noConversion"/>
  </si>
  <si>
    <t>Other income</t>
    <phoneticPr fontId="3" type="noConversion"/>
  </si>
  <si>
    <t>Correction for D&amp;A included in other expenses</t>
    <phoneticPr fontId="2" type="noConversion"/>
  </si>
  <si>
    <t>Margin %</t>
    <phoneticPr fontId="3" type="noConversion"/>
  </si>
  <si>
    <t>D&amp;A</t>
    <phoneticPr fontId="3" type="noConversion"/>
  </si>
  <si>
    <t>Other gains &amp; losses</t>
    <phoneticPr fontId="3" type="noConversion"/>
  </si>
  <si>
    <t>Net Interest Expenses</t>
    <phoneticPr fontId="3" type="noConversion"/>
  </si>
  <si>
    <t>EBT</t>
    <phoneticPr fontId="3" type="noConversion"/>
  </si>
  <si>
    <t>Tax</t>
    <phoneticPr fontId="3" type="noConversion"/>
  </si>
  <si>
    <t>Tax Rate %</t>
    <phoneticPr fontId="3" type="noConversion"/>
  </si>
  <si>
    <t>Tax shield new debt</t>
    <phoneticPr fontId="2" type="noConversion"/>
  </si>
  <si>
    <t>payout ratio%</t>
    <phoneticPr fontId="3" type="noConversion"/>
  </si>
  <si>
    <t>Cash and cash equivalents</t>
    <phoneticPr fontId="2" type="noConversion"/>
  </si>
  <si>
    <t>Model assumptions</t>
    <phoneticPr fontId="2" type="noConversion"/>
  </si>
  <si>
    <t>Currency</t>
    <phoneticPr fontId="2" type="noConversion"/>
  </si>
  <si>
    <t>Starting year historical</t>
    <phoneticPr fontId="2" type="noConversion"/>
  </si>
  <si>
    <t>Currency conversion rate BU2</t>
    <phoneticPr fontId="2" type="noConversion"/>
  </si>
  <si>
    <t>Currency conversion rate other</t>
    <phoneticPr fontId="2" type="noConversion"/>
  </si>
  <si>
    <t>Tax</t>
    <phoneticPr fontId="2" type="noConversion"/>
  </si>
  <si>
    <t>Stub date</t>
    <phoneticPr fontId="2" type="noConversion"/>
  </si>
  <si>
    <t>Projection starting</t>
    <phoneticPr fontId="2" type="noConversion"/>
  </si>
  <si>
    <t>Terminal year</t>
    <phoneticPr fontId="2" type="noConversion"/>
  </si>
  <si>
    <t>Accounting treatment</t>
    <phoneticPr fontId="2" type="noConversion"/>
  </si>
  <si>
    <t>Depreciation in other expenses</t>
    <phoneticPr fontId="2" type="noConversion"/>
  </si>
  <si>
    <t>Opening Spread</t>
    <phoneticPr fontId="3" type="noConversion"/>
  </si>
  <si>
    <t>Cash sweep on?</t>
    <phoneticPr fontId="3" type="noConversion"/>
  </si>
  <si>
    <t>Sweep %age</t>
    <phoneticPr fontId="3" type="noConversion"/>
  </si>
  <si>
    <t>Cash sweep applied to</t>
    <phoneticPr fontId="3" type="noConversion"/>
  </si>
  <si>
    <t>Cash sweep adjustment on repayments</t>
    <phoneticPr fontId="2" type="noConversion"/>
  </si>
  <si>
    <t>Sweep</t>
    <phoneticPr fontId="3" type="noConversion"/>
  </si>
  <si>
    <t>% to Senior Loan A</t>
    <phoneticPr fontId="3" type="noConversion"/>
  </si>
  <si>
    <t>Cash sweep starting</t>
    <phoneticPr fontId="3" type="noConversion"/>
  </si>
  <si>
    <t>% to Senior Loan B</t>
    <phoneticPr fontId="3" type="noConversion"/>
  </si>
  <si>
    <t>Cash sweep once per … quarters</t>
    <phoneticPr fontId="2" type="noConversion"/>
  </si>
  <si>
    <t>% to Senior Loan C</t>
    <phoneticPr fontId="3" type="noConversion"/>
  </si>
  <si>
    <t>Minimum cash balance</t>
    <phoneticPr fontId="2" type="noConversion"/>
  </si>
  <si>
    <t>% to Junior Loan A</t>
    <phoneticPr fontId="3" type="noConversion"/>
  </si>
  <si>
    <t>Dividend payout</t>
    <phoneticPr fontId="3" type="noConversion"/>
  </si>
  <si>
    <t>Dividend payout ratio</t>
    <phoneticPr fontId="3" type="noConversion"/>
  </si>
  <si>
    <t>CAGR '14-'16</t>
    <phoneticPr fontId="2" type="noConversion"/>
  </si>
  <si>
    <t>CAGR '17-'21</t>
    <phoneticPr fontId="2" type="noConversion"/>
  </si>
  <si>
    <t>% growth</t>
    <phoneticPr fontId="2" type="noConversion"/>
  </si>
  <si>
    <t>BU1 revenue (local currency)</t>
    <phoneticPr fontId="2" type="noConversion"/>
  </si>
  <si>
    <t>BU1 ASP</t>
    <phoneticPr fontId="2" type="noConversion"/>
  </si>
  <si>
    <t>BU1 volume</t>
    <phoneticPr fontId="2" type="noConversion"/>
  </si>
  <si>
    <t>BU1 COGS (local currency)</t>
    <phoneticPr fontId="2" type="noConversion"/>
  </si>
  <si>
    <t>BU1 SG&amp;A (local currency)</t>
    <phoneticPr fontId="2" type="noConversion"/>
  </si>
  <si>
    <t>BU1 Sales expenses (local currency)</t>
    <phoneticPr fontId="2" type="noConversion"/>
  </si>
  <si>
    <t>BU1 R&amp;D expenses (local currency)</t>
    <phoneticPr fontId="2" type="noConversion"/>
  </si>
  <si>
    <t>BU1 Other income (local currency)</t>
    <phoneticPr fontId="2" type="noConversion"/>
  </si>
  <si>
    <t>BU1 Assets &amp; Depreciation (local currency)</t>
    <phoneticPr fontId="2" type="noConversion"/>
  </si>
  <si>
    <t>BU1 Tangible fixed assets (local currency)</t>
    <phoneticPr fontId="2" type="noConversion"/>
  </si>
  <si>
    <t>BU1 Depreciation (local currency)</t>
    <phoneticPr fontId="2" type="noConversion"/>
  </si>
  <si>
    <t>% tangible fixed assets</t>
    <phoneticPr fontId="2" type="noConversion"/>
  </si>
  <si>
    <t>BU1 Capex tangible (local currency)</t>
    <phoneticPr fontId="2" type="noConversion"/>
  </si>
  <si>
    <t>BU1 Intangible assets (local currency)</t>
    <phoneticPr fontId="2" type="noConversion"/>
  </si>
  <si>
    <t>Historic/ Active</t>
    <phoneticPr fontId="2" type="noConversion"/>
  </si>
  <si>
    <t>BU1 Amortization (local currency)</t>
    <phoneticPr fontId="2" type="noConversion"/>
  </si>
  <si>
    <t>% intangibles</t>
    <phoneticPr fontId="2" type="noConversion"/>
  </si>
  <si>
    <t>BU1 Capex intangible (local currency)</t>
    <phoneticPr fontId="2" type="noConversion"/>
  </si>
  <si>
    <t>Tax</t>
    <phoneticPr fontId="2" type="noConversion"/>
  </si>
  <si>
    <t>BU1 Operating EBIT</t>
    <phoneticPr fontId="2" type="noConversion"/>
  </si>
  <si>
    <t xml:space="preserve">BU1 Historic EBT </t>
    <phoneticPr fontId="2" type="noConversion"/>
  </si>
  <si>
    <t>BU1 Tax rate</t>
    <phoneticPr fontId="2" type="noConversion"/>
  </si>
  <si>
    <t>Working Capital</t>
    <phoneticPr fontId="2" type="noConversion"/>
  </si>
  <si>
    <t>BU1 Accounts Receivable (local currency)</t>
    <phoneticPr fontId="2" type="noConversion"/>
  </si>
  <si>
    <t>days</t>
    <phoneticPr fontId="2" type="noConversion"/>
  </si>
  <si>
    <t>BU1 Accounts Payable (local currency)</t>
    <phoneticPr fontId="2" type="noConversion"/>
  </si>
  <si>
    <t>BU1 Inventories (local currency)</t>
    <phoneticPr fontId="2" type="noConversion"/>
  </si>
  <si>
    <t>BU1 Other current assets (local currency)</t>
    <phoneticPr fontId="2" type="noConversion"/>
  </si>
  <si>
    <t>BU1 Other current liabilities (local currency)</t>
    <phoneticPr fontId="2" type="noConversion"/>
  </si>
  <si>
    <t>BU1 Working capital (local currency)</t>
    <phoneticPr fontId="2" type="noConversion"/>
  </si>
  <si>
    <t>BU1 Change in working capital (local currency)</t>
    <phoneticPr fontId="2" type="noConversion"/>
  </si>
  <si>
    <t>Assets &amp; Depreciation</t>
    <phoneticPr fontId="2" type="noConversion"/>
  </si>
  <si>
    <t>Tangible fixed assets</t>
    <phoneticPr fontId="2" type="noConversion"/>
  </si>
  <si>
    <t>Depreciation</t>
    <phoneticPr fontId="2" type="noConversion"/>
  </si>
  <si>
    <t>Capex tangible</t>
    <phoneticPr fontId="2" type="noConversion"/>
  </si>
  <si>
    <t>Intangible assets</t>
    <phoneticPr fontId="2" type="noConversion"/>
  </si>
  <si>
    <t>Amortization</t>
    <phoneticPr fontId="2" type="noConversion"/>
  </si>
  <si>
    <t>Capex intangible</t>
    <phoneticPr fontId="2" type="noConversion"/>
  </si>
  <si>
    <t>Accounts Receivable</t>
    <phoneticPr fontId="2" type="noConversion"/>
  </si>
  <si>
    <t>Accounts Payable</t>
    <phoneticPr fontId="2" type="noConversion"/>
  </si>
  <si>
    <t>Inventory</t>
    <phoneticPr fontId="2" type="noConversion"/>
  </si>
  <si>
    <t>Working capital</t>
    <phoneticPr fontId="2" type="noConversion"/>
  </si>
  <si>
    <t>Change in working capital</t>
    <phoneticPr fontId="2" type="noConversion"/>
  </si>
  <si>
    <t>Consolidation adjustments</t>
    <phoneticPr fontId="2" type="noConversion"/>
  </si>
  <si>
    <t>Mezzanine facility</t>
    <phoneticPr fontId="3" type="noConversion"/>
  </si>
  <si>
    <t>Transaction expenses</t>
    <phoneticPr fontId="3" type="noConversion"/>
  </si>
  <si>
    <t>Input</t>
    <phoneticPr fontId="2" type="noConversion"/>
  </si>
  <si>
    <t>Cost of Goods Sold</t>
    <phoneticPr fontId="8" type="noConversion"/>
  </si>
  <si>
    <t>Gross Profit</t>
    <phoneticPr fontId="8" type="noConversion"/>
  </si>
  <si>
    <t>Sales Expense</t>
    <phoneticPr fontId="2" type="noConversion"/>
  </si>
  <si>
    <t>R&amp;D Expense</t>
    <phoneticPr fontId="2" type="noConversion"/>
  </si>
  <si>
    <t>Other operating income</t>
    <phoneticPr fontId="2" type="noConversion"/>
  </si>
  <si>
    <t>D&amp;A adjustment</t>
    <phoneticPr fontId="2" type="noConversion"/>
  </si>
  <si>
    <t>Other Gains</t>
    <phoneticPr fontId="8" type="noConversion"/>
  </si>
  <si>
    <t>Other Losses</t>
    <phoneticPr fontId="2" type="noConversion"/>
  </si>
  <si>
    <t>Dividends received</t>
    <phoneticPr fontId="2" type="noConversion"/>
  </si>
  <si>
    <t>Actual/Forecast</t>
    <phoneticPr fontId="8" type="noConversion"/>
  </si>
  <si>
    <t>Actual</t>
    <phoneticPr fontId="8" type="noConversion"/>
  </si>
  <si>
    <t xml:space="preserve">Income Statement </t>
    <phoneticPr fontId="8" type="noConversion"/>
  </si>
  <si>
    <t>Income Taxes</t>
    <phoneticPr fontId="8" type="noConversion"/>
  </si>
  <si>
    <t>Beginning of period</t>
    <phoneticPr fontId="2" type="noConversion"/>
  </si>
  <si>
    <t>End of period</t>
    <phoneticPr fontId="2" type="noConversion"/>
  </si>
  <si>
    <t>Months in period</t>
    <phoneticPr fontId="2" type="noConversion"/>
  </si>
  <si>
    <t>Quarter</t>
    <phoneticPr fontId="2" type="noConversion"/>
  </si>
  <si>
    <t>Assumptions</t>
    <phoneticPr fontId="2" type="noConversion"/>
  </si>
  <si>
    <t>Model</t>
    <phoneticPr fontId="2" type="noConversion"/>
  </si>
  <si>
    <t>Control panel</t>
    <phoneticPr fontId="2" type="noConversion"/>
  </si>
  <si>
    <t>General model outline</t>
    <phoneticPr fontId="2" type="noConversion"/>
  </si>
  <si>
    <t>Consolidated Historicals</t>
    <phoneticPr fontId="2" type="noConversion"/>
  </si>
  <si>
    <t>Scenarios</t>
    <phoneticPr fontId="2" type="noConversion"/>
  </si>
  <si>
    <t>Operating projection BU1</t>
    <phoneticPr fontId="2" type="noConversion"/>
  </si>
  <si>
    <t>Operating projection BU2</t>
    <phoneticPr fontId="2" type="noConversion"/>
  </si>
  <si>
    <t>Operating projection other</t>
    <phoneticPr fontId="2" type="noConversion"/>
  </si>
  <si>
    <t>Operating projection Holdco</t>
    <phoneticPr fontId="2" type="noConversion"/>
  </si>
  <si>
    <t>Quarterly operating projection Holdco</t>
    <phoneticPr fontId="2" type="noConversion"/>
  </si>
  <si>
    <t>Financing Assumptions</t>
    <phoneticPr fontId="2" type="noConversion"/>
  </si>
  <si>
    <t>S&amp;U</t>
    <phoneticPr fontId="2" type="noConversion"/>
  </si>
  <si>
    <t>Consolidated IS</t>
    <phoneticPr fontId="2" type="noConversion"/>
  </si>
  <si>
    <t>Consolidated BS</t>
    <phoneticPr fontId="2" type="noConversion"/>
  </si>
  <si>
    <t>Consolidated CF</t>
    <phoneticPr fontId="2" type="noConversion"/>
  </si>
  <si>
    <t>Output</t>
    <phoneticPr fontId="2" type="noConversion"/>
  </si>
  <si>
    <t>Financial Summary</t>
    <phoneticPr fontId="2" type="noConversion"/>
  </si>
  <si>
    <t>Net Income</t>
    <phoneticPr fontId="3" type="noConversion"/>
  </si>
  <si>
    <t>Net Cashflow</t>
    <phoneticPr fontId="3" type="noConversion"/>
  </si>
  <si>
    <t>Revenue</t>
    <phoneticPr fontId="3" type="noConversion"/>
  </si>
  <si>
    <t>Gross Profit</t>
    <phoneticPr fontId="3" type="noConversion"/>
  </si>
  <si>
    <t>G&amp;A expenses</t>
    <phoneticPr fontId="3" type="noConversion"/>
  </si>
  <si>
    <t>Net Income</t>
    <phoneticPr fontId="3" type="noConversion"/>
  </si>
  <si>
    <t>Cash Flow Statement</t>
    <phoneticPr fontId="2" type="noConversion"/>
  </si>
  <si>
    <t>check</t>
    <phoneticPr fontId="2" type="noConversion"/>
  </si>
  <si>
    <t>Yearend month</t>
    <phoneticPr fontId="2" type="noConversion"/>
  </si>
  <si>
    <t>Yearend day</t>
    <phoneticPr fontId="2" type="noConversion"/>
  </si>
  <si>
    <t>Repayment</t>
    <phoneticPr fontId="2" type="noConversion"/>
  </si>
  <si>
    <t>Repayment %</t>
    <phoneticPr fontId="2" type="noConversion"/>
  </si>
  <si>
    <t>Multiple</t>
    <phoneticPr fontId="2" type="noConversion"/>
  </si>
  <si>
    <t>Applicable interest</t>
    <phoneticPr fontId="2" type="noConversion"/>
  </si>
  <si>
    <t>Revolving credit assumptions</t>
    <phoneticPr fontId="2" type="noConversion"/>
  </si>
  <si>
    <t xml:space="preserve">Interest </t>
    <phoneticPr fontId="2" type="noConversion"/>
  </si>
  <si>
    <t>Tax shield interest</t>
    <phoneticPr fontId="2" type="noConversion"/>
  </si>
  <si>
    <t>Cash sweep assumptions</t>
    <phoneticPr fontId="2" type="noConversion"/>
  </si>
  <si>
    <t>Dividend payment assumed at same period as cash sweep</t>
    <phoneticPr fontId="3" type="noConversion"/>
  </si>
  <si>
    <t>Assumptions</t>
    <phoneticPr fontId="2" type="noConversion"/>
  </si>
  <si>
    <t>Consolidation adjustments</t>
    <phoneticPr fontId="2" type="noConversion"/>
  </si>
  <si>
    <t>CAS</t>
    <phoneticPr fontId="2" type="noConversion"/>
  </si>
  <si>
    <t>CFA</t>
    <phoneticPr fontId="2" type="noConversion"/>
  </si>
  <si>
    <t>ACR</t>
    <phoneticPr fontId="2" type="noConversion"/>
  </si>
  <si>
    <t>INV</t>
    <phoneticPr fontId="2" type="noConversion"/>
  </si>
  <si>
    <t>ORE</t>
    <phoneticPr fontId="2" type="noConversion"/>
  </si>
  <si>
    <t>Other Receivables</t>
    <phoneticPr fontId="2" type="noConversion"/>
  </si>
  <si>
    <t>OCA</t>
    <phoneticPr fontId="2" type="noConversion"/>
  </si>
  <si>
    <t>FLO</t>
    <phoneticPr fontId="2" type="noConversion"/>
  </si>
  <si>
    <t>LTD</t>
    <phoneticPr fontId="2" type="noConversion"/>
  </si>
  <si>
    <t>Cash sweeped</t>
    <phoneticPr fontId="2" type="noConversion"/>
  </si>
  <si>
    <t>Dividend</t>
    <phoneticPr fontId="2" type="noConversion"/>
  </si>
  <si>
    <t>Covenant basis</t>
    <phoneticPr fontId="2" type="noConversion"/>
  </si>
  <si>
    <t>Senior Leverage ratios</t>
    <phoneticPr fontId="2" type="noConversion"/>
  </si>
  <si>
    <t>Total Leverage ratios</t>
    <phoneticPr fontId="2" type="noConversion"/>
  </si>
  <si>
    <t>Cash Flow ratios</t>
    <phoneticPr fontId="2" type="noConversion"/>
  </si>
  <si>
    <t>Note: beginning cash incl. initial drawdown</t>
    <phoneticPr fontId="2" type="noConversion"/>
  </si>
  <si>
    <t>Closing balance</t>
    <phoneticPr fontId="2" type="noConversion"/>
  </si>
  <si>
    <t>Cash flow senior loan A</t>
    <phoneticPr fontId="2" type="noConversion"/>
  </si>
  <si>
    <t>Cash flow junior loan A</t>
    <phoneticPr fontId="2" type="noConversion"/>
  </si>
  <si>
    <t>Revolving credit facility</t>
    <phoneticPr fontId="2" type="noConversion"/>
  </si>
  <si>
    <t>Revolving credit facility limit</t>
    <phoneticPr fontId="2" type="noConversion"/>
  </si>
  <si>
    <t>Undrawn amount</t>
    <phoneticPr fontId="2" type="noConversion"/>
  </si>
  <si>
    <t>Free cash flow</t>
    <phoneticPr fontId="2" type="noConversion"/>
  </si>
  <si>
    <t>Historical BU1</t>
    <phoneticPr fontId="2" type="noConversion"/>
  </si>
  <si>
    <t>Historical BU2</t>
    <phoneticPr fontId="2" type="noConversion"/>
  </si>
  <si>
    <t>Historical other</t>
    <phoneticPr fontId="2" type="noConversion"/>
  </si>
  <si>
    <t>Historical Holdco</t>
    <phoneticPr fontId="2" type="noConversion"/>
  </si>
  <si>
    <t>Financing projection (quarterly)</t>
    <phoneticPr fontId="2" type="noConversion"/>
  </si>
  <si>
    <t>Combination BS adjustments</t>
    <phoneticPr fontId="2" type="noConversion"/>
  </si>
  <si>
    <t>CAGR</t>
    <phoneticPr fontId="2" type="noConversion"/>
  </si>
  <si>
    <t>Business Unit names</t>
    <phoneticPr fontId="2" type="noConversion"/>
  </si>
  <si>
    <t>Business Unit 1</t>
    <phoneticPr fontId="2" type="noConversion"/>
  </si>
  <si>
    <t>Business Unit 2</t>
    <phoneticPr fontId="2" type="noConversion"/>
  </si>
  <si>
    <t>other</t>
    <phoneticPr fontId="2" type="noConversion"/>
  </si>
  <si>
    <t>3m HIBOR</t>
    <phoneticPr fontId="3" type="noConversion"/>
  </si>
  <si>
    <t>Credit Ratios</t>
    <phoneticPr fontId="2" type="noConversion"/>
  </si>
  <si>
    <t>+Drawdown</t>
    <phoneticPr fontId="3" type="noConversion"/>
  </si>
  <si>
    <t>Cash Sweep &amp; Dividend</t>
    <phoneticPr fontId="2" type="noConversion"/>
  </si>
  <si>
    <t>Covenants</t>
    <phoneticPr fontId="2" type="noConversion"/>
  </si>
  <si>
    <t>Dividend &amp; other equity adjustments</t>
    <phoneticPr fontId="3" type="noConversion"/>
  </si>
  <si>
    <t>Further to do wrt model</t>
    <phoneticPr fontId="52" type="noConversion"/>
  </si>
  <si>
    <t>change ref from IS/ balance sheet to top rows historical</t>
    <phoneticPr fontId="52" type="noConversion"/>
  </si>
  <si>
    <t>negative cash --&gt; gross leverage</t>
    <phoneticPr fontId="52" type="noConversion"/>
  </si>
  <si>
    <t>Operating cash flow structure (1. interest, 2. repayment, 3. change debt, 4. other operating liabilities)</t>
    <phoneticPr fontId="52" type="noConversion"/>
  </si>
  <si>
    <t>Priority</t>
    <phoneticPr fontId="52" type="noConversion"/>
  </si>
  <si>
    <t>Type</t>
    <phoneticPr fontId="52" type="noConversion"/>
  </si>
  <si>
    <t>Financial quarterly --&gt; debt on BU level</t>
    <phoneticPr fontId="52" type="noConversion"/>
  </si>
  <si>
    <t>Holdco quartertly --&gt; debt cash flow overview</t>
    <phoneticPr fontId="52" type="noConversion"/>
  </si>
  <si>
    <t>Item</t>
    <phoneticPr fontId="52" type="noConversion"/>
  </si>
  <si>
    <t>Update time line historical based on Al</t>
    <phoneticPr fontId="52" type="noConversion"/>
  </si>
  <si>
    <t>current portion ltd</t>
    <phoneticPr fontId="52" type="noConversion"/>
  </si>
  <si>
    <t>Integration of more detailed assumptions and scenarios</t>
    <phoneticPr fontId="52" type="noConversion"/>
  </si>
  <si>
    <t>change deferred tax --&gt; operating cf</t>
    <phoneticPr fontId="52" type="noConversion"/>
  </si>
  <si>
    <t>Functionality</t>
    <phoneticPr fontId="52" type="noConversion"/>
  </si>
  <si>
    <t>Structure</t>
    <phoneticPr fontId="52" type="noConversion"/>
  </si>
  <si>
    <t>Simplification</t>
    <phoneticPr fontId="52" type="noConversion"/>
  </si>
  <si>
    <t>Presentation</t>
    <phoneticPr fontId="52" type="noConversion"/>
  </si>
  <si>
    <t>Further business units</t>
    <phoneticPr fontId="52" type="noConversion"/>
  </si>
  <si>
    <t>Consolidation adjustments projection</t>
    <phoneticPr fontId="52" type="noConversion"/>
  </si>
  <si>
    <t>Low</t>
    <phoneticPr fontId="52" type="noConversion"/>
  </si>
  <si>
    <t>Completed</t>
    <phoneticPr fontId="52" type="noConversion"/>
  </si>
  <si>
    <t>Prio no.</t>
    <phoneticPr fontId="52" type="noConversion"/>
  </si>
  <si>
    <r>
      <t>+</t>
    </r>
    <r>
      <rPr>
        <sz val="10"/>
        <color theme="1"/>
        <rFont val="Calibri"/>
        <family val="2"/>
      </rPr>
      <t xml:space="preserve"> change in deferred tax</t>
    </r>
    <phoneticPr fontId="3" type="noConversion"/>
  </si>
  <si>
    <t>+ change in deferred tax</t>
    <phoneticPr fontId="2" type="noConversion"/>
  </si>
  <si>
    <t>Checks</t>
    <phoneticPr fontId="2" type="noConversion"/>
  </si>
  <si>
    <t>Projection model checks</t>
    <phoneticPr fontId="2" type="noConversion"/>
  </si>
  <si>
    <t>Timeline</t>
    <phoneticPr fontId="52" type="noConversion"/>
  </si>
  <si>
    <t>timeline after acquisition period refers to yearend. If broken bookyear, this is not correct</t>
    <phoneticPr fontId="52" type="noConversion"/>
  </si>
  <si>
    <t>Restructure formula composition (break down items below presentation items)</t>
    <phoneticPr fontId="52" type="noConversion"/>
  </si>
  <si>
    <t>Restricted cash</t>
    <phoneticPr fontId="2" type="noConversion"/>
  </si>
  <si>
    <t>Consolidated historicals</t>
    <phoneticPr fontId="2" type="noConversion"/>
  </si>
  <si>
    <t>Combination BS adjustment</t>
    <phoneticPr fontId="2" type="noConversion"/>
  </si>
  <si>
    <t>Financial quarterly</t>
    <phoneticPr fontId="2" type="noConversion"/>
  </si>
  <si>
    <t>Projection years (unchanged)</t>
    <phoneticPr fontId="2" type="noConversion"/>
  </si>
  <si>
    <t>Scenarios</t>
    <phoneticPr fontId="2" type="noConversion"/>
  </si>
  <si>
    <r>
      <t>S</t>
    </r>
    <r>
      <rPr>
        <sz val="10"/>
        <color theme="1"/>
        <rFont val="Calibri"/>
        <family val="2"/>
      </rPr>
      <t xml:space="preserve">T </t>
    </r>
    <r>
      <rPr>
        <sz val="10"/>
        <color theme="1"/>
        <rFont val="Calibri"/>
        <family val="2"/>
      </rPr>
      <t>Investments</t>
    </r>
    <phoneticPr fontId="2" type="noConversion"/>
  </si>
  <si>
    <t>Bug</t>
    <phoneticPr fontId="52" type="noConversion"/>
  </si>
  <si>
    <t>Error when selecting fewer historical years</t>
    <phoneticPr fontId="52" type="noConversion"/>
  </si>
  <si>
    <t>Projection</t>
    <phoneticPr fontId="2" type="noConversion"/>
  </si>
  <si>
    <t>Solution</t>
    <phoneticPr fontId="52" type="noConversion"/>
  </si>
  <si>
    <t>error is caused by scenarios not changing with the years</t>
    <phoneticPr fontId="52" type="noConversion"/>
  </si>
  <si>
    <t>Consolidation adjustment</t>
    <phoneticPr fontId="2" type="noConversion"/>
  </si>
  <si>
    <t>Holdco</t>
    <phoneticPr fontId="2" type="noConversion"/>
  </si>
  <si>
    <t>BU1</t>
    <phoneticPr fontId="2" type="noConversion"/>
  </si>
  <si>
    <t>BU2</t>
    <phoneticPr fontId="2" type="noConversion"/>
  </si>
  <si>
    <t>other</t>
    <phoneticPr fontId="2" type="noConversion"/>
  </si>
  <si>
    <t>Data</t>
    <phoneticPr fontId="52" type="noConversion"/>
  </si>
  <si>
    <t>change financial data</t>
    <phoneticPr fontId="52" type="noConversion"/>
  </si>
  <si>
    <t>現金及約當現金</t>
  </si>
  <si>
    <t>透過損益按公允價值衡量之金融資產─流動</t>
  </si>
  <si>
    <t>備供出售金融資產─流動</t>
  </si>
  <si>
    <t>持有至到期日金融資產─流動</t>
  </si>
  <si>
    <t>避險之衍生金融資產─流動</t>
  </si>
  <si>
    <t>以成本衡量之金融資產─流動</t>
  </si>
  <si>
    <t>無活絡市場之債券投資─流動</t>
  </si>
  <si>
    <t>應收帳款及票據</t>
  </si>
  <si>
    <t>應收建造合約款</t>
  </si>
  <si>
    <t>其他應收款</t>
  </si>
  <si>
    <t>資金貸予他人─流動</t>
  </si>
  <si>
    <t>存貨</t>
  </si>
  <si>
    <t>生物資產流動</t>
  </si>
  <si>
    <t>預付費用及預付款</t>
  </si>
  <si>
    <t>應收代理店款</t>
  </si>
  <si>
    <t>待出售非流動資產</t>
  </si>
  <si>
    <t>當期所得稅資產─流動</t>
  </si>
  <si>
    <t>其他金融資產─流動</t>
  </si>
  <si>
    <t>其他流動資產</t>
  </si>
  <si>
    <t>流動資產</t>
  </si>
  <si>
    <t>透過損益按公允價值衡量之金融資產─非流動</t>
  </si>
  <si>
    <t>備供出售金融資產─非流動</t>
  </si>
  <si>
    <t>持有至到期日金融資產─非流動</t>
  </si>
  <si>
    <t>避險之衍生金融資產─非流動</t>
  </si>
  <si>
    <t>以成本衡量之金融資產─非流動</t>
  </si>
  <si>
    <t>無活絡市場之債券投資─非流動</t>
  </si>
  <si>
    <t>採權益法之長期股權投資</t>
  </si>
  <si>
    <t>預付投資款</t>
  </si>
  <si>
    <t>不動產廠房及設備</t>
  </si>
  <si>
    <t>商譽淨額</t>
  </si>
  <si>
    <t>特許權</t>
  </si>
  <si>
    <t>發展中之無形資產</t>
  </si>
  <si>
    <t>其他無形資產淨額</t>
  </si>
  <si>
    <t>商譽及無形資產合計</t>
  </si>
  <si>
    <t>遞延所得稅資產</t>
  </si>
  <si>
    <t>其他遞延資產淨額</t>
  </si>
  <si>
    <t>遞延資產合計</t>
  </si>
  <si>
    <t>遞延借項─非流動</t>
  </si>
  <si>
    <t>投資性不動產淨額</t>
  </si>
  <si>
    <t>預付設備款</t>
  </si>
  <si>
    <t>長期預付租金</t>
  </si>
  <si>
    <t>生物資產非流動</t>
  </si>
  <si>
    <t>其他非流動資產─其他</t>
  </si>
  <si>
    <t>其他非流動資產</t>
  </si>
  <si>
    <t>非流動資產</t>
  </si>
  <si>
    <t>資產總額</t>
  </si>
  <si>
    <t>短期借款</t>
  </si>
  <si>
    <t>應付商業本票／承兌匯票</t>
  </si>
  <si>
    <t>透過損益按公允價值衡量之金融負債─流動</t>
  </si>
  <si>
    <t>避險之衍生金融負債─流動</t>
  </si>
  <si>
    <t>以成本衡量之金融負債─流動</t>
  </si>
  <si>
    <t>應付帳款及票據</t>
  </si>
  <si>
    <t>應付建造合約款</t>
  </si>
  <si>
    <t>其他應付款</t>
  </si>
  <si>
    <t>當期所得稅負債</t>
  </si>
  <si>
    <t>負債準備─流動</t>
  </si>
  <si>
    <t>與待出售非流動資產直接相關之負債</t>
  </si>
  <si>
    <t>其他金融負債─流動</t>
  </si>
  <si>
    <t>預收款項</t>
  </si>
  <si>
    <t>一年內到期長期負債</t>
  </si>
  <si>
    <t>特別股負債─流動</t>
  </si>
  <si>
    <t>應付代理店款</t>
  </si>
  <si>
    <t>其他流動負債</t>
  </si>
  <si>
    <t>流動負債</t>
  </si>
  <si>
    <t>透過損益按公允價值衡量之金融負債─非流動</t>
  </si>
  <si>
    <t>避險之衍生金融負債─非流動</t>
  </si>
  <si>
    <t>以成本衡量之金融負債─非流動</t>
  </si>
  <si>
    <t>特別股負債─非流動</t>
  </si>
  <si>
    <t>應付公司債─非流動</t>
  </si>
  <si>
    <t>銀行借款─非流動</t>
  </si>
  <si>
    <t>其他長期借款─非流動</t>
  </si>
  <si>
    <t>負債準備─非流動</t>
  </si>
  <si>
    <t>遞延貸項</t>
  </si>
  <si>
    <t>應計退休金負債</t>
  </si>
  <si>
    <t>遞延所得稅</t>
  </si>
  <si>
    <t>其他非流動負債</t>
  </si>
  <si>
    <t>非流動負債</t>
  </si>
  <si>
    <t>負債總額</t>
  </si>
  <si>
    <t>普通股股本</t>
  </si>
  <si>
    <t>特別股股本</t>
  </si>
  <si>
    <t>預收股款</t>
  </si>
  <si>
    <t>待分配股票股利</t>
  </si>
  <si>
    <t>換股權利證書</t>
  </si>
  <si>
    <t>股本</t>
  </si>
  <si>
    <t>資本公積─發行溢價</t>
  </si>
  <si>
    <t>資本公積─處分資產增益</t>
  </si>
  <si>
    <t>資本公積─採權益法認列關聯企業及合資企業股權淨值之變動數</t>
  </si>
  <si>
    <t>資本公積─處分子公司股權價格與帳面價值差額</t>
  </si>
  <si>
    <t>資本公積─受贈資產</t>
  </si>
  <si>
    <t>資本公積─庫藏股票交易</t>
  </si>
  <si>
    <t>資本公積─合併溢額</t>
  </si>
  <si>
    <t>資本公積─員工認股權</t>
  </si>
  <si>
    <t>資本公積─認股權</t>
  </si>
  <si>
    <t>資本公積─限制員工權利股票</t>
  </si>
  <si>
    <t>資本公積─其他</t>
  </si>
  <si>
    <t>資本公積合計</t>
  </si>
  <si>
    <t>法定盈餘公積</t>
  </si>
  <si>
    <t>特別盈餘公積</t>
  </si>
  <si>
    <t>未分配盈餘</t>
  </si>
  <si>
    <t>保留盈餘</t>
  </si>
  <si>
    <t>國外營運機構財務報表換算之兌換差額</t>
  </si>
  <si>
    <t>備供出售金融資產未實現損益</t>
  </si>
  <si>
    <t>國外營運機構淨投資避險中屬有效避險部分之避險工具損益</t>
  </si>
  <si>
    <t>現金流量避險中屬有效避險部分之避險工具損益</t>
  </si>
  <si>
    <t>重估增值</t>
  </si>
  <si>
    <t>與待出售非流動資產直接相關之權益</t>
  </si>
  <si>
    <t>其他權益--員工未賺得酬勞</t>
  </si>
  <si>
    <t>股東權益其他調整項</t>
  </si>
  <si>
    <t>其他權益</t>
  </si>
  <si>
    <t>庫藏股票帳面值</t>
  </si>
  <si>
    <t>母公司股東權益合計</t>
  </si>
  <si>
    <t>共同控制下前手權益</t>
  </si>
  <si>
    <t>合併前非屬共同控制股權</t>
  </si>
  <si>
    <t>非控制權益</t>
  </si>
  <si>
    <t>股東權益總額</t>
  </si>
  <si>
    <t>負債及股東權益總額</t>
  </si>
  <si>
    <t>營業收入毛額</t>
  </si>
  <si>
    <t>營收─租金收入</t>
  </si>
  <si>
    <t>營收─處分土地收入</t>
  </si>
  <si>
    <t>營收─利息收入</t>
  </si>
  <si>
    <t>營收─處分投資收入</t>
  </si>
  <si>
    <t>營收─投資收益</t>
  </si>
  <si>
    <t>退回及折讓</t>
  </si>
  <si>
    <t>營業收入淨額</t>
  </si>
  <si>
    <t>銷貨成本</t>
  </si>
  <si>
    <t>成本─租金成本</t>
  </si>
  <si>
    <t>成本─出售土地</t>
  </si>
  <si>
    <t>成本─利息支出</t>
  </si>
  <si>
    <t>成本─處分投資成本</t>
  </si>
  <si>
    <t>成本─投資損失</t>
  </si>
  <si>
    <t>營業成本</t>
  </si>
  <si>
    <t>營業毛利</t>
  </si>
  <si>
    <t>聯屬公司已〈未〉實現銷貨利益</t>
  </si>
  <si>
    <t>已實現銷貨毛利</t>
  </si>
  <si>
    <t>營業費用</t>
  </si>
  <si>
    <t>推銷費用</t>
  </si>
  <si>
    <t>管理費用</t>
  </si>
  <si>
    <t>研究發展費</t>
  </si>
  <si>
    <t>其他費用</t>
  </si>
  <si>
    <t>其他收益及費損淨額</t>
  </si>
  <si>
    <t>營業利益</t>
  </si>
  <si>
    <t>利息收入</t>
  </si>
  <si>
    <t>租金收入</t>
  </si>
  <si>
    <t>權利金收入</t>
  </si>
  <si>
    <t>股利收入</t>
  </si>
  <si>
    <t>廉價購買收益</t>
  </si>
  <si>
    <t>違約金收入</t>
  </si>
  <si>
    <t>壞帳轉回利益</t>
  </si>
  <si>
    <t>沖銷逾期應付帳款利益</t>
  </si>
  <si>
    <t>補助收益</t>
  </si>
  <si>
    <t>其他收入─其他</t>
  </si>
  <si>
    <t>其他收入</t>
  </si>
  <si>
    <t>處分不動產、廠房及設備利益</t>
  </si>
  <si>
    <t>處分投資利益</t>
  </si>
  <si>
    <t>外幣兌換利益</t>
  </si>
  <si>
    <t>透過損益按公允價值衡量之金融資產（負債）利益</t>
  </si>
  <si>
    <t>資產評價利益</t>
  </si>
  <si>
    <t>金融資產減損迴轉利益</t>
  </si>
  <si>
    <t>資產減損迴轉利益</t>
  </si>
  <si>
    <t>不動產、廠房及設備減損迴轉利益</t>
  </si>
  <si>
    <t>無形資產減損迴轉利益</t>
  </si>
  <si>
    <t>其他減損迴轉利益</t>
  </si>
  <si>
    <t>賠償收入</t>
  </si>
  <si>
    <t>買回公司債利益</t>
  </si>
  <si>
    <t>停工損失</t>
  </si>
  <si>
    <t>合約損失</t>
  </si>
  <si>
    <t>賠償損失</t>
  </si>
  <si>
    <t>處分不動產、廠房及設備損失</t>
  </si>
  <si>
    <t>處分投資損失</t>
  </si>
  <si>
    <t>外幣兌換損失</t>
  </si>
  <si>
    <t>透過損益按公允價值衡量之金融資產（負債）損失</t>
  </si>
  <si>
    <t>資產評價損失</t>
  </si>
  <si>
    <t>金融資產減損損失</t>
  </si>
  <si>
    <t>資產減損損失</t>
  </si>
  <si>
    <t>不動產、廠房及設備減損損失</t>
  </si>
  <si>
    <t>無形資產減損損失</t>
  </si>
  <si>
    <t>其他減損損失</t>
  </si>
  <si>
    <t>買回公司債損失</t>
  </si>
  <si>
    <t>其他利益及損失─其他</t>
  </si>
  <si>
    <t>其他利益及損失</t>
  </si>
  <si>
    <t>利息支出</t>
  </si>
  <si>
    <t>負債性特別股股息</t>
  </si>
  <si>
    <t>財務成本-其他</t>
  </si>
  <si>
    <t>財務成本</t>
  </si>
  <si>
    <t>採用權益法認列之關聯企業及合資利益之份額</t>
  </si>
  <si>
    <t>採用權益法認列之關聯企業及合資損失之份額</t>
  </si>
  <si>
    <t>採權益法之關聯企業及合資損益</t>
  </si>
  <si>
    <t>營業外收入及支出─其他</t>
  </si>
  <si>
    <t>營業外收入及支出</t>
  </si>
  <si>
    <t>稅前淨利</t>
  </si>
  <si>
    <t>所得稅費用</t>
  </si>
  <si>
    <t>繼續營業單位損益</t>
  </si>
  <si>
    <t>停業單位損益</t>
  </si>
  <si>
    <t>合併前非屬共同控制股權損益</t>
  </si>
  <si>
    <t>合併總損益</t>
  </si>
  <si>
    <t>國外營運機構財務報表換算之兌換差額─OCI</t>
  </si>
  <si>
    <t>權益工具投資損益─OCI</t>
  </si>
  <si>
    <t>備供出售金融資產未實現評價損益─OCI</t>
  </si>
  <si>
    <t>現金流量避險─OCI</t>
  </si>
  <si>
    <t>國外營運機構淨投資避險─OCI</t>
  </si>
  <si>
    <t>重估價之利益（損失）─OCI</t>
  </si>
  <si>
    <t>確定福利計畫精算損益─OCI</t>
  </si>
  <si>
    <t>採用權益法認列之關聯企業及合資之其他綜合損益之份額─OCI</t>
  </si>
  <si>
    <t>其他綜合損益─其他─OCI</t>
  </si>
  <si>
    <t>與其他綜合損益組成部分相關之所得稅─OCI</t>
  </si>
  <si>
    <t>其他綜合損益─OCI</t>
  </si>
  <si>
    <t>本期綜合損益總額</t>
  </si>
  <si>
    <t>歸屬母公司淨利(損)</t>
  </si>
  <si>
    <t>歸屬非控制權益淨利(損)</t>
  </si>
  <si>
    <t>歸屬共同控制下前手權益淨利(損)</t>
  </si>
  <si>
    <t>綜合損益歸屬母公司</t>
  </si>
  <si>
    <t>綜合損益歸屬非控制權益</t>
  </si>
  <si>
    <t>綜合損益歸屬共同控制下前手權益</t>
  </si>
  <si>
    <t>每股盈餘（元）</t>
  </si>
  <si>
    <t>加權平均股數 (仟股)</t>
  </si>
  <si>
    <t>發放特別股股息</t>
  </si>
  <si>
    <t>稀釋稅後淨利</t>
  </si>
  <si>
    <t>每股盈餘─完全稀釋</t>
  </si>
  <si>
    <t>加權平均股數─稀釋</t>
  </si>
  <si>
    <t>稅前息前淨利</t>
  </si>
  <si>
    <t>稅前息前折舊前淨利</t>
  </si>
  <si>
    <t>常續性稅後淨利</t>
  </si>
  <si>
    <t>庫藏股數─母公司</t>
  </si>
  <si>
    <t>庫藏股數─子公司持有母公司股票或其他</t>
  </si>
  <si>
    <t>庫藏股數 (母+ 子) 仟股</t>
  </si>
  <si>
    <t>稅前淨利-CFO</t>
  </si>
  <si>
    <t>折舊</t>
  </si>
  <si>
    <t>攤提</t>
  </si>
  <si>
    <t>呆帳損失增 〈減〉</t>
  </si>
  <si>
    <t>透過損益按公允價值衡量金融資產及負債之淨損失（利益）</t>
  </si>
  <si>
    <t>存貨跌價損失增 (減)</t>
  </si>
  <si>
    <t>利息支出CFO</t>
  </si>
  <si>
    <t>存貨盤 (盈) 虧及報廢</t>
  </si>
  <si>
    <t>利息收入CFO</t>
  </si>
  <si>
    <t>股利收入CFO</t>
  </si>
  <si>
    <t>股份基礎給付酬勞成本</t>
  </si>
  <si>
    <t>採用權益法認列之關聯企業及合資利益份額CFO</t>
  </si>
  <si>
    <t>採用權益法認列之關聯企業及合資損失份額CFO</t>
  </si>
  <si>
    <t>處分不動產、廠房及設備收益CFO</t>
  </si>
  <si>
    <t>處分不動產、廠房及設備損失CFO</t>
  </si>
  <si>
    <t>處分投資性不動產損(益)</t>
  </si>
  <si>
    <t>處分無形資產損(益)</t>
  </si>
  <si>
    <t>處分投資損失CFO</t>
  </si>
  <si>
    <t>處分投資利益CFO</t>
  </si>
  <si>
    <t>金融商品減損損失CFO</t>
  </si>
  <si>
    <t>金融商品減損迴轉利益CFO</t>
  </si>
  <si>
    <t>資產減損損失CFO</t>
  </si>
  <si>
    <t>資產減損迴轉利益CFO</t>
  </si>
  <si>
    <t>買回公司債損(益)CFO</t>
  </si>
  <si>
    <t>提列各項準備</t>
  </si>
  <si>
    <t>回轉各項準備</t>
  </si>
  <si>
    <t>透過損益按公允價值衡量金融資產〈增〉減CFO</t>
  </si>
  <si>
    <t>備供出售金融資產〈增〉減CFO</t>
  </si>
  <si>
    <t>避險之衍生性金融資產〈增〉減CFO</t>
  </si>
  <si>
    <t>以成本衡量之金融資產〈增〉減CFO</t>
  </si>
  <si>
    <t>持有至到期日金融資產〈增〉減CFO</t>
  </si>
  <si>
    <t>應收帳款〈增〉減</t>
  </si>
  <si>
    <t>其他應收帳款〈增〉減</t>
  </si>
  <si>
    <t>存貨〈增〉減</t>
  </si>
  <si>
    <t>預付款〈增〉減</t>
  </si>
  <si>
    <t>其他金融資產〈增〉減─CFO</t>
  </si>
  <si>
    <t>透過損益按公允價值衡量金融負債〈減〉</t>
  </si>
  <si>
    <t>避險之衍生性金融負債增〈減〉─CFO</t>
  </si>
  <si>
    <t>以成本衡量之金融負債增〈減〉</t>
  </si>
  <si>
    <t>應付帳款增〈減〉</t>
  </si>
  <si>
    <t>其他應付款增〈減〉</t>
  </si>
  <si>
    <t>預收款增〈減〉</t>
  </si>
  <si>
    <t>其他金融負債增〈減〉CFO</t>
  </si>
  <si>
    <t>負債準備增〈減〉CFO</t>
  </si>
  <si>
    <t>提列員工退休金準備</t>
  </si>
  <si>
    <t>支付員工退休金</t>
  </si>
  <si>
    <t>利息收現─CFO</t>
  </si>
  <si>
    <t>收取股利─CFO</t>
  </si>
  <si>
    <t>支付利息─CFO</t>
  </si>
  <si>
    <t>支付股利─CFO</t>
  </si>
  <si>
    <t>退還(支付)所得稅─CFO</t>
  </si>
  <si>
    <t>CFO─調整項(出貨)</t>
  </si>
  <si>
    <t>來自營運之現金流量</t>
  </si>
  <si>
    <t>（買）賣透過損益按公允價值衡量之金融資產CFI</t>
  </si>
  <si>
    <t>（買）賣備供出售金融資產CFI</t>
  </si>
  <si>
    <t>持有至到期日金融資產〈增〉減CFI</t>
  </si>
  <si>
    <t>以成本衡量之金融資產損〈增〉減CFI</t>
  </si>
  <si>
    <t>無活絡市場之債券投資 〈增〉減CFI</t>
  </si>
  <si>
    <t>避險之衍生性金融資產〈增〉減CFI</t>
  </si>
  <si>
    <t>避險之衍生性金融負債增〈減〉CFI</t>
  </si>
  <si>
    <t>應收款項增〈減〉CFI</t>
  </si>
  <si>
    <t>新增投資</t>
  </si>
  <si>
    <t>出售投資</t>
  </si>
  <si>
    <t>購置不動產廠房設備(含預付)</t>
  </si>
  <si>
    <t>處分不動產廠房設備(含預付)</t>
  </si>
  <si>
    <t>投資性不動產出售(購)</t>
  </si>
  <si>
    <t>無形資產〈增〉減</t>
  </si>
  <si>
    <t>其他金融資產〈增〉減CFI</t>
  </si>
  <si>
    <t>購併他公司支付現金淨額</t>
  </si>
  <si>
    <t>取得購併公司現金</t>
  </si>
  <si>
    <t>收到利息─CFI</t>
  </si>
  <si>
    <t>收到股利─CFI</t>
  </si>
  <si>
    <t>退還(支付)所得稅─CFI</t>
  </si>
  <si>
    <t>CFI─調整項(出貨)</t>
  </si>
  <si>
    <t>投資活動之現金流量</t>
  </si>
  <si>
    <t>短期借款增〈減〉</t>
  </si>
  <si>
    <t>應付短期票券增〈減〉</t>
  </si>
  <si>
    <t>發行公司債</t>
  </si>
  <si>
    <t>償還公司債</t>
  </si>
  <si>
    <t>舉借長期借款</t>
  </si>
  <si>
    <t>償還長期借款</t>
  </si>
  <si>
    <t>發行特別股負債</t>
  </si>
  <si>
    <t>償還長特別股負債</t>
  </si>
  <si>
    <t>庫藏股票減〈增〉</t>
  </si>
  <si>
    <t>現金增 〈減〉 資</t>
  </si>
  <si>
    <t>行使員工認股權</t>
  </si>
  <si>
    <t>支付現金股利</t>
  </si>
  <si>
    <t>透過損益按公允價值衡量之金融商品增〈減〉CFF</t>
  </si>
  <si>
    <t>避險之衍生金融商品增減─CFF</t>
  </si>
  <si>
    <t>其他金融負債增〈減〉CFF</t>
  </si>
  <si>
    <t>非控制權益增〈減〉</t>
  </si>
  <si>
    <t>取得子公司股權CFF</t>
  </si>
  <si>
    <t>處分子公司現金流出CFF</t>
  </si>
  <si>
    <t>處分子公司股權CFF</t>
  </si>
  <si>
    <t>支付利息CFF</t>
  </si>
  <si>
    <t>退還(支付)所得稅CFF</t>
  </si>
  <si>
    <t>CFF─調整項(出貨)</t>
  </si>
  <si>
    <t>籌資活動之現金流量</t>
  </si>
  <si>
    <t>匯率影響數</t>
  </si>
  <si>
    <t>本期產生現金流量</t>
  </si>
  <si>
    <t>期初現金及約當現金</t>
  </si>
  <si>
    <t>期末現金及約當現金</t>
  </si>
  <si>
    <t>資產負債表帳列現金</t>
  </si>
  <si>
    <t>其他符合國際會計準則第七號現金及約當現金定義之項目</t>
  </si>
  <si>
    <t>Data input unit</t>
    <phoneticPr fontId="2" type="noConversion"/>
  </si>
  <si>
    <t>DEP</t>
    <phoneticPr fontId="2" type="noConversion"/>
  </si>
  <si>
    <t>INT</t>
    <phoneticPr fontId="2" type="noConversion"/>
  </si>
  <si>
    <t>OGA</t>
    <phoneticPr fontId="2" type="noConversion"/>
  </si>
  <si>
    <t>TAX</t>
    <phoneticPr fontId="2" type="noConversion"/>
  </si>
  <si>
    <t xml:space="preserve">Other gains and losses </t>
    <phoneticPr fontId="2" type="noConversion"/>
  </si>
  <si>
    <t>REV</t>
    <phoneticPr fontId="2" type="noConversion"/>
  </si>
  <si>
    <r>
      <t>c</t>
    </r>
    <r>
      <rPr>
        <sz val="10"/>
        <color theme="1"/>
        <rFont val="Calibri"/>
        <family val="2"/>
      </rPr>
      <t>hange reference in scenario from raw data to summary data</t>
    </r>
    <phoneticPr fontId="52" type="noConversion"/>
  </si>
  <si>
    <t>- Net Capex</t>
    <phoneticPr fontId="3" type="noConversion"/>
  </si>
  <si>
    <r>
      <t>R</t>
    </r>
    <r>
      <rPr>
        <sz val="10"/>
        <color theme="1"/>
        <rFont val="Calibri"/>
        <family val="2"/>
      </rPr>
      <t>evaluation</t>
    </r>
    <phoneticPr fontId="2" type="noConversion"/>
  </si>
  <si>
    <r>
      <t>C</t>
    </r>
    <r>
      <rPr>
        <sz val="10"/>
        <color theme="1"/>
        <rFont val="Calibri"/>
        <family val="2"/>
      </rPr>
      <t>apex</t>
    </r>
    <phoneticPr fontId="2" type="noConversion"/>
  </si>
  <si>
    <t>Proceeds from sales of PPE</t>
    <phoneticPr fontId="2" type="noConversion"/>
  </si>
  <si>
    <t>Cash flow breakdown (e.g. sale of assets, revaluations, investments)</t>
    <phoneticPr fontId="52" type="noConversion"/>
  </si>
  <si>
    <t>Free Cash Flow</t>
    <phoneticPr fontId="2" type="noConversion"/>
  </si>
  <si>
    <t>+ tax shield debt</t>
    <phoneticPr fontId="2" type="noConversion"/>
  </si>
  <si>
    <t>BU1 Tax</t>
    <phoneticPr fontId="2" type="noConversion"/>
  </si>
  <si>
    <t>- change in working capital</t>
  </si>
  <si>
    <t>- Tax</t>
  </si>
  <si>
    <t>- Change in deferred tax</t>
  </si>
  <si>
    <t>Operating cash flow</t>
  </si>
  <si>
    <t>- Capex</t>
  </si>
  <si>
    <t>- Investment in intangibles</t>
  </si>
  <si>
    <t>- Change in financial assets</t>
  </si>
  <si>
    <t>Cash flow from investing activities</t>
  </si>
  <si>
    <t>ownership</t>
    <phoneticPr fontId="2" type="noConversion"/>
  </si>
  <si>
    <t>Historicals</t>
    <phoneticPr fontId="2" type="noConversion"/>
  </si>
  <si>
    <r>
      <t>Intercompany Payable</t>
    </r>
    <r>
      <rPr>
        <sz val="10"/>
        <color theme="1"/>
        <rFont val="Calibri"/>
        <family val="2"/>
      </rPr>
      <t xml:space="preserve"> (projection)</t>
    </r>
    <phoneticPr fontId="52" type="noConversion"/>
  </si>
  <si>
    <t>Intercompany Payable (projection)</t>
    <phoneticPr fontId="2" type="noConversion"/>
  </si>
  <si>
    <r>
      <t>I</t>
    </r>
    <r>
      <rPr>
        <sz val="10"/>
        <color theme="1"/>
        <rFont val="Calibri"/>
        <family val="2"/>
      </rPr>
      <t>ntercompany receivable (projection)</t>
    </r>
    <phoneticPr fontId="52" type="noConversion"/>
  </si>
  <si>
    <t>Intercompany receivable (projection)</t>
    <phoneticPr fontId="2" type="noConversion"/>
  </si>
  <si>
    <t>Holdco loan</t>
    <phoneticPr fontId="2" type="noConversion"/>
  </si>
  <si>
    <t>Intercompany receivables</t>
    <phoneticPr fontId="2" type="noConversion"/>
  </si>
  <si>
    <t>Intercompany payables</t>
    <phoneticPr fontId="2" type="noConversion"/>
  </si>
  <si>
    <t>Intercompany receivable</t>
    <phoneticPr fontId="2" type="noConversion"/>
  </si>
  <si>
    <t>Intercompany payable</t>
    <phoneticPr fontId="2" type="noConversion"/>
  </si>
  <si>
    <t>+change in intercompany payable/ receivable</t>
    <phoneticPr fontId="52" type="noConversion"/>
  </si>
  <si>
    <r>
      <t>I</t>
    </r>
    <r>
      <rPr>
        <sz val="10"/>
        <color theme="1"/>
        <rFont val="Calibri"/>
        <family val="2"/>
      </rPr>
      <t>ntercompany payables</t>
    </r>
    <phoneticPr fontId="3" type="noConversion"/>
  </si>
  <si>
    <t>Holdco</t>
    <phoneticPr fontId="52" type="noConversion"/>
  </si>
  <si>
    <t>Holdco</t>
    <phoneticPr fontId="52" type="noConversion"/>
  </si>
  <si>
    <t>CIT</t>
    <phoneticPr fontId="52" type="noConversion"/>
  </si>
  <si>
    <t>Historical</t>
    <phoneticPr fontId="52" type="noConversion"/>
  </si>
  <si>
    <t>BU 1</t>
    <phoneticPr fontId="52" type="noConversion"/>
  </si>
  <si>
    <t>Change in intercompany receivables</t>
    <phoneticPr fontId="52" type="noConversion"/>
  </si>
  <si>
    <t>Dividend received</t>
    <phoneticPr fontId="52" type="noConversion"/>
  </si>
  <si>
    <t>Tax</t>
    <phoneticPr fontId="52" type="noConversion"/>
  </si>
  <si>
    <t>Bu1</t>
    <phoneticPr fontId="52" type="noConversion"/>
  </si>
  <si>
    <t>- Witholding tax dividend BU1</t>
    <phoneticPr fontId="52" type="noConversion"/>
  </si>
  <si>
    <t>- CIT</t>
    <phoneticPr fontId="52" type="noConversion"/>
  </si>
  <si>
    <t>-Minimum Cash Balance</t>
    <phoneticPr fontId="2" type="noConversion"/>
  </si>
  <si>
    <t>Investments</t>
    <phoneticPr fontId="52" type="noConversion"/>
  </si>
  <si>
    <t>Other</t>
    <phoneticPr fontId="52" type="noConversion"/>
  </si>
  <si>
    <t>Currency adjustments in new structure</t>
    <phoneticPr fontId="52" type="noConversion"/>
  </si>
  <si>
    <t>Holdcos</t>
    <phoneticPr fontId="2" type="noConversion"/>
  </si>
  <si>
    <t>3m LIBOR</t>
    <phoneticPr fontId="3" type="noConversion"/>
  </si>
  <si>
    <t>Holdco</t>
    <phoneticPr fontId="3" type="noConversion"/>
  </si>
  <si>
    <t>Medium</t>
    <phoneticPr fontId="52" type="noConversion"/>
  </si>
  <si>
    <t>References</t>
    <phoneticPr fontId="52" type="noConversion"/>
  </si>
  <si>
    <t>Remove unused references. "for each n in names: n.visible=true:next"</t>
    <phoneticPr fontId="52" type="noConversion"/>
  </si>
  <si>
    <t>Consolidation in new projection structure</t>
    <phoneticPr fontId="52" type="noConversion"/>
  </si>
  <si>
    <t>undo case-specific adjustments (financial summary, covenant based on attributable EBITDA in determining pricing)</t>
    <phoneticPr fontId="52" type="noConversion"/>
  </si>
  <si>
    <t>Dividend &amp; other equity adjustments</t>
    <phoneticPr fontId="2" type="noConversion"/>
  </si>
  <si>
    <t>Dividend basis</t>
    <phoneticPr fontId="2" type="noConversion"/>
  </si>
  <si>
    <r>
      <t>D</t>
    </r>
    <r>
      <rPr>
        <sz val="10"/>
        <color theme="1"/>
        <rFont val="Calibri"/>
        <family val="2"/>
      </rPr>
      <t>ividend basis</t>
    </r>
    <phoneticPr fontId="3" type="noConversion"/>
  </si>
  <si>
    <r>
      <t>N</t>
    </r>
    <r>
      <rPr>
        <sz val="10"/>
        <color theme="1"/>
        <rFont val="Calibri"/>
        <family val="2"/>
      </rPr>
      <t>et income previous year</t>
    </r>
    <phoneticPr fontId="2" type="noConversion"/>
  </si>
  <si>
    <t>Historical year</t>
    <phoneticPr fontId="2" type="noConversion"/>
  </si>
  <si>
    <t>Stub</t>
    <phoneticPr fontId="2" type="noConversion"/>
  </si>
  <si>
    <t>Combination</t>
    <phoneticPr fontId="2" type="noConversion"/>
  </si>
  <si>
    <t>Projection</t>
    <phoneticPr fontId="2" type="noConversion"/>
  </si>
  <si>
    <r>
      <t>- Historical change in debt</t>
    </r>
    <r>
      <rPr>
        <sz val="10"/>
        <color theme="1"/>
        <rFont val="Calibri"/>
        <family val="2"/>
      </rPr>
      <t xml:space="preserve"> and other long term liabilities</t>
    </r>
    <phoneticPr fontId="2" type="noConversion"/>
  </si>
  <si>
    <t>Loan amortization + cash sweep</t>
    <phoneticPr fontId="52" type="noConversion"/>
  </si>
  <si>
    <t>Weighted average life</t>
    <phoneticPr fontId="52" type="noConversion"/>
  </si>
  <si>
    <t>Projection year</t>
    <phoneticPr fontId="52" type="noConversion"/>
  </si>
  <si>
    <t>Holdco</t>
    <phoneticPr fontId="2" type="noConversion"/>
  </si>
  <si>
    <t>Consolidation adjustments</t>
    <phoneticPr fontId="2" type="noConversion"/>
  </si>
  <si>
    <t>allow for holdco covenants on holdco/ consolidated basis</t>
    <phoneticPr fontId="52" type="noConversion"/>
  </si>
  <si>
    <t>SG&amp;A</t>
    <phoneticPr fontId="52" type="noConversion"/>
  </si>
  <si>
    <t>- Historical Change in debt</t>
    <phoneticPr fontId="2" type="noConversion"/>
  </si>
  <si>
    <r>
      <t>C</t>
    </r>
    <r>
      <rPr>
        <sz val="10"/>
        <color theme="1"/>
        <rFont val="Calibri"/>
        <family val="2"/>
      </rPr>
      <t>ovenant basis</t>
    </r>
    <phoneticPr fontId="52" type="noConversion"/>
  </si>
  <si>
    <t>Covenant basis for margin</t>
    <phoneticPr fontId="2" type="noConversion"/>
  </si>
  <si>
    <t>Covenant basis Holdco</t>
    <phoneticPr fontId="2" type="noConversion"/>
  </si>
  <si>
    <t>Holdco</t>
    <phoneticPr fontId="2" type="noConversion"/>
  </si>
  <si>
    <t>Consolidated</t>
  </si>
  <si>
    <t>Consolidated</t>
    <phoneticPr fontId="2" type="noConversion"/>
  </si>
  <si>
    <t>Completed</t>
    <phoneticPr fontId="52" type="noConversion"/>
  </si>
  <si>
    <t>Summary</t>
    <phoneticPr fontId="2" type="noConversion"/>
  </si>
  <si>
    <t>USD</t>
    <phoneticPr fontId="2" type="noConversion"/>
  </si>
  <si>
    <t>Fixed</t>
  </si>
  <si>
    <t>Cash available for dividend</t>
  </si>
  <si>
    <t>Opening cash balance Holdco</t>
    <phoneticPr fontId="3" type="noConversion"/>
  </si>
  <si>
    <t>INCOME STATEMENT</t>
    <phoneticPr fontId="2" type="noConversion"/>
  </si>
  <si>
    <t>BALANCE SHEET</t>
    <phoneticPr fontId="2" type="noConversion"/>
  </si>
  <si>
    <r>
      <t>A</t>
    </r>
    <r>
      <rPr>
        <sz val="10"/>
        <color theme="1"/>
        <rFont val="Calibri"/>
        <family val="2"/>
      </rPr>
      <t>ccounts Payable</t>
    </r>
    <phoneticPr fontId="2" type="noConversion"/>
  </si>
  <si>
    <t>CASHFLOW STATEMENT</t>
    <phoneticPr fontId="2" type="noConversion"/>
  </si>
  <si>
    <t>Flat</t>
    <phoneticPr fontId="2" type="noConversion"/>
  </si>
  <si>
    <r>
      <t>C</t>
    </r>
    <r>
      <rPr>
        <sz val="10"/>
        <color theme="1"/>
        <rFont val="Calibri"/>
        <family val="2"/>
      </rPr>
      <t>ash sweep on consolidated basis?</t>
    </r>
    <phoneticPr fontId="52" type="noConversion"/>
  </si>
  <si>
    <t>Completed</t>
    <phoneticPr fontId="52" type="noConversion"/>
  </si>
  <si>
    <t>Completed</t>
    <phoneticPr fontId="52" type="noConversion"/>
  </si>
  <si>
    <t>simplify change in working capital</t>
    <phoneticPr fontId="52" type="noConversion"/>
  </si>
  <si>
    <t>Bug</t>
    <phoneticPr fontId="52" type="noConversion"/>
  </si>
  <si>
    <t>Check quarter counting in model</t>
    <phoneticPr fontId="52" type="noConversion"/>
  </si>
  <si>
    <t>Medium</t>
    <phoneticPr fontId="52" type="noConversion"/>
  </si>
  <si>
    <t>Bug</t>
    <phoneticPr fontId="52" type="noConversion"/>
  </si>
  <si>
    <t>Remove circular reference</t>
    <phoneticPr fontId="52" type="noConversion"/>
  </si>
  <si>
    <t>adjust cash sweep based on future repayments vs. nominal loan amount</t>
    <phoneticPr fontId="52" type="noConversion"/>
  </si>
  <si>
    <t>High</t>
    <phoneticPr fontId="52" type="noConversion"/>
  </si>
  <si>
    <t>For stub year, display period end</t>
    <phoneticPr fontId="52" type="noConversion"/>
  </si>
  <si>
    <t>Shamrock</t>
    <phoneticPr fontId="2" type="noConversion"/>
  </si>
  <si>
    <t>OIN</t>
    <phoneticPr fontId="2" type="noConversion"/>
  </si>
  <si>
    <t>Dividend %age</t>
    <phoneticPr fontId="3" type="noConversion"/>
  </si>
  <si>
    <t>Dividend payout excess cash flow (true) or available cash (false)</t>
    <phoneticPr fontId="3" type="noConversion"/>
  </si>
  <si>
    <t>Dividend for period</t>
    <phoneticPr fontId="2" type="noConversion"/>
  </si>
  <si>
    <t>Dividend paid</t>
    <phoneticPr fontId="2" type="noConversion"/>
  </si>
  <si>
    <t>For stub year, calculate correct opening quarter</t>
    <phoneticPr fontId="52" type="noConversion"/>
  </si>
  <si>
    <r>
      <t>S</t>
    </r>
    <r>
      <rPr>
        <sz val="10"/>
        <color theme="1"/>
        <rFont val="Calibri"/>
        <family val="2"/>
      </rPr>
      <t>tub quarter</t>
    </r>
    <phoneticPr fontId="2" type="noConversion"/>
  </si>
  <si>
    <t>Projection starting Q</t>
  </si>
  <si>
    <t>Projection starting Q</t>
    <phoneticPr fontId="2" type="noConversion"/>
  </si>
  <si>
    <t>High</t>
    <phoneticPr fontId="52" type="noConversion"/>
  </si>
  <si>
    <t>Bug</t>
    <phoneticPr fontId="52" type="noConversion"/>
  </si>
  <si>
    <t>opening cash reference for sweep calculations</t>
    <phoneticPr fontId="52" type="noConversion"/>
  </si>
  <si>
    <t>BU2</t>
  </si>
  <si>
    <t>BU2</t>
    <phoneticPr fontId="2" type="noConversion"/>
  </si>
  <si>
    <t>BU2 Currency conversion factor cashflow</t>
    <phoneticPr fontId="2" type="noConversion"/>
  </si>
  <si>
    <t>BU2 Currency conversion factor balance sheet</t>
    <phoneticPr fontId="2" type="noConversion"/>
  </si>
  <si>
    <t>BU2 revenue (local currency)</t>
  </si>
  <si>
    <t>BU2 COGS (local currency)</t>
  </si>
  <si>
    <t>BU2 SG&amp;A (local currency)</t>
  </si>
  <si>
    <t>BU2 Sales expenses (local currency)</t>
  </si>
  <si>
    <t>BU2 R&amp;D expenses (local currency)</t>
  </si>
  <si>
    <t>BU2 Other income (local currency)</t>
  </si>
  <si>
    <t>BU2 operating EBITDA (local currency)</t>
  </si>
  <si>
    <t>BU2 Assets &amp; Depreciation (local currency)</t>
  </si>
  <si>
    <t>BU2 Tangible fixed assets (local currency)</t>
  </si>
  <si>
    <t>BU2 Depreciation (local currency)</t>
  </si>
  <si>
    <t>BU2 Capex tangible (local currency)</t>
  </si>
  <si>
    <t>BU2 Intangible assets (local currency)</t>
  </si>
  <si>
    <t>BU2 Amortization (local currency)</t>
  </si>
  <si>
    <t>BU2 Capex intangible (local currency)</t>
  </si>
  <si>
    <t>BU2 Operating EBIT</t>
  </si>
  <si>
    <t xml:space="preserve">BU2 Historic EBT </t>
  </si>
  <si>
    <t>BU2 Tax rate</t>
  </si>
  <si>
    <t>BU2 Tax</t>
  </si>
  <si>
    <t>BU2 Accounts Receivable (local currency)</t>
  </si>
  <si>
    <t>BU2 Accounts Payable (local currency)</t>
  </si>
  <si>
    <t>BU2 Inventories (local currency)</t>
  </si>
  <si>
    <t>BU2 Other current assets (local currency)</t>
  </si>
  <si>
    <t>BU2 Other current liabilities (local currency)</t>
  </si>
  <si>
    <t>BU2 Working capital (local currency)</t>
  </si>
  <si>
    <t>BU2 Change in working capital (local currency)</t>
  </si>
  <si>
    <t>Offshore</t>
    <phoneticPr fontId="2" type="noConversion"/>
  </si>
  <si>
    <t>Onshore</t>
    <phoneticPr fontId="2" type="noConversion"/>
  </si>
  <si>
    <t>USD in thousands</t>
  </si>
  <si>
    <t>Dec-14</t>
    <phoneticPr fontId="3" type="noConversion"/>
  </si>
  <si>
    <t>Dec-15</t>
    <phoneticPr fontId="3" type="noConversion"/>
  </si>
  <si>
    <t>Dec-16</t>
    <phoneticPr fontId="3" type="noConversion"/>
  </si>
  <si>
    <t>Jun-17</t>
  </si>
  <si>
    <t>Short-term investment</t>
  </si>
  <si>
    <t>Accounts receivable</t>
  </si>
  <si>
    <t>Prepayment</t>
  </si>
  <si>
    <t>Other receivables</t>
  </si>
  <si>
    <t>Other receivables - related party</t>
  </si>
  <si>
    <t>Total current assets</t>
  </si>
  <si>
    <t>Fixed  assets, net</t>
  </si>
  <si>
    <t>Intangible assets, net</t>
  </si>
  <si>
    <t>Lease prepayments</t>
  </si>
  <si>
    <t>Lease prepayment</t>
  </si>
  <si>
    <t>Long-term investments</t>
  </si>
  <si>
    <t>Other non-current assets</t>
  </si>
  <si>
    <t>Total non-current assets</t>
  </si>
  <si>
    <t>Total assets</t>
  </si>
  <si>
    <t>Bank loans</t>
  </si>
  <si>
    <t>Accounts payable</t>
  </si>
  <si>
    <t>Advance from customers</t>
  </si>
  <si>
    <t>Taxes payable</t>
  </si>
  <si>
    <t>Income taxes payable</t>
  </si>
  <si>
    <t>Other payables</t>
  </si>
  <si>
    <t>Uneliminated intercompany</t>
  </si>
  <si>
    <t>Deferred income</t>
  </si>
  <si>
    <t>Other current liabilities</t>
  </si>
  <si>
    <t>Total current liabilities</t>
  </si>
  <si>
    <t>Deferred tax liability</t>
  </si>
  <si>
    <t>Total non-current liabilities:</t>
  </si>
  <si>
    <t>Total liabilities</t>
  </si>
  <si>
    <t>Net assets</t>
    <phoneticPr fontId="3" type="noConversion"/>
  </si>
  <si>
    <t>Paid-in capital</t>
  </si>
  <si>
    <t>Capital reserves</t>
  </si>
  <si>
    <t>Surplus reserve</t>
  </si>
  <si>
    <t>Retained earnings</t>
  </si>
  <si>
    <t>Exchange differences on translating foreign operations</t>
  </si>
  <si>
    <t>Total controlling shareholders’ equity</t>
  </si>
  <si>
    <t>Non-controlling interests</t>
    <phoneticPr fontId="3" type="noConversion"/>
  </si>
  <si>
    <t>Total stockholders’ equity</t>
  </si>
  <si>
    <t>Total liabilities and stockholders’ equity</t>
  </si>
  <si>
    <t>CAS</t>
    <phoneticPr fontId="2" type="noConversion"/>
  </si>
  <si>
    <t>FY14</t>
    <phoneticPr fontId="63" type="noConversion"/>
  </si>
  <si>
    <t>FY15</t>
    <phoneticPr fontId="63" type="noConversion"/>
  </si>
  <si>
    <t>FY16</t>
    <phoneticPr fontId="63" type="noConversion"/>
  </si>
  <si>
    <t>1H17</t>
  </si>
  <si>
    <t>Sales</t>
  </si>
  <si>
    <t>Sales growth%</t>
  </si>
  <si>
    <t>Cost</t>
  </si>
  <si>
    <t>Gross profit</t>
  </si>
  <si>
    <t>Gross profit %</t>
    <phoneticPr fontId="63" type="noConversion"/>
  </si>
  <si>
    <t>Business tax and surcharges</t>
  </si>
  <si>
    <t>Other operating profit</t>
  </si>
  <si>
    <t>Selling expenses</t>
  </si>
  <si>
    <t>General and administrative expenses</t>
    <phoneticPr fontId="63" type="noConversion"/>
  </si>
  <si>
    <t>Research and development expenses</t>
  </si>
  <si>
    <t>Operating income</t>
  </si>
  <si>
    <t>Operating profit %</t>
    <phoneticPr fontId="63" type="noConversion"/>
  </si>
  <si>
    <t>Investment income</t>
  </si>
  <si>
    <t>Financial expense</t>
  </si>
  <si>
    <t>Interest income</t>
  </si>
  <si>
    <t>Interest expenses</t>
  </si>
  <si>
    <t>Exchange gain or loss</t>
  </si>
  <si>
    <t>Non-operating income</t>
  </si>
  <si>
    <t>Subsidy income</t>
  </si>
  <si>
    <t>Non-operating expenses</t>
  </si>
  <si>
    <t>Profit before tax</t>
  </si>
  <si>
    <t>Income taxes</t>
  </si>
  <si>
    <t>Net profit</t>
  </si>
  <si>
    <t>CFA</t>
    <phoneticPr fontId="2" type="noConversion"/>
  </si>
  <si>
    <t>ACR</t>
    <phoneticPr fontId="2" type="noConversion"/>
  </si>
  <si>
    <t>OCA</t>
    <phoneticPr fontId="2" type="noConversion"/>
  </si>
  <si>
    <t>INV</t>
    <phoneticPr fontId="2" type="noConversion"/>
  </si>
  <si>
    <t>ORE</t>
    <phoneticPr fontId="2" type="noConversion"/>
  </si>
  <si>
    <t>ORE</t>
    <phoneticPr fontId="2" type="noConversion"/>
  </si>
  <si>
    <t>PPE</t>
    <phoneticPr fontId="2" type="noConversion"/>
  </si>
  <si>
    <t>ITG</t>
    <phoneticPr fontId="2" type="noConversion"/>
  </si>
  <si>
    <t>OLA</t>
    <phoneticPr fontId="2" type="noConversion"/>
  </si>
  <si>
    <t>LFA</t>
    <phoneticPr fontId="2" type="noConversion"/>
  </si>
  <si>
    <t>STD</t>
    <phoneticPr fontId="2" type="noConversion"/>
  </si>
  <si>
    <t>ACP</t>
    <phoneticPr fontId="2" type="noConversion"/>
  </si>
  <si>
    <t>ADV</t>
    <phoneticPr fontId="2" type="noConversion"/>
  </si>
  <si>
    <t>CTL</t>
    <phoneticPr fontId="2" type="noConversion"/>
  </si>
  <si>
    <t>ACC</t>
    <phoneticPr fontId="2" type="noConversion"/>
  </si>
  <si>
    <t>OSL</t>
    <phoneticPr fontId="2" type="noConversion"/>
  </si>
  <si>
    <t>DTL</t>
    <phoneticPr fontId="2" type="noConversion"/>
  </si>
  <si>
    <t>OLL</t>
    <phoneticPr fontId="2" type="noConversion"/>
  </si>
  <si>
    <t>REV</t>
    <phoneticPr fontId="2" type="noConversion"/>
  </si>
  <si>
    <t>COG</t>
    <phoneticPr fontId="2" type="noConversion"/>
  </si>
  <si>
    <t>SAL</t>
    <phoneticPr fontId="2" type="noConversion"/>
  </si>
  <si>
    <t>OIN</t>
    <phoneticPr fontId="2" type="noConversion"/>
  </si>
  <si>
    <t>SGA</t>
    <phoneticPr fontId="2" type="noConversion"/>
  </si>
  <si>
    <t>RND</t>
    <phoneticPr fontId="2" type="noConversion"/>
  </si>
  <si>
    <t>INR</t>
    <phoneticPr fontId="2" type="noConversion"/>
  </si>
  <si>
    <t>OGA</t>
    <phoneticPr fontId="2" type="noConversion"/>
  </si>
  <si>
    <t>OLO</t>
    <phoneticPr fontId="2" type="noConversion"/>
  </si>
  <si>
    <t>TAX</t>
    <phoneticPr fontId="2" type="noConversion"/>
  </si>
  <si>
    <t>EBIT</t>
    <phoneticPr fontId="68" type="noConversion"/>
  </si>
  <si>
    <t xml:space="preserve">Depreciation </t>
    <phoneticPr fontId="68" type="noConversion"/>
  </si>
  <si>
    <t>Amortization</t>
    <phoneticPr fontId="68" type="noConversion"/>
  </si>
  <si>
    <t>EBITDA</t>
    <phoneticPr fontId="68" type="noConversion"/>
  </si>
  <si>
    <t>DEP</t>
    <phoneticPr fontId="2" type="noConversion"/>
  </si>
  <si>
    <t>AMO</t>
    <phoneticPr fontId="2" type="noConversion"/>
  </si>
  <si>
    <t>MW: Acquisition free of cash &amp; debt</t>
    <phoneticPr fontId="2" type="noConversion"/>
  </si>
  <si>
    <t>MW: eliminated entities outside of scope</t>
    <phoneticPr fontId="2" type="noConversion"/>
  </si>
  <si>
    <t>MW: eliminated loan to shareholders &amp; entities outside of scope</t>
    <phoneticPr fontId="2" type="noConversion"/>
  </si>
  <si>
    <t>MW: dividend payment for withdrawing cash</t>
    <phoneticPr fontId="2" type="noConversion"/>
  </si>
  <si>
    <t>Project Shamrock</t>
  </si>
  <si>
    <t>Standalone Op Model</t>
  </si>
  <si>
    <t>(All numbers in USD millions, unless otherwise stated, December FYE)</t>
  </si>
  <si>
    <t>CAGR</t>
  </si>
  <si>
    <t>'14-'17</t>
  </si>
  <si>
    <t>'17-'22</t>
  </si>
  <si>
    <t>Total Revenue</t>
  </si>
  <si>
    <t>Cosmetic Market Share %</t>
  </si>
  <si>
    <t xml:space="preserve">Total </t>
  </si>
  <si>
    <t>YoY Growth %</t>
  </si>
  <si>
    <t>Summary Revenue</t>
  </si>
  <si>
    <t>Revenue by Customer</t>
  </si>
  <si>
    <t>Coty</t>
  </si>
  <si>
    <t>Top 5 Customer Color Cosmetics</t>
  </si>
  <si>
    <t>Total Customer Color Cosmetics</t>
  </si>
  <si>
    <t>Underlying Customer RPP Spending YoY Growth %</t>
  </si>
  <si>
    <t>Share of Wallet</t>
  </si>
  <si>
    <t>Revenue by Market Tier</t>
  </si>
  <si>
    <t>Total Color Cosmetics</t>
  </si>
  <si>
    <t>Revenue Contribution %</t>
  </si>
  <si>
    <t>CC Revenue Contribution %</t>
  </si>
  <si>
    <t>Revenue attributed to onshore parties (COGS offshore)</t>
    <phoneticPr fontId="52" type="noConversion"/>
  </si>
  <si>
    <t>Total group revenue</t>
    <phoneticPr fontId="52" type="noConversion"/>
  </si>
  <si>
    <t>&lt;--- MW: excluded Depreciation &amp; Amortisation</t>
    <phoneticPr fontId="2" type="noConversion"/>
  </si>
  <si>
    <t>Depreciation by cost item</t>
    <phoneticPr fontId="2" type="noConversion"/>
  </si>
  <si>
    <t>COGS</t>
    <phoneticPr fontId="2" type="noConversion"/>
  </si>
  <si>
    <t>G&amp;A</t>
    <phoneticPr fontId="2" type="noConversion"/>
  </si>
  <si>
    <t>R&amp;D</t>
    <phoneticPr fontId="2" type="noConversion"/>
  </si>
  <si>
    <t>Not specified (assumed G&amp;A)</t>
    <phoneticPr fontId="2" type="noConversion"/>
  </si>
  <si>
    <t>&lt;--- adjusted to group revenue</t>
    <phoneticPr fontId="52" type="noConversion"/>
  </si>
  <si>
    <t>Net working capital</t>
    <phoneticPr fontId="52" type="noConversion"/>
  </si>
  <si>
    <t>BU2 solved, others to be adjusted</t>
    <phoneticPr fontId="52" type="noConversion"/>
  </si>
  <si>
    <t>MW: Acquisition free of cash &amp; debt, opening cash of 30 mln. Assumed</t>
    <phoneticPr fontId="2" type="noConversion"/>
  </si>
  <si>
    <t>MW: eliminated entities outside of scope. Adjusted in closing balance to prevent model errors</t>
    <phoneticPr fontId="2" type="noConversion"/>
  </si>
  <si>
    <t>Result BU1</t>
    <phoneticPr fontId="52" type="noConversion"/>
  </si>
  <si>
    <t>Result BU2</t>
    <phoneticPr fontId="52" type="noConversion"/>
  </si>
  <si>
    <t>Witholding tax BU2</t>
    <phoneticPr fontId="52" type="noConversion"/>
  </si>
  <si>
    <t>Witholding tax BU1</t>
    <phoneticPr fontId="52" type="noConversion"/>
  </si>
  <si>
    <t>Bu2</t>
    <phoneticPr fontId="52" type="noConversion"/>
  </si>
  <si>
    <t>- Witholding tax dividend BU2</t>
    <phoneticPr fontId="52" type="noConversion"/>
  </si>
  <si>
    <t>BU 2</t>
    <phoneticPr fontId="52" type="noConversion"/>
  </si>
  <si>
    <t>BU2</t>
    <phoneticPr fontId="52" type="noConversion"/>
  </si>
  <si>
    <t>Consolidation adjustment</t>
    <phoneticPr fontId="3" type="noConversion"/>
  </si>
  <si>
    <t>BU2</t>
    <phoneticPr fontId="2" type="noConversion"/>
  </si>
  <si>
    <t>Working capital</t>
    <phoneticPr fontId="2" type="noConversion"/>
  </si>
  <si>
    <t>Combined Operating Cash Flow</t>
    <phoneticPr fontId="2" type="noConversion"/>
  </si>
  <si>
    <t>Combined Free Cash Flow</t>
    <phoneticPr fontId="2" type="noConversion"/>
  </si>
  <si>
    <t>Combined EBITDA</t>
    <phoneticPr fontId="2" type="noConversion"/>
  </si>
  <si>
    <t>Combined CAPEX</t>
    <phoneticPr fontId="2" type="noConversion"/>
  </si>
  <si>
    <t>Net income previous year</t>
  </si>
  <si>
    <t>Source</t>
  </si>
  <si>
    <t>pwc</t>
  </si>
  <si>
    <t>blackstone</t>
  </si>
  <si>
    <t>Opening cash balance onshore</t>
    <phoneticPr fontId="2" type="noConversion"/>
  </si>
  <si>
    <t xml:space="preserve">&lt;--- MW: added back social benefit exposure </t>
    <phoneticPr fontId="52" type="noConversion"/>
  </si>
  <si>
    <t>x normalized EBITDA</t>
  </si>
  <si>
    <t>Medium</t>
    <phoneticPr fontId="52" type="noConversion"/>
  </si>
  <si>
    <t>Adjust final period cash sweep adjustment (leads to remaining balance)</t>
    <phoneticPr fontId="52" type="noConversion"/>
  </si>
  <si>
    <t>Dividend</t>
    <phoneticPr fontId="3" type="noConversion"/>
  </si>
  <si>
    <t>+ accrued interest expense</t>
  </si>
  <si>
    <t>Term Loan (1)</t>
    <phoneticPr fontId="3" type="noConversion"/>
  </si>
  <si>
    <t>(1) includes deferred payment of USD 5.6 million upfront fee</t>
    <phoneticPr fontId="2" type="noConversion"/>
  </si>
  <si>
    <t>Acquisition consideration (2)</t>
    <phoneticPr fontId="3" type="noConversion"/>
  </si>
  <si>
    <t>(2) corrected for cash to be distributed to vendor after acquisition and distribution of proceeds of sale of plating business</t>
    <phoneticPr fontId="2" type="noConversion"/>
  </si>
  <si>
    <t>FY18</t>
    <phoneticPr fontId="63" type="noConversion"/>
  </si>
  <si>
    <t>LTD</t>
    <phoneticPr fontId="2" type="noConversion"/>
  </si>
  <si>
    <t>Senior Long Term Debt</t>
    <phoneticPr fontId="2" type="noConversion"/>
  </si>
  <si>
    <t>a</t>
    <phoneticPr fontId="52" type="noConversion"/>
  </si>
  <si>
    <t>RET</t>
    <phoneticPr fontId="2" type="noConversion"/>
  </si>
  <si>
    <t>RES</t>
    <phoneticPr fontId="2" type="noConversion"/>
  </si>
  <si>
    <t>SHC</t>
    <phoneticPr fontId="2" type="noConversion"/>
  </si>
  <si>
    <t>EQT</t>
    <phoneticPr fontId="2" type="noConversion"/>
  </si>
  <si>
    <t>depreciation test</t>
    <phoneticPr fontId="2" type="noConversion"/>
  </si>
  <si>
    <t xml:space="preserve">Top 5 Customer </t>
    <phoneticPr fontId="52" type="noConversion"/>
  </si>
  <si>
    <t xml:space="preserve">Total Customer </t>
    <phoneticPr fontId="52" type="noConversion"/>
  </si>
  <si>
    <t>Underlying Customer  Spending</t>
    <phoneticPr fontId="52" type="noConversion"/>
  </si>
  <si>
    <t>Top 5 Customer</t>
    <phoneticPr fontId="52" type="noConversion"/>
  </si>
  <si>
    <t xml:space="preserve">Top 6 to 21 Customers - </t>
    <phoneticPr fontId="52" type="noConversion"/>
  </si>
  <si>
    <t>Top 6 to 21 Customers -</t>
    <phoneticPr fontId="52" type="noConversion"/>
  </si>
  <si>
    <t xml:space="preserve">Total </t>
    <phoneticPr fontId="5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</si>
</sst>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2">
    <numFmt numFmtId="43" formatCode="_-* #,##0.00_-;\-* #,##0.00_-;_-* &quot;-&quot;??_-;_-@_-"/>
    <numFmt numFmtId="176" formatCode="_(* #,##0.00_);_(* \(#,##0.00\);_(* &quot;-&quot;??_);_(@_)"/>
    <numFmt numFmtId="177" formatCode="#,##0.0%_);\(#,##0.0%\)"/>
    <numFmt numFmtId="178" formatCode="#,##0.0_);\(#,##0.0\)"/>
    <numFmt numFmtId="179" formatCode="#&quot;bps&quot;"/>
    <numFmt numFmtId="180" formatCode="0_);\(0\)"/>
    <numFmt numFmtId="181" formatCode="yyyy/mm"/>
    <numFmt numFmtId="182" formatCode="0.00\x"/>
    <numFmt numFmtId="183" formatCode="0.0_ "/>
    <numFmt numFmtId="184" formatCode="0.0%"/>
    <numFmt numFmtId="185" formatCode="#,##0_ "/>
    <numFmt numFmtId="186" formatCode="0&quot; bps&quot;"/>
    <numFmt numFmtId="187" formatCode="#,##0.0;\-#,##0.0"/>
    <numFmt numFmtId="188" formatCode="\Q0"/>
    <numFmt numFmtId="189" formatCode="_-* #,##0_-;\-* #,##0_-;_-* &quot;-&quot;??_-;_-@_-"/>
    <numFmt numFmtId="190" formatCode="0.00_ "/>
    <numFmt numFmtId="191" formatCode="_([$€-2]* #,##0_);_([$€-2]* \(#,##0\);_([$€-2]* &quot;-&quot;??_)"/>
    <numFmt numFmtId="192" formatCode="_(* #,##0_);_(* \(#,##0\);_(* &quot;-&quot;_);@_)"/>
    <numFmt numFmtId="193" formatCode="_ [$€-2]* #,##0.00_ ;_ [$€-2]* \-#,##0.00_ ;_ [$€-2]* &quot;-&quot;??_ "/>
    <numFmt numFmtId="194" formatCode="0%_);\(0%\)"/>
    <numFmt numFmtId="195" formatCode="dd/mm/yy"/>
    <numFmt numFmtId="196" formatCode="yyyy&quot;A&quot;"/>
    <numFmt numFmtId="197" formatCode="yyyy&quot;E&quot;"/>
    <numFmt numFmtId="198" formatCode="* #,##0.0_);* \(#,##0.0\);* \-_);* @_)"/>
    <numFmt numFmtId="199" formatCode="* #,##0.0%_);* \(#,##0.0%\);* \-_);* @_)"/>
    <numFmt numFmtId="200" formatCode="* #,##0_);* \(#,##0\);* \-_);* @_)"/>
    <numFmt numFmtId="201" formatCode="* 0&quot;bps&quot;_);* \(0&quot;bps&quot;\)"/>
    <numFmt numFmtId="202" formatCode="* #,##0.00_);* \(#,##0.00\);* \-_);* @_)"/>
    <numFmt numFmtId="203" formatCode="_(* #,##0.0_);_(* \(#,##0.0\);_(* &quot;-&quot;??_);_(@_)"/>
    <numFmt numFmtId="204" formatCode="0.000"/>
    <numFmt numFmtId="205" formatCode="_(* #,##0_);_(* \(#,##0\);_(* &quot;-&quot;??_);_(@_)"/>
    <numFmt numFmtId="206" formatCode="#,##0.0"/>
  </numFmts>
  <fonts count="108">
    <font>
      <sz val="10"/>
      <color theme="1"/>
      <name val="Calibri"/>
      <family val="2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3"/>
      <charset val="134"/>
      <scheme val="minor"/>
    </font>
    <font>
      <sz val="8"/>
      <color indexed="22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9"/>
      <color indexed="81"/>
      <name val="細明體"/>
      <family val="3"/>
      <charset val="136"/>
    </font>
    <font>
      <sz val="11"/>
      <color theme="1"/>
      <name val="Calibri"/>
      <family val="2"/>
    </font>
    <font>
      <sz val="12"/>
      <name val="Calibri"/>
      <family val="2"/>
    </font>
    <font>
      <sz val="11"/>
      <color theme="1"/>
      <name val="新細明體"/>
      <family val="2"/>
      <scheme val="minor"/>
    </font>
    <font>
      <b/>
      <sz val="12"/>
      <name val="Calibri"/>
      <family val="2"/>
    </font>
    <font>
      <sz val="10"/>
      <name val="Calibri"/>
      <family val="2"/>
    </font>
    <font>
      <i/>
      <sz val="8"/>
      <name val="Calibri"/>
      <family val="2"/>
    </font>
    <font>
      <b/>
      <sz val="10"/>
      <color theme="0"/>
      <name val="Calibri"/>
      <family val="2"/>
    </font>
    <font>
      <sz val="10"/>
      <color theme="1"/>
      <name val="Calibri"/>
      <family val="2"/>
    </font>
    <font>
      <i/>
      <sz val="10"/>
      <color rgb="FF0000FF"/>
      <name val="Calibri"/>
      <family val="2"/>
    </font>
    <font>
      <sz val="10"/>
      <color rgb="FF0000FF"/>
      <name val="Calibri"/>
      <family val="2"/>
    </font>
    <font>
      <b/>
      <sz val="10"/>
      <color theme="1"/>
      <name val="Calibri"/>
      <family val="2"/>
    </font>
    <font>
      <i/>
      <sz val="10"/>
      <color theme="1"/>
      <name val="Calibri"/>
      <family val="2"/>
    </font>
    <font>
      <i/>
      <sz val="10"/>
      <name val="Calibri"/>
      <family val="2"/>
    </font>
    <font>
      <b/>
      <sz val="10"/>
      <name val="Calibri"/>
      <family val="2"/>
    </font>
    <font>
      <b/>
      <sz val="10"/>
      <color rgb="FF000000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0"/>
      <color rgb="FF000000"/>
      <name val="Calibri"/>
      <family val="2"/>
    </font>
    <font>
      <i/>
      <sz val="10"/>
      <color rgb="FF000000"/>
      <name val="Calibri"/>
      <family val="2"/>
    </font>
    <font>
      <b/>
      <i/>
      <sz val="10"/>
      <color theme="1"/>
      <name val="Calibri"/>
      <family val="2"/>
    </font>
    <font>
      <sz val="10"/>
      <color theme="3"/>
      <name val="Calibri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b/>
      <u/>
      <sz val="10"/>
      <name val="Arial"/>
      <family val="2"/>
    </font>
    <font>
      <sz val="10"/>
      <color rgb="FF0000FF"/>
      <name val="Arial"/>
      <family val="2"/>
    </font>
    <font>
      <sz val="11"/>
      <color theme="3"/>
      <name val="Calibri"/>
      <family val="2"/>
    </font>
    <font>
      <sz val="8"/>
      <name val="Calibri"/>
      <family val="2"/>
    </font>
    <font>
      <b/>
      <u/>
      <sz val="10"/>
      <color theme="1"/>
      <name val="Calibri"/>
      <family val="2"/>
    </font>
    <font>
      <sz val="10"/>
      <color theme="0"/>
      <name val="Calibri"/>
      <family val="2"/>
    </font>
    <font>
      <sz val="10"/>
      <color rgb="FF006600"/>
      <name val="Calibri"/>
      <family val="2"/>
    </font>
    <font>
      <i/>
      <sz val="11"/>
      <color theme="1"/>
      <name val="Calibri"/>
      <family val="2"/>
    </font>
    <font>
      <sz val="10"/>
      <color rgb="FFFF0000"/>
      <name val="Calibri"/>
      <family val="2"/>
    </font>
    <font>
      <sz val="11"/>
      <color theme="3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i/>
      <sz val="11"/>
      <color theme="1"/>
      <name val="新細明體"/>
      <family val="2"/>
      <scheme val="minor"/>
    </font>
    <font>
      <b/>
      <sz val="10"/>
      <color indexed="12"/>
      <name val="Calibri"/>
      <family val="2"/>
    </font>
    <font>
      <sz val="10"/>
      <color rgb="FF002060"/>
      <name val="Calibri"/>
      <family val="2"/>
    </font>
    <font>
      <sz val="9"/>
      <name val="細明體"/>
      <family val="3"/>
      <charset val="136"/>
    </font>
    <font>
      <sz val="10"/>
      <color theme="6" tint="-0.499984740745262"/>
      <name val="Arial"/>
      <family val="2"/>
    </font>
    <font>
      <b/>
      <sz val="10"/>
      <color theme="6" tint="-0.499984740745262"/>
      <name val="Arial"/>
      <family val="2"/>
    </font>
    <font>
      <sz val="10"/>
      <color rgb="FF00B050"/>
      <name val="Calibri"/>
      <family val="2"/>
    </font>
    <font>
      <sz val="12"/>
      <name val="新細明體"/>
      <family val="1"/>
      <charset val="136"/>
      <scheme val="major"/>
    </font>
    <font>
      <b/>
      <sz val="10"/>
      <name val="MS Sans Serif"/>
      <family val="2"/>
    </font>
    <font>
      <b/>
      <sz val="9"/>
      <color theme="3"/>
      <name val="新細明體"/>
      <family val="2"/>
      <scheme val="minor"/>
    </font>
    <font>
      <b/>
      <sz val="9"/>
      <color theme="3"/>
      <name val="Arial"/>
      <family val="2"/>
    </font>
    <font>
      <sz val="9"/>
      <color theme="1"/>
      <name val="Arial"/>
      <family val="2"/>
    </font>
    <font>
      <b/>
      <sz val="9"/>
      <color theme="1"/>
      <name val="新細明體"/>
      <family val="2"/>
      <scheme val="minor"/>
    </font>
    <font>
      <b/>
      <sz val="9"/>
      <color theme="1"/>
      <name val="Arial"/>
      <family val="2"/>
    </font>
    <font>
      <b/>
      <i/>
      <sz val="9"/>
      <color theme="0"/>
      <name val="新細明體"/>
      <family val="2"/>
      <scheme val="minor"/>
    </font>
    <font>
      <sz val="9"/>
      <color theme="1"/>
      <name val="新細明體"/>
      <family val="2"/>
      <scheme val="minor"/>
    </font>
    <font>
      <i/>
      <sz val="9"/>
      <color theme="3"/>
      <name val="Arial"/>
      <family val="2"/>
    </font>
    <font>
      <b/>
      <sz val="9"/>
      <color rgb="FF000000"/>
      <name val="Arial"/>
      <family val="2"/>
    </font>
    <font>
      <b/>
      <sz val="9"/>
      <color rgb="FFFFFFFF"/>
      <name val="Arial"/>
      <family val="2"/>
    </font>
    <font>
      <b/>
      <i/>
      <sz val="9"/>
      <color rgb="FFFFFFFF"/>
      <name val="Arial"/>
      <family val="2"/>
    </font>
    <font>
      <sz val="10"/>
      <color theme="1"/>
      <name val="Times New Roman"/>
      <family val="2"/>
    </font>
    <font>
      <i/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  <family val="1"/>
    </font>
    <font>
      <i/>
      <sz val="8"/>
      <name val="Times New Roman"/>
      <family val="1"/>
    </font>
    <font>
      <b/>
      <i/>
      <u val="singleAccounting"/>
      <sz val="10"/>
      <name val="Times New Roman"/>
      <family val="1"/>
    </font>
    <font>
      <b/>
      <u val="singleAccounting"/>
      <sz val="10"/>
      <name val="Times New Roman"/>
      <family val="1"/>
    </font>
    <font>
      <b/>
      <sz val="10"/>
      <name val="Times New Roman"/>
      <family val="1"/>
    </font>
    <font>
      <sz val="10"/>
      <color indexed="12"/>
      <name val="Times New Roman"/>
      <family val="1"/>
    </font>
    <font>
      <b/>
      <i/>
      <sz val="10"/>
      <name val="Times New Roman"/>
      <family val="1"/>
    </font>
    <font>
      <u val="singleAccounting"/>
      <sz val="10"/>
      <color indexed="12"/>
      <name val="Times New Roman"/>
      <family val="1"/>
    </font>
    <font>
      <u val="singleAccounting"/>
      <sz val="10"/>
      <name val="Times New Roman"/>
      <family val="1"/>
    </font>
    <font>
      <i/>
      <u/>
      <sz val="10"/>
      <name val="Times New Roman"/>
      <family val="1"/>
    </font>
    <font>
      <i/>
      <u val="singleAccounting"/>
      <sz val="10"/>
      <name val="Times New Roman"/>
      <family val="1"/>
    </font>
    <font>
      <i/>
      <u/>
      <sz val="10"/>
      <color indexed="8"/>
      <name val="Times New Roman"/>
      <family val="1"/>
    </font>
    <font>
      <b/>
      <i/>
      <sz val="10"/>
      <color rgb="FFFFFFFF"/>
      <name val="Times New Roman"/>
      <family val="1"/>
    </font>
    <font>
      <sz val="10"/>
      <color rgb="FFFF0000"/>
      <name val="Times New Roman"/>
      <family val="1"/>
    </font>
    <font>
      <b/>
      <u/>
      <sz val="10"/>
      <name val="Times New Roman"/>
      <family val="1"/>
    </font>
    <font>
      <b/>
      <sz val="10"/>
      <color rgb="FFFF0000"/>
      <name val="Times New Roman"/>
      <family val="1"/>
    </font>
    <font>
      <b/>
      <i/>
      <u/>
      <sz val="10"/>
      <name val="Times New Roman"/>
      <family val="1"/>
    </font>
    <font>
      <i/>
      <sz val="10"/>
      <color rgb="FF0000FF"/>
      <name val="Times New Roman"/>
      <family val="1"/>
    </font>
    <font>
      <i/>
      <sz val="10"/>
      <color indexed="8"/>
      <name val="Times New Roman"/>
      <family val="1"/>
    </font>
    <font>
      <i/>
      <sz val="10"/>
      <color rgb="FF0000E1"/>
      <name val="Times New Roman"/>
      <family val="1"/>
    </font>
    <font>
      <i/>
      <sz val="10"/>
      <color rgb="FFFF0000"/>
      <name val="Times New Roman"/>
      <family val="1"/>
    </font>
    <font>
      <sz val="10"/>
      <color rgb="FFC00000"/>
      <name val="Times New Roman"/>
      <family val="1"/>
    </font>
    <font>
      <u/>
      <sz val="10"/>
      <name val="Times New Roman"/>
      <family val="1"/>
    </font>
    <font>
      <i/>
      <sz val="10"/>
      <color rgb="FFFFFFFF"/>
      <name val="Times New Roman"/>
      <family val="1"/>
    </font>
    <font>
      <sz val="10"/>
      <color rgb="FFFFFFFF"/>
      <name val="Times New Roman"/>
      <family val="1"/>
    </font>
    <font>
      <sz val="10"/>
      <color theme="1"/>
      <name val="新細明體"/>
      <family val="2"/>
      <scheme val="minor"/>
    </font>
    <font>
      <b/>
      <sz val="14"/>
      <name val="Times New Roman"/>
      <family val="1"/>
    </font>
    <font>
      <b/>
      <sz val="10"/>
      <color indexed="8"/>
      <name val="Times New Roman"/>
      <family val="1"/>
    </font>
    <font>
      <b/>
      <i/>
      <sz val="10"/>
      <color indexed="8"/>
      <name val="Times New Roman"/>
      <family val="1"/>
    </font>
    <font>
      <sz val="10"/>
      <color indexed="17"/>
      <name val="Times New Roman"/>
      <family val="1"/>
    </font>
    <font>
      <u val="singleAccounting"/>
      <sz val="10"/>
      <color indexed="17"/>
      <name val="Times New Roman"/>
      <family val="1"/>
    </font>
    <font>
      <i/>
      <sz val="10"/>
      <color indexed="12"/>
      <name val="Times New Roman"/>
      <family val="1"/>
    </font>
    <font>
      <sz val="10"/>
      <color indexed="8"/>
      <name val="Times New Roman"/>
      <family val="1"/>
    </font>
    <font>
      <u val="singleAccounting"/>
      <sz val="10"/>
      <color indexed="8"/>
      <name val="Times New Roman"/>
      <family val="1"/>
    </font>
    <font>
      <b/>
      <sz val="10"/>
      <color indexed="12"/>
      <name val="Times New Roman"/>
      <family val="1"/>
    </font>
    <font>
      <b/>
      <sz val="9"/>
      <color indexed="81"/>
      <name val="細明體"/>
      <family val="3"/>
      <charset val="136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821A1A"/>
        <bgColor rgb="FF000000"/>
      </patternFill>
    </fill>
    <fill>
      <patternFill patternType="solid">
        <fgColor rgb="FFFFFF00"/>
        <bgColor rgb="FF000000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medium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</borders>
  <cellStyleXfs count="35">
    <xf numFmtId="0" fontId="0" fillId="2" borderId="0">
      <alignment vertical="center"/>
    </xf>
    <xf numFmtId="43" fontId="17" fillId="0" borderId="0" applyFill="0" applyBorder="0" applyAlignment="0" applyProtection="0">
      <alignment vertical="center"/>
    </xf>
    <xf numFmtId="37" fontId="17" fillId="2" borderId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3" fillId="2" borderId="0">
      <alignment vertical="center"/>
    </xf>
    <xf numFmtId="0" fontId="15" fillId="0" borderId="0">
      <alignment horizontal="left" vertical="center"/>
    </xf>
    <xf numFmtId="0" fontId="16" fillId="12" borderId="0" applyAlignment="0" applyProtection="0">
      <protection locked="0"/>
    </xf>
    <xf numFmtId="185" fontId="51" fillId="13" borderId="0" applyBorder="0"/>
    <xf numFmtId="181" fontId="16" fillId="12" borderId="0"/>
    <xf numFmtId="37" fontId="20" fillId="2" borderId="0" applyAlignment="0">
      <alignment horizontal="right" vertical="center"/>
    </xf>
    <xf numFmtId="177" fontId="21" fillId="2" borderId="0" applyAlignment="0">
      <alignment horizontal="right"/>
    </xf>
    <xf numFmtId="37" fontId="20" fillId="2" borderId="1" applyAlignment="0">
      <alignment horizontal="right" vertical="center"/>
    </xf>
    <xf numFmtId="37" fontId="20" fillId="2" borderId="2" applyAlignment="0">
      <alignment horizontal="right" vertical="center"/>
    </xf>
    <xf numFmtId="178" fontId="21" fillId="2" borderId="1" applyBorder="0" applyAlignment="0">
      <alignment horizontal="right"/>
    </xf>
    <xf numFmtId="182" fontId="17" fillId="2" borderId="0" applyAlignment="0"/>
    <xf numFmtId="184" fontId="51" fillId="13" borderId="0"/>
    <xf numFmtId="183" fontId="51" fillId="13" borderId="0"/>
    <xf numFmtId="186" fontId="51" fillId="13" borderId="0"/>
    <xf numFmtId="14" fontId="51" fillId="13" borderId="0"/>
    <xf numFmtId="182" fontId="51" fillId="13" borderId="0"/>
    <xf numFmtId="188" fontId="16" fillId="12" borderId="0">
      <alignment horizontal="center"/>
    </xf>
    <xf numFmtId="37" fontId="55" fillId="2" borderId="0" applyAlignment="0"/>
    <xf numFmtId="0" fontId="7" fillId="0" borderId="0" applyNumberFormat="0" applyFill="0" applyBorder="0" applyAlignment="0" applyProtection="0"/>
    <xf numFmtId="0" fontId="1" fillId="0" borderId="0">
      <alignment vertical="center"/>
    </xf>
    <xf numFmtId="0" fontId="58" fillId="0" borderId="19" applyFill="0" applyProtection="0">
      <alignment horizontal="right" wrapText="1"/>
    </xf>
    <xf numFmtId="192" fontId="61" fillId="0" borderId="20" applyNumberFormat="0" applyFill="0" applyAlignment="0" applyProtection="0"/>
    <xf numFmtId="191" fontId="61" fillId="0" borderId="21" applyNumberFormat="0" applyFill="0" applyAlignment="0" applyProtection="0"/>
    <xf numFmtId="193" fontId="58" fillId="0" borderId="19" applyFill="0" applyProtection="0">
      <alignment horizontal="right" wrapText="1"/>
    </xf>
    <xf numFmtId="194" fontId="64" fillId="0" borderId="0" applyFont="0" applyFill="0" applyBorder="0" applyAlignment="0" applyProtection="0"/>
    <xf numFmtId="193" fontId="61" fillId="0" borderId="21" applyNumberFormat="0" applyFill="0" applyAlignment="0" applyProtection="0"/>
    <xf numFmtId="0" fontId="69" fillId="0" borderId="0"/>
    <xf numFmtId="0" fontId="97" fillId="0" borderId="0"/>
    <xf numFmtId="192" fontId="64" fillId="0" borderId="0"/>
    <xf numFmtId="0" fontId="69" fillId="0" borderId="0"/>
    <xf numFmtId="0" fontId="69" fillId="0" borderId="0"/>
  </cellStyleXfs>
  <cellXfs count="797">
    <xf numFmtId="0" fontId="0" fillId="2" borderId="0" xfId="0">
      <alignment vertical="center"/>
    </xf>
    <xf numFmtId="0" fontId="10" fillId="2" borderId="0" xfId="0" applyFont="1" applyAlignment="1"/>
    <xf numFmtId="0" fontId="13" fillId="2" borderId="0" xfId="0" applyFont="1" applyAlignment="1">
      <alignment vertical="center"/>
    </xf>
    <xf numFmtId="0" fontId="14" fillId="2" borderId="0" xfId="0" applyFont="1" applyAlignment="1">
      <alignment vertical="center"/>
    </xf>
    <xf numFmtId="0" fontId="15" fillId="2" borderId="0" xfId="0" applyFont="1" applyAlignment="1">
      <alignment horizontal="left" vertical="center"/>
    </xf>
    <xf numFmtId="14" fontId="10" fillId="3" borderId="0" xfId="0" applyNumberFormat="1" applyFont="1" applyFill="1" applyAlignment="1"/>
    <xf numFmtId="0" fontId="17" fillId="2" borderId="0" xfId="0" applyFont="1" applyAlignment="1"/>
    <xf numFmtId="0" fontId="14" fillId="2" borderId="0" xfId="0" applyFont="1" applyFill="1" applyBorder="1" applyAlignment="1"/>
    <xf numFmtId="0" fontId="17" fillId="0" borderId="0" xfId="0" applyFont="1" applyFill="1" applyAlignment="1"/>
    <xf numFmtId="0" fontId="14" fillId="0" borderId="0" xfId="0" applyFont="1" applyFill="1" applyBorder="1" applyAlignment="1">
      <alignment vertical="center"/>
    </xf>
    <xf numFmtId="37" fontId="19" fillId="2" borderId="0" xfId="0" applyNumberFormat="1" applyFont="1" applyBorder="1" applyAlignment="1"/>
    <xf numFmtId="0" fontId="20" fillId="2" borderId="0" xfId="0" applyFont="1" applyAlignment="1"/>
    <xf numFmtId="0" fontId="21" fillId="2" borderId="0" xfId="0" applyFont="1" applyAlignment="1"/>
    <xf numFmtId="177" fontId="21" fillId="2" borderId="0" xfId="0" applyNumberFormat="1" applyFont="1" applyAlignment="1">
      <alignment horizontal="right"/>
    </xf>
    <xf numFmtId="0" fontId="20" fillId="2" borderId="1" xfId="0" applyFont="1" applyBorder="1" applyAlignment="1"/>
    <xf numFmtId="0" fontId="14" fillId="2" borderId="1" xfId="0" applyFont="1" applyBorder="1" applyAlignment="1">
      <alignment vertical="center"/>
    </xf>
    <xf numFmtId="37" fontId="20" fillId="2" borderId="1" xfId="0" applyNumberFormat="1" applyFont="1" applyBorder="1" applyAlignment="1">
      <alignment horizontal="right" vertical="center"/>
    </xf>
    <xf numFmtId="37" fontId="17" fillId="2" borderId="0" xfId="0" applyNumberFormat="1" applyFont="1" applyBorder="1" applyAlignment="1">
      <alignment horizontal="right" vertical="center"/>
    </xf>
    <xf numFmtId="0" fontId="10" fillId="3" borderId="0" xfId="0" applyFont="1" applyFill="1" applyAlignment="1"/>
    <xf numFmtId="0" fontId="20" fillId="2" borderId="0" xfId="0" applyFont="1" applyProtection="1">
      <alignment vertical="center"/>
      <protection locked="0"/>
    </xf>
    <xf numFmtId="0" fontId="17" fillId="2" borderId="0" xfId="0" applyFont="1" applyAlignment="1" applyProtection="1">
      <alignment horizontal="left" indent="1"/>
      <protection locked="0"/>
    </xf>
    <xf numFmtId="0" fontId="20" fillId="2" borderId="0" xfId="0" applyFont="1" applyBorder="1" applyProtection="1">
      <alignment vertical="center"/>
      <protection locked="0"/>
    </xf>
    <xf numFmtId="0" fontId="17" fillId="2" borderId="0" xfId="0" applyFont="1" applyBorder="1" applyAlignment="1"/>
    <xf numFmtId="0" fontId="20" fillId="2" borderId="0" xfId="0" applyFont="1" applyBorder="1" applyAlignment="1"/>
    <xf numFmtId="0" fontId="26" fillId="3" borderId="0" xfId="0" applyFont="1" applyFill="1" applyAlignment="1"/>
    <xf numFmtId="37" fontId="17" fillId="2" borderId="1" xfId="0" applyNumberFormat="1" applyFont="1" applyBorder="1" applyAlignment="1"/>
    <xf numFmtId="0" fontId="25" fillId="2" borderId="0" xfId="0" applyFont="1" applyAlignment="1"/>
    <xf numFmtId="0" fontId="10" fillId="3" borderId="0" xfId="1" applyNumberFormat="1" applyFont="1" applyFill="1" applyAlignment="1"/>
    <xf numFmtId="0" fontId="0" fillId="2" borderId="0" xfId="0">
      <alignment vertical="center"/>
    </xf>
    <xf numFmtId="14" fontId="10" fillId="2" borderId="0" xfId="0" applyNumberFormat="1" applyFont="1" applyAlignment="1"/>
    <xf numFmtId="0" fontId="10" fillId="2" borderId="0" xfId="0" applyFont="1" applyAlignment="1">
      <alignment horizontal="center"/>
    </xf>
    <xf numFmtId="0" fontId="26" fillId="2" borderId="0" xfId="0" applyFont="1" applyAlignment="1">
      <alignment horizontal="center"/>
    </xf>
    <xf numFmtId="0" fontId="31" fillId="2" borderId="0" xfId="0" applyFont="1" applyAlignment="1"/>
    <xf numFmtId="0" fontId="20" fillId="2" borderId="0" xfId="0" applyFont="1" applyFill="1" applyAlignment="1"/>
    <xf numFmtId="0" fontId="26" fillId="2" borderId="0" xfId="0" applyFont="1" applyAlignment="1"/>
    <xf numFmtId="0" fontId="17" fillId="2" borderId="0" xfId="0" applyFont="1" applyFill="1" applyAlignment="1"/>
    <xf numFmtId="177" fontId="22" fillId="2" borderId="0" xfId="0" applyNumberFormat="1" applyFont="1" applyAlignment="1">
      <alignment horizontal="right"/>
    </xf>
    <xf numFmtId="0" fontId="33" fillId="2" borderId="0" xfId="0" applyFont="1" applyAlignment="1"/>
    <xf numFmtId="0" fontId="10" fillId="2" borderId="0" xfId="0" applyFont="1" applyFill="1" applyAlignment="1"/>
    <xf numFmtId="37" fontId="35" fillId="2" borderId="0" xfId="0" applyNumberFormat="1" applyFont="1" applyAlignment="1"/>
    <xf numFmtId="37" fontId="31" fillId="2" borderId="0" xfId="0" applyNumberFormat="1" applyFont="1" applyAlignment="1"/>
    <xf numFmtId="37" fontId="36" fillId="2" borderId="0" xfId="0" applyNumberFormat="1" applyFont="1" applyAlignment="1"/>
    <xf numFmtId="37" fontId="37" fillId="2" borderId="0" xfId="0" applyNumberFormat="1" applyFont="1" applyAlignment="1"/>
    <xf numFmtId="0" fontId="38" fillId="2" borderId="0" xfId="0" applyFont="1" applyAlignment="1"/>
    <xf numFmtId="0" fontId="34" fillId="2" borderId="0" xfId="0" applyFont="1" applyAlignment="1"/>
    <xf numFmtId="37" fontId="39" fillId="2" borderId="0" xfId="0" applyNumberFormat="1" applyFont="1" applyAlignment="1"/>
    <xf numFmtId="0" fontId="14" fillId="0" borderId="0" xfId="0" applyFont="1" applyFill="1" applyBorder="1" applyAlignment="1" applyProtection="1"/>
    <xf numFmtId="0" fontId="32" fillId="2" borderId="0" xfId="0" applyFont="1" applyAlignment="1"/>
    <xf numFmtId="0" fontId="14" fillId="2" borderId="0" xfId="0" applyFont="1" applyBorder="1" applyAlignment="1" applyProtection="1"/>
    <xf numFmtId="0" fontId="31" fillId="2" borderId="0" xfId="0" applyFont="1" applyProtection="1">
      <alignment vertical="center"/>
      <protection locked="0"/>
    </xf>
    <xf numFmtId="37" fontId="34" fillId="2" borderId="0" xfId="0" applyNumberFormat="1" applyFont="1" applyAlignment="1"/>
    <xf numFmtId="178" fontId="31" fillId="2" borderId="0" xfId="0" applyNumberFormat="1" applyFont="1" applyAlignment="1"/>
    <xf numFmtId="0" fontId="0" fillId="2" borderId="0" xfId="0" applyAlignment="1"/>
    <xf numFmtId="0" fontId="0" fillId="0" borderId="0" xfId="0" applyFill="1" applyAlignment="1"/>
    <xf numFmtId="0" fontId="40" fillId="2" borderId="0" xfId="0" applyFont="1" applyFill="1" applyAlignment="1"/>
    <xf numFmtId="0" fontId="41" fillId="5" borderId="0" xfId="0" applyFont="1" applyFill="1" applyAlignment="1">
      <alignment horizontal="left" vertical="center"/>
    </xf>
    <xf numFmtId="0" fontId="14" fillId="2" borderId="12" xfId="0" applyFont="1" applyBorder="1" applyAlignment="1" applyProtection="1"/>
    <xf numFmtId="0" fontId="17" fillId="2" borderId="0" xfId="0" applyFont="1" applyFill="1" applyBorder="1" applyAlignment="1">
      <alignment vertical="center"/>
    </xf>
    <xf numFmtId="0" fontId="14" fillId="2" borderId="0" xfId="0" applyFont="1" applyFill="1" applyBorder="1" applyAlignment="1">
      <alignment vertical="center"/>
    </xf>
    <xf numFmtId="177" fontId="17" fillId="2" borderId="0" xfId="0" applyNumberFormat="1" applyFont="1" applyFill="1" applyBorder="1" applyAlignment="1">
      <alignment vertical="center"/>
    </xf>
    <xf numFmtId="0" fontId="14" fillId="0" borderId="0" xfId="0" applyFont="1" applyFill="1" applyBorder="1">
      <alignment vertical="center"/>
    </xf>
    <xf numFmtId="0" fontId="20" fillId="2" borderId="4" xfId="0" applyFont="1" applyBorder="1" applyAlignment="1">
      <alignment horizontal="centerContinuous"/>
    </xf>
    <xf numFmtId="0" fontId="20" fillId="2" borderId="2" xfId="0" applyFont="1" applyBorder="1" applyAlignment="1">
      <alignment horizontal="centerContinuous"/>
    </xf>
    <xf numFmtId="0" fontId="42" fillId="2" borderId="5" xfId="0" applyFont="1" applyBorder="1" applyAlignment="1">
      <alignment horizontal="centerContinuous"/>
    </xf>
    <xf numFmtId="10" fontId="17" fillId="2" borderId="0" xfId="0" applyNumberFormat="1" applyFont="1" applyAlignment="1"/>
    <xf numFmtId="0" fontId="20" fillId="2" borderId="6" xfId="0" applyFont="1" applyBorder="1" applyAlignment="1"/>
    <xf numFmtId="0" fontId="42" fillId="2" borderId="1" xfId="0" applyFont="1" applyBorder="1" applyAlignment="1">
      <alignment horizontal="center"/>
    </xf>
    <xf numFmtId="0" fontId="20" fillId="2" borderId="7" xfId="0" applyFont="1" applyBorder="1" applyAlignment="1">
      <alignment horizontal="right"/>
    </xf>
    <xf numFmtId="0" fontId="43" fillId="2" borderId="0" xfId="0" applyFont="1" applyAlignment="1"/>
    <xf numFmtId="0" fontId="17" fillId="2" borderId="8" xfId="0" applyFont="1" applyBorder="1" applyAlignment="1"/>
    <xf numFmtId="0" fontId="30" fillId="2" borderId="0" xfId="0" applyFont="1" applyBorder="1" applyAlignment="1"/>
    <xf numFmtId="0" fontId="14" fillId="2" borderId="0" xfId="0" applyFont="1" applyAlignment="1"/>
    <xf numFmtId="0" fontId="27" fillId="0" borderId="0" xfId="1" applyNumberFormat="1" applyFont="1" applyBorder="1" applyAlignment="1"/>
    <xf numFmtId="0" fontId="17" fillId="2" borderId="10" xfId="0" applyFont="1" applyBorder="1" applyAlignment="1"/>
    <xf numFmtId="0" fontId="44" fillId="2" borderId="0" xfId="0" applyFont="1" applyAlignment="1"/>
    <xf numFmtId="10" fontId="19" fillId="2" borderId="0" xfId="0" applyNumberFormat="1" applyFont="1" applyBorder="1" applyAlignment="1"/>
    <xf numFmtId="0" fontId="14" fillId="2" borderId="0" xfId="0" applyFont="1" applyFill="1" applyBorder="1">
      <alignment vertical="center"/>
    </xf>
    <xf numFmtId="0" fontId="44" fillId="2" borderId="0" xfId="0" applyFont="1" applyFill="1" applyAlignment="1"/>
    <xf numFmtId="0" fontId="14" fillId="2" borderId="0" xfId="0" applyFont="1" applyFill="1" applyAlignment="1"/>
    <xf numFmtId="179" fontId="27" fillId="2" borderId="0" xfId="0" applyNumberFormat="1" applyFont="1" applyBorder="1" applyAlignment="1"/>
    <xf numFmtId="4" fontId="23" fillId="2" borderId="0" xfId="0" applyNumberFormat="1" applyFont="1" applyFill="1" applyBorder="1" applyAlignment="1" applyProtection="1">
      <alignment horizontal="left"/>
    </xf>
    <xf numFmtId="0" fontId="42" fillId="2" borderId="8" xfId="0" applyFont="1" applyBorder="1" applyAlignment="1">
      <alignment horizontal="centerContinuous"/>
    </xf>
    <xf numFmtId="9" fontId="17" fillId="2" borderId="0" xfId="3" applyFont="1" applyFill="1" applyAlignment="1"/>
    <xf numFmtId="0" fontId="17" fillId="2" borderId="6" xfId="0" applyFont="1" applyFill="1" applyBorder="1" applyAlignment="1"/>
    <xf numFmtId="0" fontId="17" fillId="2" borderId="8" xfId="0" applyFont="1" applyFill="1" applyBorder="1" applyAlignment="1"/>
    <xf numFmtId="10" fontId="17" fillId="2" borderId="0" xfId="0" applyNumberFormat="1" applyFont="1" applyFill="1" applyAlignment="1"/>
    <xf numFmtId="0" fontId="17" fillId="2" borderId="10" xfId="0" applyFont="1" applyFill="1" applyBorder="1" applyAlignment="1"/>
    <xf numFmtId="0" fontId="18" fillId="2" borderId="0" xfId="1" applyNumberFormat="1" applyFont="1" applyFill="1" applyBorder="1" applyAlignment="1"/>
    <xf numFmtId="0" fontId="10" fillId="0" borderId="0" xfId="0" applyFont="1" applyFill="1" applyAlignment="1"/>
    <xf numFmtId="14" fontId="26" fillId="3" borderId="0" xfId="0" applyNumberFormat="1" applyFont="1" applyFill="1" applyAlignment="1"/>
    <xf numFmtId="14" fontId="26" fillId="2" borderId="0" xfId="0" applyNumberFormat="1" applyFont="1" applyAlignment="1"/>
    <xf numFmtId="14" fontId="26" fillId="0" borderId="0" xfId="1" applyNumberFormat="1" applyFont="1" applyAlignment="1"/>
    <xf numFmtId="0" fontId="26" fillId="4" borderId="0" xfId="0" applyFont="1" applyFill="1" applyAlignment="1"/>
    <xf numFmtId="0" fontId="10" fillId="4" borderId="0" xfId="0" applyFont="1" applyFill="1" applyAlignment="1"/>
    <xf numFmtId="0" fontId="40" fillId="2" borderId="0" xfId="0" applyFont="1" applyAlignment="1"/>
    <xf numFmtId="0" fontId="40" fillId="0" borderId="0" xfId="1" applyNumberFormat="1" applyFont="1" applyAlignment="1"/>
    <xf numFmtId="0" fontId="10" fillId="0" borderId="0" xfId="1" applyNumberFormat="1" applyFont="1" applyAlignment="1"/>
    <xf numFmtId="0" fontId="14" fillId="0" borderId="12" xfId="0" applyFont="1" applyFill="1" applyBorder="1" applyAlignment="1" applyProtection="1"/>
    <xf numFmtId="0" fontId="23" fillId="2" borderId="12" xfId="0" applyFont="1" applyBorder="1" applyAlignment="1" applyProtection="1"/>
    <xf numFmtId="0" fontId="23" fillId="0" borderId="12" xfId="0" applyFont="1" applyFill="1" applyBorder="1" applyAlignment="1" applyProtection="1"/>
    <xf numFmtId="0" fontId="46" fillId="2" borderId="12" xfId="0" applyFont="1" applyBorder="1" applyAlignment="1" applyProtection="1"/>
    <xf numFmtId="0" fontId="46" fillId="0" borderId="12" xfId="0" applyFont="1" applyFill="1" applyBorder="1" applyAlignment="1" applyProtection="1"/>
    <xf numFmtId="0" fontId="14" fillId="6" borderId="12" xfId="0" applyFont="1" applyFill="1" applyBorder="1" applyAlignment="1" applyProtection="1"/>
    <xf numFmtId="0" fontId="17" fillId="2" borderId="0" xfId="0" applyFont="1" applyAlignment="1">
      <alignment vertical="center"/>
    </xf>
    <xf numFmtId="177" fontId="17" fillId="2" borderId="0" xfId="0" applyNumberFormat="1" applyFont="1" applyAlignment="1">
      <alignment vertical="center"/>
    </xf>
    <xf numFmtId="0" fontId="14" fillId="0" borderId="0" xfId="0" applyFont="1" applyFill="1" applyBorder="1" applyAlignment="1">
      <alignment vertical="center"/>
    </xf>
    <xf numFmtId="0" fontId="47" fillId="2" borderId="0" xfId="0" applyFont="1" applyAlignment="1"/>
    <xf numFmtId="0" fontId="48" fillId="2" borderId="0" xfId="0" applyFont="1" applyAlignment="1"/>
    <xf numFmtId="0" fontId="49" fillId="0" borderId="0" xfId="0" applyFont="1" applyFill="1" applyAlignment="1"/>
    <xf numFmtId="0" fontId="0" fillId="2" borderId="0" xfId="0" applyFont="1" applyAlignment="1"/>
    <xf numFmtId="0" fontId="26" fillId="2" borderId="0" xfId="0" applyFont="1" applyAlignment="1">
      <alignment horizontal="center"/>
    </xf>
    <xf numFmtId="0" fontId="14" fillId="2" borderId="13" xfId="0" applyFont="1" applyBorder="1" applyAlignment="1" applyProtection="1"/>
    <xf numFmtId="0" fontId="14" fillId="4" borderId="12" xfId="0" applyFont="1" applyFill="1" applyBorder="1" applyAlignment="1" applyProtection="1"/>
    <xf numFmtId="0" fontId="14" fillId="2" borderId="0" xfId="0" applyFont="1" applyAlignment="1" applyProtection="1"/>
    <xf numFmtId="0" fontId="50" fillId="2" borderId="0" xfId="0" applyFont="1" applyAlignment="1" applyProtection="1"/>
    <xf numFmtId="14" fontId="14" fillId="2" borderId="0" xfId="0" applyNumberFormat="1" applyFont="1" applyAlignment="1" applyProtection="1"/>
    <xf numFmtId="0" fontId="14" fillId="0" borderId="0" xfId="0" applyFont="1" applyFill="1" applyAlignment="1" applyProtection="1">
      <protection locked="0"/>
    </xf>
    <xf numFmtId="14" fontId="14" fillId="0" borderId="0" xfId="0" applyNumberFormat="1" applyFont="1" applyFill="1" applyAlignment="1" applyProtection="1">
      <protection locked="0"/>
    </xf>
    <xf numFmtId="0" fontId="19" fillId="2" borderId="0" xfId="0" applyFont="1" applyAlignment="1" applyProtection="1">
      <alignment horizontal="center"/>
    </xf>
    <xf numFmtId="0" fontId="23" fillId="8" borderId="14" xfId="0" applyFont="1" applyFill="1" applyBorder="1" applyAlignment="1" applyProtection="1"/>
    <xf numFmtId="14" fontId="23" fillId="8" borderId="14" xfId="0" applyNumberFormat="1" applyFont="1" applyFill="1" applyBorder="1" applyAlignment="1" applyProtection="1">
      <alignment horizontal="right"/>
    </xf>
    <xf numFmtId="0" fontId="14" fillId="8" borderId="1" xfId="0" applyFont="1" applyFill="1" applyBorder="1" applyAlignment="1" applyProtection="1"/>
    <xf numFmtId="0" fontId="23" fillId="8" borderId="1" xfId="0" applyFont="1" applyFill="1" applyBorder="1" applyAlignment="1" applyProtection="1"/>
    <xf numFmtId="0" fontId="14" fillId="8" borderId="15" xfId="0" applyFont="1" applyFill="1" applyBorder="1" applyAlignment="1" applyProtection="1"/>
    <xf numFmtId="14" fontId="23" fillId="8" borderId="15" xfId="0" applyNumberFormat="1" applyFont="1" applyFill="1" applyBorder="1" applyAlignment="1" applyProtection="1"/>
    <xf numFmtId="0" fontId="23" fillId="0" borderId="0" xfId="0" applyFont="1" applyFill="1" applyAlignment="1" applyProtection="1">
      <alignment vertical="center"/>
    </xf>
    <xf numFmtId="0" fontId="11" fillId="0" borderId="16" xfId="0" applyFont="1" applyFill="1" applyBorder="1" applyAlignment="1" applyProtection="1">
      <alignment horizontal="left" vertical="center"/>
      <protection locked="0"/>
    </xf>
    <xf numFmtId="0" fontId="11" fillId="9" borderId="16" xfId="0" applyFont="1" applyFill="1" applyBorder="1" applyAlignment="1" applyProtection="1">
      <alignment horizontal="right" vertical="center"/>
      <protection locked="0"/>
    </xf>
    <xf numFmtId="0" fontId="11" fillId="9" borderId="16" xfId="0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Alignment="1" applyProtection="1">
      <alignment horizontal="left" vertical="center"/>
      <protection locked="0"/>
    </xf>
    <xf numFmtId="14" fontId="11" fillId="0" borderId="0" xfId="0" applyNumberFormat="1" applyFont="1" applyFill="1" applyBorder="1" applyAlignment="1" applyProtection="1">
      <alignment vertical="center"/>
    </xf>
    <xf numFmtId="0" fontId="11" fillId="0" borderId="0" xfId="0" applyFont="1" applyFill="1" applyBorder="1" applyAlignment="1" applyProtection="1">
      <alignment horizontal="left" vertical="center"/>
    </xf>
    <xf numFmtId="0" fontId="11" fillId="0" borderId="0" xfId="0" applyFont="1" applyFill="1" applyBorder="1" applyAlignment="1" applyProtection="1">
      <alignment horizontal="right" vertical="center"/>
    </xf>
    <xf numFmtId="0" fontId="11" fillId="0" borderId="0" xfId="1" applyNumberFormat="1" applyFont="1" applyFill="1" applyBorder="1" applyAlignment="1" applyProtection="1">
      <alignment horizontal="right" vertical="center"/>
    </xf>
    <xf numFmtId="180" fontId="11" fillId="0" borderId="0" xfId="1" applyNumberFormat="1" applyFont="1" applyFill="1" applyBorder="1" applyAlignment="1" applyProtection="1">
      <alignment horizontal="right" vertical="center"/>
    </xf>
    <xf numFmtId="0" fontId="11" fillId="0" borderId="0" xfId="0" quotePrefix="1" applyFont="1" applyFill="1" applyBorder="1" applyAlignment="1" applyProtection="1">
      <alignment vertical="center"/>
    </xf>
    <xf numFmtId="0" fontId="11" fillId="0" borderId="0" xfId="0" applyFont="1" applyFill="1" applyBorder="1" applyAlignment="1" applyProtection="1">
      <alignment vertical="center"/>
    </xf>
    <xf numFmtId="3" fontId="11" fillId="0" borderId="0" xfId="0" applyNumberFormat="1" applyFont="1" applyFill="1" applyBorder="1" applyAlignment="1" applyProtection="1">
      <alignment vertical="center"/>
    </xf>
    <xf numFmtId="0" fontId="11" fillId="0" borderId="15" xfId="0" quotePrefix="1" applyFont="1" applyFill="1" applyBorder="1" applyAlignment="1" applyProtection="1">
      <alignment vertical="center"/>
    </xf>
    <xf numFmtId="0" fontId="11" fillId="0" borderId="15" xfId="0" applyFont="1" applyFill="1" applyBorder="1" applyAlignment="1" applyProtection="1">
      <alignment vertical="center"/>
    </xf>
    <xf numFmtId="3" fontId="11" fillId="0" borderId="15" xfId="0" applyNumberFormat="1" applyFont="1" applyFill="1" applyBorder="1" applyAlignment="1" applyProtection="1">
      <alignment vertical="center"/>
    </xf>
    <xf numFmtId="0" fontId="26" fillId="10" borderId="4" xfId="0" applyFont="1" applyFill="1" applyBorder="1" applyAlignment="1"/>
    <xf numFmtId="0" fontId="26" fillId="10" borderId="2" xfId="0" applyFont="1" applyFill="1" applyBorder="1" applyAlignment="1"/>
    <xf numFmtId="0" fontId="26" fillId="10" borderId="5" xfId="0" applyFont="1" applyFill="1" applyBorder="1" applyAlignment="1"/>
    <xf numFmtId="0" fontId="26" fillId="7" borderId="4" xfId="0" applyFont="1" applyFill="1" applyBorder="1" applyAlignment="1"/>
    <xf numFmtId="0" fontId="10" fillId="7" borderId="2" xfId="0" applyFont="1" applyFill="1" applyBorder="1" applyAlignment="1"/>
    <xf numFmtId="0" fontId="10" fillId="7" borderId="5" xfId="0" applyFont="1" applyFill="1" applyBorder="1" applyAlignment="1"/>
    <xf numFmtId="0" fontId="10" fillId="10" borderId="8" xfId="0" applyFont="1" applyFill="1" applyBorder="1" applyAlignment="1"/>
    <xf numFmtId="0" fontId="10" fillId="10" borderId="0" xfId="0" applyFont="1" applyFill="1" applyBorder="1" applyAlignment="1"/>
    <xf numFmtId="0" fontId="10" fillId="10" borderId="9" xfId="0" applyFont="1" applyFill="1" applyBorder="1" applyAlignment="1"/>
    <xf numFmtId="0" fontId="26" fillId="7" borderId="8" xfId="0" applyFont="1" applyFill="1" applyBorder="1" applyAlignment="1"/>
    <xf numFmtId="0" fontId="10" fillId="7" borderId="0" xfId="0" applyFont="1" applyFill="1" applyBorder="1" applyAlignment="1"/>
    <xf numFmtId="0" fontId="10" fillId="7" borderId="9" xfId="0" applyFont="1" applyFill="1" applyBorder="1" applyAlignment="1"/>
    <xf numFmtId="0" fontId="26" fillId="10" borderId="17" xfId="0" applyFont="1" applyFill="1" applyBorder="1" applyAlignment="1"/>
    <xf numFmtId="0" fontId="10" fillId="7" borderId="8" xfId="0" applyFont="1" applyFill="1" applyBorder="1" applyAlignment="1"/>
    <xf numFmtId="0" fontId="26" fillId="7" borderId="17" xfId="0" applyFont="1" applyFill="1" applyBorder="1" applyAlignment="1"/>
    <xf numFmtId="0" fontId="26" fillId="2" borderId="8" xfId="0" applyFont="1" applyFill="1" applyBorder="1" applyAlignment="1"/>
    <xf numFmtId="0" fontId="10" fillId="2" borderId="0" xfId="0" applyFont="1" applyFill="1" applyBorder="1" applyAlignment="1"/>
    <xf numFmtId="0" fontId="10" fillId="2" borderId="9" xfId="0" applyFont="1" applyFill="1" applyBorder="1" applyAlignment="1"/>
    <xf numFmtId="0" fontId="10" fillId="2" borderId="8" xfId="0" applyFont="1" applyFill="1" applyBorder="1" applyAlignment="1"/>
    <xf numFmtId="0" fontId="26" fillId="2" borderId="17" xfId="0" applyFont="1" applyFill="1" applyBorder="1" applyAlignment="1"/>
    <xf numFmtId="0" fontId="10" fillId="10" borderId="0" xfId="0" applyFont="1" applyFill="1" applyAlignment="1"/>
    <xf numFmtId="0" fontId="26" fillId="11" borderId="8" xfId="0" applyFont="1" applyFill="1" applyBorder="1" applyAlignment="1"/>
    <xf numFmtId="0" fontId="10" fillId="11" borderId="0" xfId="0" applyFont="1" applyFill="1" applyBorder="1" applyAlignment="1"/>
    <xf numFmtId="0" fontId="10" fillId="11" borderId="9" xfId="0" applyFont="1" applyFill="1" applyBorder="1" applyAlignment="1"/>
    <xf numFmtId="0" fontId="10" fillId="11" borderId="8" xfId="0" applyFont="1" applyFill="1" applyBorder="1" applyAlignment="1"/>
    <xf numFmtId="0" fontId="26" fillId="11" borderId="17" xfId="0" applyFont="1" applyFill="1" applyBorder="1" applyAlignment="1"/>
    <xf numFmtId="0" fontId="26" fillId="11" borderId="0" xfId="0" applyFont="1" applyFill="1" applyBorder="1" applyAlignment="1"/>
    <xf numFmtId="0" fontId="10" fillId="10" borderId="10" xfId="0" applyFont="1" applyFill="1" applyBorder="1" applyAlignment="1"/>
    <xf numFmtId="0" fontId="10" fillId="10" borderId="3" xfId="0" applyFont="1" applyFill="1" applyBorder="1" applyAlignment="1"/>
    <xf numFmtId="0" fontId="10" fillId="10" borderId="11" xfId="0" applyFont="1" applyFill="1" applyBorder="1" applyAlignment="1"/>
    <xf numFmtId="0" fontId="10" fillId="11" borderId="10" xfId="0" applyFont="1" applyFill="1" applyBorder="1" applyAlignment="1"/>
    <xf numFmtId="0" fontId="10" fillId="11" borderId="3" xfId="0" applyFont="1" applyFill="1" applyBorder="1" applyAlignment="1"/>
    <xf numFmtId="0" fontId="10" fillId="11" borderId="11" xfId="0" applyFont="1" applyFill="1" applyBorder="1" applyAlignment="1"/>
    <xf numFmtId="0" fontId="16" fillId="12" borderId="0" xfId="0" applyFont="1" applyFill="1" applyBorder="1" applyAlignment="1" applyProtection="1">
      <protection locked="0"/>
    </xf>
    <xf numFmtId="0" fontId="16" fillId="12" borderId="0" xfId="0" applyFont="1" applyFill="1" applyBorder="1" applyAlignment="1"/>
    <xf numFmtId="0" fontId="51" fillId="13" borderId="0" xfId="1" applyNumberFormat="1" applyFont="1" applyFill="1" applyBorder="1" applyAlignment="1"/>
    <xf numFmtId="0" fontId="16" fillId="12" borderId="0" xfId="6" applyProtection="1"/>
    <xf numFmtId="0" fontId="16" fillId="12" borderId="0" xfId="6" applyAlignment="1" applyProtection="1">
      <alignment horizontal="right"/>
    </xf>
    <xf numFmtId="181" fontId="16" fillId="12" borderId="0" xfId="6" applyNumberFormat="1" applyProtection="1"/>
    <xf numFmtId="37" fontId="20" fillId="2" borderId="0" xfId="9" applyAlignment="1"/>
    <xf numFmtId="37" fontId="20" fillId="2" borderId="0" xfId="9" applyAlignment="1">
      <alignment vertical="center"/>
    </xf>
    <xf numFmtId="37" fontId="20" fillId="2" borderId="0" xfId="9" applyAlignment="1">
      <alignment horizontal="right" vertical="center"/>
    </xf>
    <xf numFmtId="177" fontId="21" fillId="2" borderId="0" xfId="10" applyAlignment="1"/>
    <xf numFmtId="177" fontId="21" fillId="2" borderId="0" xfId="10" applyAlignment="1">
      <alignment vertical="center"/>
    </xf>
    <xf numFmtId="177" fontId="21" fillId="2" borderId="0" xfId="10" applyAlignment="1">
      <alignment horizontal="right"/>
    </xf>
    <xf numFmtId="37" fontId="10" fillId="2" borderId="0" xfId="2" applyFont="1" applyFill="1" applyAlignment="1"/>
    <xf numFmtId="37" fontId="21" fillId="2" borderId="0" xfId="2" applyFont="1" applyFill="1" applyAlignment="1"/>
    <xf numFmtId="37" fontId="14" fillId="2" borderId="0" xfId="2" applyFont="1" applyFill="1" applyAlignment="1">
      <alignment vertical="center"/>
    </xf>
    <xf numFmtId="177" fontId="21" fillId="2" borderId="0" xfId="10" applyAlignment="1">
      <alignment horizontal="right" vertical="center"/>
    </xf>
    <xf numFmtId="37" fontId="20" fillId="2" borderId="1" xfId="11">
      <alignment horizontal="right" vertical="center"/>
    </xf>
    <xf numFmtId="37" fontId="20" fillId="2" borderId="1" xfId="11" applyAlignment="1">
      <alignment horizontal="left" vertical="center"/>
    </xf>
    <xf numFmtId="37" fontId="20" fillId="2" borderId="2" xfId="12" applyAlignment="1">
      <alignment vertical="center"/>
    </xf>
    <xf numFmtId="37" fontId="20" fillId="2" borderId="2" xfId="12" applyAlignment="1">
      <alignment horizontal="right" vertical="center"/>
    </xf>
    <xf numFmtId="0" fontId="15" fillId="0" borderId="0" xfId="5">
      <alignment horizontal="left" vertical="center"/>
    </xf>
    <xf numFmtId="37" fontId="20" fillId="2" borderId="2" xfId="12" applyAlignment="1"/>
    <xf numFmtId="0" fontId="13" fillId="2" borderId="0" xfId="4">
      <alignment vertical="center"/>
    </xf>
    <xf numFmtId="185" fontId="51" fillId="13" borderId="0" xfId="7"/>
    <xf numFmtId="181" fontId="16" fillId="12" borderId="0" xfId="8"/>
    <xf numFmtId="37" fontId="20" fillId="2" borderId="1" xfId="11" applyAlignment="1"/>
    <xf numFmtId="37" fontId="17" fillId="2" borderId="0" xfId="2" applyFont="1" applyFill="1" applyAlignment="1"/>
    <xf numFmtId="37" fontId="20" fillId="2" borderId="1" xfId="11" applyAlignment="1">
      <alignment vertical="center"/>
    </xf>
    <xf numFmtId="37" fontId="17" fillId="2" borderId="0" xfId="2" applyFont="1" applyFill="1" applyBorder="1" applyAlignment="1"/>
    <xf numFmtId="178" fontId="21" fillId="2" borderId="1" xfId="13" applyAlignment="1"/>
    <xf numFmtId="178" fontId="21" fillId="2" borderId="1" xfId="13" applyAlignment="1">
      <alignment horizontal="right"/>
    </xf>
    <xf numFmtId="37" fontId="17" fillId="2" borderId="0" xfId="2" quotePrefix="1" applyFont="1" applyFill="1" applyAlignment="1"/>
    <xf numFmtId="37" fontId="17" fillId="2" borderId="0" xfId="2" quotePrefix="1" applyFont="1" applyFill="1" applyBorder="1" applyAlignment="1"/>
    <xf numFmtId="37" fontId="20" fillId="2" borderId="0" xfId="2" applyFont="1" applyFill="1" applyBorder="1" applyAlignment="1"/>
    <xf numFmtId="37" fontId="23" fillId="0" borderId="0" xfId="2" applyFont="1" applyFill="1" applyBorder="1" applyAlignment="1">
      <alignment vertical="center"/>
    </xf>
    <xf numFmtId="0" fontId="16" fillId="12" borderId="0" xfId="6" applyAlignment="1" applyProtection="1"/>
    <xf numFmtId="37" fontId="17" fillId="2" borderId="1" xfId="2" applyFont="1" applyFill="1" applyBorder="1" applyAlignment="1"/>
    <xf numFmtId="37" fontId="14" fillId="2" borderId="0" xfId="2" applyFont="1" applyFill="1" applyBorder="1" applyAlignment="1">
      <alignment vertical="center"/>
    </xf>
    <xf numFmtId="37" fontId="14" fillId="0" borderId="0" xfId="2" quotePrefix="1" applyFont="1" applyFill="1" applyBorder="1" applyAlignment="1">
      <alignment horizontal="left" vertical="center"/>
    </xf>
    <xf numFmtId="0" fontId="16" fillId="12" borderId="0" xfId="6" applyAlignment="1" applyProtection="1">
      <alignment vertical="center"/>
    </xf>
    <xf numFmtId="182" fontId="17" fillId="2" borderId="0" xfId="14" applyAlignment="1"/>
    <xf numFmtId="0" fontId="0" fillId="2" borderId="0" xfId="0" applyFont="1">
      <alignment vertical="center"/>
    </xf>
    <xf numFmtId="1" fontId="0" fillId="2" borderId="0" xfId="0" applyNumberFormat="1" applyFont="1" applyAlignment="1"/>
    <xf numFmtId="0" fontId="0" fillId="4" borderId="0" xfId="0" applyFont="1" applyFill="1" applyAlignment="1"/>
    <xf numFmtId="0" fontId="0" fillId="2" borderId="0" xfId="0" applyFont="1" applyFill="1" applyAlignment="1"/>
    <xf numFmtId="182" fontId="17" fillId="2" borderId="0" xfId="14" applyAlignment="1">
      <alignment vertical="center"/>
    </xf>
    <xf numFmtId="43" fontId="10" fillId="2" borderId="0" xfId="1" applyFont="1" applyFill="1" applyAlignment="1"/>
    <xf numFmtId="177" fontId="21" fillId="2" borderId="0" xfId="10" applyAlignment="1">
      <alignment horizontal="left"/>
    </xf>
    <xf numFmtId="0" fontId="16" fillId="12" borderId="0" xfId="6" applyAlignment="1" applyProtection="1">
      <alignment horizontal="left"/>
    </xf>
    <xf numFmtId="0" fontId="13" fillId="2" borderId="0" xfId="4" applyFill="1">
      <alignment vertical="center"/>
    </xf>
    <xf numFmtId="0" fontId="14" fillId="2" borderId="0" xfId="0" applyFont="1" applyFill="1" applyAlignment="1">
      <alignment vertical="center"/>
    </xf>
    <xf numFmtId="37" fontId="0" fillId="2" borderId="0" xfId="2" applyFont="1" applyFill="1" applyAlignment="1"/>
    <xf numFmtId="37" fontId="20" fillId="2" borderId="0" xfId="2" applyFont="1" applyFill="1" applyAlignment="1"/>
    <xf numFmtId="37" fontId="20" fillId="2" borderId="0" xfId="9" applyAlignment="1">
      <alignment horizontal="right"/>
    </xf>
    <xf numFmtId="37" fontId="27" fillId="2" borderId="0" xfId="2" applyFont="1" applyFill="1" applyAlignment="1">
      <alignment horizontal="right"/>
    </xf>
    <xf numFmtId="37" fontId="24" fillId="2" borderId="0" xfId="2" applyFont="1" applyFill="1" applyAlignment="1">
      <alignment horizontal="right"/>
    </xf>
    <xf numFmtId="0" fontId="0" fillId="2" borderId="0" xfId="0" applyFont="1" applyAlignment="1">
      <alignment horizontal="right"/>
    </xf>
    <xf numFmtId="0" fontId="0" fillId="2" borderId="0" xfId="1" applyNumberFormat="1" applyFont="1" applyFill="1" applyAlignment="1">
      <alignment horizontal="right"/>
    </xf>
    <xf numFmtId="37" fontId="27" fillId="2" borderId="0" xfId="0" applyNumberFormat="1" applyFont="1" applyFill="1" applyAlignment="1">
      <alignment horizontal="right"/>
    </xf>
    <xf numFmtId="37" fontId="19" fillId="2" borderId="0" xfId="0" applyNumberFormat="1" applyFont="1" applyAlignment="1">
      <alignment horizontal="right"/>
    </xf>
    <xf numFmtId="37" fontId="0" fillId="2" borderId="0" xfId="2" applyFont="1" applyFill="1" applyAlignment="1">
      <alignment horizontal="right"/>
    </xf>
    <xf numFmtId="37" fontId="22" fillId="2" borderId="0" xfId="2" applyFont="1" applyFill="1" applyAlignment="1">
      <alignment horizontal="right"/>
    </xf>
    <xf numFmtId="37" fontId="19" fillId="2" borderId="0" xfId="2" applyFont="1" applyFill="1" applyAlignment="1">
      <alignment horizontal="right"/>
    </xf>
    <xf numFmtId="177" fontId="22" fillId="2" borderId="0" xfId="0" applyNumberFormat="1" applyFont="1" applyFill="1" applyAlignment="1">
      <alignment horizontal="right"/>
    </xf>
    <xf numFmtId="177" fontId="28" fillId="2" borderId="0" xfId="0" applyNumberFormat="1" applyFont="1" applyFill="1" applyAlignment="1">
      <alignment horizontal="right"/>
    </xf>
    <xf numFmtId="9" fontId="21" fillId="2" borderId="0" xfId="3" applyFont="1" applyFill="1" applyAlignment="1">
      <alignment horizontal="right"/>
    </xf>
    <xf numFmtId="37" fontId="14" fillId="2" borderId="0" xfId="0" applyNumberFormat="1" applyFont="1" applyAlignment="1">
      <alignment horizontal="right"/>
    </xf>
    <xf numFmtId="37" fontId="14" fillId="2" borderId="0" xfId="0" applyNumberFormat="1" applyFont="1" applyFill="1" applyAlignment="1">
      <alignment horizontal="right"/>
    </xf>
    <xf numFmtId="177" fontId="28" fillId="2" borderId="0" xfId="0" applyNumberFormat="1" applyFont="1" applyAlignment="1">
      <alignment horizontal="right"/>
    </xf>
    <xf numFmtId="0" fontId="0" fillId="2" borderId="0" xfId="0" applyFont="1" applyFill="1" applyAlignment="1">
      <alignment horizontal="right"/>
    </xf>
    <xf numFmtId="177" fontId="28" fillId="2" borderId="0" xfId="0" applyNumberFormat="1" applyFont="1" applyFill="1" applyBorder="1" applyAlignment="1">
      <alignment horizontal="right"/>
    </xf>
    <xf numFmtId="37" fontId="14" fillId="2" borderId="0" xfId="2" applyFont="1" applyFill="1" applyAlignment="1">
      <alignment horizontal="right"/>
    </xf>
    <xf numFmtId="37" fontId="30" fillId="2" borderId="0" xfId="2" applyFont="1" applyFill="1" applyBorder="1" applyAlignment="1">
      <alignment horizontal="right"/>
    </xf>
    <xf numFmtId="37" fontId="14" fillId="2" borderId="0" xfId="2" applyFont="1" applyFill="1" applyBorder="1" applyAlignment="1">
      <alignment horizontal="right"/>
    </xf>
    <xf numFmtId="177" fontId="14" fillId="2" borderId="0" xfId="0" applyNumberFormat="1" applyFont="1" applyFill="1" applyAlignment="1">
      <alignment horizontal="right"/>
    </xf>
    <xf numFmtId="177" fontId="27" fillId="2" borderId="0" xfId="0" applyNumberFormat="1" applyFont="1" applyFill="1" applyAlignment="1">
      <alignment horizontal="right"/>
    </xf>
    <xf numFmtId="177" fontId="30" fillId="2" borderId="0" xfId="0" applyNumberFormat="1" applyFont="1" applyFill="1" applyBorder="1" applyAlignment="1">
      <alignment horizontal="right"/>
    </xf>
    <xf numFmtId="177" fontId="30" fillId="2" borderId="0" xfId="0" applyNumberFormat="1" applyFont="1" applyFill="1" applyAlignment="1">
      <alignment horizontal="right"/>
    </xf>
    <xf numFmtId="185" fontId="51" fillId="13" borderId="0" xfId="7" applyAlignment="1">
      <alignment horizontal="right"/>
    </xf>
    <xf numFmtId="37" fontId="27" fillId="2" borderId="0" xfId="0" applyNumberFormat="1" applyFont="1" applyAlignment="1">
      <alignment horizontal="right"/>
    </xf>
    <xf numFmtId="37" fontId="17" fillId="2" borderId="0" xfId="2" applyFill="1" applyAlignment="1" applyProtection="1">
      <alignment horizontal="left" indent="1"/>
      <protection locked="0"/>
    </xf>
    <xf numFmtId="37" fontId="17" fillId="2" borderId="0" xfId="2" applyFill="1" applyAlignment="1"/>
    <xf numFmtId="0" fontId="31" fillId="2" borderId="0" xfId="0" applyFont="1" applyFill="1" applyAlignment="1"/>
    <xf numFmtId="37" fontId="17" fillId="4" borderId="0" xfId="2" applyFill="1" applyAlignment="1" applyProtection="1">
      <alignment horizontal="left" indent="1"/>
      <protection locked="0"/>
    </xf>
    <xf numFmtId="37" fontId="17" fillId="0" borderId="0" xfId="2" applyFill="1" applyAlignment="1" applyProtection="1">
      <alignment horizontal="left" indent="1"/>
      <protection locked="0"/>
    </xf>
    <xf numFmtId="37" fontId="20" fillId="2" borderId="1" xfId="11" applyAlignment="1">
      <alignment horizontal="right"/>
    </xf>
    <xf numFmtId="37" fontId="20" fillId="2" borderId="2" xfId="12" applyAlignment="1">
      <alignment horizontal="right"/>
    </xf>
    <xf numFmtId="182" fontId="17" fillId="2" borderId="0" xfId="14" applyAlignment="1">
      <alignment horizontal="right"/>
    </xf>
    <xf numFmtId="37" fontId="17" fillId="2" borderId="0" xfId="2" quotePrefix="1" applyFill="1" applyAlignment="1"/>
    <xf numFmtId="37" fontId="17" fillId="2" borderId="0" xfId="2" applyFill="1" applyBorder="1" applyAlignment="1"/>
    <xf numFmtId="37" fontId="17" fillId="2" borderId="3" xfId="2" quotePrefix="1" applyFill="1" applyBorder="1" applyAlignment="1"/>
    <xf numFmtId="37" fontId="17" fillId="2" borderId="0" xfId="2" quotePrefix="1" applyFill="1" applyBorder="1" applyAlignment="1"/>
    <xf numFmtId="37" fontId="17" fillId="2" borderId="0" xfId="2" quotePrefix="1" applyFill="1" applyBorder="1" applyAlignment="1">
      <alignment horizontal="left" vertical="center"/>
    </xf>
    <xf numFmtId="37" fontId="17" fillId="2" borderId="0" xfId="2" quotePrefix="1" applyFill="1" applyBorder="1" applyAlignment="1">
      <alignment vertical="center"/>
    </xf>
    <xf numFmtId="37" fontId="17" fillId="2" borderId="0" xfId="2" applyFill="1" applyBorder="1" applyAlignment="1">
      <alignment vertical="center"/>
    </xf>
    <xf numFmtId="178" fontId="21" fillId="2" borderId="0" xfId="13" applyBorder="1" applyAlignment="1"/>
    <xf numFmtId="181" fontId="16" fillId="12" borderId="0" xfId="8" applyAlignment="1">
      <alignment horizontal="right"/>
    </xf>
    <xf numFmtId="183" fontId="51" fillId="13" borderId="0" xfId="7" applyNumberFormat="1"/>
    <xf numFmtId="14" fontId="51" fillId="13" borderId="0" xfId="7" applyNumberFormat="1"/>
    <xf numFmtId="184" fontId="51" fillId="13" borderId="0" xfId="3" applyNumberFormat="1" applyFont="1" applyFill="1" applyAlignment="1"/>
    <xf numFmtId="184" fontId="51" fillId="13" borderId="0" xfId="15"/>
    <xf numFmtId="43" fontId="27" fillId="2" borderId="0" xfId="1" applyFont="1" applyFill="1" applyBorder="1" applyAlignment="1"/>
    <xf numFmtId="186" fontId="51" fillId="13" borderId="0" xfId="7" applyNumberFormat="1"/>
    <xf numFmtId="185" fontId="51" fillId="13" borderId="0" xfId="7" applyAlignment="1">
      <alignment horizontal="center"/>
    </xf>
    <xf numFmtId="183" fontId="51" fillId="13" borderId="0" xfId="16" applyBorder="1"/>
    <xf numFmtId="186" fontId="51" fillId="13" borderId="9" xfId="17" applyBorder="1"/>
    <xf numFmtId="183" fontId="51" fillId="13" borderId="3" xfId="16" applyBorder="1"/>
    <xf numFmtId="186" fontId="51" fillId="13" borderId="11" xfId="17" applyBorder="1"/>
    <xf numFmtId="37" fontId="17" fillId="0" borderId="0" xfId="2" applyFill="1" applyBorder="1">
      <alignment vertical="center"/>
    </xf>
    <xf numFmtId="14" fontId="51" fillId="13" borderId="0" xfId="18"/>
    <xf numFmtId="0" fontId="16" fillId="12" borderId="0" xfId="6" applyAlignment="1" applyProtection="1">
      <alignment horizontal="right" vertical="center"/>
    </xf>
    <xf numFmtId="43" fontId="17" fillId="2" borderId="0" xfId="1" applyFill="1" applyAlignment="1"/>
    <xf numFmtId="177" fontId="21" fillId="2" borderId="0" xfId="10" applyFill="1" applyAlignment="1"/>
    <xf numFmtId="0" fontId="40" fillId="2" borderId="0" xfId="1" applyNumberFormat="1" applyFont="1" applyFill="1" applyAlignment="1"/>
    <xf numFmtId="37" fontId="20" fillId="2" borderId="0" xfId="9" applyFill="1" applyAlignment="1"/>
    <xf numFmtId="9" fontId="45" fillId="2" borderId="0" xfId="3" applyFont="1" applyFill="1" applyAlignment="1">
      <alignment horizontal="right"/>
    </xf>
    <xf numFmtId="9" fontId="45" fillId="2" borderId="0" xfId="3" applyFont="1" applyFill="1" applyAlignment="1"/>
    <xf numFmtId="37" fontId="17" fillId="2" borderId="0" xfId="2" applyAlignment="1"/>
    <xf numFmtId="37" fontId="17" fillId="2" borderId="0" xfId="2" applyFill="1" applyAlignment="1">
      <alignment horizontal="right"/>
    </xf>
    <xf numFmtId="37" fontId="17" fillId="2" borderId="0" xfId="2" applyFill="1">
      <alignment vertical="center"/>
    </xf>
    <xf numFmtId="0" fontId="16" fillId="12" borderId="0" xfId="6" applyAlignment="1" applyProtection="1">
      <alignment horizontal="right" vertical="center" wrapText="1"/>
    </xf>
    <xf numFmtId="0" fontId="0" fillId="2" borderId="0" xfId="0" quotePrefix="1">
      <alignment vertical="center"/>
    </xf>
    <xf numFmtId="187" fontId="17" fillId="2" borderId="0" xfId="2" applyNumberFormat="1" applyAlignment="1">
      <alignment vertical="center"/>
    </xf>
    <xf numFmtId="187" fontId="51" fillId="13" borderId="0" xfId="7" applyNumberFormat="1"/>
    <xf numFmtId="187" fontId="17" fillId="2" borderId="0" xfId="0" applyNumberFormat="1" applyFont="1" applyAlignment="1">
      <alignment vertical="center"/>
    </xf>
    <xf numFmtId="187" fontId="20" fillId="2" borderId="2" xfId="12" applyNumberFormat="1" applyAlignment="1">
      <alignment vertical="center"/>
    </xf>
    <xf numFmtId="182" fontId="20" fillId="2" borderId="2" xfId="14" applyFont="1" applyBorder="1" applyAlignment="1">
      <alignment vertical="center"/>
    </xf>
    <xf numFmtId="9" fontId="20" fillId="2" borderId="2" xfId="3" applyFont="1" applyFill="1" applyBorder="1" applyAlignment="1">
      <alignment vertical="center"/>
    </xf>
    <xf numFmtId="37" fontId="17" fillId="2" borderId="0" xfId="2" quotePrefix="1">
      <alignment vertical="center"/>
    </xf>
    <xf numFmtId="37" fontId="17" fillId="2" borderId="0" xfId="2">
      <alignment vertical="center"/>
    </xf>
    <xf numFmtId="14" fontId="16" fillId="12" borderId="0" xfId="6" applyNumberFormat="1" applyAlignment="1" applyProtection="1"/>
    <xf numFmtId="181" fontId="16" fillId="12" borderId="0" xfId="6" applyNumberFormat="1" applyAlignment="1" applyProtection="1"/>
    <xf numFmtId="182" fontId="51" fillId="13" borderId="0" xfId="7" applyNumberFormat="1"/>
    <xf numFmtId="14" fontId="20" fillId="2" borderId="0" xfId="0" applyNumberFormat="1" applyFont="1">
      <alignment vertical="center"/>
    </xf>
    <xf numFmtId="0" fontId="16" fillId="12" borderId="0" xfId="6" applyAlignment="1" applyProtection="1">
      <alignment horizontal="center"/>
    </xf>
    <xf numFmtId="188" fontId="16" fillId="12" borderId="0" xfId="20">
      <alignment horizontal="center"/>
    </xf>
    <xf numFmtId="37" fontId="17" fillId="2" borderId="0" xfId="2" quotePrefix="1" applyAlignment="1"/>
    <xf numFmtId="9" fontId="26" fillId="2" borderId="0" xfId="3" applyFont="1" applyFill="1" applyAlignment="1"/>
    <xf numFmtId="177" fontId="29" fillId="2" borderId="0" xfId="10" applyFont="1" applyAlignment="1"/>
    <xf numFmtId="184" fontId="29" fillId="2" borderId="0" xfId="3" applyNumberFormat="1" applyFont="1" applyFill="1" applyAlignment="1"/>
    <xf numFmtId="37" fontId="21" fillId="2" borderId="0" xfId="9" applyFont="1" applyAlignment="1">
      <alignment horizontal="right"/>
    </xf>
    <xf numFmtId="184" fontId="20" fillId="2" borderId="0" xfId="3" applyNumberFormat="1" applyFont="1" applyFill="1" applyAlignment="1">
      <alignment horizontal="right"/>
    </xf>
    <xf numFmtId="184" fontId="21" fillId="2" borderId="0" xfId="3" applyNumberFormat="1" applyFont="1" applyFill="1" applyAlignment="1">
      <alignment horizontal="right"/>
    </xf>
    <xf numFmtId="177" fontId="21" fillId="2" borderId="0" xfId="10" applyFill="1" applyAlignment="1">
      <alignment horizontal="right"/>
    </xf>
    <xf numFmtId="183" fontId="51" fillId="13" borderId="0" xfId="16"/>
    <xf numFmtId="183" fontId="51" fillId="13" borderId="0" xfId="16" quotePrefix="1"/>
    <xf numFmtId="37" fontId="0" fillId="2" borderId="0" xfId="2" quotePrefix="1" applyFont="1" applyFill="1" applyBorder="1" applyAlignment="1">
      <alignment vertical="center"/>
    </xf>
    <xf numFmtId="9" fontId="51" fillId="13" borderId="9" xfId="3" applyFont="1" applyFill="1" applyBorder="1" applyAlignment="1"/>
    <xf numFmtId="9" fontId="51" fillId="13" borderId="11" xfId="3" applyFont="1" applyFill="1" applyBorder="1" applyAlignment="1"/>
    <xf numFmtId="0" fontId="53" fillId="2" borderId="0" xfId="0" applyFont="1" applyFill="1" applyAlignment="1"/>
    <xf numFmtId="0" fontId="53" fillId="2" borderId="0" xfId="0" applyFont="1" applyAlignment="1"/>
    <xf numFmtId="37" fontId="54" fillId="2" borderId="0" xfId="0" applyNumberFormat="1" applyFont="1" applyAlignment="1"/>
    <xf numFmtId="37" fontId="53" fillId="2" borderId="0" xfId="0" applyNumberFormat="1" applyFont="1" applyAlignment="1"/>
    <xf numFmtId="0" fontId="0" fillId="14" borderId="0" xfId="0" applyFill="1">
      <alignment vertical="center"/>
    </xf>
    <xf numFmtId="0" fontId="20" fillId="2" borderId="0" xfId="0" applyFont="1">
      <alignment vertical="center"/>
    </xf>
    <xf numFmtId="37" fontId="17" fillId="2" borderId="0" xfId="9" applyFont="1" applyAlignment="1">
      <alignment vertical="center"/>
    </xf>
    <xf numFmtId="37" fontId="0" fillId="2" borderId="0" xfId="9" applyFont="1" applyAlignment="1">
      <alignment vertical="center"/>
    </xf>
    <xf numFmtId="37" fontId="20" fillId="2" borderId="0" xfId="9" applyFont="1" applyAlignment="1">
      <alignment vertical="center"/>
    </xf>
    <xf numFmtId="0" fontId="10" fillId="2" borderId="0" xfId="0" applyFont="1" applyBorder="1" applyAlignment="1"/>
    <xf numFmtId="37" fontId="0" fillId="2" borderId="0" xfId="2" quotePrefix="1" applyFont="1">
      <alignment vertical="center"/>
    </xf>
    <xf numFmtId="0" fontId="0" fillId="2" borderId="0" xfId="0" applyFill="1">
      <alignment vertical="center"/>
    </xf>
    <xf numFmtId="0" fontId="16" fillId="12" borderId="0" xfId="6" applyAlignment="1" applyProtection="1">
      <alignment horizontal="center"/>
    </xf>
    <xf numFmtId="14" fontId="11" fillId="9" borderId="0" xfId="0" applyNumberFormat="1" applyFont="1" applyFill="1" applyBorder="1" applyAlignment="1" applyProtection="1">
      <alignment horizontal="right" vertical="center"/>
      <protection locked="0"/>
    </xf>
    <xf numFmtId="14" fontId="11" fillId="0" borderId="0" xfId="0" applyNumberFormat="1" applyFont="1" applyFill="1" applyBorder="1" applyAlignment="1" applyProtection="1">
      <alignment horizontal="right" vertical="center"/>
    </xf>
    <xf numFmtId="185" fontId="51" fillId="13" borderId="0" xfId="7" quotePrefix="1"/>
    <xf numFmtId="37" fontId="14" fillId="2" borderId="0" xfId="2" applyFont="1" applyFill="1" applyAlignment="1"/>
    <xf numFmtId="37" fontId="55" fillId="2" borderId="0" xfId="2" applyFont="1" applyFill="1" applyAlignment="1"/>
    <xf numFmtId="37" fontId="55" fillId="2" borderId="0" xfId="21" applyAlignment="1"/>
    <xf numFmtId="37" fontId="0" fillId="2" borderId="0" xfId="2" applyFont="1" applyFill="1" applyAlignment="1" applyProtection="1">
      <alignment horizontal="left" indent="1"/>
      <protection locked="0"/>
    </xf>
    <xf numFmtId="0" fontId="14" fillId="2" borderId="18" xfId="0" applyFont="1" applyBorder="1" applyAlignment="1" applyProtection="1"/>
    <xf numFmtId="37" fontId="14" fillId="2" borderId="13" xfId="0" applyNumberFormat="1" applyFont="1" applyBorder="1" applyAlignment="1" applyProtection="1"/>
    <xf numFmtId="37" fontId="14" fillId="2" borderId="12" xfId="0" applyNumberFormat="1" applyFont="1" applyBorder="1" applyAlignment="1" applyProtection="1"/>
    <xf numFmtId="37" fontId="23" fillId="2" borderId="12" xfId="0" applyNumberFormat="1" applyFont="1" applyBorder="1" applyAlignment="1" applyProtection="1"/>
    <xf numFmtId="37" fontId="55" fillId="2" borderId="0" xfId="21" quotePrefix="1" applyAlignment="1"/>
    <xf numFmtId="37" fontId="14" fillId="4" borderId="12" xfId="0" applyNumberFormat="1" applyFont="1" applyFill="1" applyBorder="1" applyAlignment="1" applyProtection="1"/>
    <xf numFmtId="0" fontId="7" fillId="0" borderId="0" xfId="22" quotePrefix="1" applyFont="1" applyFill="1" applyBorder="1" applyAlignment="1" applyProtection="1">
      <alignment vertical="center"/>
    </xf>
    <xf numFmtId="0" fontId="7" fillId="0" borderId="15" xfId="22" quotePrefix="1" applyFont="1" applyFill="1" applyBorder="1" applyAlignment="1" applyProtection="1">
      <alignment vertical="center"/>
    </xf>
    <xf numFmtId="14" fontId="7" fillId="0" borderId="0" xfId="22" applyNumberFormat="1" applyFont="1" applyFill="1" applyBorder="1" applyAlignment="1" applyProtection="1">
      <alignment vertical="center"/>
    </xf>
    <xf numFmtId="3" fontId="7" fillId="0" borderId="0" xfId="22" applyNumberFormat="1" applyFont="1" applyFill="1" applyBorder="1" applyAlignment="1" applyProtection="1">
      <alignment vertical="center"/>
    </xf>
    <xf numFmtId="3" fontId="56" fillId="0" borderId="0" xfId="22" applyNumberFormat="1" applyFont="1" applyFill="1" applyAlignment="1" applyProtection="1">
      <alignment vertical="center"/>
    </xf>
    <xf numFmtId="3" fontId="57" fillId="0" borderId="0" xfId="22" applyNumberFormat="1" applyFont="1" applyFill="1" applyAlignment="1" applyProtection="1">
      <alignment vertical="center"/>
    </xf>
    <xf numFmtId="0" fontId="57" fillId="0" borderId="0" xfId="22" applyFont="1" applyFill="1" applyAlignment="1" applyProtection="1">
      <alignment vertical="center"/>
    </xf>
    <xf numFmtId="0" fontId="7" fillId="0" borderId="0" xfId="22" applyFont="1" applyFill="1" applyBorder="1" applyAlignment="1" applyProtection="1">
      <alignment vertical="center"/>
    </xf>
    <xf numFmtId="0" fontId="56" fillId="0" borderId="0" xfId="22" applyFont="1" applyFill="1" applyAlignment="1" applyProtection="1">
      <alignment vertical="center"/>
    </xf>
    <xf numFmtId="0" fontId="7" fillId="0" borderId="15" xfId="22" applyFont="1" applyFill="1" applyBorder="1" applyAlignment="1" applyProtection="1">
      <alignment vertical="center"/>
    </xf>
    <xf numFmtId="3" fontId="7" fillId="0" borderId="15" xfId="22" applyNumberFormat="1" applyFont="1" applyFill="1" applyBorder="1" applyAlignment="1" applyProtection="1">
      <alignment vertical="center"/>
    </xf>
    <xf numFmtId="0" fontId="16" fillId="12" borderId="0" xfId="6" applyAlignment="1" applyProtection="1">
      <alignment horizontal="center"/>
    </xf>
    <xf numFmtId="37" fontId="0" fillId="2" borderId="0" xfId="2" applyFont="1" applyFill="1" applyAlignment="1">
      <alignment horizontal="left"/>
    </xf>
    <xf numFmtId="37" fontId="0" fillId="4" borderId="0" xfId="2" applyFont="1" applyFill="1" applyAlignment="1">
      <alignment horizontal="left"/>
    </xf>
    <xf numFmtId="0" fontId="0" fillId="2" borderId="0" xfId="0" applyFont="1" applyAlignment="1">
      <alignment horizontal="left"/>
    </xf>
    <xf numFmtId="37" fontId="20" fillId="2" borderId="1" xfId="11" applyAlignment="1">
      <alignment horizontal="left"/>
    </xf>
    <xf numFmtId="0" fontId="0" fillId="2" borderId="0" xfId="0" applyFont="1" applyFill="1" applyAlignment="1">
      <alignment horizontal="left"/>
    </xf>
    <xf numFmtId="37" fontId="20" fillId="2" borderId="0" xfId="9" applyAlignment="1">
      <alignment horizontal="left"/>
    </xf>
    <xf numFmtId="0" fontId="21" fillId="2" borderId="0" xfId="0" applyFont="1" applyAlignment="1">
      <alignment horizontal="left"/>
    </xf>
    <xf numFmtId="0" fontId="21" fillId="2" borderId="0" xfId="0" applyFont="1" applyFill="1" applyAlignment="1">
      <alignment horizontal="left"/>
    </xf>
    <xf numFmtId="37" fontId="20" fillId="2" borderId="2" xfId="12" applyAlignment="1">
      <alignment horizontal="left"/>
    </xf>
    <xf numFmtId="37" fontId="0" fillId="14" borderId="0" xfId="9" applyFont="1" applyFill="1" applyAlignment="1">
      <alignment vertical="center"/>
    </xf>
    <xf numFmtId="37" fontId="20" fillId="14" borderId="0" xfId="9" applyFont="1" applyFill="1" applyAlignment="1">
      <alignment vertical="center"/>
    </xf>
    <xf numFmtId="37" fontId="0" fillId="2" borderId="0" xfId="2" quotePrefix="1" applyFont="1" applyFill="1" applyBorder="1" applyAlignment="1"/>
    <xf numFmtId="37" fontId="0" fillId="2" borderId="0" xfId="2" applyFont="1" applyFill="1" applyBorder="1" applyAlignment="1"/>
    <xf numFmtId="37" fontId="0" fillId="2" borderId="0" xfId="0" applyNumberFormat="1">
      <alignment vertical="center"/>
    </xf>
    <xf numFmtId="37" fontId="0" fillId="2" borderId="0" xfId="2" quotePrefix="1" applyFont="1" applyFill="1" applyBorder="1" applyAlignment="1">
      <alignment horizontal="left" vertical="center"/>
    </xf>
    <xf numFmtId="37" fontId="17" fillId="2" borderId="0" xfId="9" applyFont="1" applyAlignment="1"/>
    <xf numFmtId="37" fontId="0" fillId="4" borderId="0" xfId="2" applyFont="1" applyFill="1" applyAlignment="1" applyProtection="1">
      <alignment horizontal="left" indent="1"/>
      <protection locked="0"/>
    </xf>
    <xf numFmtId="37" fontId="20" fillId="2" borderId="1" xfId="12" applyBorder="1" applyAlignment="1"/>
    <xf numFmtId="37" fontId="20" fillId="2" borderId="0" xfId="9" applyBorder="1" applyAlignment="1"/>
    <xf numFmtId="0" fontId="16" fillId="12" borderId="0" xfId="6" applyAlignment="1" applyProtection="1">
      <alignment horizontal="center"/>
    </xf>
    <xf numFmtId="0" fontId="0" fillId="4" borderId="0" xfId="0" quotePrefix="1" applyFill="1">
      <alignment vertical="center"/>
    </xf>
    <xf numFmtId="184" fontId="51" fillId="2" borderId="0" xfId="15" applyFill="1"/>
    <xf numFmtId="37" fontId="20" fillId="2" borderId="0" xfId="9" applyFont="1" applyAlignment="1"/>
    <xf numFmtId="0" fontId="0" fillId="2" borderId="0" xfId="0" quotePrefix="1" applyFill="1">
      <alignment vertical="center"/>
    </xf>
    <xf numFmtId="37" fontId="0" fillId="2" borderId="0" xfId="2" applyFont="1" applyAlignment="1"/>
    <xf numFmtId="37" fontId="0" fillId="2" borderId="0" xfId="2" quotePrefix="1" applyFont="1" applyAlignment="1"/>
    <xf numFmtId="0" fontId="16" fillId="2" borderId="0" xfId="6" applyFill="1" applyAlignment="1" applyProtection="1"/>
    <xf numFmtId="185" fontId="51" fillId="2" borderId="0" xfId="7" applyFill="1"/>
    <xf numFmtId="37" fontId="20" fillId="2" borderId="0" xfId="9" applyFill="1" applyAlignment="1">
      <alignment horizontal="right"/>
    </xf>
    <xf numFmtId="0" fontId="14" fillId="2" borderId="12" xfId="0" applyFont="1" applyFill="1" applyBorder="1" applyAlignment="1" applyProtection="1"/>
    <xf numFmtId="37" fontId="20" fillId="2" borderId="2" xfId="12" applyFill="1" applyAlignment="1"/>
    <xf numFmtId="37" fontId="55" fillId="2" borderId="0" xfId="21" applyAlignment="1">
      <alignment horizontal="left"/>
    </xf>
    <xf numFmtId="37" fontId="55" fillId="2" borderId="0" xfId="21" applyAlignment="1">
      <alignment horizontal="right"/>
    </xf>
    <xf numFmtId="37" fontId="10" fillId="2" borderId="0" xfId="0" applyNumberFormat="1" applyFont="1" applyAlignment="1"/>
    <xf numFmtId="37" fontId="0" fillId="2" borderId="0" xfId="9" applyFont="1" applyAlignment="1"/>
    <xf numFmtId="37" fontId="10" fillId="4" borderId="0" xfId="0" applyNumberFormat="1" applyFont="1" applyFill="1" applyAlignment="1"/>
    <xf numFmtId="185" fontId="51" fillId="13" borderId="6" xfId="7" applyBorder="1"/>
    <xf numFmtId="37" fontId="17" fillId="14" borderId="0" xfId="9" applyFont="1" applyFill="1" applyAlignment="1">
      <alignment vertical="center"/>
    </xf>
    <xf numFmtId="189" fontId="17" fillId="2" borderId="13" xfId="1" applyNumberFormat="1" applyFill="1" applyBorder="1" applyAlignment="1" applyProtection="1"/>
    <xf numFmtId="189" fontId="17" fillId="2" borderId="12" xfId="1" applyNumberFormat="1" applyFill="1" applyBorder="1" applyAlignment="1" applyProtection="1"/>
    <xf numFmtId="0" fontId="26" fillId="2" borderId="0" xfId="0" applyFont="1" applyFill="1" applyAlignment="1"/>
    <xf numFmtId="0" fontId="17" fillId="2" borderId="0" xfId="0" applyFont="1" applyFill="1" applyBorder="1" applyAlignment="1"/>
    <xf numFmtId="9" fontId="51" fillId="2" borderId="0" xfId="3" applyFont="1" applyFill="1" applyBorder="1" applyAlignment="1"/>
    <xf numFmtId="182" fontId="17" fillId="2" borderId="0" xfId="14" applyFont="1" applyAlignment="1"/>
    <xf numFmtId="0" fontId="0" fillId="2" borderId="0" xfId="0" applyFill="1" applyAlignment="1"/>
    <xf numFmtId="0" fontId="16" fillId="12" borderId="0" xfId="6" applyAlignment="1" applyProtection="1">
      <alignment horizontal="center"/>
    </xf>
    <xf numFmtId="190" fontId="51" fillId="13" borderId="0" xfId="16" applyNumberFormat="1" applyBorder="1"/>
    <xf numFmtId="190" fontId="51" fillId="13" borderId="3" xfId="16" applyNumberFormat="1" applyBorder="1"/>
    <xf numFmtId="182" fontId="17" fillId="13" borderId="0" xfId="14" applyFill="1" applyAlignment="1">
      <alignment horizontal="right"/>
    </xf>
    <xf numFmtId="186" fontId="51" fillId="2" borderId="0" xfId="7" applyNumberFormat="1" applyFill="1"/>
    <xf numFmtId="189" fontId="17" fillId="13" borderId="0" xfId="1" applyNumberFormat="1" applyFill="1" applyAlignment="1"/>
    <xf numFmtId="0" fontId="0" fillId="14" borderId="0" xfId="0" applyFont="1" applyFill="1">
      <alignment vertical="center"/>
    </xf>
    <xf numFmtId="0" fontId="16" fillId="12" borderId="0" xfId="6" applyAlignment="1" applyProtection="1">
      <alignment horizontal="center"/>
    </xf>
    <xf numFmtId="191" fontId="59" fillId="0" borderId="19" xfId="24" applyNumberFormat="1" applyFont="1" applyFill="1" applyAlignment="1">
      <alignment horizontal="left" wrapText="1"/>
    </xf>
    <xf numFmtId="0" fontId="59" fillId="0" borderId="19" xfId="24" quotePrefix="1" applyFont="1" applyFill="1" applyAlignment="1">
      <alignment horizontal="right" wrapText="1"/>
    </xf>
    <xf numFmtId="192" fontId="60" fillId="0" borderId="0" xfId="0" applyNumberFormat="1" applyFont="1" applyFill="1" applyAlignment="1"/>
    <xf numFmtId="192" fontId="62" fillId="0" borderId="20" xfId="25" applyFont="1" applyFill="1"/>
    <xf numFmtId="192" fontId="60" fillId="0" borderId="6" xfId="0" applyNumberFormat="1" applyFont="1" applyFill="1" applyBorder="1" applyAlignment="1"/>
    <xf numFmtId="192" fontId="60" fillId="0" borderId="1" xfId="0" applyNumberFormat="1" applyFont="1" applyFill="1" applyBorder="1" applyAlignment="1"/>
    <xf numFmtId="192" fontId="60" fillId="0" borderId="10" xfId="0" applyNumberFormat="1" applyFont="1" applyFill="1" applyBorder="1" applyAlignment="1"/>
    <xf numFmtId="192" fontId="60" fillId="0" borderId="3" xfId="0" applyNumberFormat="1" applyFont="1" applyFill="1" applyBorder="1" applyAlignment="1"/>
    <xf numFmtId="192" fontId="62" fillId="0" borderId="21" xfId="26" applyNumberFormat="1" applyFont="1" applyFill="1"/>
    <xf numFmtId="192" fontId="62" fillId="0" borderId="20" xfId="25" applyNumberFormat="1" applyFont="1" applyFill="1"/>
    <xf numFmtId="192" fontId="62" fillId="0" borderId="20" xfId="26" applyNumberFormat="1" applyFont="1" applyFill="1" applyBorder="1"/>
    <xf numFmtId="192" fontId="62" fillId="0" borderId="0" xfId="26" applyNumberFormat="1" applyFont="1" applyFill="1" applyBorder="1"/>
    <xf numFmtId="192" fontId="60" fillId="0" borderId="0" xfId="0" applyNumberFormat="1" applyFont="1" applyFill="1" applyBorder="1" applyAlignment="1"/>
    <xf numFmtId="193" fontId="58" fillId="0" borderId="19" xfId="27" applyNumberFormat="1" applyFill="1" applyAlignment="1">
      <alignment horizontal="left"/>
    </xf>
    <xf numFmtId="193" fontId="58" fillId="0" borderId="19" xfId="27" applyFill="1" applyAlignment="1">
      <alignment horizontal="right"/>
    </xf>
    <xf numFmtId="193" fontId="58" fillId="15" borderId="19" xfId="27" applyFill="1" applyAlignment="1">
      <alignment horizontal="right"/>
    </xf>
    <xf numFmtId="192" fontId="0" fillId="0" borderId="0" xfId="0" applyNumberFormat="1" applyFill="1" applyAlignment="1"/>
    <xf numFmtId="192" fontId="0" fillId="15" borderId="0" xfId="0" applyNumberFormat="1" applyFill="1" applyAlignment="1"/>
    <xf numFmtId="194" fontId="65" fillId="0" borderId="0" xfId="28" applyFont="1" applyFill="1" applyBorder="1"/>
    <xf numFmtId="194" fontId="65" fillId="15" borderId="0" xfId="28" applyFont="1" applyFill="1" applyBorder="1"/>
    <xf numFmtId="192" fontId="61" fillId="0" borderId="20" xfId="25" applyFill="1"/>
    <xf numFmtId="192" fontId="61" fillId="15" borderId="20" xfId="25" applyFill="1"/>
    <xf numFmtId="192" fontId="0" fillId="0" borderId="0" xfId="0" applyNumberFormat="1" applyFill="1" applyBorder="1" applyAlignment="1"/>
    <xf numFmtId="192" fontId="0" fillId="0" borderId="6" xfId="0" applyNumberFormat="1" applyFill="1" applyBorder="1" applyAlignment="1"/>
    <xf numFmtId="192" fontId="0" fillId="0" borderId="1" xfId="0" applyNumberFormat="1" applyFill="1" applyBorder="1" applyAlignment="1"/>
    <xf numFmtId="192" fontId="0" fillId="15" borderId="1" xfId="0" applyNumberFormat="1" applyFill="1" applyBorder="1" applyAlignment="1"/>
    <xf numFmtId="192" fontId="0" fillId="0" borderId="8" xfId="0" applyNumberFormat="1" applyFill="1" applyBorder="1" applyAlignment="1"/>
    <xf numFmtId="192" fontId="0" fillId="15" borderId="0" xfId="0" applyNumberFormat="1" applyFill="1" applyBorder="1" applyAlignment="1"/>
    <xf numFmtId="192" fontId="0" fillId="0" borderId="10" xfId="0" applyNumberFormat="1" applyFill="1" applyBorder="1" applyAlignment="1"/>
    <xf numFmtId="192" fontId="0" fillId="0" borderId="3" xfId="0" applyNumberFormat="1" applyFill="1" applyBorder="1" applyAlignment="1"/>
    <xf numFmtId="192" fontId="0" fillId="15" borderId="3" xfId="0" applyNumberFormat="1" applyFill="1" applyBorder="1" applyAlignment="1"/>
    <xf numFmtId="192" fontId="61" fillId="0" borderId="21" xfId="29" applyNumberFormat="1" applyFill="1"/>
    <xf numFmtId="192" fontId="61" fillId="15" borderId="21" xfId="29" applyNumberFormat="1" applyFill="1"/>
    <xf numFmtId="192" fontId="67" fillId="16" borderId="22" xfId="29" applyNumberFormat="1" applyFont="1" applyFill="1" applyBorder="1"/>
    <xf numFmtId="192" fontId="67" fillId="16" borderId="23" xfId="29" applyNumberFormat="1" applyFont="1" applyFill="1" applyBorder="1"/>
    <xf numFmtId="192" fontId="66" fillId="0" borderId="24" xfId="29" applyNumberFormat="1" applyFont="1" applyFill="1" applyBorder="1"/>
    <xf numFmtId="192" fontId="66" fillId="0" borderId="0" xfId="29" applyNumberFormat="1" applyFont="1" applyFill="1" applyBorder="1"/>
    <xf numFmtId="192" fontId="66" fillId="0" borderId="0" xfId="0" applyNumberFormat="1" applyFont="1" applyFill="1" applyBorder="1" applyAlignment="1"/>
    <xf numFmtId="192" fontId="67" fillId="16" borderId="24" xfId="29" applyNumberFormat="1" applyFont="1" applyFill="1" applyBorder="1"/>
    <xf numFmtId="192" fontId="67" fillId="16" borderId="0" xfId="29" applyNumberFormat="1" applyFont="1" applyFill="1" applyBorder="1"/>
    <xf numFmtId="0" fontId="70" fillId="0" borderId="0" xfId="30" applyNumberFormat="1" applyFont="1" applyFill="1"/>
    <xf numFmtId="0" fontId="69" fillId="0" borderId="0" xfId="30" applyNumberFormat="1" applyFill="1"/>
    <xf numFmtId="0" fontId="69" fillId="0" borderId="0" xfId="30" applyNumberFormat="1" applyFill="1" applyBorder="1"/>
    <xf numFmtId="0" fontId="69" fillId="0" borderId="0" xfId="30" applyFill="1"/>
    <xf numFmtId="0" fontId="71" fillId="0" borderId="25" xfId="30" applyNumberFormat="1" applyFont="1" applyFill="1" applyBorder="1"/>
    <xf numFmtId="0" fontId="69" fillId="0" borderId="25" xfId="30" applyNumberFormat="1" applyFill="1" applyBorder="1"/>
    <xf numFmtId="20" fontId="72" fillId="0" borderId="25" xfId="30" applyNumberFormat="1" applyFont="1" applyFill="1" applyBorder="1" applyAlignment="1">
      <alignment horizontal="center"/>
    </xf>
    <xf numFmtId="195" fontId="72" fillId="0" borderId="25" xfId="30" applyNumberFormat="1" applyFont="1" applyFill="1" applyBorder="1" applyAlignment="1">
      <alignment horizontal="center"/>
    </xf>
    <xf numFmtId="0" fontId="69" fillId="0" borderId="26" xfId="30" applyNumberFormat="1" applyFill="1" applyBorder="1"/>
    <xf numFmtId="0" fontId="73" fillId="0" borderId="0" xfId="30" applyNumberFormat="1" applyFont="1" applyFill="1" applyAlignment="1">
      <alignment horizontal="right"/>
    </xf>
    <xf numFmtId="0" fontId="74" fillId="0" borderId="0" xfId="30" applyNumberFormat="1" applyFont="1" applyFill="1" applyAlignment="1">
      <alignment horizontal="centerContinuous"/>
    </xf>
    <xf numFmtId="0" fontId="72" fillId="0" borderId="0" xfId="30" applyNumberFormat="1" applyFont="1" applyFill="1"/>
    <xf numFmtId="196" fontId="75" fillId="0" borderId="0" xfId="30" applyNumberFormat="1" applyFont="1" applyFill="1" applyBorder="1" applyAlignment="1">
      <alignment horizontal="centerContinuous"/>
    </xf>
    <xf numFmtId="197" fontId="75" fillId="0" borderId="27" xfId="30" applyNumberFormat="1" applyFont="1" applyFill="1" applyBorder="1" applyAlignment="1">
      <alignment horizontal="centerContinuous"/>
    </xf>
    <xf numFmtId="197" fontId="75" fillId="0" borderId="0" xfId="30" applyNumberFormat="1" applyFont="1" applyFill="1" applyBorder="1" applyAlignment="1">
      <alignment horizontal="centerContinuous"/>
    </xf>
    <xf numFmtId="0" fontId="74" fillId="0" borderId="0" xfId="30" quotePrefix="1" applyNumberFormat="1" applyFont="1" applyFill="1" applyAlignment="1">
      <alignment horizontal="centerContinuous"/>
    </xf>
    <xf numFmtId="0" fontId="76" fillId="0" borderId="4" xfId="30" applyNumberFormat="1" applyFont="1" applyFill="1" applyBorder="1"/>
    <xf numFmtId="0" fontId="69" fillId="0" borderId="5" xfId="30" applyNumberFormat="1" applyFill="1" applyBorder="1"/>
    <xf numFmtId="198" fontId="77" fillId="0" borderId="0" xfId="30" applyNumberFormat="1" applyFont="1" applyFill="1"/>
    <xf numFmtId="198" fontId="72" fillId="0" borderId="0" xfId="30" applyNumberFormat="1" applyFont="1" applyFill="1" applyBorder="1"/>
    <xf numFmtId="198" fontId="76" fillId="0" borderId="0" xfId="30" applyNumberFormat="1" applyFont="1" applyFill="1" applyBorder="1"/>
    <xf numFmtId="198" fontId="76" fillId="0" borderId="28" xfId="30" applyNumberFormat="1" applyFont="1" applyFill="1" applyBorder="1"/>
    <xf numFmtId="0" fontId="76" fillId="0" borderId="0" xfId="30" applyNumberFormat="1" applyFont="1" applyFill="1"/>
    <xf numFmtId="199" fontId="78" fillId="0" borderId="0" xfId="30" applyNumberFormat="1" applyFont="1" applyFill="1"/>
    <xf numFmtId="200" fontId="72" fillId="0" borderId="0" xfId="30" applyNumberFormat="1" applyFont="1" applyFill="1" applyBorder="1"/>
    <xf numFmtId="200" fontId="72" fillId="0" borderId="28" xfId="30" applyNumberFormat="1" applyFont="1" applyFill="1" applyBorder="1"/>
    <xf numFmtId="199" fontId="70" fillId="0" borderId="0" xfId="30" applyNumberFormat="1" applyFont="1" applyFill="1"/>
    <xf numFmtId="198" fontId="79" fillId="0" borderId="0" xfId="30" applyNumberFormat="1" applyFont="1" applyFill="1"/>
    <xf numFmtId="200" fontId="80" fillId="0" borderId="0" xfId="30" applyNumberFormat="1" applyFont="1" applyFill="1" applyBorder="1"/>
    <xf numFmtId="200" fontId="80" fillId="0" borderId="28" xfId="30" applyNumberFormat="1" applyFont="1" applyFill="1" applyBorder="1"/>
    <xf numFmtId="199" fontId="81" fillId="0" borderId="0" xfId="30" applyNumberFormat="1" applyFont="1" applyFill="1"/>
    <xf numFmtId="0" fontId="76" fillId="0" borderId="0" xfId="30" applyNumberFormat="1" applyFont="1" applyFill="1" applyAlignment="1">
      <alignment horizontal="left" indent="1"/>
    </xf>
    <xf numFmtId="198" fontId="76" fillId="0" borderId="0" xfId="30" applyNumberFormat="1" applyFont="1" applyFill="1"/>
    <xf numFmtId="200" fontId="76" fillId="0" borderId="0" xfId="30" applyNumberFormat="1" applyFont="1" applyFill="1" applyBorder="1"/>
    <xf numFmtId="200" fontId="76" fillId="0" borderId="28" xfId="30" applyNumberFormat="1" applyFont="1" applyFill="1" applyBorder="1"/>
    <xf numFmtId="0" fontId="81" fillId="0" borderId="0" xfId="30" applyNumberFormat="1" applyFont="1" applyFill="1" applyAlignment="1">
      <alignment horizontal="left" indent="1"/>
    </xf>
    <xf numFmtId="0" fontId="70" fillId="0" borderId="0" xfId="30" applyNumberFormat="1" applyFont="1" applyFill="1" applyAlignment="1">
      <alignment horizontal="left" indent="1"/>
    </xf>
    <xf numFmtId="199" fontId="70" fillId="0" borderId="0" xfId="30" applyNumberFormat="1" applyFont="1" applyFill="1" applyBorder="1"/>
    <xf numFmtId="199" fontId="70" fillId="0" borderId="28" xfId="30" applyNumberFormat="1" applyFont="1" applyFill="1" applyBorder="1"/>
    <xf numFmtId="201" fontId="70" fillId="0" borderId="0" xfId="30" applyNumberFormat="1" applyFont="1" applyFill="1" applyAlignment="1">
      <alignment horizontal="right"/>
    </xf>
    <xf numFmtId="201" fontId="70" fillId="0" borderId="0" xfId="30" applyNumberFormat="1" applyFont="1" applyFill="1"/>
    <xf numFmtId="199" fontId="81" fillId="0" borderId="0" xfId="30" applyNumberFormat="1" applyFont="1" applyFill="1" applyBorder="1"/>
    <xf numFmtId="199" fontId="81" fillId="0" borderId="28" xfId="30" applyNumberFormat="1" applyFont="1" applyFill="1" applyBorder="1"/>
    <xf numFmtId="201" fontId="82" fillId="0" borderId="0" xfId="30" applyNumberFormat="1" applyFont="1" applyFill="1" applyAlignment="1">
      <alignment horizontal="right"/>
    </xf>
    <xf numFmtId="201" fontId="82" fillId="0" borderId="0" xfId="30" applyNumberFormat="1" applyFont="1" applyFill="1"/>
    <xf numFmtId="0" fontId="78" fillId="0" borderId="0" xfId="30" applyNumberFormat="1" applyFont="1" applyFill="1" applyAlignment="1">
      <alignment horizontal="left" indent="2"/>
    </xf>
    <xf numFmtId="199" fontId="78" fillId="0" borderId="0" xfId="30" applyNumberFormat="1" applyFont="1" applyFill="1" applyBorder="1"/>
    <xf numFmtId="199" fontId="78" fillId="0" borderId="28" xfId="30" applyNumberFormat="1" applyFont="1" applyFill="1" applyBorder="1"/>
    <xf numFmtId="201" fontId="78" fillId="0" borderId="0" xfId="30" applyNumberFormat="1" applyFont="1" applyFill="1" applyAlignment="1">
      <alignment horizontal="right"/>
    </xf>
    <xf numFmtId="201" fontId="78" fillId="0" borderId="0" xfId="30" applyNumberFormat="1" applyFont="1" applyFill="1"/>
    <xf numFmtId="0" fontId="72" fillId="0" borderId="0" xfId="30" applyNumberFormat="1" applyFont="1" applyFill="1" applyAlignment="1">
      <alignment horizontal="left"/>
    </xf>
    <xf numFmtId="199" fontId="83" fillId="0" borderId="0" xfId="30" applyNumberFormat="1" applyFont="1" applyFill="1"/>
    <xf numFmtId="0" fontId="70" fillId="0" borderId="0" xfId="30" applyNumberFormat="1" applyFont="1" applyFill="1" applyAlignment="1">
      <alignment horizontal="left" indent="2"/>
    </xf>
    <xf numFmtId="200" fontId="70" fillId="0" borderId="0" xfId="30" applyNumberFormat="1" applyFont="1" applyFill="1" applyBorder="1"/>
    <xf numFmtId="200" fontId="70" fillId="0" borderId="28" xfId="30" applyNumberFormat="1" applyFont="1" applyFill="1" applyBorder="1"/>
    <xf numFmtId="0" fontId="84" fillId="0" borderId="0" xfId="30" applyNumberFormat="1" applyFont="1" applyFill="1"/>
    <xf numFmtId="198" fontId="78" fillId="0" borderId="0" xfId="30" applyNumberFormat="1" applyFont="1" applyFill="1" applyBorder="1"/>
    <xf numFmtId="0" fontId="85" fillId="0" borderId="0" xfId="30" applyNumberFormat="1" applyFont="1" applyFill="1"/>
    <xf numFmtId="0" fontId="86" fillId="0" borderId="0" xfId="30" applyNumberFormat="1" applyFont="1" applyFill="1"/>
    <xf numFmtId="199" fontId="70" fillId="0" borderId="0" xfId="30" applyNumberFormat="1" applyFont="1" applyFill="1" applyAlignment="1">
      <alignment horizontal="left" indent="1"/>
    </xf>
    <xf numFmtId="9" fontId="76" fillId="0" borderId="0" xfId="30" applyNumberFormat="1" applyFont="1" applyFill="1" applyBorder="1"/>
    <xf numFmtId="0" fontId="80" fillId="0" borderId="0" xfId="30" applyNumberFormat="1" applyFont="1" applyFill="1"/>
    <xf numFmtId="199" fontId="82" fillId="0" borderId="0" xfId="30" applyNumberFormat="1" applyFont="1" applyFill="1"/>
    <xf numFmtId="198" fontId="87" fillId="0" borderId="0" xfId="30" applyNumberFormat="1" applyFont="1" applyFill="1" applyBorder="1"/>
    <xf numFmtId="10" fontId="72" fillId="0" borderId="28" xfId="30" applyNumberFormat="1" applyFont="1" applyFill="1" applyBorder="1"/>
    <xf numFmtId="10" fontId="72" fillId="0" borderId="0" xfId="30" applyNumberFormat="1" applyFont="1" applyFill="1" applyBorder="1"/>
    <xf numFmtId="198" fontId="72" fillId="0" borderId="28" xfId="30" applyNumberFormat="1" applyFont="1" applyFill="1" applyBorder="1"/>
    <xf numFmtId="184" fontId="70" fillId="0" borderId="0" xfId="30" applyNumberFormat="1" applyFont="1" applyFill="1" applyBorder="1"/>
    <xf numFmtId="0" fontId="70" fillId="0" borderId="0" xfId="30" applyNumberFormat="1" applyFont="1" applyFill="1" applyBorder="1" applyAlignment="1">
      <alignment horizontal="left" indent="1"/>
    </xf>
    <xf numFmtId="0" fontId="72" fillId="0" borderId="0" xfId="30" applyNumberFormat="1" applyFont="1" applyFill="1" applyBorder="1"/>
    <xf numFmtId="0" fontId="88" fillId="0" borderId="0" xfId="30" applyNumberFormat="1" applyFont="1" applyFill="1" applyAlignment="1">
      <alignment horizontal="left" indent="1"/>
    </xf>
    <xf numFmtId="0" fontId="81" fillId="0" borderId="0" xfId="30" applyNumberFormat="1" applyFont="1" applyFill="1" applyAlignment="1">
      <alignment horizontal="left" indent="2"/>
    </xf>
    <xf numFmtId="198" fontId="70" fillId="0" borderId="0" xfId="30" applyNumberFormat="1" applyFont="1" applyFill="1" applyBorder="1" applyAlignment="1">
      <alignment horizontal="left" indent="1"/>
    </xf>
    <xf numFmtId="200" fontId="70" fillId="0" borderId="0" xfId="30" applyNumberFormat="1" applyFont="1" applyFill="1"/>
    <xf numFmtId="0" fontId="70" fillId="0" borderId="0" xfId="30" applyNumberFormat="1" applyFont="1" applyFill="1" applyBorder="1"/>
    <xf numFmtId="9" fontId="72" fillId="0" borderId="28" xfId="30" applyNumberFormat="1" applyFont="1" applyFill="1" applyBorder="1"/>
    <xf numFmtId="0" fontId="89" fillId="0" borderId="0" xfId="30" applyNumberFormat="1" applyFont="1" applyFill="1" applyBorder="1" applyAlignment="1">
      <alignment horizontal="center"/>
    </xf>
    <xf numFmtId="199" fontId="81" fillId="0" borderId="0" xfId="30" applyNumberFormat="1" applyFont="1" applyFill="1" applyAlignment="1">
      <alignment horizontal="left" indent="1"/>
    </xf>
    <xf numFmtId="0" fontId="78" fillId="0" borderId="0" xfId="30" applyNumberFormat="1" applyFont="1" applyFill="1" applyAlignment="1">
      <alignment horizontal="left" indent="3"/>
    </xf>
    <xf numFmtId="199" fontId="78" fillId="0" borderId="0" xfId="30" applyNumberFormat="1" applyFont="1" applyFill="1" applyAlignment="1">
      <alignment horizontal="left" indent="1"/>
    </xf>
    <xf numFmtId="184" fontId="72" fillId="0" borderId="0" xfId="30" applyNumberFormat="1" applyFont="1" applyFill="1" applyBorder="1"/>
    <xf numFmtId="184" fontId="70" fillId="0" borderId="28" xfId="30" applyNumberFormat="1" applyFont="1" applyFill="1" applyBorder="1"/>
    <xf numFmtId="199" fontId="90" fillId="0" borderId="0" xfId="30" applyNumberFormat="1" applyFont="1" applyFill="1"/>
    <xf numFmtId="202" fontId="70" fillId="0" borderId="0" xfId="30" applyNumberFormat="1" applyFont="1" applyFill="1" applyBorder="1"/>
    <xf numFmtId="202" fontId="91" fillId="0" borderId="0" xfId="30" applyNumberFormat="1" applyFont="1" applyFill="1" applyBorder="1"/>
    <xf numFmtId="0" fontId="70" fillId="0" borderId="0" xfId="30" applyNumberFormat="1" applyFont="1" applyFill="1" applyAlignment="1">
      <alignment horizontal="left" indent="3"/>
    </xf>
    <xf numFmtId="0" fontId="72" fillId="0" borderId="0" xfId="30" applyNumberFormat="1" applyFont="1" applyFill="1" applyAlignment="1">
      <alignment horizontal="left" indent="2"/>
    </xf>
    <xf numFmtId="202" fontId="72" fillId="0" borderId="0" xfId="30" applyNumberFormat="1" applyFont="1" applyFill="1" applyBorder="1"/>
    <xf numFmtId="0" fontId="72" fillId="0" borderId="28" xfId="30" applyNumberFormat="1" applyFont="1" applyFill="1" applyBorder="1"/>
    <xf numFmtId="0" fontId="70" fillId="0" borderId="28" xfId="30" applyNumberFormat="1" applyFont="1" applyFill="1" applyBorder="1"/>
    <xf numFmtId="0" fontId="78" fillId="0" borderId="0" xfId="30" applyNumberFormat="1" applyFont="1" applyFill="1" applyAlignment="1">
      <alignment horizontal="left" indent="1"/>
    </xf>
    <xf numFmtId="200" fontId="70" fillId="0" borderId="0" xfId="30" applyNumberFormat="1" applyFont="1" applyFill="1" applyBorder="1" applyAlignment="1">
      <alignment horizontal="left" indent="1"/>
    </xf>
    <xf numFmtId="200" fontId="70" fillId="0" borderId="28" xfId="30" applyNumberFormat="1" applyFont="1" applyFill="1" applyBorder="1" applyAlignment="1">
      <alignment horizontal="left" indent="1"/>
    </xf>
    <xf numFmtId="176" fontId="70" fillId="0" borderId="0" xfId="30" applyNumberFormat="1" applyFont="1" applyFill="1" applyBorder="1" applyAlignment="1">
      <alignment horizontal="left" indent="1"/>
    </xf>
    <xf numFmtId="202" fontId="70" fillId="0" borderId="0" xfId="30" applyNumberFormat="1" applyFont="1" applyFill="1" applyBorder="1" applyAlignment="1">
      <alignment horizontal="left" indent="1"/>
    </xf>
    <xf numFmtId="202" fontId="70" fillId="0" borderId="28" xfId="30" applyNumberFormat="1" applyFont="1" applyFill="1" applyBorder="1" applyAlignment="1">
      <alignment horizontal="left" indent="1"/>
    </xf>
    <xf numFmtId="203" fontId="70" fillId="0" borderId="28" xfId="30" applyNumberFormat="1" applyFont="1" applyFill="1" applyBorder="1" applyAlignment="1">
      <alignment horizontal="left" indent="1"/>
    </xf>
    <xf numFmtId="203" fontId="70" fillId="0" borderId="0" xfId="30" applyNumberFormat="1" applyFont="1" applyFill="1" applyBorder="1" applyAlignment="1">
      <alignment horizontal="left" indent="1"/>
    </xf>
    <xf numFmtId="0" fontId="92" fillId="0" borderId="0" xfId="30" applyNumberFormat="1" applyFont="1" applyFill="1" applyAlignment="1">
      <alignment horizontal="left" indent="1"/>
    </xf>
    <xf numFmtId="203" fontId="78" fillId="0" borderId="0" xfId="30" applyNumberFormat="1" applyFont="1" applyFill="1" applyBorder="1" applyAlignment="1">
      <alignment horizontal="left" indent="1"/>
    </xf>
    <xf numFmtId="203" fontId="78" fillId="0" borderId="28" xfId="30" applyNumberFormat="1" applyFont="1" applyFill="1" applyBorder="1" applyAlignment="1">
      <alignment horizontal="left" indent="1"/>
    </xf>
    <xf numFmtId="198" fontId="70" fillId="0" borderId="28" xfId="30" applyNumberFormat="1" applyFont="1" applyFill="1" applyBorder="1" applyAlignment="1">
      <alignment horizontal="left" indent="1"/>
    </xf>
    <xf numFmtId="200" fontId="82" fillId="0" borderId="0" xfId="30" applyNumberFormat="1" applyFont="1" applyFill="1" applyBorder="1"/>
    <xf numFmtId="200" fontId="82" fillId="0" borderId="28" xfId="30" applyNumberFormat="1" applyFont="1" applyFill="1" applyBorder="1"/>
    <xf numFmtId="200" fontId="78" fillId="0" borderId="0" xfId="30" applyNumberFormat="1" applyFont="1" applyFill="1" applyBorder="1"/>
    <xf numFmtId="200" fontId="78" fillId="0" borderId="28" xfId="30" applyNumberFormat="1" applyFont="1" applyFill="1" applyBorder="1"/>
    <xf numFmtId="198" fontId="78" fillId="0" borderId="0" xfId="30" applyNumberFormat="1" applyFont="1" applyFill="1" applyBorder="1" applyAlignment="1">
      <alignment horizontal="left" indent="1"/>
    </xf>
    <xf numFmtId="0" fontId="93" fillId="0" borderId="0" xfId="30" applyNumberFormat="1" applyFont="1" applyFill="1"/>
    <xf numFmtId="0" fontId="76" fillId="0" borderId="0" xfId="30" applyNumberFormat="1" applyFont="1" applyFill="1" applyBorder="1" applyAlignment="1">
      <alignment horizontal="left" indent="1"/>
    </xf>
    <xf numFmtId="0" fontId="87" fillId="0" borderId="0" xfId="30" applyNumberFormat="1" applyFont="1" applyFill="1"/>
    <xf numFmtId="0" fontId="94" fillId="0" borderId="0" xfId="30" applyNumberFormat="1" applyFont="1" applyFill="1"/>
    <xf numFmtId="201" fontId="92" fillId="0" borderId="0" xfId="30" applyNumberFormat="1" applyFont="1" applyFill="1" applyAlignment="1">
      <alignment horizontal="right"/>
    </xf>
    <xf numFmtId="0" fontId="72" fillId="0" borderId="0" xfId="30" applyNumberFormat="1" applyFont="1" applyFill="1" applyAlignment="1">
      <alignment horizontal="left" indent="1"/>
    </xf>
    <xf numFmtId="198" fontId="80" fillId="0" borderId="0" xfId="30" applyNumberFormat="1" applyFont="1" applyFill="1" applyBorder="1"/>
    <xf numFmtId="0" fontId="95" fillId="0" borderId="0" xfId="30" applyNumberFormat="1" applyFont="1" applyFill="1" applyAlignment="1">
      <alignment horizontal="left" indent="2"/>
    </xf>
    <xf numFmtId="0" fontId="96" fillId="0" borderId="0" xfId="30" applyNumberFormat="1" applyFont="1" applyFill="1"/>
    <xf numFmtId="204" fontId="78" fillId="0" borderId="0" xfId="30" applyNumberFormat="1" applyFont="1" applyFill="1" applyBorder="1"/>
    <xf numFmtId="0" fontId="76" fillId="0" borderId="0" xfId="31" applyNumberFormat="1" applyFont="1" applyFill="1" applyAlignment="1">
      <alignment horizontal="left" indent="1"/>
    </xf>
    <xf numFmtId="0" fontId="78" fillId="0" borderId="0" xfId="31" applyNumberFormat="1" applyFont="1" applyFill="1" applyAlignment="1">
      <alignment horizontal="left" indent="1"/>
    </xf>
    <xf numFmtId="0" fontId="70" fillId="0" borderId="0" xfId="31" applyNumberFormat="1" applyFont="1" applyFill="1" applyAlignment="1">
      <alignment horizontal="left" indent="1"/>
    </xf>
    <xf numFmtId="0" fontId="70" fillId="0" borderId="0" xfId="31" applyNumberFormat="1" applyFont="1" applyFill="1" applyAlignment="1">
      <alignment horizontal="left" indent="2"/>
    </xf>
    <xf numFmtId="198" fontId="78" fillId="0" borderId="28" xfId="30" applyNumberFormat="1" applyFont="1" applyFill="1" applyBorder="1"/>
    <xf numFmtId="0" fontId="81" fillId="0" borderId="0" xfId="31" applyNumberFormat="1" applyFont="1" applyFill="1" applyAlignment="1">
      <alignment horizontal="left" indent="1"/>
    </xf>
    <xf numFmtId="205" fontId="70" fillId="0" borderId="28" xfId="30" applyNumberFormat="1" applyFont="1" applyFill="1" applyBorder="1"/>
    <xf numFmtId="205" fontId="70" fillId="0" borderId="0" xfId="30" applyNumberFormat="1" applyFont="1" applyFill="1" applyBorder="1"/>
    <xf numFmtId="205" fontId="82" fillId="0" borderId="28" xfId="30" applyNumberFormat="1" applyFont="1" applyFill="1" applyBorder="1"/>
    <xf numFmtId="205" fontId="82" fillId="0" borderId="0" xfId="30" applyNumberFormat="1" applyFont="1" applyFill="1" applyBorder="1"/>
    <xf numFmtId="0" fontId="78" fillId="0" borderId="0" xfId="31" applyNumberFormat="1" applyFont="1" applyFill="1" applyAlignment="1">
      <alignment horizontal="left" indent="2"/>
    </xf>
    <xf numFmtId="0" fontId="72" fillId="0" borderId="0" xfId="31" applyNumberFormat="1" applyFont="1" applyFill="1" applyBorder="1" applyAlignment="1">
      <alignment horizontal="left" vertical="center"/>
    </xf>
    <xf numFmtId="0" fontId="76" fillId="0" borderId="0" xfId="31" applyNumberFormat="1" applyFont="1" applyFill="1" applyBorder="1" applyAlignment="1">
      <alignment horizontal="left" indent="1"/>
    </xf>
    <xf numFmtId="0" fontId="81" fillId="0" borderId="0" xfId="31" applyNumberFormat="1" applyFont="1" applyFill="1" applyBorder="1" applyAlignment="1">
      <alignment horizontal="left" indent="1"/>
    </xf>
    <xf numFmtId="184" fontId="72" fillId="0" borderId="28" xfId="30" applyNumberFormat="1" applyFont="1" applyFill="1" applyBorder="1"/>
    <xf numFmtId="199" fontId="92" fillId="0" borderId="0" xfId="30" applyNumberFormat="1" applyFont="1" applyFill="1"/>
    <xf numFmtId="198" fontId="70" fillId="0" borderId="0" xfId="30" applyNumberFormat="1" applyFont="1" applyFill="1" applyBorder="1"/>
    <xf numFmtId="198" fontId="70" fillId="0" borderId="28" xfId="30" applyNumberFormat="1" applyFont="1" applyFill="1" applyBorder="1"/>
    <xf numFmtId="0" fontId="76" fillId="0" borderId="0" xfId="30" applyNumberFormat="1" applyFont="1" applyFill="1" applyBorder="1" applyAlignment="1">
      <alignment horizontal="left"/>
    </xf>
    <xf numFmtId="199" fontId="76" fillId="0" borderId="0" xfId="30" applyNumberFormat="1" applyFont="1" applyFill="1" applyBorder="1"/>
    <xf numFmtId="199" fontId="76" fillId="0" borderId="29" xfId="30" applyNumberFormat="1" applyFont="1" applyFill="1" applyBorder="1"/>
    <xf numFmtId="192" fontId="70" fillId="0" borderId="0" xfId="32" applyFont="1"/>
    <xf numFmtId="192" fontId="72" fillId="0" borderId="0" xfId="32" applyFont="1"/>
    <xf numFmtId="0" fontId="69" fillId="0" borderId="0" xfId="30"/>
    <xf numFmtId="192" fontId="98" fillId="0" borderId="25" xfId="32" applyFont="1" applyBorder="1"/>
    <xf numFmtId="192" fontId="72" fillId="0" borderId="25" xfId="32" applyFont="1" applyBorder="1"/>
    <xf numFmtId="0" fontId="74" fillId="0" borderId="0" xfId="30" applyNumberFormat="1" applyFont="1" applyAlignment="1">
      <alignment horizontal="centerContinuous"/>
    </xf>
    <xf numFmtId="196" fontId="75" fillId="0" borderId="0" xfId="32" applyNumberFormat="1" applyFont="1" applyAlignment="1">
      <alignment horizontal="center"/>
    </xf>
    <xf numFmtId="197" fontId="75" fillId="0" borderId="27" xfId="32" applyNumberFormat="1" applyFont="1" applyBorder="1" applyAlignment="1">
      <alignment horizontal="center"/>
    </xf>
    <xf numFmtId="197" fontId="75" fillId="0" borderId="0" xfId="32" applyNumberFormat="1" applyFont="1" applyAlignment="1">
      <alignment horizontal="center"/>
    </xf>
    <xf numFmtId="0" fontId="74" fillId="0" borderId="0" xfId="30" quotePrefix="1" applyNumberFormat="1" applyFont="1" applyAlignment="1">
      <alignment horizontal="centerContinuous"/>
    </xf>
    <xf numFmtId="192" fontId="76" fillId="0" borderId="4" xfId="32" applyFont="1" applyBorder="1"/>
    <xf numFmtId="192" fontId="72" fillId="0" borderId="2" xfId="32" applyFont="1" applyBorder="1"/>
    <xf numFmtId="192" fontId="72" fillId="0" borderId="5" xfId="32" applyFont="1" applyBorder="1"/>
    <xf numFmtId="192" fontId="72" fillId="0" borderId="28" xfId="32" applyFont="1" applyBorder="1"/>
    <xf numFmtId="192" fontId="72" fillId="0" borderId="0" xfId="32" applyNumberFormat="1" applyFont="1" applyBorder="1"/>
    <xf numFmtId="192" fontId="72" fillId="0" borderId="0" xfId="32" applyNumberFormat="1" applyFont="1" applyFill="1" applyBorder="1"/>
    <xf numFmtId="192" fontId="72" fillId="0" borderId="28" xfId="32" applyNumberFormat="1" applyFont="1" applyFill="1" applyBorder="1"/>
    <xf numFmtId="199" fontId="70" fillId="0" borderId="0" xfId="30" applyNumberFormat="1" applyFont="1"/>
    <xf numFmtId="192" fontId="80" fillId="0" borderId="0" xfId="32" applyNumberFormat="1" applyFont="1" applyBorder="1"/>
    <xf numFmtId="192" fontId="80" fillId="0" borderId="0" xfId="32" applyNumberFormat="1" applyFont="1" applyFill="1" applyBorder="1"/>
    <xf numFmtId="192" fontId="80" fillId="0" borderId="28" xfId="32" applyNumberFormat="1" applyFont="1" applyFill="1" applyBorder="1"/>
    <xf numFmtId="199" fontId="81" fillId="0" borderId="0" xfId="30" applyNumberFormat="1" applyFont="1"/>
    <xf numFmtId="192" fontId="76" fillId="0" borderId="0" xfId="32" applyFont="1" applyAlignment="1">
      <alignment horizontal="left" indent="1"/>
    </xf>
    <xf numFmtId="192" fontId="76" fillId="0" borderId="0" xfId="32" applyFont="1"/>
    <xf numFmtId="192" fontId="76" fillId="0" borderId="0" xfId="32" applyNumberFormat="1" applyFont="1" applyBorder="1"/>
    <xf numFmtId="192" fontId="76" fillId="0" borderId="0" xfId="32" applyNumberFormat="1" applyFont="1" applyFill="1" applyBorder="1"/>
    <xf numFmtId="192" fontId="76" fillId="0" borderId="28" xfId="32" applyNumberFormat="1" applyFont="1" applyFill="1" applyBorder="1"/>
    <xf numFmtId="199" fontId="78" fillId="0" borderId="0" xfId="30" applyNumberFormat="1" applyFont="1"/>
    <xf numFmtId="192" fontId="72" fillId="0" borderId="0" xfId="32" applyFont="1" applyAlignment="1">
      <alignment horizontal="left"/>
    </xf>
    <xf numFmtId="192" fontId="80" fillId="0" borderId="0" xfId="32" applyFont="1"/>
    <xf numFmtId="184" fontId="70" fillId="0" borderId="0" xfId="32" applyNumberFormat="1" applyFont="1"/>
    <xf numFmtId="192" fontId="81" fillId="0" borderId="0" xfId="32" applyFont="1" applyAlignment="1">
      <alignment horizontal="left" indent="1"/>
    </xf>
    <xf numFmtId="192" fontId="70" fillId="0" borderId="0" xfId="32" applyFont="1" applyAlignment="1">
      <alignment horizontal="left" indent="1"/>
    </xf>
    <xf numFmtId="199" fontId="70" fillId="0" borderId="28" xfId="30" applyNumberFormat="1" applyFont="1" applyBorder="1"/>
    <xf numFmtId="199" fontId="81" fillId="0" borderId="28" xfId="30" applyNumberFormat="1" applyFont="1" applyBorder="1"/>
    <xf numFmtId="192" fontId="78" fillId="0" borderId="0" xfId="32" applyFont="1" applyAlignment="1">
      <alignment horizontal="left" indent="2"/>
    </xf>
    <xf numFmtId="199" fontId="78" fillId="0" borderId="28" xfId="30" applyNumberFormat="1" applyFont="1" applyBorder="1"/>
    <xf numFmtId="192" fontId="72" fillId="0" borderId="0" xfId="32" applyFont="1" applyFill="1" applyBorder="1"/>
    <xf numFmtId="0" fontId="94" fillId="0" borderId="0" xfId="30" applyNumberFormat="1" applyFont="1" applyAlignment="1">
      <alignment horizontal="left"/>
    </xf>
    <xf numFmtId="192" fontId="72" fillId="0" borderId="0" xfId="30" applyNumberFormat="1" applyFont="1" applyAlignment="1">
      <alignment horizontal="left"/>
    </xf>
    <xf numFmtId="192" fontId="72" fillId="0" borderId="0" xfId="32" applyFont="1" applyBorder="1"/>
    <xf numFmtId="192" fontId="80" fillId="0" borderId="0" xfId="32" applyFont="1" applyBorder="1"/>
    <xf numFmtId="192" fontId="80" fillId="0" borderId="28" xfId="32" applyFont="1" applyBorder="1"/>
    <xf numFmtId="192" fontId="80" fillId="0" borderId="0" xfId="32" applyFont="1" applyFill="1" applyBorder="1"/>
    <xf numFmtId="192" fontId="76" fillId="0" borderId="0" xfId="30" applyNumberFormat="1" applyFont="1" applyAlignment="1">
      <alignment horizontal="left" indent="1"/>
    </xf>
    <xf numFmtId="192" fontId="76" fillId="0" borderId="28" xfId="32" applyFont="1" applyBorder="1"/>
    <xf numFmtId="192" fontId="76" fillId="0" borderId="0" xfId="32" applyFont="1" applyFill="1" applyBorder="1"/>
    <xf numFmtId="0" fontId="81" fillId="0" borderId="0" xfId="30" applyNumberFormat="1" applyFont="1" applyAlignment="1">
      <alignment horizontal="left" indent="1"/>
    </xf>
    <xf numFmtId="192" fontId="72" fillId="0" borderId="0" xfId="32" applyFont="1" applyFill="1"/>
    <xf numFmtId="199" fontId="78" fillId="0" borderId="0" xfId="30" applyNumberFormat="1" applyFont="1" applyBorder="1"/>
    <xf numFmtId="199" fontId="70" fillId="0" borderId="0" xfId="30" applyNumberFormat="1" applyFont="1" applyBorder="1"/>
    <xf numFmtId="192" fontId="72" fillId="0" borderId="0" xfId="32" applyNumberFormat="1" applyFont="1"/>
    <xf numFmtId="192" fontId="72" fillId="0" borderId="28" xfId="32" applyNumberFormat="1" applyFont="1" applyBorder="1"/>
    <xf numFmtId="192" fontId="80" fillId="0" borderId="0" xfId="32" applyNumberFormat="1" applyFont="1"/>
    <xf numFmtId="192" fontId="80" fillId="0" borderId="28" xfId="32" applyNumberFormat="1" applyFont="1" applyBorder="1"/>
    <xf numFmtId="192" fontId="76" fillId="0" borderId="0" xfId="32" applyNumberFormat="1" applyFont="1"/>
    <xf numFmtId="192" fontId="76" fillId="0" borderId="28" xfId="32" applyNumberFormat="1" applyFont="1" applyBorder="1"/>
    <xf numFmtId="192" fontId="70" fillId="0" borderId="28" xfId="32" applyFont="1" applyBorder="1"/>
    <xf numFmtId="192" fontId="70" fillId="0" borderId="0" xfId="32" applyFont="1" applyFill="1" applyBorder="1"/>
    <xf numFmtId="192" fontId="78" fillId="0" borderId="0" xfId="32" applyFont="1" applyAlignment="1">
      <alignment horizontal="left" indent="1"/>
    </xf>
    <xf numFmtId="184" fontId="72" fillId="0" borderId="0" xfId="32" applyNumberFormat="1" applyFont="1"/>
    <xf numFmtId="0" fontId="70" fillId="0" borderId="0" xfId="30" applyNumberFormat="1" applyFont="1" applyAlignment="1">
      <alignment horizontal="left" indent="1"/>
    </xf>
    <xf numFmtId="0" fontId="78" fillId="0" borderId="0" xfId="30" applyNumberFormat="1" applyFont="1" applyAlignment="1">
      <alignment horizontal="left" indent="2"/>
    </xf>
    <xf numFmtId="9" fontId="51" fillId="13" borderId="0" xfId="3" applyFont="1" applyFill="1" applyAlignment="1"/>
    <xf numFmtId="0" fontId="13" fillId="0" borderId="0" xfId="0" applyFont="1" applyFill="1" applyBorder="1" applyAlignment="1" applyProtection="1">
      <alignment vertical="center"/>
    </xf>
    <xf numFmtId="189" fontId="17" fillId="0" borderId="0" xfId="1" applyNumberFormat="1" applyFill="1" applyBorder="1" applyAlignment="1" applyProtection="1">
      <alignment vertical="center"/>
    </xf>
    <xf numFmtId="177" fontId="21" fillId="4" borderId="0" xfId="10" applyFill="1" applyAlignment="1"/>
    <xf numFmtId="37" fontId="21" fillId="4" borderId="0" xfId="2" applyFont="1" applyFill="1" applyAlignment="1"/>
    <xf numFmtId="177" fontId="21" fillId="2" borderId="0" xfId="10" applyFill="1" applyAlignment="1">
      <alignment horizontal="left"/>
    </xf>
    <xf numFmtId="37" fontId="20" fillId="2" borderId="0" xfId="9" applyFill="1" applyAlignment="1">
      <alignment horizontal="left"/>
    </xf>
    <xf numFmtId="37" fontId="20" fillId="2" borderId="1" xfId="11" applyFill="1" applyAlignment="1">
      <alignment horizontal="left"/>
    </xf>
    <xf numFmtId="37" fontId="55" fillId="2" borderId="0" xfId="21" applyFill="1" applyAlignment="1">
      <alignment horizontal="left"/>
    </xf>
    <xf numFmtId="37" fontId="20" fillId="2" borderId="2" xfId="12" applyFill="1" applyAlignment="1">
      <alignment horizontal="left"/>
    </xf>
    <xf numFmtId="37" fontId="55" fillId="2" borderId="0" xfId="21" applyFont="1" applyAlignment="1"/>
    <xf numFmtId="192" fontId="10" fillId="2" borderId="0" xfId="0" applyNumberFormat="1" applyFont="1" applyAlignment="1"/>
    <xf numFmtId="176" fontId="10" fillId="2" borderId="0" xfId="0" applyNumberFormat="1" applyFont="1" applyAlignment="1"/>
    <xf numFmtId="182" fontId="10" fillId="2" borderId="0" xfId="0" applyNumberFormat="1" applyFont="1" applyAlignment="1"/>
    <xf numFmtId="0" fontId="70" fillId="0" borderId="0" xfId="0" applyNumberFormat="1" applyFont="1" applyFill="1" applyAlignment="1"/>
    <xf numFmtId="0" fontId="0" fillId="0" borderId="0" xfId="0" applyNumberFormat="1" applyFill="1" applyAlignment="1"/>
    <xf numFmtId="0" fontId="0" fillId="0" borderId="0" xfId="0" applyNumberFormat="1" applyFill="1" applyBorder="1" applyAlignment="1"/>
    <xf numFmtId="0" fontId="71" fillId="0" borderId="25" xfId="0" applyNumberFormat="1" applyFont="1" applyFill="1" applyBorder="1" applyAlignment="1"/>
    <xf numFmtId="0" fontId="0" fillId="0" borderId="25" xfId="0" applyNumberFormat="1" applyFill="1" applyBorder="1" applyAlignment="1"/>
    <xf numFmtId="20" fontId="72" fillId="0" borderId="25" xfId="0" applyNumberFormat="1" applyFont="1" applyFill="1" applyBorder="1" applyAlignment="1">
      <alignment horizontal="center"/>
    </xf>
    <xf numFmtId="195" fontId="72" fillId="0" borderId="25" xfId="0" applyNumberFormat="1" applyFont="1" applyFill="1" applyBorder="1" applyAlignment="1">
      <alignment horizontal="center"/>
    </xf>
    <xf numFmtId="0" fontId="0" fillId="0" borderId="26" xfId="0" applyNumberFormat="1" applyFill="1" applyBorder="1" applyAlignment="1"/>
    <xf numFmtId="0" fontId="73" fillId="0" borderId="0" xfId="0" applyNumberFormat="1" applyFont="1" applyFill="1" applyAlignment="1">
      <alignment horizontal="right"/>
    </xf>
    <xf numFmtId="0" fontId="74" fillId="0" borderId="0" xfId="0" applyNumberFormat="1" applyFont="1" applyFill="1" applyAlignment="1">
      <alignment horizontal="centerContinuous"/>
    </xf>
    <xf numFmtId="0" fontId="72" fillId="0" borderId="0" xfId="0" applyNumberFormat="1" applyFont="1" applyFill="1" applyAlignment="1"/>
    <xf numFmtId="196" fontId="75" fillId="0" borderId="0" xfId="0" applyNumberFormat="1" applyFont="1" applyFill="1" applyBorder="1" applyAlignment="1">
      <alignment horizontal="centerContinuous"/>
    </xf>
    <xf numFmtId="197" fontId="75" fillId="0" borderId="0" xfId="0" applyNumberFormat="1" applyFont="1" applyFill="1" applyBorder="1" applyAlignment="1">
      <alignment horizontal="centerContinuous"/>
    </xf>
    <xf numFmtId="0" fontId="74" fillId="0" borderId="0" xfId="0" quotePrefix="1" applyNumberFormat="1" applyFont="1" applyFill="1" applyAlignment="1">
      <alignment horizontal="centerContinuous"/>
    </xf>
    <xf numFmtId="0" fontId="76" fillId="0" borderId="4" xfId="0" applyNumberFormat="1" applyFont="1" applyFill="1" applyBorder="1" applyAlignment="1"/>
    <xf numFmtId="0" fontId="0" fillId="0" borderId="5" xfId="0" applyNumberFormat="1" applyFill="1" applyBorder="1" applyAlignment="1"/>
    <xf numFmtId="198" fontId="77" fillId="0" borderId="0" xfId="0" applyNumberFormat="1" applyFont="1" applyFill="1" applyAlignment="1"/>
    <xf numFmtId="198" fontId="72" fillId="0" borderId="0" xfId="0" applyNumberFormat="1" applyFont="1" applyFill="1" applyBorder="1" applyAlignment="1"/>
    <xf numFmtId="198" fontId="76" fillId="0" borderId="0" xfId="0" applyNumberFormat="1" applyFont="1" applyFill="1" applyBorder="1" applyAlignment="1"/>
    <xf numFmtId="198" fontId="76" fillId="0" borderId="28" xfId="0" applyNumberFormat="1" applyFont="1" applyFill="1" applyBorder="1" applyAlignment="1"/>
    <xf numFmtId="0" fontId="76" fillId="0" borderId="0" xfId="0" applyNumberFormat="1" applyFont="1" applyFill="1" applyAlignment="1"/>
    <xf numFmtId="199" fontId="78" fillId="0" borderId="0" xfId="0" applyNumberFormat="1" applyFont="1" applyFill="1" applyAlignment="1"/>
    <xf numFmtId="200" fontId="77" fillId="0" borderId="0" xfId="0" applyNumberFormat="1" applyFont="1" applyFill="1" applyBorder="1" applyAlignment="1"/>
    <xf numFmtId="200" fontId="77" fillId="0" borderId="28" xfId="0" applyNumberFormat="1" applyFont="1" applyFill="1" applyBorder="1" applyAlignment="1"/>
    <xf numFmtId="199" fontId="70" fillId="0" borderId="0" xfId="0" applyNumberFormat="1" applyFont="1" applyFill="1" applyAlignment="1"/>
    <xf numFmtId="198" fontId="79" fillId="0" borderId="0" xfId="0" applyNumberFormat="1" applyFont="1" applyFill="1" applyAlignment="1"/>
    <xf numFmtId="200" fontId="79" fillId="0" borderId="0" xfId="0" applyNumberFormat="1" applyFont="1" applyFill="1" applyBorder="1" applyAlignment="1"/>
    <xf numFmtId="200" fontId="79" fillId="0" borderId="28" xfId="0" applyNumberFormat="1" applyFont="1" applyFill="1" applyBorder="1" applyAlignment="1"/>
    <xf numFmtId="199" fontId="81" fillId="0" borderId="0" xfId="0" applyNumberFormat="1" applyFont="1" applyFill="1" applyAlignment="1"/>
    <xf numFmtId="0" fontId="76" fillId="0" borderId="0" xfId="0" applyNumberFormat="1" applyFont="1" applyFill="1" applyAlignment="1">
      <alignment horizontal="left" indent="1"/>
    </xf>
    <xf numFmtId="198" fontId="76" fillId="0" borderId="0" xfId="0" applyNumberFormat="1" applyFont="1" applyFill="1" applyAlignment="1"/>
    <xf numFmtId="200" fontId="99" fillId="0" borderId="0" xfId="0" applyNumberFormat="1" applyFont="1" applyFill="1" applyBorder="1" applyAlignment="1"/>
    <xf numFmtId="200" fontId="99" fillId="0" borderId="28" xfId="0" applyNumberFormat="1" applyFont="1" applyFill="1" applyBorder="1" applyAlignment="1"/>
    <xf numFmtId="0" fontId="81" fillId="0" borderId="0" xfId="0" applyNumberFormat="1" applyFont="1" applyFill="1" applyAlignment="1">
      <alignment horizontal="left" indent="1"/>
    </xf>
    <xf numFmtId="0" fontId="70" fillId="0" borderId="0" xfId="0" applyNumberFormat="1" applyFont="1" applyFill="1" applyAlignment="1">
      <alignment horizontal="left" indent="1"/>
    </xf>
    <xf numFmtId="199" fontId="90" fillId="0" borderId="0" xfId="0" applyNumberFormat="1" applyFont="1" applyFill="1" applyBorder="1" applyAlignment="1"/>
    <xf numFmtId="199" fontId="90" fillId="0" borderId="28" xfId="0" applyNumberFormat="1" applyFont="1" applyFill="1" applyBorder="1" applyAlignment="1"/>
    <xf numFmtId="201" fontId="70" fillId="0" borderId="0" xfId="0" applyNumberFormat="1" applyFont="1" applyFill="1" applyAlignment="1">
      <alignment horizontal="right"/>
    </xf>
    <xf numFmtId="201" fontId="70" fillId="0" borderId="0" xfId="0" applyNumberFormat="1" applyFont="1" applyFill="1" applyAlignment="1"/>
    <xf numFmtId="199" fontId="83" fillId="0" borderId="0" xfId="0" applyNumberFormat="1" applyFont="1" applyFill="1" applyBorder="1" applyAlignment="1"/>
    <xf numFmtId="199" fontId="83" fillId="0" borderId="28" xfId="0" applyNumberFormat="1" applyFont="1" applyFill="1" applyBorder="1" applyAlignment="1"/>
    <xf numFmtId="201" fontId="82" fillId="0" borderId="0" xfId="0" applyNumberFormat="1" applyFont="1" applyFill="1" applyAlignment="1">
      <alignment horizontal="right"/>
    </xf>
    <xf numFmtId="201" fontId="82" fillId="0" borderId="0" xfId="0" applyNumberFormat="1" applyFont="1" applyFill="1" applyAlignment="1"/>
    <xf numFmtId="0" fontId="78" fillId="0" borderId="0" xfId="0" applyNumberFormat="1" applyFont="1" applyFill="1" applyAlignment="1">
      <alignment horizontal="left" indent="2"/>
    </xf>
    <xf numFmtId="199" fontId="100" fillId="0" borderId="0" xfId="0" applyNumberFormat="1" applyFont="1" applyFill="1" applyBorder="1" applyAlignment="1"/>
    <xf numFmtId="199" fontId="100" fillId="0" borderId="28" xfId="0" applyNumberFormat="1" applyFont="1" applyFill="1" applyBorder="1" applyAlignment="1"/>
    <xf numFmtId="201" fontId="78" fillId="0" borderId="0" xfId="0" applyNumberFormat="1" applyFont="1" applyFill="1" applyAlignment="1">
      <alignment horizontal="right"/>
    </xf>
    <xf numFmtId="201" fontId="78" fillId="0" borderId="0" xfId="0" applyNumberFormat="1" applyFont="1" applyFill="1" applyAlignment="1"/>
    <xf numFmtId="200" fontId="101" fillId="0" borderId="0" xfId="0" applyNumberFormat="1" applyFont="1" applyFill="1" applyBorder="1" applyAlignment="1"/>
    <xf numFmtId="200" fontId="101" fillId="0" borderId="28" xfId="0" applyNumberFormat="1" applyFont="1" applyFill="1" applyBorder="1" applyAlignment="1"/>
    <xf numFmtId="200" fontId="102" fillId="0" borderId="0" xfId="0" applyNumberFormat="1" applyFont="1" applyFill="1" applyBorder="1" applyAlignment="1"/>
    <xf numFmtId="200" fontId="102" fillId="0" borderId="28" xfId="0" applyNumberFormat="1" applyFont="1" applyFill="1" applyBorder="1" applyAlignment="1"/>
    <xf numFmtId="0" fontId="72" fillId="0" borderId="0" xfId="0" applyNumberFormat="1" applyFont="1" applyFill="1" applyAlignment="1">
      <alignment horizontal="left"/>
    </xf>
    <xf numFmtId="199" fontId="83" fillId="0" borderId="0" xfId="0" applyNumberFormat="1" applyFont="1" applyFill="1" applyAlignment="1"/>
    <xf numFmtId="0" fontId="70" fillId="0" borderId="0" xfId="0" applyNumberFormat="1" applyFont="1" applyFill="1" applyAlignment="1">
      <alignment horizontal="left" indent="2"/>
    </xf>
    <xf numFmtId="200" fontId="103" fillId="0" borderId="0" xfId="0" applyNumberFormat="1" applyFont="1" applyFill="1" applyBorder="1" applyAlignment="1"/>
    <xf numFmtId="200" fontId="90" fillId="0" borderId="28" xfId="0" applyNumberFormat="1" applyFont="1" applyFill="1" applyBorder="1" applyAlignment="1"/>
    <xf numFmtId="200" fontId="90" fillId="0" borderId="0" xfId="0" applyNumberFormat="1" applyFont="1" applyFill="1" applyBorder="1" applyAlignment="1"/>
    <xf numFmtId="0" fontId="84" fillId="0" borderId="0" xfId="0" applyNumberFormat="1" applyFont="1" applyFill="1" applyAlignment="1"/>
    <xf numFmtId="198" fontId="78" fillId="0" borderId="0" xfId="0" applyNumberFormat="1" applyFont="1" applyFill="1" applyBorder="1" applyAlignment="1"/>
    <xf numFmtId="0" fontId="85" fillId="0" borderId="0" xfId="0" applyNumberFormat="1" applyFont="1" applyFill="1" applyAlignment="1"/>
    <xf numFmtId="199" fontId="70" fillId="0" borderId="0" xfId="0" applyNumberFormat="1" applyFont="1" applyFill="1" applyBorder="1" applyAlignment="1"/>
    <xf numFmtId="199" fontId="70" fillId="0" borderId="28" xfId="0" applyNumberFormat="1" applyFont="1" applyFill="1" applyBorder="1" applyAlignment="1"/>
    <xf numFmtId="0" fontId="86" fillId="0" borderId="0" xfId="0" applyNumberFormat="1" applyFont="1" applyFill="1" applyAlignment="1"/>
    <xf numFmtId="199" fontId="103" fillId="0" borderId="28" xfId="0" applyNumberFormat="1" applyFont="1" applyFill="1" applyBorder="1" applyAlignment="1"/>
    <xf numFmtId="199" fontId="103" fillId="0" borderId="0" xfId="0" applyNumberFormat="1" applyFont="1" applyFill="1" applyBorder="1" applyAlignment="1"/>
    <xf numFmtId="199" fontId="70" fillId="0" borderId="0" xfId="0" applyNumberFormat="1" applyFont="1" applyFill="1" applyAlignment="1">
      <alignment horizontal="left" indent="1"/>
    </xf>
    <xf numFmtId="9" fontId="76" fillId="0" borderId="0" xfId="0" applyNumberFormat="1" applyFont="1" applyFill="1" applyBorder="1" applyAlignment="1"/>
    <xf numFmtId="200" fontId="104" fillId="0" borderId="28" xfId="0" applyNumberFormat="1" applyFont="1" applyFill="1" applyBorder="1" applyAlignment="1"/>
    <xf numFmtId="200" fontId="104" fillId="0" borderId="0" xfId="0" applyNumberFormat="1" applyFont="1" applyFill="1" applyBorder="1" applyAlignment="1"/>
    <xf numFmtId="200" fontId="105" fillId="0" borderId="28" xfId="0" applyNumberFormat="1" applyFont="1" applyFill="1" applyBorder="1" applyAlignment="1"/>
    <xf numFmtId="200" fontId="105" fillId="0" borderId="0" xfId="0" applyNumberFormat="1" applyFont="1" applyFill="1" applyBorder="1" applyAlignment="1"/>
    <xf numFmtId="0" fontId="80" fillId="0" borderId="0" xfId="0" applyNumberFormat="1" applyFont="1" applyFill="1" applyAlignment="1"/>
    <xf numFmtId="199" fontId="82" fillId="0" borderId="0" xfId="0" applyNumberFormat="1" applyFont="1" applyFill="1" applyAlignment="1"/>
    <xf numFmtId="198" fontId="87" fillId="0" borderId="0" xfId="0" applyNumberFormat="1" applyFont="1" applyFill="1" applyBorder="1" applyAlignment="1"/>
    <xf numFmtId="10" fontId="72" fillId="0" borderId="28" xfId="0" applyNumberFormat="1" applyFont="1" applyFill="1" applyBorder="1" applyAlignment="1"/>
    <xf numFmtId="10" fontId="72" fillId="0" borderId="0" xfId="0" applyNumberFormat="1" applyFont="1" applyFill="1" applyBorder="1" applyAlignment="1"/>
    <xf numFmtId="198" fontId="72" fillId="0" borderId="28" xfId="0" applyNumberFormat="1" applyFont="1" applyFill="1" applyBorder="1" applyAlignment="1"/>
    <xf numFmtId="184" fontId="70" fillId="0" borderId="0" xfId="0" applyNumberFormat="1" applyFont="1" applyFill="1" applyBorder="1" applyAlignment="1"/>
    <xf numFmtId="0" fontId="70" fillId="0" borderId="0" xfId="0" applyNumberFormat="1" applyFont="1" applyFill="1" applyBorder="1" applyAlignment="1">
      <alignment horizontal="left" indent="1"/>
    </xf>
    <xf numFmtId="0" fontId="72" fillId="0" borderId="0" xfId="0" applyNumberFormat="1" applyFont="1" applyFill="1" applyBorder="1" applyAlignment="1"/>
    <xf numFmtId="199" fontId="78" fillId="0" borderId="0" xfId="0" applyNumberFormat="1" applyFont="1" applyFill="1" applyBorder="1" applyAlignment="1"/>
    <xf numFmtId="199" fontId="78" fillId="0" borderId="28" xfId="0" applyNumberFormat="1" applyFont="1" applyFill="1" applyBorder="1" applyAlignment="1"/>
    <xf numFmtId="0" fontId="88" fillId="0" borderId="0" xfId="0" applyNumberFormat="1" applyFont="1" applyFill="1" applyAlignment="1">
      <alignment horizontal="left" indent="1"/>
    </xf>
    <xf numFmtId="0" fontId="22" fillId="0" borderId="0" xfId="0" applyFont="1" applyFill="1" applyBorder="1" applyAlignment="1">
      <alignment vertical="center"/>
    </xf>
    <xf numFmtId="3" fontId="10" fillId="2" borderId="0" xfId="0" applyNumberFormat="1" applyFont="1" applyAlignment="1"/>
    <xf numFmtId="9" fontId="10" fillId="2" borderId="0" xfId="0" applyNumberFormat="1" applyFont="1" applyAlignment="1"/>
    <xf numFmtId="3" fontId="14" fillId="2" borderId="12" xfId="0" applyNumberFormat="1" applyFont="1" applyBorder="1" applyAlignment="1" applyProtection="1"/>
    <xf numFmtId="3" fontId="23" fillId="2" borderId="12" xfId="0" applyNumberFormat="1" applyFont="1" applyBorder="1" applyAlignment="1" applyProtection="1"/>
    <xf numFmtId="3" fontId="14" fillId="2" borderId="0" xfId="0" applyNumberFormat="1" applyFont="1" applyAlignment="1" applyProtection="1"/>
    <xf numFmtId="3" fontId="14" fillId="0" borderId="12" xfId="0" applyNumberFormat="1" applyFont="1" applyFill="1" applyBorder="1" applyAlignment="1" applyProtection="1"/>
    <xf numFmtId="185" fontId="0" fillId="2" borderId="0" xfId="0" applyNumberFormat="1" applyAlignment="1"/>
    <xf numFmtId="37" fontId="0" fillId="2" borderId="0" xfId="0" applyNumberFormat="1" applyAlignment="1"/>
    <xf numFmtId="196" fontId="75" fillId="0" borderId="27" xfId="0" applyNumberFormat="1" applyFont="1" applyFill="1" applyBorder="1" applyAlignment="1">
      <alignment horizontal="centerContinuous"/>
    </xf>
    <xf numFmtId="200" fontId="99" fillId="4" borderId="0" xfId="0" applyNumberFormat="1" applyFont="1" applyFill="1" applyBorder="1" applyAlignment="1"/>
    <xf numFmtId="200" fontId="99" fillId="4" borderId="28" xfId="0" applyNumberFormat="1" applyFont="1" applyFill="1" applyBorder="1" applyAlignment="1"/>
    <xf numFmtId="200" fontId="106" fillId="4" borderId="0" xfId="0" applyNumberFormat="1" applyFont="1" applyFill="1" applyBorder="1" applyAlignment="1"/>
    <xf numFmtId="199" fontId="100" fillId="4" borderId="0" xfId="0" applyNumberFormat="1" applyFont="1" applyFill="1" applyBorder="1" applyAlignment="1"/>
    <xf numFmtId="200" fontId="76" fillId="4" borderId="0" xfId="30" applyNumberFormat="1" applyFont="1" applyFill="1" applyBorder="1"/>
    <xf numFmtId="200" fontId="76" fillId="4" borderId="28" xfId="30" applyNumberFormat="1" applyFont="1" applyFill="1" applyBorder="1"/>
    <xf numFmtId="0" fontId="72" fillId="4" borderId="0" xfId="30" applyNumberFormat="1" applyFont="1" applyFill="1"/>
    <xf numFmtId="200" fontId="72" fillId="4" borderId="0" xfId="30" applyNumberFormat="1" applyFont="1" applyFill="1" applyBorder="1"/>
    <xf numFmtId="200" fontId="72" fillId="4" borderId="28" xfId="30" applyNumberFormat="1" applyFont="1" applyFill="1" applyBorder="1"/>
    <xf numFmtId="199" fontId="70" fillId="4" borderId="0" xfId="30" applyNumberFormat="1" applyFont="1" applyFill="1"/>
    <xf numFmtId="0" fontId="69" fillId="4" borderId="0" xfId="30" applyFill="1"/>
    <xf numFmtId="0" fontId="72" fillId="4" borderId="0" xfId="30" applyNumberFormat="1" applyFont="1" applyFill="1" applyBorder="1"/>
    <xf numFmtId="198" fontId="72" fillId="4" borderId="0" xfId="30" applyNumberFormat="1" applyFont="1" applyFill="1" applyBorder="1"/>
    <xf numFmtId="198" fontId="72" fillId="4" borderId="28" xfId="30" applyNumberFormat="1" applyFont="1" applyFill="1" applyBorder="1"/>
    <xf numFmtId="192" fontId="76" fillId="17" borderId="0" xfId="34" applyNumberFormat="1" applyFont="1" applyFill="1" applyBorder="1"/>
    <xf numFmtId="192" fontId="76" fillId="4" borderId="0" xfId="34" applyNumberFormat="1" applyFont="1" applyFill="1" applyBorder="1"/>
    <xf numFmtId="192" fontId="76" fillId="4" borderId="0" xfId="33" applyNumberFormat="1" applyFont="1" applyFill="1" applyBorder="1"/>
    <xf numFmtId="192" fontId="72" fillId="17" borderId="0" xfId="33" applyNumberFormat="1" applyFont="1" applyFill="1" applyBorder="1"/>
    <xf numFmtId="192" fontId="72" fillId="4" borderId="0" xfId="33" applyNumberFormat="1" applyFont="1" applyFill="1" applyBorder="1"/>
    <xf numFmtId="192" fontId="80" fillId="17" borderId="0" xfId="33" applyNumberFormat="1" applyFont="1" applyFill="1" applyBorder="1"/>
    <xf numFmtId="0" fontId="72" fillId="0" borderId="0" xfId="33" applyFont="1" applyFill="1" applyBorder="1"/>
    <xf numFmtId="192" fontId="80" fillId="4" borderId="0" xfId="33" applyNumberFormat="1" applyFont="1" applyFill="1" applyBorder="1"/>
    <xf numFmtId="206" fontId="10" fillId="2" borderId="0" xfId="0" applyNumberFormat="1" applyFont="1" applyAlignment="1"/>
    <xf numFmtId="0" fontId="10" fillId="2" borderId="17" xfId="0" applyFont="1" applyBorder="1" applyAlignment="1"/>
    <xf numFmtId="3" fontId="10" fillId="2" borderId="17" xfId="0" applyNumberFormat="1" applyFont="1" applyBorder="1" applyAlignment="1"/>
    <xf numFmtId="0" fontId="26" fillId="2" borderId="17" xfId="0" applyFont="1" applyBorder="1" applyAlignment="1"/>
    <xf numFmtId="3" fontId="14" fillId="2" borderId="13" xfId="0" applyNumberFormat="1" applyFont="1" applyBorder="1" applyAlignment="1" applyProtection="1"/>
    <xf numFmtId="3" fontId="14" fillId="4" borderId="12" xfId="0" applyNumberFormat="1" applyFont="1" applyFill="1" applyBorder="1" applyAlignment="1" applyProtection="1"/>
    <xf numFmtId="181" fontId="16" fillId="12" borderId="0" xfId="8" applyAlignment="1">
      <alignment horizontal="center"/>
    </xf>
    <xf numFmtId="0" fontId="20" fillId="2" borderId="4" xfId="0" applyFont="1" applyBorder="1" applyAlignment="1">
      <alignment horizontal="center"/>
    </xf>
    <xf numFmtId="0" fontId="20" fillId="2" borderId="5" xfId="0" applyFont="1" applyBorder="1" applyAlignment="1">
      <alignment horizontal="center"/>
    </xf>
    <xf numFmtId="0" fontId="16" fillId="12" borderId="0" xfId="6" applyAlignment="1" applyProtection="1">
      <alignment horizontal="center"/>
    </xf>
    <xf numFmtId="185" fontId="51" fillId="13" borderId="0" xfId="7" applyAlignment="1">
      <alignment horizontal="left"/>
    </xf>
    <xf numFmtId="0" fontId="0" fillId="2" borderId="17" xfId="0" applyBorder="1" applyAlignment="1">
      <alignment horizontal="center" vertical="center" wrapText="1"/>
    </xf>
  </cellXfs>
  <cellStyles count="35">
    <cellStyle name="_x000a_386grabber=M" xfId="22"/>
    <cellStyle name="Ass bps" xfId="17"/>
    <cellStyle name="Assumption" xfId="7"/>
    <cellStyle name="Assumption date" xfId="18"/>
    <cellStyle name="Assumption decimal" xfId="16"/>
    <cellStyle name="Assumption multiple" xfId="19"/>
    <cellStyle name="Assumption pct" xfId="15"/>
    <cellStyle name="check" xfId="13"/>
    <cellStyle name="multiple" xfId="14"/>
    <cellStyle name="Normal 11" xfId="33"/>
    <cellStyle name="Normal 11 2" xfId="34"/>
    <cellStyle name="Normal 2 4" xfId="32"/>
    <cellStyle name="Normal 3" xfId="31"/>
    <cellStyle name="Page Title" xfId="4"/>
    <cellStyle name="Percent 2" xfId="28"/>
    <cellStyle name="Percentage" xfId="10"/>
    <cellStyle name="Quarter" xfId="20"/>
    <cellStyle name="Reference" xfId="21"/>
    <cellStyle name="Smart Subtitle 1" xfId="24"/>
    <cellStyle name="Smart Subtitle 1 4" xfId="27"/>
    <cellStyle name="Smart Subtotal" xfId="25"/>
    <cellStyle name="Smart Total" xfId="26"/>
    <cellStyle name="Smart Total 3" xfId="29"/>
    <cellStyle name="Subtitle" xfId="5"/>
    <cellStyle name="Subtotal" xfId="9"/>
    <cellStyle name="Subtotal2" xfId="11"/>
    <cellStyle name="Table header" xfId="6"/>
    <cellStyle name="Total" xfId="12"/>
    <cellStyle name="Year/month" xfId="8"/>
    <cellStyle name="一般" xfId="0" builtinId="0" customBuiltin="1"/>
    <cellStyle name="一般 2" xfId="23"/>
    <cellStyle name="一般 3" xfId="30"/>
    <cellStyle name="千分位" xfId="1" builtinId="3" customBuiltin="1"/>
    <cellStyle name="千分位[0]" xfId="2" builtinId="6" customBuiltin="1"/>
    <cellStyle name="百分比" xfId="3" builtinId="5"/>
  </cellStyles>
  <dxfs count="144"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  <border>
        <vertical/>
        <horizontal/>
      </border>
    </dxf>
    <dxf>
      <font>
        <color theme="5"/>
      </font>
      <fill>
        <patternFill>
          <bgColor theme="5" tint="0.3999450666829432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  <border>
        <vertical/>
        <horizontal/>
      </border>
    </dxf>
    <dxf>
      <font>
        <color theme="5"/>
      </font>
      <fill>
        <patternFill>
          <bgColor theme="5" tint="0.3999450666829432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  <border>
        <vertical/>
        <horizontal/>
      </border>
    </dxf>
    <dxf>
      <font>
        <color theme="5"/>
      </font>
      <fill>
        <patternFill>
          <bgColor theme="5" tint="0.3999450666829432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  <border>
        <vertical/>
        <horizontal/>
      </border>
    </dxf>
    <dxf>
      <font>
        <color theme="5"/>
      </font>
      <fill>
        <patternFill>
          <bgColor theme="5" tint="0.39994506668294322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ctrlProps/ctrlProp1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3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4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5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6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7.xml><?xml version="1.0" encoding="utf-8"?>
<formControlPr xmlns="http://schemas.microsoft.com/office/spreadsheetml/2009/9/main" objectType="Drop" dropStyle="combo" dx="17" fmlaLink="'Financial summary'!$E$5" fmlaRange="$D$18:$D$21" noThreeD="1" sel="1" val="0"/>
</file>

<file path=xl/ctrlProps/ctrlProp8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9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0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1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2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3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4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5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6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7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8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19.xml><?xml version="1.0" encoding="utf-8"?>
<formControlPr xmlns="http://schemas.microsoft.com/office/spreadsheetml/2009/9/main" objectType="Drop" dropStyle="combo" dx="17" fmlaLink="'Financial summary'!$E$5" fmlaRange="$D$21:$D$24" noThreeD="1" sel="1" val="0"/>
</file>

<file path=xl/ctrlProps/ctrlProp20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1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2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3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4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5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6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7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8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29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30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31.xml><?xml version="1.0" encoding="utf-8"?>
<formControlPr xmlns="http://schemas.microsoft.com/office/spreadsheetml/2009/9/main" objectType="Drop" dropStyle="combo" dx="17" fmlaLink="'Financial summary'!$E$5" fmlaRange="$D$21:$D$24" noThreeD="1" sel="1" val="0"/>
</file>

<file path=xl/ctrlProps/ctrlProp32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33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34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35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36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37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38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39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40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41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42.xml><?xml version="1.0" encoding="utf-8"?>
<formControlPr xmlns="http://schemas.microsoft.com/office/spreadsheetml/2009/9/main" objectType="Drop" dropStyle="combo" dx="17" fmlaLink="'Financial summary'!$E$5" fmlaRange="'Scenarios onshore'!$D$21:$D$24" noThreeD="1" sel="1" val="0"/>
</file>

<file path=xl/ctrlProps/ctrlProp43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44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45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46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47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ctrlProps/ctrlProp48.xml><?xml version="1.0" encoding="utf-8"?>
<formControlPr xmlns="http://schemas.microsoft.com/office/spreadsheetml/2009/9/main" objectType="Drop" dropStyle="combo" dx="17" fmlaLink="'Financial summary'!$E$5" fmlaRange="'Scenarios offshore'!$D$21:$D$24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2414016</xdr:colOff>
          <xdr:row>4</xdr:row>
          <xdr:rowOff>9144</xdr:rowOff>
        </xdr:from>
        <xdr:to>
          <xdr:col>5</xdr:col>
          <xdr:colOff>210312</xdr:colOff>
          <xdr:row>10</xdr:row>
          <xdr:rowOff>54864</xdr:rowOff>
        </xdr:to>
        <xdr:sp macro="" textlink="">
          <xdr:nvSpPr>
            <xdr:cNvPr id="1027" name="Drop Dow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73152</xdr:colOff>
          <xdr:row>0</xdr:row>
          <xdr:rowOff>173736</xdr:rowOff>
        </xdr:from>
        <xdr:to>
          <xdr:col>5</xdr:col>
          <xdr:colOff>338328</xdr:colOff>
          <xdr:row>15</xdr:row>
          <xdr:rowOff>18288</xdr:rowOff>
        </xdr:to>
        <xdr:sp macro="" textlink="">
          <xdr:nvSpPr>
            <xdr:cNvPr id="87042" name="Drop Down 2" hidden="1">
              <a:extLst>
                <a:ext uri="{63B3BB69-23CF-44E3-9099-C40C66FF867C}">
                  <a14:compatExt spid="_x0000_s87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100584</xdr:colOff>
          <xdr:row>14</xdr:row>
          <xdr:rowOff>18288</xdr:rowOff>
        </xdr:from>
        <xdr:to>
          <xdr:col>5</xdr:col>
          <xdr:colOff>466344</xdr:colOff>
          <xdr:row>15</xdr:row>
          <xdr:rowOff>36576</xdr:rowOff>
        </xdr:to>
        <xdr:sp macro="" textlink="">
          <xdr:nvSpPr>
            <xdr:cNvPr id="88067" name="Drop Down 3" hidden="1">
              <a:extLst>
                <a:ext uri="{63B3BB69-23CF-44E3-9099-C40C66FF867C}">
                  <a14:compatExt spid="_x0000_s88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557784</xdr:colOff>
          <xdr:row>0</xdr:row>
          <xdr:rowOff>0</xdr:rowOff>
        </xdr:from>
        <xdr:to>
          <xdr:col>5</xdr:col>
          <xdr:colOff>777240</xdr:colOff>
          <xdr:row>15</xdr:row>
          <xdr:rowOff>18288</xdr:rowOff>
        </xdr:to>
        <xdr:sp macro="" textlink="">
          <xdr:nvSpPr>
            <xdr:cNvPr id="105473" name="Drop Down 1" hidden="1">
              <a:extLst>
                <a:ext uri="{63B3BB69-23CF-44E3-9099-C40C66FF867C}">
                  <a14:compatExt spid="_x0000_s105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292608</xdr:colOff>
          <xdr:row>2</xdr:row>
          <xdr:rowOff>18288</xdr:rowOff>
        </xdr:to>
        <xdr:sp macro="" textlink="">
          <xdr:nvSpPr>
            <xdr:cNvPr id="168961" name="Drop Down 1" hidden="1">
              <a:extLst>
                <a:ext uri="{63B3BB69-23CF-44E3-9099-C40C66FF867C}">
                  <a14:compatExt spid="_x0000_s168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292608</xdr:colOff>
          <xdr:row>2</xdr:row>
          <xdr:rowOff>18288</xdr:rowOff>
        </xdr:to>
        <xdr:sp macro="" textlink="">
          <xdr:nvSpPr>
            <xdr:cNvPr id="168962" name="Drop Down 2" hidden="1">
              <a:extLst>
                <a:ext uri="{63B3BB69-23CF-44E3-9099-C40C66FF867C}">
                  <a14:compatExt spid="_x0000_s168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3136392</xdr:colOff>
          <xdr:row>9</xdr:row>
          <xdr:rowOff>64008</xdr:rowOff>
        </xdr:from>
        <xdr:to>
          <xdr:col>3</xdr:col>
          <xdr:colOff>1271016</xdr:colOff>
          <xdr:row>10</xdr:row>
          <xdr:rowOff>146304</xdr:rowOff>
        </xdr:to>
        <xdr:sp macro="" textlink="">
          <xdr:nvSpPr>
            <xdr:cNvPr id="124929" name="Drop Down 1" hidden="1">
              <a:extLst>
                <a:ext uri="{63B3BB69-23CF-44E3-9099-C40C66FF867C}">
                  <a14:compatExt spid="_x0000_s124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</xdr:colOff>
          <xdr:row>1</xdr:row>
          <xdr:rowOff>173736</xdr:rowOff>
        </xdr:from>
        <xdr:to>
          <xdr:col>3</xdr:col>
          <xdr:colOff>438912</xdr:colOff>
          <xdr:row>3</xdr:row>
          <xdr:rowOff>36576</xdr:rowOff>
        </xdr:to>
        <xdr:sp macro="" textlink="">
          <xdr:nvSpPr>
            <xdr:cNvPr id="162817" name="Drop Down 1" hidden="1">
              <a:extLst>
                <a:ext uri="{63B3BB69-23CF-44E3-9099-C40C66FF867C}">
                  <a14:compatExt spid="_x0000_s162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73152</xdr:colOff>
          <xdr:row>0</xdr:row>
          <xdr:rowOff>173736</xdr:rowOff>
        </xdr:from>
        <xdr:to>
          <xdr:col>5</xdr:col>
          <xdr:colOff>356616</xdr:colOff>
          <xdr:row>2</xdr:row>
          <xdr:rowOff>36576</xdr:rowOff>
        </xdr:to>
        <xdr:sp macro="" textlink="">
          <xdr:nvSpPr>
            <xdr:cNvPr id="144385" name="Drop Down 1" hidden="1">
              <a:extLst>
                <a:ext uri="{63B3BB69-23CF-44E3-9099-C40C66FF867C}">
                  <a14:compatExt spid="_x0000_s144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100584</xdr:colOff>
          <xdr:row>14</xdr:row>
          <xdr:rowOff>18288</xdr:rowOff>
        </xdr:from>
        <xdr:to>
          <xdr:col>5</xdr:col>
          <xdr:colOff>502920</xdr:colOff>
          <xdr:row>15</xdr:row>
          <xdr:rowOff>36576</xdr:rowOff>
        </xdr:to>
        <xdr:sp macro="" textlink="">
          <xdr:nvSpPr>
            <xdr:cNvPr id="145409" name="Drop Down 1" hidden="1">
              <a:extLst>
                <a:ext uri="{63B3BB69-23CF-44E3-9099-C40C66FF867C}">
                  <a14:compatExt spid="_x0000_s145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557784</xdr:colOff>
          <xdr:row>0</xdr:row>
          <xdr:rowOff>0</xdr:rowOff>
        </xdr:from>
        <xdr:to>
          <xdr:col>5</xdr:col>
          <xdr:colOff>777240</xdr:colOff>
          <xdr:row>1</xdr:row>
          <xdr:rowOff>45720</xdr:rowOff>
        </xdr:to>
        <xdr:sp macro="" textlink="">
          <xdr:nvSpPr>
            <xdr:cNvPr id="146433" name="Drop Down 1" hidden="1">
              <a:extLst>
                <a:ext uri="{63B3BB69-23CF-44E3-9099-C40C66FF867C}">
                  <a14:compatExt spid="_x0000_s146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9144</xdr:colOff>
          <xdr:row>10</xdr:row>
          <xdr:rowOff>0</xdr:rowOff>
        </xdr:from>
        <xdr:to>
          <xdr:col>5</xdr:col>
          <xdr:colOff>155448</xdr:colOff>
          <xdr:row>11</xdr:row>
          <xdr:rowOff>18288</xdr:rowOff>
        </xdr:to>
        <xdr:sp macro="" textlink="">
          <xdr:nvSpPr>
            <xdr:cNvPr id="164865" name="Drop Down 1" hidden="1">
              <a:extLst>
                <a:ext uri="{63B3BB69-23CF-44E3-9099-C40C66FF867C}">
                  <a14:compatExt spid="_x0000_s164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292608</xdr:colOff>
          <xdr:row>2</xdr:row>
          <xdr:rowOff>18288</xdr:rowOff>
        </xdr:to>
        <xdr:sp macro="" textlink="">
          <xdr:nvSpPr>
            <xdr:cNvPr id="163841" name="Drop Down 1" hidden="1">
              <a:extLst>
                <a:ext uri="{63B3BB69-23CF-44E3-9099-C40C66FF867C}">
                  <a14:compatExt spid="_x0000_s163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292608</xdr:colOff>
          <xdr:row>2</xdr:row>
          <xdr:rowOff>18288</xdr:rowOff>
        </xdr:to>
        <xdr:sp macro="" textlink="">
          <xdr:nvSpPr>
            <xdr:cNvPr id="163842" name="Drop Down 2" hidden="1">
              <a:extLst>
                <a:ext uri="{63B3BB69-23CF-44E3-9099-C40C66FF867C}">
                  <a14:compatExt spid="_x0000_s163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192024</xdr:colOff>
          <xdr:row>2</xdr:row>
          <xdr:rowOff>18288</xdr:rowOff>
        </xdr:to>
        <xdr:sp macro="" textlink="">
          <xdr:nvSpPr>
            <xdr:cNvPr id="161793" name="Drop Down 1" hidden="1">
              <a:extLst>
                <a:ext uri="{63B3BB69-23CF-44E3-9099-C40C66FF867C}">
                  <a14:compatExt spid="_x0000_s161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192024</xdr:colOff>
          <xdr:row>2</xdr:row>
          <xdr:rowOff>18288</xdr:rowOff>
        </xdr:to>
        <xdr:sp macro="" textlink="">
          <xdr:nvSpPr>
            <xdr:cNvPr id="161794" name="Drop Down 2" hidden="1">
              <a:extLst>
                <a:ext uri="{63B3BB69-23CF-44E3-9099-C40C66FF867C}">
                  <a14:compatExt spid="_x0000_s161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6</xdr:col>
          <xdr:colOff>73152</xdr:colOff>
          <xdr:row>2</xdr:row>
          <xdr:rowOff>18288</xdr:rowOff>
        </xdr:to>
        <xdr:sp macro="" textlink="">
          <xdr:nvSpPr>
            <xdr:cNvPr id="160769" name="Drop Down 1" hidden="1">
              <a:extLst>
                <a:ext uri="{63B3BB69-23CF-44E3-9099-C40C66FF867C}">
                  <a14:compatExt spid="_x0000_s160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6</xdr:col>
          <xdr:colOff>73152</xdr:colOff>
          <xdr:row>2</xdr:row>
          <xdr:rowOff>18288</xdr:rowOff>
        </xdr:to>
        <xdr:sp macro="" textlink="">
          <xdr:nvSpPr>
            <xdr:cNvPr id="160770" name="Drop Down 2" hidden="1">
              <a:extLst>
                <a:ext uri="{63B3BB69-23CF-44E3-9099-C40C66FF867C}">
                  <a14:compatExt spid="_x0000_s160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3136392</xdr:colOff>
          <xdr:row>9</xdr:row>
          <xdr:rowOff>64008</xdr:rowOff>
        </xdr:from>
        <xdr:to>
          <xdr:col>3</xdr:col>
          <xdr:colOff>1271016</xdr:colOff>
          <xdr:row>10</xdr:row>
          <xdr:rowOff>146304</xdr:rowOff>
        </xdr:to>
        <xdr:sp macro="" textlink="">
          <xdr:nvSpPr>
            <xdr:cNvPr id="13319" name="Drop Down 7" hidden="1">
              <a:extLst>
                <a:ext uri="{63B3BB69-23CF-44E3-9099-C40C66FF867C}">
                  <a14:compatExt spid="_x0000_s13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</xdr:colOff>
          <xdr:row>1</xdr:row>
          <xdr:rowOff>173736</xdr:rowOff>
        </xdr:from>
        <xdr:to>
          <xdr:col>3</xdr:col>
          <xdr:colOff>438912</xdr:colOff>
          <xdr:row>3</xdr:row>
          <xdr:rowOff>36576</xdr:rowOff>
        </xdr:to>
        <xdr:sp macro="" textlink="">
          <xdr:nvSpPr>
            <xdr:cNvPr id="2055" name="Drop Down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73152</xdr:colOff>
          <xdr:row>0</xdr:row>
          <xdr:rowOff>173736</xdr:rowOff>
        </xdr:from>
        <xdr:to>
          <xdr:col>5</xdr:col>
          <xdr:colOff>411480</xdr:colOff>
          <xdr:row>15</xdr:row>
          <xdr:rowOff>18288</xdr:rowOff>
        </xdr:to>
        <xdr:sp macro="" textlink="">
          <xdr:nvSpPr>
            <xdr:cNvPr id="121857" name="Drop Down 1" hidden="1">
              <a:extLst>
                <a:ext uri="{63B3BB69-23CF-44E3-9099-C40C66FF867C}">
                  <a14:compatExt spid="_x0000_s121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100584</xdr:colOff>
          <xdr:row>14</xdr:row>
          <xdr:rowOff>18288</xdr:rowOff>
        </xdr:from>
        <xdr:to>
          <xdr:col>5</xdr:col>
          <xdr:colOff>420624</xdr:colOff>
          <xdr:row>15</xdr:row>
          <xdr:rowOff>36576</xdr:rowOff>
        </xdr:to>
        <xdr:sp macro="" textlink="">
          <xdr:nvSpPr>
            <xdr:cNvPr id="122881" name="Drop Down 1" hidden="1">
              <a:extLst>
                <a:ext uri="{63B3BB69-23CF-44E3-9099-C40C66FF867C}">
                  <a14:compatExt spid="_x0000_s122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557784</xdr:colOff>
          <xdr:row>0</xdr:row>
          <xdr:rowOff>0</xdr:rowOff>
        </xdr:from>
        <xdr:to>
          <xdr:col>5</xdr:col>
          <xdr:colOff>777240</xdr:colOff>
          <xdr:row>1</xdr:row>
          <xdr:rowOff>45720</xdr:rowOff>
        </xdr:to>
        <xdr:sp macro="" textlink="">
          <xdr:nvSpPr>
            <xdr:cNvPr id="123905" name="Drop Down 1" hidden="1">
              <a:extLst>
                <a:ext uri="{63B3BB69-23CF-44E3-9099-C40C66FF867C}">
                  <a14:compatExt spid="_x0000_s123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9144</xdr:colOff>
          <xdr:row>10</xdr:row>
          <xdr:rowOff>0</xdr:rowOff>
        </xdr:from>
        <xdr:to>
          <xdr:col>5</xdr:col>
          <xdr:colOff>155448</xdr:colOff>
          <xdr:row>11</xdr:row>
          <xdr:rowOff>18288</xdr:rowOff>
        </xdr:to>
        <xdr:sp macro="" textlink="">
          <xdr:nvSpPr>
            <xdr:cNvPr id="73730" name="Drop Down 2" hidden="1">
              <a:extLst>
                <a:ext uri="{63B3BB69-23CF-44E3-9099-C40C66FF867C}">
                  <a14:compatExt spid="_x0000_s73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374904</xdr:colOff>
          <xdr:row>3</xdr:row>
          <xdr:rowOff>18288</xdr:rowOff>
        </xdr:to>
        <xdr:sp macro="" textlink="">
          <xdr:nvSpPr>
            <xdr:cNvPr id="61441" name="Drop Dow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374904</xdr:colOff>
          <xdr:row>3</xdr:row>
          <xdr:rowOff>18288</xdr:rowOff>
        </xdr:to>
        <xdr:sp macro="" textlink="">
          <xdr:nvSpPr>
            <xdr:cNvPr id="61442" name="Drop Down 2" hidden="1">
              <a:extLst>
                <a:ext uri="{63B3BB69-23CF-44E3-9099-C40C66FF867C}">
                  <a14:compatExt spid="_x0000_s61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192024</xdr:colOff>
          <xdr:row>2</xdr:row>
          <xdr:rowOff>18288</xdr:rowOff>
        </xdr:to>
        <xdr:sp macro="" textlink="">
          <xdr:nvSpPr>
            <xdr:cNvPr id="50177" name="Drop Down 1" hidden="1">
              <a:extLst>
                <a:ext uri="{63B3BB69-23CF-44E3-9099-C40C66FF867C}">
                  <a14:compatExt spid="_x0000_s50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192024</xdr:colOff>
          <xdr:row>2</xdr:row>
          <xdr:rowOff>18288</xdr:rowOff>
        </xdr:to>
        <xdr:sp macro="" textlink="">
          <xdr:nvSpPr>
            <xdr:cNvPr id="50178" name="Drop Down 2" hidden="1">
              <a:extLst>
                <a:ext uri="{63B3BB69-23CF-44E3-9099-C40C66FF867C}">
                  <a14:compatExt spid="_x0000_s50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6</xdr:col>
          <xdr:colOff>73152</xdr:colOff>
          <xdr:row>2</xdr:row>
          <xdr:rowOff>18288</xdr:rowOff>
        </xdr:to>
        <xdr:sp macro="" textlink="">
          <xdr:nvSpPr>
            <xdr:cNvPr id="39937" name="Drop Down 1" hidden="1">
              <a:extLst>
                <a:ext uri="{63B3BB69-23CF-44E3-9099-C40C66FF867C}">
                  <a14:compatExt spid="_x0000_s39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6</xdr:col>
          <xdr:colOff>73152</xdr:colOff>
          <xdr:row>2</xdr:row>
          <xdr:rowOff>18288</xdr:rowOff>
        </xdr:to>
        <xdr:sp macro="" textlink="">
          <xdr:nvSpPr>
            <xdr:cNvPr id="39938" name="Drop Down 2" hidden="1">
              <a:extLst>
                <a:ext uri="{63B3BB69-23CF-44E3-9099-C40C66FF867C}">
                  <a14:compatExt spid="_x0000_s39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3136392</xdr:colOff>
          <xdr:row>9</xdr:row>
          <xdr:rowOff>64008</xdr:rowOff>
        </xdr:from>
        <xdr:to>
          <xdr:col>3</xdr:col>
          <xdr:colOff>1271016</xdr:colOff>
          <xdr:row>10</xdr:row>
          <xdr:rowOff>146304</xdr:rowOff>
        </xdr:to>
        <xdr:sp macro="" textlink="">
          <xdr:nvSpPr>
            <xdr:cNvPr id="194561" name="Drop Down 1" hidden="1">
              <a:extLst>
                <a:ext uri="{63B3BB69-23CF-44E3-9099-C40C66FF867C}">
                  <a14:compatExt spid="_x0000_s194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73152</xdr:colOff>
          <xdr:row>1</xdr:row>
          <xdr:rowOff>173736</xdr:rowOff>
        </xdr:from>
        <xdr:to>
          <xdr:col>3</xdr:col>
          <xdr:colOff>438912</xdr:colOff>
          <xdr:row>3</xdr:row>
          <xdr:rowOff>36576</xdr:rowOff>
        </xdr:to>
        <xdr:sp macro="" textlink="">
          <xdr:nvSpPr>
            <xdr:cNvPr id="195585" name="Drop Down 1" hidden="1">
              <a:extLst>
                <a:ext uri="{63B3BB69-23CF-44E3-9099-C40C66FF867C}">
                  <a14:compatExt spid="_x0000_s195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73152</xdr:colOff>
          <xdr:row>0</xdr:row>
          <xdr:rowOff>173736</xdr:rowOff>
        </xdr:from>
        <xdr:to>
          <xdr:col>5</xdr:col>
          <xdr:colOff>411480</xdr:colOff>
          <xdr:row>15</xdr:row>
          <xdr:rowOff>18288</xdr:rowOff>
        </xdr:to>
        <xdr:sp macro="" textlink="">
          <xdr:nvSpPr>
            <xdr:cNvPr id="196609" name="Drop Down 1" hidden="1">
              <a:extLst>
                <a:ext uri="{63B3BB69-23CF-44E3-9099-C40C66FF867C}">
                  <a14:compatExt spid="_x0000_s196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100584</xdr:colOff>
          <xdr:row>14</xdr:row>
          <xdr:rowOff>18288</xdr:rowOff>
        </xdr:from>
        <xdr:to>
          <xdr:col>5</xdr:col>
          <xdr:colOff>420624</xdr:colOff>
          <xdr:row>15</xdr:row>
          <xdr:rowOff>36576</xdr:rowOff>
        </xdr:to>
        <xdr:sp macro="" textlink="">
          <xdr:nvSpPr>
            <xdr:cNvPr id="197633" name="Drop Down 1" hidden="1">
              <a:extLst>
                <a:ext uri="{63B3BB69-23CF-44E3-9099-C40C66FF867C}">
                  <a14:compatExt spid="_x0000_s197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557784</xdr:colOff>
          <xdr:row>0</xdr:row>
          <xdr:rowOff>0</xdr:rowOff>
        </xdr:from>
        <xdr:to>
          <xdr:col>5</xdr:col>
          <xdr:colOff>777240</xdr:colOff>
          <xdr:row>1</xdr:row>
          <xdr:rowOff>45720</xdr:rowOff>
        </xdr:to>
        <xdr:sp macro="" textlink="">
          <xdr:nvSpPr>
            <xdr:cNvPr id="198657" name="Drop Down 1" hidden="1">
              <a:extLst>
                <a:ext uri="{63B3BB69-23CF-44E3-9099-C40C66FF867C}">
                  <a14:compatExt spid="_x0000_s198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9144</xdr:colOff>
          <xdr:row>10</xdr:row>
          <xdr:rowOff>0</xdr:rowOff>
        </xdr:from>
        <xdr:to>
          <xdr:col>5</xdr:col>
          <xdr:colOff>155448</xdr:colOff>
          <xdr:row>11</xdr:row>
          <xdr:rowOff>18288</xdr:rowOff>
        </xdr:to>
        <xdr:sp macro="" textlink="">
          <xdr:nvSpPr>
            <xdr:cNvPr id="199681" name="Drop Down 1" hidden="1">
              <a:extLst>
                <a:ext uri="{63B3BB69-23CF-44E3-9099-C40C66FF867C}">
                  <a14:compatExt spid="_x0000_s199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374904</xdr:colOff>
          <xdr:row>3</xdr:row>
          <xdr:rowOff>18288</xdr:rowOff>
        </xdr:to>
        <xdr:sp macro="" textlink="">
          <xdr:nvSpPr>
            <xdr:cNvPr id="200705" name="Drop Down 1" hidden="1">
              <a:extLst>
                <a:ext uri="{63B3BB69-23CF-44E3-9099-C40C66FF867C}">
                  <a14:compatExt spid="_x0000_s200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374904</xdr:colOff>
          <xdr:row>3</xdr:row>
          <xdr:rowOff>18288</xdr:rowOff>
        </xdr:to>
        <xdr:sp macro="" textlink="">
          <xdr:nvSpPr>
            <xdr:cNvPr id="200706" name="Drop Down 2" hidden="1">
              <a:extLst>
                <a:ext uri="{63B3BB69-23CF-44E3-9099-C40C66FF867C}">
                  <a14:compatExt spid="_x0000_s200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192024</xdr:colOff>
          <xdr:row>2</xdr:row>
          <xdr:rowOff>18288</xdr:rowOff>
        </xdr:to>
        <xdr:sp macro="" textlink="">
          <xdr:nvSpPr>
            <xdr:cNvPr id="201729" name="Drop Down 1" hidden="1">
              <a:extLst>
                <a:ext uri="{63B3BB69-23CF-44E3-9099-C40C66FF867C}">
                  <a14:compatExt spid="_x0000_s201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192024</xdr:colOff>
          <xdr:row>2</xdr:row>
          <xdr:rowOff>18288</xdr:rowOff>
        </xdr:to>
        <xdr:sp macro="" textlink="">
          <xdr:nvSpPr>
            <xdr:cNvPr id="201730" name="Drop Down 2" hidden="1">
              <a:extLst>
                <a:ext uri="{63B3BB69-23CF-44E3-9099-C40C66FF867C}">
                  <a14:compatExt spid="_x0000_s201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6</xdr:col>
          <xdr:colOff>73152</xdr:colOff>
          <xdr:row>2</xdr:row>
          <xdr:rowOff>18288</xdr:rowOff>
        </xdr:to>
        <xdr:sp macro="" textlink="">
          <xdr:nvSpPr>
            <xdr:cNvPr id="202753" name="Drop Down 1" hidden="1">
              <a:extLst>
                <a:ext uri="{63B3BB69-23CF-44E3-9099-C40C66FF867C}">
                  <a14:compatExt spid="_x0000_s202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6</xdr:col>
          <xdr:colOff>73152</xdr:colOff>
          <xdr:row>2</xdr:row>
          <xdr:rowOff>18288</xdr:rowOff>
        </xdr:to>
        <xdr:sp macro="" textlink="">
          <xdr:nvSpPr>
            <xdr:cNvPr id="202754" name="Drop Down 2" hidden="1">
              <a:extLst>
                <a:ext uri="{63B3BB69-23CF-44E3-9099-C40C66FF867C}">
                  <a14:compatExt spid="_x0000_s202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1371600</xdr:colOff>
          <xdr:row>0</xdr:row>
          <xdr:rowOff>155448</xdr:rowOff>
        </xdr:from>
        <xdr:to>
          <xdr:col>6</xdr:col>
          <xdr:colOff>146304</xdr:colOff>
          <xdr:row>2</xdr:row>
          <xdr:rowOff>18288</xdr:rowOff>
        </xdr:to>
        <xdr:sp macro="" textlink="">
          <xdr:nvSpPr>
            <xdr:cNvPr id="4098" name="Drop Down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356616</xdr:colOff>
          <xdr:row>2</xdr:row>
          <xdr:rowOff>18288</xdr:rowOff>
        </xdr:to>
        <xdr:sp macro="" textlink="">
          <xdr:nvSpPr>
            <xdr:cNvPr id="8196" name="Drop Dow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356616</xdr:colOff>
          <xdr:row>2</xdr:row>
          <xdr:rowOff>18288</xdr:rowOff>
        </xdr:to>
        <xdr:sp macro="" textlink="">
          <xdr:nvSpPr>
            <xdr:cNvPr id="7173" name="Drop Down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82296</xdr:colOff>
          <xdr:row>2</xdr:row>
          <xdr:rowOff>18288</xdr:rowOff>
        </xdr:to>
        <xdr:sp macro="" textlink="">
          <xdr:nvSpPr>
            <xdr:cNvPr id="6147" name="Drop Down 3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448056</xdr:colOff>
          <xdr:row>2</xdr:row>
          <xdr:rowOff>18288</xdr:rowOff>
        </xdr:to>
        <xdr:sp macro="" textlink="">
          <xdr:nvSpPr>
            <xdr:cNvPr id="5124" name="Drop Down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1371600</xdr:colOff>
          <xdr:row>0</xdr:row>
          <xdr:rowOff>155448</xdr:rowOff>
        </xdr:from>
        <xdr:to>
          <xdr:col>5</xdr:col>
          <xdr:colOff>448056</xdr:colOff>
          <xdr:row>2</xdr:row>
          <xdr:rowOff>18288</xdr:rowOff>
        </xdr:to>
        <xdr:sp macro="" textlink="">
          <xdr:nvSpPr>
            <xdr:cNvPr id="3076" name="Drop Dow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493776</xdr:colOff>
      <xdr:row>3</xdr:row>
      <xdr:rowOff>9144</xdr:rowOff>
    </xdr:from>
    <xdr:to>
      <xdr:col>4</xdr:col>
      <xdr:colOff>502920</xdr:colOff>
      <xdr:row>4</xdr:row>
      <xdr:rowOff>173736</xdr:rowOff>
    </xdr:to>
    <xdr:cxnSp macro="">
      <xdr:nvCxnSpPr>
        <xdr:cNvPr id="3" name="直線單箭頭接點 2"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CxnSpPr/>
      </xdr:nvCxnSpPr>
      <xdr:spPr>
        <a:xfrm>
          <a:off x="3867912" y="585216"/>
          <a:ext cx="9144" cy="356616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9144</xdr:colOff>
      <xdr:row>3</xdr:row>
      <xdr:rowOff>27432</xdr:rowOff>
    </xdr:from>
    <xdr:to>
      <xdr:col>6</xdr:col>
      <xdr:colOff>777240</xdr:colOff>
      <xdr:row>5</xdr:row>
      <xdr:rowOff>164592</xdr:rowOff>
    </xdr:to>
    <xdr:cxnSp macro="">
      <xdr:nvCxnSpPr>
        <xdr:cNvPr id="5" name="直線單箭頭接點 4"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CxnSpPr/>
      </xdr:nvCxnSpPr>
      <xdr:spPr>
        <a:xfrm flipH="1">
          <a:off x="5934456" y="603504"/>
          <a:ext cx="1353312" cy="521208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</xdr:colOff>
      <xdr:row>3</xdr:row>
      <xdr:rowOff>18288</xdr:rowOff>
    </xdr:from>
    <xdr:to>
      <xdr:col>8</xdr:col>
      <xdr:colOff>722376</xdr:colOff>
      <xdr:row>5</xdr:row>
      <xdr:rowOff>128016</xdr:rowOff>
    </xdr:to>
    <xdr:cxnSp macro="">
      <xdr:nvCxnSpPr>
        <xdr:cNvPr id="7" name="直線單箭頭接點 6"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CxnSpPr/>
      </xdr:nvCxnSpPr>
      <xdr:spPr>
        <a:xfrm flipH="1">
          <a:off x="5971032" y="594360"/>
          <a:ext cx="3401568" cy="493776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100584</xdr:colOff>
      <xdr:row>3</xdr:row>
      <xdr:rowOff>18288</xdr:rowOff>
    </xdr:from>
    <xdr:to>
      <xdr:col>10</xdr:col>
      <xdr:colOff>475488</xdr:colOff>
      <xdr:row>5</xdr:row>
      <xdr:rowOff>155448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CxnSpPr/>
      </xdr:nvCxnSpPr>
      <xdr:spPr>
        <a:xfrm flipH="1">
          <a:off x="6025896" y="594360"/>
          <a:ext cx="5266944" cy="521208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118872</xdr:colOff>
      <xdr:row>3</xdr:row>
      <xdr:rowOff>18288</xdr:rowOff>
    </xdr:from>
    <xdr:to>
      <xdr:col>12</xdr:col>
      <xdr:colOff>978408</xdr:colOff>
      <xdr:row>5</xdr:row>
      <xdr:rowOff>173736</xdr:rowOff>
    </xdr:to>
    <xdr:cxnSp macro="">
      <xdr:nvCxnSpPr>
        <xdr:cNvPr id="13" name="直線單箭頭接點 12"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CxnSpPr/>
      </xdr:nvCxnSpPr>
      <xdr:spPr>
        <a:xfrm flipH="1">
          <a:off x="6044184" y="594360"/>
          <a:ext cx="7269480" cy="539496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1493520</xdr:colOff>
      <xdr:row>3</xdr:row>
      <xdr:rowOff>40640</xdr:rowOff>
    </xdr:from>
    <xdr:to>
      <xdr:col>4</xdr:col>
      <xdr:colOff>121920</xdr:colOff>
      <xdr:row>9</xdr:row>
      <xdr:rowOff>40640</xdr:rowOff>
    </xdr:to>
    <xdr:cxnSp macro="">
      <xdr:nvCxnSpPr>
        <xdr:cNvPr id="16" name="直線單箭頭接點 15">
          <a:extLst>
            <a:ext uri="{FF2B5EF4-FFF2-40B4-BE49-F238E27FC236}">
              <a16:creationId xmlns:a16="http://schemas.microsoft.com/office/drawing/2014/main" id="{00000000-0008-0000-2F00-000010000000}"/>
            </a:ext>
          </a:extLst>
        </xdr:cNvPr>
        <xdr:cNvCxnSpPr/>
      </xdr:nvCxnSpPr>
      <xdr:spPr>
        <a:xfrm flipH="1">
          <a:off x="1493520" y="589280"/>
          <a:ext cx="2011680" cy="109728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1307592</xdr:colOff>
      <xdr:row>11</xdr:row>
      <xdr:rowOff>0</xdr:rowOff>
    </xdr:from>
    <xdr:to>
      <xdr:col>4</xdr:col>
      <xdr:colOff>1307592</xdr:colOff>
      <xdr:row>12</xdr:row>
      <xdr:rowOff>36576</xdr:rowOff>
    </xdr:to>
    <xdr:cxnSp macro="">
      <xdr:nvCxnSpPr>
        <xdr:cNvPr id="26" name="直線單箭頭接點 25">
          <a:extLst>
            <a:ext uri="{FF2B5EF4-FFF2-40B4-BE49-F238E27FC236}">
              <a16:creationId xmlns:a16="http://schemas.microsoft.com/office/drawing/2014/main" id="{00000000-0008-0000-2F00-00001A000000}"/>
            </a:ext>
          </a:extLst>
        </xdr:cNvPr>
        <xdr:cNvCxnSpPr/>
      </xdr:nvCxnSpPr>
      <xdr:spPr>
        <a:xfrm>
          <a:off x="4681728" y="2112264"/>
          <a:ext cx="0" cy="22860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73152</xdr:colOff>
      <xdr:row>11</xdr:row>
      <xdr:rowOff>18288</xdr:rowOff>
    </xdr:from>
    <xdr:to>
      <xdr:col>6</xdr:col>
      <xdr:colOff>932688</xdr:colOff>
      <xdr:row>12</xdr:row>
      <xdr:rowOff>173736</xdr:rowOff>
    </xdr:to>
    <xdr:cxnSp macro="">
      <xdr:nvCxnSpPr>
        <xdr:cNvPr id="29" name="直線單箭頭接點 28">
          <a:extLst>
            <a:ext uri="{FF2B5EF4-FFF2-40B4-BE49-F238E27FC236}">
              <a16:creationId xmlns:a16="http://schemas.microsoft.com/office/drawing/2014/main" id="{00000000-0008-0000-2F00-00001D000000}"/>
            </a:ext>
          </a:extLst>
        </xdr:cNvPr>
        <xdr:cNvCxnSpPr/>
      </xdr:nvCxnSpPr>
      <xdr:spPr>
        <a:xfrm flipH="1">
          <a:off x="5998464" y="2130552"/>
          <a:ext cx="1444752" cy="347472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146304</xdr:colOff>
      <xdr:row>11</xdr:row>
      <xdr:rowOff>9144</xdr:rowOff>
    </xdr:from>
    <xdr:to>
      <xdr:col>8</xdr:col>
      <xdr:colOff>868680</xdr:colOff>
      <xdr:row>12</xdr:row>
      <xdr:rowOff>164592</xdr:rowOff>
    </xdr:to>
    <xdr:cxnSp macro="">
      <xdr:nvCxnSpPr>
        <xdr:cNvPr id="32" name="直線單箭頭接點 31">
          <a:extLst>
            <a:ext uri="{FF2B5EF4-FFF2-40B4-BE49-F238E27FC236}">
              <a16:creationId xmlns:a16="http://schemas.microsoft.com/office/drawing/2014/main" id="{00000000-0008-0000-2F00-000020000000}"/>
            </a:ext>
          </a:extLst>
        </xdr:cNvPr>
        <xdr:cNvCxnSpPr/>
      </xdr:nvCxnSpPr>
      <xdr:spPr>
        <a:xfrm flipH="1">
          <a:off x="6071616" y="2121408"/>
          <a:ext cx="3611880" cy="347472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1271016</xdr:colOff>
      <xdr:row>17</xdr:row>
      <xdr:rowOff>9144</xdr:rowOff>
    </xdr:from>
    <xdr:to>
      <xdr:col>4</xdr:col>
      <xdr:colOff>1280160</xdr:colOff>
      <xdr:row>18</xdr:row>
      <xdr:rowOff>18288</xdr:rowOff>
    </xdr:to>
    <xdr:cxnSp macro="">
      <xdr:nvCxnSpPr>
        <xdr:cNvPr id="37" name="直線單箭頭接點 36">
          <a:extLst>
            <a:ext uri="{FF2B5EF4-FFF2-40B4-BE49-F238E27FC236}">
              <a16:creationId xmlns:a16="http://schemas.microsoft.com/office/drawing/2014/main" id="{00000000-0008-0000-2F00-000025000000}"/>
            </a:ext>
          </a:extLst>
        </xdr:cNvPr>
        <xdr:cNvCxnSpPr/>
      </xdr:nvCxnSpPr>
      <xdr:spPr>
        <a:xfrm>
          <a:off x="4645152" y="2889504"/>
          <a:ext cx="9144" cy="201168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</xdr:colOff>
      <xdr:row>10</xdr:row>
      <xdr:rowOff>109728</xdr:rowOff>
    </xdr:from>
    <xdr:to>
      <xdr:col>2</xdr:col>
      <xdr:colOff>548640</xdr:colOff>
      <xdr:row>10</xdr:row>
      <xdr:rowOff>118872</xdr:rowOff>
    </xdr:to>
    <xdr:cxnSp macro="">
      <xdr:nvCxnSpPr>
        <xdr:cNvPr id="39" name="直線單箭頭接點 38">
          <a:extLst>
            <a:ext uri="{FF2B5EF4-FFF2-40B4-BE49-F238E27FC236}">
              <a16:creationId xmlns:a16="http://schemas.microsoft.com/office/drawing/2014/main" id="{00000000-0008-0000-2F00-000027000000}"/>
            </a:ext>
          </a:extLst>
        </xdr:cNvPr>
        <xdr:cNvCxnSpPr/>
      </xdr:nvCxnSpPr>
      <xdr:spPr>
        <a:xfrm>
          <a:off x="1664208" y="2029968"/>
          <a:ext cx="1088136" cy="9144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9144</xdr:colOff>
      <xdr:row>11</xdr:row>
      <xdr:rowOff>54864</xdr:rowOff>
    </xdr:from>
    <xdr:to>
      <xdr:col>2</xdr:col>
      <xdr:colOff>576072</xdr:colOff>
      <xdr:row>12</xdr:row>
      <xdr:rowOff>146304</xdr:rowOff>
    </xdr:to>
    <xdr:cxnSp macro="">
      <xdr:nvCxnSpPr>
        <xdr:cNvPr id="42" name="直線單箭頭接點 41">
          <a:extLst>
            <a:ext uri="{FF2B5EF4-FFF2-40B4-BE49-F238E27FC236}">
              <a16:creationId xmlns:a16="http://schemas.microsoft.com/office/drawing/2014/main" id="{00000000-0008-0000-2F00-00002A000000}"/>
            </a:ext>
          </a:extLst>
        </xdr:cNvPr>
        <xdr:cNvCxnSpPr/>
      </xdr:nvCxnSpPr>
      <xdr:spPr>
        <a:xfrm>
          <a:off x="1627632" y="2167128"/>
          <a:ext cx="1152144" cy="283464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27432</xdr:colOff>
      <xdr:row>18</xdr:row>
      <xdr:rowOff>100584</xdr:rowOff>
    </xdr:from>
    <xdr:to>
      <xdr:col>2</xdr:col>
      <xdr:colOff>557784</xdr:colOff>
      <xdr:row>18</xdr:row>
      <xdr:rowOff>109728</xdr:rowOff>
    </xdr:to>
    <xdr:cxnSp macro="">
      <xdr:nvCxnSpPr>
        <xdr:cNvPr id="45" name="直線單箭頭接點 44">
          <a:extLst>
            <a:ext uri="{FF2B5EF4-FFF2-40B4-BE49-F238E27FC236}">
              <a16:creationId xmlns:a16="http://schemas.microsoft.com/office/drawing/2014/main" id="{00000000-0008-0000-2F00-00002D000000}"/>
            </a:ext>
          </a:extLst>
        </xdr:cNvPr>
        <xdr:cNvCxnSpPr/>
      </xdr:nvCxnSpPr>
      <xdr:spPr>
        <a:xfrm>
          <a:off x="2231136" y="3172968"/>
          <a:ext cx="530352" cy="9144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1243584</xdr:colOff>
      <xdr:row>19</xdr:row>
      <xdr:rowOff>36576</xdr:rowOff>
    </xdr:from>
    <xdr:to>
      <xdr:col>4</xdr:col>
      <xdr:colOff>1243584</xdr:colOff>
      <xdr:row>20</xdr:row>
      <xdr:rowOff>27432</xdr:rowOff>
    </xdr:to>
    <xdr:cxnSp macro="">
      <xdr:nvCxnSpPr>
        <xdr:cNvPr id="48" name="直線單箭頭接點 47">
          <a:extLst>
            <a:ext uri="{FF2B5EF4-FFF2-40B4-BE49-F238E27FC236}">
              <a16:creationId xmlns:a16="http://schemas.microsoft.com/office/drawing/2014/main" id="{00000000-0008-0000-2F00-000030000000}"/>
            </a:ext>
          </a:extLst>
        </xdr:cNvPr>
        <xdr:cNvCxnSpPr/>
      </xdr:nvCxnSpPr>
      <xdr:spPr>
        <a:xfrm>
          <a:off x="4617720" y="3300984"/>
          <a:ext cx="0" cy="18288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9144</xdr:colOff>
      <xdr:row>18</xdr:row>
      <xdr:rowOff>128016</xdr:rowOff>
    </xdr:from>
    <xdr:to>
      <xdr:col>6</xdr:col>
      <xdr:colOff>594360</xdr:colOff>
      <xdr:row>19</xdr:row>
      <xdr:rowOff>164592</xdr:rowOff>
    </xdr:to>
    <xdr:cxnSp macro="">
      <xdr:nvCxnSpPr>
        <xdr:cNvPr id="50" name="直線單箭頭接點 49">
          <a:extLst>
            <a:ext uri="{FF2B5EF4-FFF2-40B4-BE49-F238E27FC236}">
              <a16:creationId xmlns:a16="http://schemas.microsoft.com/office/drawing/2014/main" id="{00000000-0008-0000-2F00-000032000000}"/>
            </a:ext>
          </a:extLst>
        </xdr:cNvPr>
        <xdr:cNvCxnSpPr/>
      </xdr:nvCxnSpPr>
      <xdr:spPr>
        <a:xfrm>
          <a:off x="5934456" y="3200400"/>
          <a:ext cx="1170432" cy="22860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9144</xdr:colOff>
      <xdr:row>18</xdr:row>
      <xdr:rowOff>100584</xdr:rowOff>
    </xdr:from>
    <xdr:to>
      <xdr:col>8</xdr:col>
      <xdr:colOff>859536</xdr:colOff>
      <xdr:row>19</xdr:row>
      <xdr:rowOff>155448</xdr:rowOff>
    </xdr:to>
    <xdr:cxnSp macro="">
      <xdr:nvCxnSpPr>
        <xdr:cNvPr id="53" name="直線單箭頭接點 52">
          <a:extLst>
            <a:ext uri="{FF2B5EF4-FFF2-40B4-BE49-F238E27FC236}">
              <a16:creationId xmlns:a16="http://schemas.microsoft.com/office/drawing/2014/main" id="{00000000-0008-0000-2F00-000035000000}"/>
            </a:ext>
          </a:extLst>
        </xdr:cNvPr>
        <xdr:cNvCxnSpPr/>
      </xdr:nvCxnSpPr>
      <xdr:spPr>
        <a:xfrm>
          <a:off x="5934456" y="3172968"/>
          <a:ext cx="3739896" cy="246888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1298448</xdr:colOff>
      <xdr:row>21</xdr:row>
      <xdr:rowOff>18288</xdr:rowOff>
    </xdr:from>
    <xdr:to>
      <xdr:col>4</xdr:col>
      <xdr:colOff>1325880</xdr:colOff>
      <xdr:row>21</xdr:row>
      <xdr:rowOff>182880</xdr:rowOff>
    </xdr:to>
    <xdr:cxnSp macro="">
      <xdr:nvCxnSpPr>
        <xdr:cNvPr id="56" name="直線單箭頭接點 55">
          <a:extLst>
            <a:ext uri="{FF2B5EF4-FFF2-40B4-BE49-F238E27FC236}">
              <a16:creationId xmlns:a16="http://schemas.microsoft.com/office/drawing/2014/main" id="{00000000-0008-0000-2F00-000038000000}"/>
            </a:ext>
          </a:extLst>
        </xdr:cNvPr>
        <xdr:cNvCxnSpPr/>
      </xdr:nvCxnSpPr>
      <xdr:spPr>
        <a:xfrm>
          <a:off x="4672584" y="3666744"/>
          <a:ext cx="27432" cy="164592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1271016</xdr:colOff>
      <xdr:row>13</xdr:row>
      <xdr:rowOff>0</xdr:rowOff>
    </xdr:from>
    <xdr:to>
      <xdr:col>4</xdr:col>
      <xdr:colOff>1271016</xdr:colOff>
      <xdr:row>14</xdr:row>
      <xdr:rowOff>36576</xdr:rowOff>
    </xdr:to>
    <xdr:cxnSp macro="">
      <xdr:nvCxnSpPr>
        <xdr:cNvPr id="23" name="直線單箭頭接點 22">
          <a:extLst>
            <a:ext uri="{FF2B5EF4-FFF2-40B4-BE49-F238E27FC236}">
              <a16:creationId xmlns:a16="http://schemas.microsoft.com/office/drawing/2014/main" id="{00000000-0008-0000-2F00-000017000000}"/>
            </a:ext>
          </a:extLst>
        </xdr:cNvPr>
        <xdr:cNvCxnSpPr/>
      </xdr:nvCxnSpPr>
      <xdr:spPr>
        <a:xfrm>
          <a:off x="4645152" y="2377440"/>
          <a:ext cx="0" cy="219456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1277112</xdr:colOff>
      <xdr:row>14</xdr:row>
      <xdr:rowOff>161544</xdr:rowOff>
    </xdr:from>
    <xdr:to>
      <xdr:col>4</xdr:col>
      <xdr:colOff>1277112</xdr:colOff>
      <xdr:row>16</xdr:row>
      <xdr:rowOff>15240</xdr:rowOff>
    </xdr:to>
    <xdr:cxnSp macro="">
      <xdr:nvCxnSpPr>
        <xdr:cNvPr id="25" name="直線單箭頭接點 24">
          <a:extLst>
            <a:ext uri="{FF2B5EF4-FFF2-40B4-BE49-F238E27FC236}">
              <a16:creationId xmlns:a16="http://schemas.microsoft.com/office/drawing/2014/main" id="{00000000-0008-0000-2F00-000019000000}"/>
            </a:ext>
          </a:extLst>
        </xdr:cNvPr>
        <xdr:cNvCxnSpPr/>
      </xdr:nvCxnSpPr>
      <xdr:spPr>
        <a:xfrm>
          <a:off x="4651248" y="2721864"/>
          <a:ext cx="0" cy="219456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2499360</xdr:colOff>
      <xdr:row>6</xdr:row>
      <xdr:rowOff>10160</xdr:rowOff>
    </xdr:from>
    <xdr:to>
      <xdr:col>6</xdr:col>
      <xdr:colOff>30480</xdr:colOff>
      <xdr:row>20</xdr:row>
      <xdr:rowOff>30480</xdr:rowOff>
    </xdr:to>
    <xdr:cxnSp macro="">
      <xdr:nvCxnSpPr>
        <xdr:cNvPr id="43" name="直線單箭頭接點 42">
          <a:extLst>
            <a:ext uri="{FF2B5EF4-FFF2-40B4-BE49-F238E27FC236}">
              <a16:creationId xmlns:a16="http://schemas.microsoft.com/office/drawing/2014/main" id="{00000000-0008-0000-2F00-00002B000000}"/>
            </a:ext>
          </a:extLst>
        </xdr:cNvPr>
        <xdr:cNvCxnSpPr/>
      </xdr:nvCxnSpPr>
      <xdr:spPr>
        <a:xfrm>
          <a:off x="5882640" y="1107440"/>
          <a:ext cx="670560" cy="258064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1605280</xdr:colOff>
      <xdr:row>11</xdr:row>
      <xdr:rowOff>91440</xdr:rowOff>
    </xdr:from>
    <xdr:to>
      <xdr:col>3</xdr:col>
      <xdr:colOff>518160</xdr:colOff>
      <xdr:row>20</xdr:row>
      <xdr:rowOff>71120</xdr:rowOff>
    </xdr:to>
    <xdr:cxnSp macro="">
      <xdr:nvCxnSpPr>
        <xdr:cNvPr id="46" name="直線單箭頭接點 45">
          <a:extLst>
            <a:ext uri="{FF2B5EF4-FFF2-40B4-BE49-F238E27FC236}">
              <a16:creationId xmlns:a16="http://schemas.microsoft.com/office/drawing/2014/main" id="{00000000-0008-0000-2F00-00002E000000}"/>
            </a:ext>
          </a:extLst>
        </xdr:cNvPr>
        <xdr:cNvCxnSpPr/>
      </xdr:nvCxnSpPr>
      <xdr:spPr>
        <a:xfrm>
          <a:off x="1605280" y="2103120"/>
          <a:ext cx="1706880" cy="162560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477520</xdr:colOff>
      <xdr:row>3</xdr:row>
      <xdr:rowOff>10160</xdr:rowOff>
    </xdr:from>
    <xdr:to>
      <xdr:col>6</xdr:col>
      <xdr:colOff>182880</xdr:colOff>
      <xdr:row>4</xdr:row>
      <xdr:rowOff>10160</xdr:rowOff>
    </xdr:to>
    <xdr:cxnSp macro="">
      <xdr:nvCxnSpPr>
        <xdr:cNvPr id="52" name="直線接點 51">
          <a:extLst>
            <a:ext uri="{FF2B5EF4-FFF2-40B4-BE49-F238E27FC236}">
              <a16:creationId xmlns:a16="http://schemas.microsoft.com/office/drawing/2014/main" id="{00000000-0008-0000-2F00-000034000000}"/>
            </a:ext>
          </a:extLst>
        </xdr:cNvPr>
        <xdr:cNvCxnSpPr/>
      </xdr:nvCxnSpPr>
      <xdr:spPr>
        <a:xfrm flipV="1">
          <a:off x="3271520" y="558800"/>
          <a:ext cx="3434080" cy="1828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477520</xdr:colOff>
      <xdr:row>2</xdr:row>
      <xdr:rowOff>172720</xdr:rowOff>
    </xdr:from>
    <xdr:to>
      <xdr:col>7</xdr:col>
      <xdr:colOff>538480</xdr:colOff>
      <xdr:row>4</xdr:row>
      <xdr:rowOff>10160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00000000-0008-0000-2F00-000036000000}"/>
            </a:ext>
          </a:extLst>
        </xdr:cNvPr>
        <xdr:cNvCxnSpPr/>
      </xdr:nvCxnSpPr>
      <xdr:spPr>
        <a:xfrm flipV="1">
          <a:off x="3271520" y="538480"/>
          <a:ext cx="5506720" cy="2032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477520</xdr:colOff>
      <xdr:row>2</xdr:row>
      <xdr:rowOff>162560</xdr:rowOff>
    </xdr:from>
    <xdr:to>
      <xdr:col>10</xdr:col>
      <xdr:colOff>40640</xdr:colOff>
      <xdr:row>3</xdr:row>
      <xdr:rowOff>172720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00000000-0008-0000-2F00-00003A000000}"/>
            </a:ext>
          </a:extLst>
        </xdr:cNvPr>
        <xdr:cNvCxnSpPr/>
      </xdr:nvCxnSpPr>
      <xdr:spPr>
        <a:xfrm flipV="1">
          <a:off x="3271520" y="528320"/>
          <a:ext cx="8046720" cy="19304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20320</xdr:colOff>
      <xdr:row>20</xdr:row>
      <xdr:rowOff>81280</xdr:rowOff>
    </xdr:from>
    <xdr:to>
      <xdr:col>3</xdr:col>
      <xdr:colOff>0</xdr:colOff>
      <xdr:row>20</xdr:row>
      <xdr:rowOff>91440</xdr:rowOff>
    </xdr:to>
    <xdr:cxnSp macro="">
      <xdr:nvCxnSpPr>
        <xdr:cNvPr id="61" name="直線單箭頭接點 60">
          <a:extLst>
            <a:ext uri="{FF2B5EF4-FFF2-40B4-BE49-F238E27FC236}">
              <a16:creationId xmlns:a16="http://schemas.microsoft.com/office/drawing/2014/main" id="{00000000-0008-0000-2F00-00003D000000}"/>
            </a:ext>
          </a:extLst>
        </xdr:cNvPr>
        <xdr:cNvCxnSpPr/>
      </xdr:nvCxnSpPr>
      <xdr:spPr>
        <a:xfrm flipV="1">
          <a:off x="2032000" y="3738880"/>
          <a:ext cx="1158240" cy="1016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2540000</xdr:colOff>
      <xdr:row>21</xdr:row>
      <xdr:rowOff>20320</xdr:rowOff>
    </xdr:from>
    <xdr:to>
      <xdr:col>6</xdr:col>
      <xdr:colOff>629920</xdr:colOff>
      <xdr:row>22</xdr:row>
      <xdr:rowOff>20320</xdr:rowOff>
    </xdr:to>
    <xdr:cxnSp macro="">
      <xdr:nvCxnSpPr>
        <xdr:cNvPr id="63" name="直線單箭頭接點 62">
          <a:extLst>
            <a:ext uri="{FF2B5EF4-FFF2-40B4-BE49-F238E27FC236}">
              <a16:creationId xmlns:a16="http://schemas.microsoft.com/office/drawing/2014/main" id="{00000000-0008-0000-2F00-00003F000000}"/>
            </a:ext>
          </a:extLst>
        </xdr:cNvPr>
        <xdr:cNvCxnSpPr/>
      </xdr:nvCxnSpPr>
      <xdr:spPr>
        <a:xfrm flipH="1">
          <a:off x="6319520" y="3860800"/>
          <a:ext cx="1229360" cy="18288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10160</xdr:colOff>
      <xdr:row>21</xdr:row>
      <xdr:rowOff>20320</xdr:rowOff>
    </xdr:from>
    <xdr:to>
      <xdr:col>8</xdr:col>
      <xdr:colOff>101600</xdr:colOff>
      <xdr:row>22</xdr:row>
      <xdr:rowOff>132080</xdr:rowOff>
    </xdr:to>
    <xdr:cxnSp macro="">
      <xdr:nvCxnSpPr>
        <xdr:cNvPr id="66" name="直線單箭頭接點 65">
          <a:extLst>
            <a:ext uri="{FF2B5EF4-FFF2-40B4-BE49-F238E27FC236}">
              <a16:creationId xmlns:a16="http://schemas.microsoft.com/office/drawing/2014/main" id="{00000000-0008-0000-2F00-000042000000}"/>
            </a:ext>
          </a:extLst>
        </xdr:cNvPr>
        <xdr:cNvCxnSpPr/>
      </xdr:nvCxnSpPr>
      <xdr:spPr>
        <a:xfrm flipH="1">
          <a:off x="6339840" y="3860800"/>
          <a:ext cx="2987040" cy="294640"/>
        </a:xfrm>
        <a:prstGeom prst="straightConnector1">
          <a:avLst/>
        </a:prstGeom>
        <a:ln>
          <a:solidFill>
            <a:sysClr val="windowText" lastClr="0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1.xml"/><Relationship Id="rId4" Type="http://schemas.openxmlformats.org/officeDocument/2006/relationships/ctrlProp" Target="../ctrlProps/ctrlProp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2.xml"/><Relationship Id="rId4" Type="http://schemas.openxmlformats.org/officeDocument/2006/relationships/ctrlProp" Target="../ctrlProps/ctrlProp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3.xml"/><Relationship Id="rId4" Type="http://schemas.openxmlformats.org/officeDocument/2006/relationships/ctrlProp" Target="../ctrlProps/ctrlProp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5" Type="http://schemas.openxmlformats.org/officeDocument/2006/relationships/ctrlProp" Target="../ctrlProps/ctrlProp6.xml"/><Relationship Id="rId4" Type="http://schemas.openxmlformats.org/officeDocument/2006/relationships/ctrlProp" Target="../ctrlProps/ctrlProp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5" Type="http://schemas.openxmlformats.org/officeDocument/2006/relationships/comments" Target="../comments4.xml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5.xml"/><Relationship Id="rId4" Type="http://schemas.openxmlformats.org/officeDocument/2006/relationships/ctrlProp" Target="../ctrlProps/ctrlProp11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2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3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Relationship Id="rId4" Type="http://schemas.openxmlformats.org/officeDocument/2006/relationships/ctrlProp" Target="../ctrlProps/ctrlProp1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5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Relationship Id="rId5" Type="http://schemas.openxmlformats.org/officeDocument/2006/relationships/comments" Target="../comments6.xml"/><Relationship Id="rId4" Type="http://schemas.openxmlformats.org/officeDocument/2006/relationships/ctrlProp" Target="../ctrlProps/ctrlProp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7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Relationship Id="rId4" Type="http://schemas.openxmlformats.org/officeDocument/2006/relationships/ctrlProp" Target="../ctrlProps/ctrlProp18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9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20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Relationship Id="rId4" Type="http://schemas.openxmlformats.org/officeDocument/2006/relationships/ctrlProp" Target="../ctrlProps/ctrlProp21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Relationship Id="rId5" Type="http://schemas.openxmlformats.org/officeDocument/2006/relationships/comments" Target="../comments7.xml"/><Relationship Id="rId4" Type="http://schemas.openxmlformats.org/officeDocument/2006/relationships/ctrlProp" Target="../ctrlProps/ctrlProp22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3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Relationship Id="rId4" Type="http://schemas.openxmlformats.org/officeDocument/2006/relationships/comments" Target="../comments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4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5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Relationship Id="rId4" Type="http://schemas.openxmlformats.org/officeDocument/2006/relationships/ctrlProp" Target="../ctrlProps/ctrlProp26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7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Relationship Id="rId5" Type="http://schemas.openxmlformats.org/officeDocument/2006/relationships/comments" Target="../comments9.xml"/><Relationship Id="rId4" Type="http://schemas.openxmlformats.org/officeDocument/2006/relationships/ctrlProp" Target="../ctrlProps/ctrlProp28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9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Relationship Id="rId4" Type="http://schemas.openxmlformats.org/officeDocument/2006/relationships/ctrlProp" Target="../ctrlProps/ctrlProp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7.bin"/><Relationship Id="rId4" Type="http://schemas.openxmlformats.org/officeDocument/2006/relationships/ctrlProp" Target="../ctrlProps/ctrlProp31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8.bin"/><Relationship Id="rId4" Type="http://schemas.openxmlformats.org/officeDocument/2006/relationships/ctrlProp" Target="../ctrlProps/ctrlProp32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9.bin"/><Relationship Id="rId4" Type="http://schemas.openxmlformats.org/officeDocument/2006/relationships/ctrlProp" Target="../ctrlProps/ctrlProp3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0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34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5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Relationship Id="rId4" Type="http://schemas.openxmlformats.org/officeDocument/2006/relationships/comments" Target="../comments1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6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7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Relationship Id="rId4" Type="http://schemas.openxmlformats.org/officeDocument/2006/relationships/ctrlProp" Target="../ctrlProps/ctrlProp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9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Relationship Id="rId5" Type="http://schemas.openxmlformats.org/officeDocument/2006/relationships/comments" Target="../comments12.xml"/><Relationship Id="rId4" Type="http://schemas.openxmlformats.org/officeDocument/2006/relationships/ctrlProp" Target="../ctrlProps/ctrlProp40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1.bin"/><Relationship Id="rId5" Type="http://schemas.openxmlformats.org/officeDocument/2006/relationships/ctrlProp" Target="../ctrlProps/ctrlProp42.xml"/><Relationship Id="rId4" Type="http://schemas.openxmlformats.org/officeDocument/2006/relationships/ctrlProp" Target="../ctrlProps/ctrlProp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Relationship Id="rId4" Type="http://schemas.openxmlformats.org/officeDocument/2006/relationships/comments" Target="../comments13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Relationship Id="rId4" Type="http://schemas.openxmlformats.org/officeDocument/2006/relationships/comments" Target="../comments14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Relationship Id="rId4" Type="http://schemas.openxmlformats.org/officeDocument/2006/relationships/comments" Target="../comments15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Relationship Id="rId4" Type="http://schemas.openxmlformats.org/officeDocument/2006/relationships/comments" Target="../comments16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4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Relationship Id="rId4" Type="http://schemas.openxmlformats.org/officeDocument/2006/relationships/comments" Target="../comments17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22.bin"/><Relationship Id="rId5" Type="http://schemas.openxmlformats.org/officeDocument/2006/relationships/comments" Target="../comments18.xml"/><Relationship Id="rId4" Type="http://schemas.openxmlformats.org/officeDocument/2006/relationships/ctrlProp" Target="../ctrlProps/ctrlProp48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2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C000"/>
  </sheetPr>
  <dimension ref="A1:Q98"/>
  <sheetViews>
    <sheetView showGridLines="0" view="pageBreakPreview" zoomScale="85" zoomScaleSheetLayoutView="85" workbookViewId="0">
      <selection activeCell="K94" sqref="K94"/>
    </sheetView>
  </sheetViews>
  <sheetFormatPr defaultColWidth="9.140625" defaultRowHeight="14.4" outlineLevelRow="2" outlineLevelCol="1"/>
  <cols>
    <col min="1" max="1" width="3.7109375" style="1" customWidth="1"/>
    <col min="2" max="2" width="1.42578125" style="1" customWidth="1"/>
    <col min="3" max="3" width="1.140625" style="1" customWidth="1"/>
    <col min="4" max="4" width="41.5703125" style="1" customWidth="1"/>
    <col min="5" max="5" width="13.140625" style="1" customWidth="1" collapsed="1"/>
    <col min="6" max="9" width="13.140625" style="1" customWidth="1"/>
    <col min="10" max="10" width="13.140625" style="1" hidden="1" customWidth="1" outlineLevel="1"/>
    <col min="11" max="11" width="13.140625" style="1" customWidth="1" collapsed="1"/>
    <col min="12" max="13" width="13.140625" style="1" customWidth="1"/>
    <col min="14" max="15" width="13.140625" style="1" customWidth="1" outlineLevel="1"/>
    <col min="16" max="17" width="10" style="1" customWidth="1" outlineLevel="1"/>
    <col min="18" max="16384" width="9.140625" style="28"/>
  </cols>
  <sheetData>
    <row r="1" spans="1:17" ht="16.600000000000001">
      <c r="C1" s="2" t="str">
        <f>CONCATENATE("Project ",project_name," - Financial Summary")</f>
        <v>Project  - Financial Summary</v>
      </c>
      <c r="D1" s="3"/>
      <c r="E1" s="3"/>
      <c r="F1" s="3"/>
      <c r="G1" s="3"/>
      <c r="H1" s="3"/>
      <c r="I1" s="3"/>
      <c r="J1" s="3"/>
      <c r="K1" s="3"/>
      <c r="L1" s="3"/>
    </row>
    <row r="2" spans="1:17">
      <c r="C2" s="4" t="str">
        <f>CONCATENATE("In ",model_curr," thousand unless otherwise stated")</f>
        <v>In USD thousand unless otherwise stated</v>
      </c>
      <c r="D2" s="3"/>
      <c r="E2" s="3"/>
      <c r="F2" s="3"/>
      <c r="G2" s="3"/>
      <c r="H2" s="3"/>
      <c r="I2" s="3"/>
      <c r="J2" s="3"/>
      <c r="K2" s="3"/>
      <c r="L2" s="3"/>
    </row>
    <row r="3" spans="1:17" ht="9" customHeight="1">
      <c r="C3" s="3"/>
      <c r="D3" s="3"/>
      <c r="E3" s="3"/>
      <c r="F3" s="3"/>
      <c r="G3" s="3"/>
      <c r="H3" s="3"/>
      <c r="I3" s="3"/>
      <c r="J3" s="3"/>
      <c r="K3" s="3"/>
      <c r="L3" s="3"/>
    </row>
    <row r="4" spans="1:17">
      <c r="C4" s="174" t="s">
        <v>867</v>
      </c>
      <c r="D4" s="175"/>
      <c r="E4" s="175"/>
      <c r="F4" s="175"/>
      <c r="G4" s="175"/>
      <c r="H4" s="175"/>
      <c r="I4" s="175"/>
      <c r="J4" s="175"/>
      <c r="K4" s="175"/>
      <c r="L4" s="175"/>
      <c r="M4" s="175"/>
      <c r="N4" s="175"/>
      <c r="O4" s="175"/>
      <c r="P4" s="175"/>
      <c r="Q4" s="175"/>
    </row>
    <row r="5" spans="1:17">
      <c r="B5" s="6"/>
      <c r="C5" s="28" t="s">
        <v>0</v>
      </c>
      <c r="D5" s="7"/>
      <c r="E5" s="176">
        <v>1</v>
      </c>
      <c r="F5" s="28" t="str">
        <f>INDEX('Scenarios offshore'!D21:D24,'Financial summary'!E5)</f>
        <v>Sponsor base</v>
      </c>
      <c r="G5" s="6"/>
    </row>
    <row r="6" spans="1:17" hidden="1">
      <c r="B6" s="6"/>
      <c r="E6" s="6"/>
      <c r="F6" s="9"/>
      <c r="G6" s="6"/>
      <c r="H6" s="6"/>
      <c r="I6" s="6"/>
      <c r="J6" s="10"/>
      <c r="K6" s="6"/>
      <c r="L6" s="6"/>
    </row>
    <row r="7" spans="1:17" hidden="1">
      <c r="B7" s="6"/>
      <c r="C7" s="1" t="s">
        <v>1505</v>
      </c>
      <c r="E7" s="6" t="b">
        <f>'IS consol'!E6</f>
        <v>1</v>
      </c>
      <c r="F7" s="6" t="b">
        <f>'IS consol'!F6</f>
        <v>1</v>
      </c>
      <c r="G7" s="6" t="b">
        <f>'IS consol'!G6</f>
        <v>1</v>
      </c>
      <c r="H7" s="6" t="b">
        <f>'IS consol'!H6</f>
        <v>1</v>
      </c>
      <c r="I7" s="6" t="b">
        <f>'IS consol'!I6</f>
        <v>1</v>
      </c>
      <c r="J7" s="6" t="b">
        <f>'IS consol'!J6</f>
        <v>0</v>
      </c>
      <c r="K7" s="6" t="b">
        <f>'IS consol'!K6</f>
        <v>0</v>
      </c>
      <c r="L7" s="6" t="b">
        <f>'IS consol'!L6</f>
        <v>0</v>
      </c>
      <c r="M7" s="6" t="b">
        <f>'IS consol'!M6</f>
        <v>0</v>
      </c>
      <c r="N7" s="6" t="b">
        <f>'IS consol'!N6</f>
        <v>0</v>
      </c>
      <c r="O7" s="6" t="b">
        <f>'IS consol'!O6</f>
        <v>0</v>
      </c>
      <c r="P7" s="6" t="b">
        <f>'IS consol'!P6</f>
        <v>0</v>
      </c>
      <c r="Q7" s="6" t="b">
        <f>'IS consol'!Q6</f>
        <v>0</v>
      </c>
    </row>
    <row r="8" spans="1:17" hidden="1">
      <c r="B8" s="6"/>
      <c r="C8" s="1" t="s">
        <v>1506</v>
      </c>
      <c r="E8" s="6" t="b">
        <f>'IS consol'!E7</f>
        <v>0</v>
      </c>
      <c r="F8" s="6" t="b">
        <f>'IS consol'!F7</f>
        <v>0</v>
      </c>
      <c r="G8" s="6" t="b">
        <f>'IS consol'!G7</f>
        <v>0</v>
      </c>
      <c r="H8" s="6" t="b">
        <f>'IS consol'!H7</f>
        <v>0</v>
      </c>
      <c r="I8" s="6" t="b">
        <f>'IS consol'!I7</f>
        <v>0</v>
      </c>
      <c r="J8" s="6" t="b">
        <f>'IS consol'!J7</f>
        <v>0</v>
      </c>
      <c r="K8" s="6" t="b">
        <f>'IS consol'!K7</f>
        <v>0</v>
      </c>
      <c r="L8" s="6" t="b">
        <f>'IS consol'!L7</f>
        <v>0</v>
      </c>
      <c r="M8" s="6" t="b">
        <f>'IS consol'!M7</f>
        <v>0</v>
      </c>
      <c r="N8" s="6" t="b">
        <f>'IS consol'!N7</f>
        <v>0</v>
      </c>
      <c r="O8" s="6" t="b">
        <f>'IS consol'!O7</f>
        <v>0</v>
      </c>
      <c r="P8" s="6" t="b">
        <f>'IS consol'!P7</f>
        <v>0</v>
      </c>
      <c r="Q8" s="6" t="b">
        <f>'IS consol'!Q7</f>
        <v>0</v>
      </c>
    </row>
    <row r="9" spans="1:17" hidden="1">
      <c r="B9" s="6"/>
      <c r="C9" s="1" t="s">
        <v>1507</v>
      </c>
      <c r="E9" s="6" t="b">
        <f>'IS consol'!E8</f>
        <v>0</v>
      </c>
      <c r="F9" s="6" t="b">
        <f>'IS consol'!F8</f>
        <v>0</v>
      </c>
      <c r="G9" s="6" t="b">
        <f>'IS consol'!G8</f>
        <v>0</v>
      </c>
      <c r="H9" s="6" t="b">
        <f>'IS consol'!H8</f>
        <v>0</v>
      </c>
      <c r="I9" s="6" t="b">
        <f>'IS consol'!I8</f>
        <v>0</v>
      </c>
      <c r="J9" s="6" t="b">
        <f>'IS consol'!J8</f>
        <v>1</v>
      </c>
      <c r="K9" s="6" t="b">
        <f>'IS consol'!K8</f>
        <v>0</v>
      </c>
      <c r="L9" s="6" t="b">
        <f>'IS consol'!L8</f>
        <v>0</v>
      </c>
      <c r="M9" s="6" t="b">
        <f>'IS consol'!M8</f>
        <v>0</v>
      </c>
      <c r="N9" s="6" t="b">
        <f>'IS consol'!N8</f>
        <v>0</v>
      </c>
      <c r="O9" s="6" t="b">
        <f>'IS consol'!O8</f>
        <v>0</v>
      </c>
      <c r="P9" s="6" t="b">
        <f>'IS consol'!P8</f>
        <v>0</v>
      </c>
      <c r="Q9" s="6" t="b">
        <f>'IS consol'!Q8</f>
        <v>0</v>
      </c>
    </row>
    <row r="10" spans="1:17" hidden="1">
      <c r="B10" s="6"/>
      <c r="C10" s="1" t="s">
        <v>1508</v>
      </c>
      <c r="E10" s="6" t="b">
        <f>'IS consol'!E9</f>
        <v>0</v>
      </c>
      <c r="F10" s="6" t="b">
        <f>'IS consol'!F9</f>
        <v>0</v>
      </c>
      <c r="G10" s="6" t="b">
        <f>'IS consol'!G9</f>
        <v>0</v>
      </c>
      <c r="H10" s="6" t="b">
        <f>'IS consol'!H9</f>
        <v>0</v>
      </c>
      <c r="I10" s="6" t="b">
        <f>'IS consol'!I9</f>
        <v>0</v>
      </c>
      <c r="J10" s="6" t="b">
        <f>'IS consol'!J9</f>
        <v>0</v>
      </c>
      <c r="K10" s="6" t="b">
        <f>'IS consol'!K9</f>
        <v>1</v>
      </c>
      <c r="L10" s="6" t="b">
        <f>'IS consol'!L9</f>
        <v>1</v>
      </c>
      <c r="M10" s="6" t="b">
        <f>'IS consol'!M9</f>
        <v>1</v>
      </c>
      <c r="N10" s="6" t="b">
        <f>'IS consol'!N9</f>
        <v>1</v>
      </c>
      <c r="O10" s="6" t="b">
        <f>'IS consol'!O9</f>
        <v>1</v>
      </c>
      <c r="P10" s="6" t="b">
        <f>'IS consol'!P9</f>
        <v>1</v>
      </c>
      <c r="Q10" s="6" t="b">
        <f>'IS consol'!Q9</f>
        <v>0</v>
      </c>
    </row>
    <row r="11" spans="1:17">
      <c r="C11" s="177" t="str">
        <f>CONCATENATE(F5," (",model_curr,"x1.000)")</f>
        <v>Sponsor base (USDx1.000)</v>
      </c>
      <c r="D11" s="177"/>
      <c r="E11" s="178" t="str">
        <f>'IS consol'!E17</f>
        <v>2014A</v>
      </c>
      <c r="F11" s="178" t="str">
        <f>'IS consol'!F17</f>
        <v>2015A</v>
      </c>
      <c r="G11" s="178" t="str">
        <f>'IS consol'!G17</f>
        <v>2016A</v>
      </c>
      <c r="H11" s="178" t="str">
        <f>'IS consol'!H17</f>
        <v>2017A</v>
      </c>
      <c r="I11" s="178" t="str">
        <f>'IS consol'!I17</f>
        <v>2018A</v>
      </c>
      <c r="J11" s="178" t="str">
        <f>'IS consol'!J17</f>
        <v>2019C</v>
      </c>
      <c r="K11" s="178" t="str">
        <f>'IS consol'!K17</f>
        <v>2019F</v>
      </c>
      <c r="L11" s="178" t="str">
        <f>'IS consol'!L17</f>
        <v>2020F</v>
      </c>
      <c r="M11" s="178" t="str">
        <f>'IS consol'!M17</f>
        <v>2021F</v>
      </c>
      <c r="N11" s="178" t="str">
        <f>'IS consol'!N17</f>
        <v>2022F</v>
      </c>
      <c r="O11" s="178" t="str">
        <f>'IS consol'!O17</f>
        <v>2023F</v>
      </c>
      <c r="P11" s="178" t="str">
        <f>'IS consol'!P17</f>
        <v>2024F</v>
      </c>
      <c r="Q11" s="178" t="e">
        <f>'IS consol'!Q17</f>
        <v>#N/A</v>
      </c>
    </row>
    <row r="12" spans="1:17">
      <c r="C12" s="177" t="s">
        <v>1530</v>
      </c>
      <c r="D12" s="177"/>
      <c r="E12" s="179">
        <f>'IS consol'!E18</f>
        <v>42004</v>
      </c>
      <c r="F12" s="179">
        <f>'IS consol'!F18</f>
        <v>42369</v>
      </c>
      <c r="G12" s="179">
        <f>'IS consol'!G18</f>
        <v>42735</v>
      </c>
      <c r="H12" s="179">
        <f>'IS consol'!H18</f>
        <v>43100</v>
      </c>
      <c r="I12" s="179">
        <f>'IS consol'!I18</f>
        <v>43465</v>
      </c>
      <c r="J12" s="179">
        <f>'IS consol'!J18</f>
        <v>43466</v>
      </c>
      <c r="K12" s="179">
        <f>'IS consol'!K18</f>
        <v>43830</v>
      </c>
      <c r="L12" s="179">
        <f>'IS consol'!L18</f>
        <v>44196</v>
      </c>
      <c r="M12" s="179">
        <f>'IS consol'!M18</f>
        <v>44561</v>
      </c>
      <c r="N12" s="179">
        <f>'IS consol'!N18</f>
        <v>44926</v>
      </c>
      <c r="O12" s="179">
        <f>'IS consol'!O18</f>
        <v>45291</v>
      </c>
      <c r="P12" s="179">
        <f>'IS consol'!P18</f>
        <v>45657</v>
      </c>
      <c r="Q12" s="179">
        <f>'IS consol'!Q18</f>
        <v>0</v>
      </c>
    </row>
    <row r="13" spans="1:17" ht="13.7">
      <c r="A13" s="180"/>
      <c r="B13" s="180"/>
      <c r="C13" s="180" t="s">
        <v>1</v>
      </c>
      <c r="D13" s="181"/>
      <c r="E13" s="182">
        <f>+'IS consol'!E26/1000</f>
        <v>0</v>
      </c>
      <c r="F13" s="182">
        <f>+'IS consol'!F26/1000</f>
        <v>0</v>
      </c>
      <c r="G13" s="182">
        <f>+'IS consol'!G26/1000</f>
        <v>0</v>
      </c>
      <c r="H13" s="182">
        <f>+'IS consol'!H26/1000</f>
        <v>0</v>
      </c>
      <c r="I13" s="182">
        <f>+'IS consol'!I26/1000</f>
        <v>0</v>
      </c>
      <c r="J13" s="182">
        <f>+'IS consol'!J26/1000</f>
        <v>0</v>
      </c>
      <c r="K13" s="182">
        <f>+'IS consol'!K26/1000</f>
        <v>0</v>
      </c>
      <c r="L13" s="182">
        <f>+'IS consol'!L26/1000</f>
        <v>0</v>
      </c>
      <c r="M13" s="182">
        <f>+'IS consol'!M26/1000</f>
        <v>0</v>
      </c>
      <c r="N13" s="182">
        <f>+'IS consol'!N26/1000</f>
        <v>0</v>
      </c>
      <c r="O13" s="182">
        <f>+'IS consol'!O26/1000</f>
        <v>0</v>
      </c>
      <c r="P13" s="182">
        <f>+'IS consol'!P26/1000</f>
        <v>0</v>
      </c>
      <c r="Q13" s="182">
        <f>+'IS consol'!Q26/1000</f>
        <v>0</v>
      </c>
    </row>
    <row r="14" spans="1:17" ht="13.7">
      <c r="A14" s="183"/>
      <c r="B14" s="183"/>
      <c r="C14" s="183" t="s">
        <v>2</v>
      </c>
      <c r="D14" s="184"/>
      <c r="E14" s="185" t="str">
        <f t="shared" ref="E14:M14" si="0">IF(OR(E$7,E$10),IFERROR((E13/(D13+D$9*C13+IFERROR(stub_switch*C$9*B13,0))-1),"n.a."),"n.a.")</f>
        <v>n.a.</v>
      </c>
      <c r="F14" s="185" t="str">
        <f t="shared" si="0"/>
        <v>n.a.</v>
      </c>
      <c r="G14" s="185" t="str">
        <f t="shared" si="0"/>
        <v>n.a.</v>
      </c>
      <c r="H14" s="185" t="str">
        <f t="shared" si="0"/>
        <v>n.a.</v>
      </c>
      <c r="I14" s="185" t="str">
        <f t="shared" si="0"/>
        <v>n.a.</v>
      </c>
      <c r="J14" s="185" t="str">
        <f t="shared" si="0"/>
        <v>n.a.</v>
      </c>
      <c r="K14" s="185" t="str">
        <f t="shared" si="0"/>
        <v>n.a.</v>
      </c>
      <c r="L14" s="185" t="str">
        <f>IF(OR(L$7,L$10),IFERROR((L13/(K13+K$9*J13+IFERROR(stub_switch*J$9*I13,0))-1),"n.a."),"n.a.")</f>
        <v>n.a.</v>
      </c>
      <c r="M14" s="185" t="str">
        <f t="shared" si="0"/>
        <v>n.a.</v>
      </c>
      <c r="N14" s="185" t="str">
        <f t="shared" ref="N14" si="1">IF(OR(N$7,N$10),IFERROR((N13/(M13+M$9*L13+IFERROR(stub_switch*L$9*K13,0))-1),"n.a."),"n.a.")</f>
        <v>n.a.</v>
      </c>
      <c r="O14" s="185" t="str">
        <f t="shared" ref="O14" si="2">IF(OR(O$7,O$10),IFERROR((O13/(N13+N$9*M13+IFERROR(stub_switch*M$9*L13,0))-1),"n.a."),"n.a.")</f>
        <v>n.a.</v>
      </c>
      <c r="P14" s="185" t="str">
        <f t="shared" ref="P14" si="3">IF(OR(P$7,P$10),IFERROR((P13/(O13+O$9*N13+IFERROR(stub_switch*N$9*M13,0))-1),"n.a."),"n.a.")</f>
        <v>n.a.</v>
      </c>
      <c r="Q14" s="185" t="str">
        <f t="shared" ref="Q14" si="4">IF(OR(Q$7,Q$10),IFERROR((Q13/(P13+P$9*O13+IFERROR(stub_switch*O$9*N13,0))-1),"n.a."),"n.a.")</f>
        <v>n.a.</v>
      </c>
    </row>
    <row r="15" spans="1:17" hidden="1" outlineLevel="1">
      <c r="A15" s="186"/>
      <c r="B15" s="186"/>
      <c r="C15" s="187"/>
      <c r="D15" s="188"/>
      <c r="E15" s="197"/>
      <c r="F15" s="197"/>
      <c r="G15" s="197"/>
      <c r="H15" s="197"/>
      <c r="I15" s="197"/>
      <c r="J15" s="197"/>
      <c r="K15" s="197"/>
      <c r="L15" s="197"/>
      <c r="M15" s="197"/>
      <c r="N15" s="197"/>
      <c r="O15" s="197"/>
      <c r="P15" s="197"/>
      <c r="Q15" s="197"/>
    </row>
    <row r="16" spans="1:17" hidden="1" outlineLevel="1">
      <c r="A16" s="186"/>
      <c r="B16" s="186"/>
      <c r="C16" s="187"/>
      <c r="D16" s="188"/>
      <c r="E16" s="197"/>
      <c r="F16" s="197"/>
      <c r="G16" s="197"/>
      <c r="H16" s="197"/>
      <c r="I16" s="197"/>
      <c r="J16" s="197"/>
      <c r="K16" s="197"/>
      <c r="L16" s="197"/>
      <c r="M16" s="197"/>
      <c r="N16" s="197"/>
      <c r="O16" s="197"/>
      <c r="P16" s="197"/>
      <c r="Q16" s="197"/>
    </row>
    <row r="17" spans="1:17" hidden="1" outlineLevel="1">
      <c r="A17" s="186"/>
      <c r="B17" s="186"/>
      <c r="C17" s="187"/>
      <c r="D17" s="188"/>
      <c r="E17" s="197"/>
      <c r="F17" s="197"/>
      <c r="G17" s="197"/>
      <c r="H17" s="197"/>
      <c r="I17" s="197"/>
      <c r="J17" s="197"/>
      <c r="K17" s="197"/>
      <c r="L17" s="197"/>
      <c r="M17" s="197"/>
      <c r="N17" s="197"/>
      <c r="O17" s="197"/>
      <c r="P17" s="197"/>
      <c r="Q17" s="197"/>
    </row>
    <row r="18" spans="1:17" collapsed="1">
      <c r="C18" s="14" t="s">
        <v>868</v>
      </c>
      <c r="D18" s="15"/>
      <c r="E18" s="16">
        <f>'IS consol'!E87/1000</f>
        <v>0</v>
      </c>
      <c r="F18" s="16">
        <f>'IS consol'!F87/1000</f>
        <v>0</v>
      </c>
      <c r="G18" s="16">
        <f>'IS consol'!G87/1000</f>
        <v>0</v>
      </c>
      <c r="H18" s="16">
        <f>'IS consol'!H87/1000</f>
        <v>0</v>
      </c>
      <c r="I18" s="16">
        <f>'IS consol'!I87/1000</f>
        <v>0</v>
      </c>
      <c r="J18" s="16">
        <f>'IS consol'!J87/1000</f>
        <v>0</v>
      </c>
      <c r="K18" s="16">
        <f>'IS consol'!K87/1000</f>
        <v>0</v>
      </c>
      <c r="L18" s="16">
        <f>'IS consol'!L87/1000</f>
        <v>0</v>
      </c>
      <c r="M18" s="16">
        <f>'IS consol'!M87/1000</f>
        <v>0</v>
      </c>
      <c r="N18" s="16">
        <f>'IS consol'!N87/1000</f>
        <v>0</v>
      </c>
      <c r="O18" s="16">
        <f>'IS consol'!O87/1000</f>
        <v>0</v>
      </c>
      <c r="P18" s="16">
        <f>'IS consol'!P87/1000</f>
        <v>0</v>
      </c>
      <c r="Q18" s="16">
        <f>'IS consol'!Q87/1000</f>
        <v>0</v>
      </c>
    </row>
    <row r="19" spans="1:17" ht="13.7">
      <c r="A19" s="183"/>
      <c r="B19" s="183"/>
      <c r="C19" s="183" t="s">
        <v>2</v>
      </c>
      <c r="D19" s="184"/>
      <c r="E19" s="185" t="str">
        <f t="shared" ref="E19:M19" si="5">IF(OR(E$7,E$10),IFERROR((E18/(D18+D$9*C18+IFERROR(stub_switch*C$9*B18,0))-1),"n.a."),"n.a.")</f>
        <v>n.a.</v>
      </c>
      <c r="F19" s="185" t="str">
        <f t="shared" si="5"/>
        <v>n.a.</v>
      </c>
      <c r="G19" s="185" t="str">
        <f t="shared" si="5"/>
        <v>n.a.</v>
      </c>
      <c r="H19" s="185" t="str">
        <f t="shared" si="5"/>
        <v>n.a.</v>
      </c>
      <c r="I19" s="185" t="str">
        <f t="shared" si="5"/>
        <v>n.a.</v>
      </c>
      <c r="J19" s="185" t="str">
        <f t="shared" si="5"/>
        <v>n.a.</v>
      </c>
      <c r="K19" s="185" t="str">
        <f t="shared" si="5"/>
        <v>n.a.</v>
      </c>
      <c r="L19" s="185" t="str">
        <f t="shared" si="5"/>
        <v>n.a.</v>
      </c>
      <c r="M19" s="185" t="str">
        <f t="shared" si="5"/>
        <v>n.a.</v>
      </c>
      <c r="N19" s="185" t="str">
        <f t="shared" ref="N19" si="6">IF(OR(N$7,N$10),IFERROR((N18/(M18+M$9*L18+IFERROR(stub_switch*L$9*K18,0))-1),"n.a."),"n.a.")</f>
        <v>n.a.</v>
      </c>
      <c r="O19" s="185" t="str">
        <f t="shared" ref="O19" si="7">IF(OR(O$7,O$10),IFERROR((O18/(N18+N$9*M18+IFERROR(stub_switch*M$9*L18,0))-1),"n.a."),"n.a.")</f>
        <v>n.a.</v>
      </c>
      <c r="P19" s="185" t="str">
        <f t="shared" ref="P19" si="8">IF(OR(P$7,P$10),IFERROR((P18/(O18+O$9*N18+IFERROR(stub_switch*N$9*M18,0))-1),"n.a."),"n.a.")</f>
        <v>n.a.</v>
      </c>
      <c r="Q19" s="185" t="str">
        <f t="shared" ref="Q19" si="9">IF(OR(Q$7,Q$10),IFERROR((Q18/(P18+P$9*O18+IFERROR(stub_switch*O$9*N18,0))-1),"n.a."),"n.a.")</f>
        <v>n.a.</v>
      </c>
    </row>
    <row r="20" spans="1:17" ht="13.7">
      <c r="A20" s="183"/>
      <c r="B20" s="183"/>
      <c r="C20" s="183" t="s">
        <v>869</v>
      </c>
      <c r="D20" s="184"/>
      <c r="E20" s="189" t="str">
        <f t="shared" ref="E20" si="10">IF(ISERROR(E18/E$13),"n.a.",E18/E$13)</f>
        <v>n.a.</v>
      </c>
      <c r="F20" s="189" t="str">
        <f t="shared" ref="F20:M20" si="11">IF(ISERROR(F18/F$13),"n.a.",F18/F$13)</f>
        <v>n.a.</v>
      </c>
      <c r="G20" s="189" t="str">
        <f t="shared" si="11"/>
        <v>n.a.</v>
      </c>
      <c r="H20" s="189" t="str">
        <f t="shared" si="11"/>
        <v>n.a.</v>
      </c>
      <c r="I20" s="189" t="str">
        <f t="shared" si="11"/>
        <v>n.a.</v>
      </c>
      <c r="J20" s="189" t="str">
        <f t="shared" si="11"/>
        <v>n.a.</v>
      </c>
      <c r="K20" s="189" t="str">
        <f t="shared" si="11"/>
        <v>n.a.</v>
      </c>
      <c r="L20" s="189" t="str">
        <f t="shared" si="11"/>
        <v>n.a.</v>
      </c>
      <c r="M20" s="189" t="str">
        <f t="shared" si="11"/>
        <v>n.a.</v>
      </c>
      <c r="N20" s="189" t="str">
        <f t="shared" ref="N20:Q20" si="12">IF(ISERROR(N18/N$13),"n.a.",N18/N$13)</f>
        <v>n.a.</v>
      </c>
      <c r="O20" s="189" t="str">
        <f t="shared" si="12"/>
        <v>n.a.</v>
      </c>
      <c r="P20" s="189" t="str">
        <f t="shared" si="12"/>
        <v>n.a.</v>
      </c>
      <c r="Q20" s="189" t="str">
        <f t="shared" si="12"/>
        <v>n.a.</v>
      </c>
    </row>
    <row r="21" spans="1:17">
      <c r="C21" s="191" t="s">
        <v>3</v>
      </c>
      <c r="D21" s="190"/>
      <c r="E21" s="190">
        <f>'IS consol'!E115/1000</f>
        <v>0</v>
      </c>
      <c r="F21" s="190">
        <f>'IS consol'!F115/1000</f>
        <v>0</v>
      </c>
      <c r="G21" s="190">
        <f>'IS consol'!G115/1000</f>
        <v>0</v>
      </c>
      <c r="H21" s="190">
        <f>'IS consol'!H115/1000</f>
        <v>0</v>
      </c>
      <c r="I21" s="190">
        <f>'IS consol'!I115/1000</f>
        <v>0</v>
      </c>
      <c r="J21" s="190">
        <f>'IS consol'!J115/1000</f>
        <v>0</v>
      </c>
      <c r="K21" s="190">
        <f>'IS consol'!K115/1000</f>
        <v>0</v>
      </c>
      <c r="L21" s="190">
        <f>'IS consol'!L115/1000</f>
        <v>0</v>
      </c>
      <c r="M21" s="190">
        <f>'IS consol'!M115/1000</f>
        <v>0</v>
      </c>
      <c r="N21" s="190">
        <f>'IS consol'!N115/1000</f>
        <v>0</v>
      </c>
      <c r="O21" s="190">
        <f>'IS consol'!O115/1000</f>
        <v>0</v>
      </c>
      <c r="P21" s="190">
        <f>'IS consol'!P115/1000</f>
        <v>0</v>
      </c>
      <c r="Q21" s="190">
        <f>'IS consol'!Q115/1000</f>
        <v>0</v>
      </c>
    </row>
    <row r="22" spans="1:17" ht="13.7">
      <c r="A22" s="183"/>
      <c r="B22" s="183"/>
      <c r="C22" s="183" t="s">
        <v>2</v>
      </c>
      <c r="D22" s="184"/>
      <c r="E22" s="185" t="str">
        <f t="shared" ref="E22:M22" si="13">IF(OR(E$7,E$10),IFERROR((E21/(D21+D$9*C21+IFERROR(stub_switch*C$9*B21,0))-1),"n.a."),"n.a.")</f>
        <v>n.a.</v>
      </c>
      <c r="F22" s="185" t="str">
        <f t="shared" si="13"/>
        <v>n.a.</v>
      </c>
      <c r="G22" s="185" t="str">
        <f t="shared" si="13"/>
        <v>n.a.</v>
      </c>
      <c r="H22" s="185" t="str">
        <f t="shared" si="13"/>
        <v>n.a.</v>
      </c>
      <c r="I22" s="185" t="str">
        <f t="shared" si="13"/>
        <v>n.a.</v>
      </c>
      <c r="J22" s="185" t="str">
        <f t="shared" si="13"/>
        <v>n.a.</v>
      </c>
      <c r="K22" s="185" t="str">
        <f t="shared" si="13"/>
        <v>n.a.</v>
      </c>
      <c r="L22" s="185" t="str">
        <f t="shared" si="13"/>
        <v>n.a.</v>
      </c>
      <c r="M22" s="185" t="str">
        <f t="shared" si="13"/>
        <v>n.a.</v>
      </c>
      <c r="N22" s="185" t="str">
        <f t="shared" ref="N22" si="14">IF(OR(N$7,N$10),IFERROR((N21/(M21+M$9*L21+IFERROR(stub_switch*L$9*K21,0))-1),"n.a."),"n.a.")</f>
        <v>n.a.</v>
      </c>
      <c r="O22" s="185" t="str">
        <f t="shared" ref="O22" si="15">IF(OR(O$7,O$10),IFERROR((O21/(N21+N$9*M21+IFERROR(stub_switch*M$9*L21,0))-1),"n.a."),"n.a.")</f>
        <v>n.a.</v>
      </c>
      <c r="P22" s="185" t="str">
        <f t="shared" ref="P22" si="16">IF(OR(P$7,P$10),IFERROR((P21/(O21+O$9*N21+IFERROR(stub_switch*N$9*M21,0))-1),"n.a."),"n.a.")</f>
        <v>n.a.</v>
      </c>
      <c r="Q22" s="185" t="str">
        <f t="shared" ref="Q22" si="17">IF(OR(Q$7,Q$10),IFERROR((Q21/(P21+P$9*O21+IFERROR(stub_switch*O$9*N21,0))-1),"n.a."),"n.a.")</f>
        <v>n.a.</v>
      </c>
    </row>
    <row r="23" spans="1:17" ht="13.7">
      <c r="A23" s="183"/>
      <c r="B23" s="183"/>
      <c r="C23" s="183" t="s">
        <v>869</v>
      </c>
      <c r="D23" s="184"/>
      <c r="E23" s="189" t="str">
        <f>IF(ISERROR(E21/E13),"n.a.",E21/E13)</f>
        <v>n.a.</v>
      </c>
      <c r="F23" s="189" t="str">
        <f t="shared" ref="F23:M23" si="18">IF(ISERROR(F21/F13),"n.a.",F21/F13)</f>
        <v>n.a.</v>
      </c>
      <c r="G23" s="189" t="str">
        <f t="shared" si="18"/>
        <v>n.a.</v>
      </c>
      <c r="H23" s="189" t="str">
        <f t="shared" si="18"/>
        <v>n.a.</v>
      </c>
      <c r="I23" s="189" t="str">
        <f t="shared" si="18"/>
        <v>n.a.</v>
      </c>
      <c r="J23" s="189" t="str">
        <f t="shared" si="18"/>
        <v>n.a.</v>
      </c>
      <c r="K23" s="189" t="str">
        <f t="shared" si="18"/>
        <v>n.a.</v>
      </c>
      <c r="L23" s="189" t="str">
        <f t="shared" si="18"/>
        <v>n.a.</v>
      </c>
      <c r="M23" s="189" t="str">
        <f t="shared" si="18"/>
        <v>n.a.</v>
      </c>
      <c r="N23" s="189" t="str">
        <f t="shared" ref="N23:Q23" si="19">IF(ISERROR(N21/N13),"n.a.",N21/N13)</f>
        <v>n.a.</v>
      </c>
      <c r="O23" s="189" t="str">
        <f t="shared" si="19"/>
        <v>n.a.</v>
      </c>
      <c r="P23" s="189" t="str">
        <f t="shared" si="19"/>
        <v>n.a.</v>
      </c>
      <c r="Q23" s="189" t="str">
        <f t="shared" si="19"/>
        <v>n.a.</v>
      </c>
    </row>
    <row r="24" spans="1:17" ht="13.7">
      <c r="A24" s="28"/>
      <c r="B24" s="28"/>
      <c r="C24" s="192" t="s">
        <v>1003</v>
      </c>
      <c r="D24" s="192"/>
      <c r="E24" s="193">
        <f>'IS consol'!E140/1000</f>
        <v>0</v>
      </c>
      <c r="F24" s="193">
        <f>'IS consol'!F140/1000</f>
        <v>0</v>
      </c>
      <c r="G24" s="193">
        <f>'IS consol'!G140/1000</f>
        <v>0</v>
      </c>
      <c r="H24" s="193">
        <f>'IS consol'!H140/1000</f>
        <v>0</v>
      </c>
      <c r="I24" s="193">
        <f>'IS consol'!I140/1000</f>
        <v>0</v>
      </c>
      <c r="J24" s="193">
        <f ca="1">'IS consol'!J140/1000</f>
        <v>0</v>
      </c>
      <c r="K24" s="193">
        <f ca="1">'IS consol'!K140/1000</f>
        <v>0</v>
      </c>
      <c r="L24" s="193">
        <f ca="1">'IS consol'!L140/1000</f>
        <v>0</v>
      </c>
      <c r="M24" s="193">
        <f ca="1">'IS consol'!M140/1000</f>
        <v>0</v>
      </c>
      <c r="N24" s="193">
        <f ca="1">'IS consol'!N140/1000</f>
        <v>0</v>
      </c>
      <c r="O24" s="193">
        <f ca="1">'IS consol'!O140/1000</f>
        <v>0</v>
      </c>
      <c r="P24" s="193">
        <f ca="1">'IS consol'!P140/1000</f>
        <v>0</v>
      </c>
      <c r="Q24" s="193">
        <f>'IS consol'!Q140/1000</f>
        <v>0</v>
      </c>
    </row>
    <row r="25" spans="1:17" ht="13.7">
      <c r="A25" s="183"/>
      <c r="B25" s="183"/>
      <c r="C25" s="183" t="s">
        <v>2</v>
      </c>
      <c r="D25" s="184"/>
      <c r="E25" s="185" t="str">
        <f t="shared" ref="E25:M25" si="20">IF(OR(E$7,E$10),IFERROR((E24/(D24+D$9*C24+IFERROR(stub_switch*C$9*B24,0))-1),"n.a."),"n.a.")</f>
        <v>n.a.</v>
      </c>
      <c r="F25" s="185" t="str">
        <f t="shared" si="20"/>
        <v>n.a.</v>
      </c>
      <c r="G25" s="185" t="str">
        <f t="shared" si="20"/>
        <v>n.a.</v>
      </c>
      <c r="H25" s="185" t="str">
        <f t="shared" si="20"/>
        <v>n.a.</v>
      </c>
      <c r="I25" s="185" t="str">
        <f t="shared" si="20"/>
        <v>n.a.</v>
      </c>
      <c r="J25" s="185" t="str">
        <f t="shared" si="20"/>
        <v>n.a.</v>
      </c>
      <c r="K25" s="185" t="str">
        <f t="shared" ca="1" si="20"/>
        <v>n.a.</v>
      </c>
      <c r="L25" s="185" t="str">
        <f t="shared" ca="1" si="20"/>
        <v>n.a.</v>
      </c>
      <c r="M25" s="185" t="str">
        <f t="shared" ca="1" si="20"/>
        <v>n.a.</v>
      </c>
      <c r="N25" s="185" t="str">
        <f t="shared" ref="N25" ca="1" si="21">IF(OR(N$7,N$10),IFERROR((N24/(M24+M$9*L24+IFERROR(stub_switch*L$9*K24,0))-1),"n.a."),"n.a.")</f>
        <v>n.a.</v>
      </c>
      <c r="O25" s="185" t="str">
        <f t="shared" ref="O25" ca="1" si="22">IF(OR(O$7,O$10),IFERROR((O24/(N24+N$9*M24+IFERROR(stub_switch*M$9*L24,0))-1),"n.a."),"n.a.")</f>
        <v>n.a.</v>
      </c>
      <c r="P25" s="185" t="str">
        <f t="shared" ref="P25" ca="1" si="23">IF(OR(P$7,P$10),IFERROR((P24/(O24+O$9*N24+IFERROR(stub_switch*N$9*M24,0))-1),"n.a."),"n.a.")</f>
        <v>n.a.</v>
      </c>
      <c r="Q25" s="185" t="str">
        <f t="shared" ref="Q25" si="24">IF(OR(Q$7,Q$10),IFERROR((Q24/(P24+P$9*O24+IFERROR(stub_switch*O$9*N24,0))-1),"n.a."),"n.a.")</f>
        <v>n.a.</v>
      </c>
    </row>
    <row r="26" spans="1:17" ht="13.7">
      <c r="A26" s="183"/>
      <c r="B26" s="183"/>
      <c r="C26" s="183" t="s">
        <v>869</v>
      </c>
      <c r="D26" s="184"/>
      <c r="E26" s="189" t="str">
        <f>IF(ISERROR(E24/E13),"n.a.",E24/E$13)</f>
        <v>n.a.</v>
      </c>
      <c r="F26" s="189" t="str">
        <f t="shared" ref="F26:M26" si="25">IF(ISERROR(F24/F13),"n.a.",F24/F$13)</f>
        <v>n.a.</v>
      </c>
      <c r="G26" s="189" t="str">
        <f t="shared" si="25"/>
        <v>n.a.</v>
      </c>
      <c r="H26" s="189" t="str">
        <f t="shared" si="25"/>
        <v>n.a.</v>
      </c>
      <c r="I26" s="189" t="str">
        <f t="shared" si="25"/>
        <v>n.a.</v>
      </c>
      <c r="J26" s="189" t="str">
        <f t="shared" ca="1" si="25"/>
        <v>n.a.</v>
      </c>
      <c r="K26" s="189" t="str">
        <f t="shared" ca="1" si="25"/>
        <v>n.a.</v>
      </c>
      <c r="L26" s="189" t="str">
        <f t="shared" ca="1" si="25"/>
        <v>n.a.</v>
      </c>
      <c r="M26" s="189" t="str">
        <f t="shared" ca="1" si="25"/>
        <v>n.a.</v>
      </c>
      <c r="N26" s="189" t="str">
        <f t="shared" ref="N26:Q26" ca="1" si="26">IF(ISERROR(N24/N13),"n.a.",N24/N$13)</f>
        <v>n.a.</v>
      </c>
      <c r="O26" s="189" t="str">
        <f t="shared" ca="1" si="26"/>
        <v>n.a.</v>
      </c>
      <c r="P26" s="189" t="str">
        <f t="shared" ca="1" si="26"/>
        <v>n.a.</v>
      </c>
      <c r="Q26" s="189" t="str">
        <f t="shared" si="26"/>
        <v>n.a.</v>
      </c>
    </row>
    <row r="27" spans="1:17" ht="13.7">
      <c r="A27" s="28"/>
      <c r="B27" s="28"/>
      <c r="C27" s="192" t="s">
        <v>1501</v>
      </c>
      <c r="D27" s="192"/>
      <c r="E27" s="193">
        <f>'IS consol'!E144/1000</f>
        <v>0</v>
      </c>
      <c r="F27" s="193">
        <f ca="1">'IS consol'!F144/1000</f>
        <v>0</v>
      </c>
      <c r="G27" s="193">
        <f ca="1">'IS consol'!G144/1000</f>
        <v>0</v>
      </c>
      <c r="H27" s="193">
        <f ca="1">'IS consol'!H144/1000</f>
        <v>0</v>
      </c>
      <c r="I27" s="193">
        <f ca="1">'IS consol'!I144/1000</f>
        <v>0</v>
      </c>
      <c r="J27" s="193">
        <f ca="1">'IS consol'!J144/1000</f>
        <v>0</v>
      </c>
      <c r="K27" s="193">
        <f ca="1">'IS consol'!K144/1000</f>
        <v>0</v>
      </c>
      <c r="L27" s="193">
        <f ca="1">'IS consol'!L144/1000</f>
        <v>0</v>
      </c>
      <c r="M27" s="193">
        <f ca="1">'IS consol'!M144/1000</f>
        <v>0</v>
      </c>
      <c r="N27" s="193">
        <f ca="1">'IS consol'!N144/1000</f>
        <v>0</v>
      </c>
      <c r="O27" s="193">
        <f ca="1">'IS consol'!O144/1000</f>
        <v>0</v>
      </c>
      <c r="P27" s="193">
        <f ca="1">'IS consol'!P144/1000</f>
        <v>0</v>
      </c>
      <c r="Q27" s="193">
        <f ca="1">'IS consol'!Q144/1000</f>
        <v>372544</v>
      </c>
    </row>
    <row r="28" spans="1:17" hidden="1" outlineLevel="1">
      <c r="N28" s="17"/>
      <c r="O28" s="17"/>
      <c r="P28" s="17"/>
      <c r="Q28" s="17"/>
    </row>
    <row r="29" spans="1:17" hidden="1" outlineLevel="1">
      <c r="C29" s="177" t="str">
        <f>C11</f>
        <v>Sponsor base (USDx1.000)</v>
      </c>
      <c r="D29" s="177"/>
      <c r="E29" s="178" t="str">
        <f>E$11</f>
        <v>2014A</v>
      </c>
      <c r="F29" s="178" t="str">
        <f t="shared" ref="F29:Q29" si="27">F$11</f>
        <v>2015A</v>
      </c>
      <c r="G29" s="178" t="str">
        <f t="shared" si="27"/>
        <v>2016A</v>
      </c>
      <c r="H29" s="178" t="str">
        <f t="shared" si="27"/>
        <v>2017A</v>
      </c>
      <c r="I29" s="178" t="str">
        <f t="shared" si="27"/>
        <v>2018A</v>
      </c>
      <c r="J29" s="178" t="str">
        <f t="shared" si="27"/>
        <v>2019C</v>
      </c>
      <c r="K29" s="178" t="str">
        <f t="shared" si="27"/>
        <v>2019F</v>
      </c>
      <c r="L29" s="178" t="str">
        <f t="shared" si="27"/>
        <v>2020F</v>
      </c>
      <c r="M29" s="178" t="str">
        <f t="shared" si="27"/>
        <v>2021F</v>
      </c>
      <c r="N29" s="178" t="str">
        <f t="shared" si="27"/>
        <v>2022F</v>
      </c>
      <c r="O29" s="178" t="str">
        <f t="shared" si="27"/>
        <v>2023F</v>
      </c>
      <c r="P29" s="178" t="str">
        <f t="shared" si="27"/>
        <v>2024F</v>
      </c>
      <c r="Q29" s="178" t="e">
        <f t="shared" si="27"/>
        <v>#N/A</v>
      </c>
    </row>
    <row r="30" spans="1:17" hidden="1" outlineLevel="1">
      <c r="C30" s="198" t="s">
        <v>1531</v>
      </c>
      <c r="D30" s="198"/>
      <c r="E30" s="198">
        <f>E12</f>
        <v>42004</v>
      </c>
      <c r="F30" s="198">
        <f t="shared" ref="F30:P30" si="28">F12</f>
        <v>42369</v>
      </c>
      <c r="G30" s="198">
        <f t="shared" si="28"/>
        <v>42735</v>
      </c>
      <c r="H30" s="198">
        <f t="shared" si="28"/>
        <v>43100</v>
      </c>
      <c r="I30" s="198">
        <f t="shared" si="28"/>
        <v>43465</v>
      </c>
      <c r="J30" s="198">
        <f t="shared" si="28"/>
        <v>43466</v>
      </c>
      <c r="K30" s="198">
        <f t="shared" si="28"/>
        <v>43830</v>
      </c>
      <c r="L30" s="198">
        <f t="shared" si="28"/>
        <v>44196</v>
      </c>
      <c r="M30" s="198">
        <f t="shared" si="28"/>
        <v>44561</v>
      </c>
      <c r="N30" s="198">
        <f t="shared" si="28"/>
        <v>44926</v>
      </c>
      <c r="O30" s="198">
        <f t="shared" si="28"/>
        <v>45291</v>
      </c>
      <c r="P30" s="198">
        <f t="shared" si="28"/>
        <v>45657</v>
      </c>
      <c r="Q30" s="198">
        <f t="shared" ref="Q30" si="29">Q12</f>
        <v>0</v>
      </c>
    </row>
    <row r="31" spans="1:17" hidden="1" outlineLevel="1">
      <c r="C31" s="181" t="s">
        <v>4</v>
      </c>
      <c r="D31" s="180"/>
      <c r="E31" s="180">
        <f>SUM(E32:E37)</f>
        <v>0</v>
      </c>
      <c r="F31" s="180">
        <f t="shared" ref="F31:M31" si="30">SUM(F32:F37)</f>
        <v>0</v>
      </c>
      <c r="G31" s="180">
        <f t="shared" si="30"/>
        <v>0</v>
      </c>
      <c r="H31" s="180">
        <f t="shared" si="30"/>
        <v>0</v>
      </c>
      <c r="I31" s="180">
        <f t="shared" si="30"/>
        <v>0</v>
      </c>
      <c r="J31" s="180">
        <f t="shared" si="30"/>
        <v>0</v>
      </c>
      <c r="K31" s="180">
        <f t="shared" ca="1" si="30"/>
        <v>0</v>
      </c>
      <c r="L31" s="180">
        <f t="shared" ca="1" si="30"/>
        <v>0</v>
      </c>
      <c r="M31" s="180">
        <f t="shared" ca="1" si="30"/>
        <v>0</v>
      </c>
      <c r="N31" s="180">
        <f t="shared" ref="N31:Q31" ca="1" si="31">SUM(N32:N37)</f>
        <v>0</v>
      </c>
      <c r="O31" s="180">
        <f t="shared" ca="1" si="31"/>
        <v>0</v>
      </c>
      <c r="P31" s="180">
        <f t="shared" ca="1" si="31"/>
        <v>0</v>
      </c>
      <c r="Q31" s="180">
        <f t="shared" si="31"/>
        <v>0</v>
      </c>
    </row>
    <row r="32" spans="1:17" hidden="1" outlineLevel="1">
      <c r="C32" s="19"/>
      <c r="D32" s="200" t="str">
        <f>'BS offshore'!C24</f>
        <v>Cash and cash equivalents</v>
      </c>
      <c r="E32" s="200">
        <f>'BS consol'!E24/1000</f>
        <v>0</v>
      </c>
      <c r="F32" s="200">
        <f>'BS consol'!F24/1000</f>
        <v>0</v>
      </c>
      <c r="G32" s="200">
        <f>'BS consol'!G24/1000</f>
        <v>0</v>
      </c>
      <c r="H32" s="200">
        <f>'BS consol'!H24/1000</f>
        <v>0</v>
      </c>
      <c r="I32" s="200">
        <f>'BS consol'!I24/1000</f>
        <v>0</v>
      </c>
      <c r="J32" s="200">
        <f>'BS consol'!J24/1000</f>
        <v>0</v>
      </c>
      <c r="K32" s="200">
        <f ca="1">'BS consol'!K24/1000</f>
        <v>0</v>
      </c>
      <c r="L32" s="200">
        <f ca="1">'BS consol'!L24/1000</f>
        <v>0</v>
      </c>
      <c r="M32" s="200">
        <f ca="1">'BS consol'!M24/1000</f>
        <v>0</v>
      </c>
      <c r="N32" s="200">
        <f ca="1">'BS consol'!N24/1000</f>
        <v>0</v>
      </c>
      <c r="O32" s="200">
        <f ca="1">'BS consol'!O24/1000</f>
        <v>0</v>
      </c>
      <c r="P32" s="200">
        <f ca="1">'BS consol'!P24/1000</f>
        <v>0</v>
      </c>
      <c r="Q32" s="200">
        <f>'BS consol'!Q24/1000</f>
        <v>0</v>
      </c>
    </row>
    <row r="33" spans="3:17" hidden="1" outlineLevel="1">
      <c r="C33" s="19"/>
      <c r="D33" s="200" t="str">
        <f>'BS offshore'!C29</f>
        <v>ST Investments</v>
      </c>
      <c r="E33" s="200">
        <f>'BS consol'!E30/1000</f>
        <v>0</v>
      </c>
      <c r="F33" s="200">
        <f>'BS consol'!F30/1000</f>
        <v>0</v>
      </c>
      <c r="G33" s="200">
        <f>'BS consol'!G30/1000</f>
        <v>0</v>
      </c>
      <c r="H33" s="200">
        <f>'BS consol'!H30/1000</f>
        <v>0</v>
      </c>
      <c r="I33" s="200">
        <f>'BS consol'!I30/1000</f>
        <v>0</v>
      </c>
      <c r="J33" s="200">
        <f>'BS consol'!J30/1000</f>
        <v>0</v>
      </c>
      <c r="K33" s="200">
        <f>'BS consol'!K30/1000</f>
        <v>0</v>
      </c>
      <c r="L33" s="200">
        <f>'BS consol'!L30/1000</f>
        <v>0</v>
      </c>
      <c r="M33" s="200">
        <f>'BS consol'!M30/1000</f>
        <v>0</v>
      </c>
      <c r="N33" s="200">
        <f>'BS consol'!N30/1000</f>
        <v>0</v>
      </c>
      <c r="O33" s="200">
        <f>'BS consol'!O30/1000</f>
        <v>0</v>
      </c>
      <c r="P33" s="200">
        <f>'BS consol'!P30/1000</f>
        <v>0</v>
      </c>
      <c r="Q33" s="200">
        <f>'BS consol'!Q30/1000</f>
        <v>0</v>
      </c>
    </row>
    <row r="34" spans="3:17" hidden="1" outlineLevel="1">
      <c r="C34" s="19"/>
      <c r="D34" s="200" t="str">
        <f>'BS offshore'!C33</f>
        <v>Trade Accounts Receivable</v>
      </c>
      <c r="E34" s="200">
        <f>+'BS consol'!E35/1000</f>
        <v>0</v>
      </c>
      <c r="F34" s="200">
        <f>+'BS consol'!F35/1000</f>
        <v>0</v>
      </c>
      <c r="G34" s="200">
        <f>+'BS consol'!G35/1000</f>
        <v>0</v>
      </c>
      <c r="H34" s="200">
        <f>+'BS consol'!H35/1000</f>
        <v>0</v>
      </c>
      <c r="I34" s="200">
        <f>+'BS consol'!I35/1000</f>
        <v>0</v>
      </c>
      <c r="J34" s="200">
        <f>+'BS consol'!J35/1000</f>
        <v>0</v>
      </c>
      <c r="K34" s="200">
        <f>+'BS consol'!K35/1000</f>
        <v>0</v>
      </c>
      <c r="L34" s="200">
        <f>+'BS consol'!L35/1000</f>
        <v>0</v>
      </c>
      <c r="M34" s="200">
        <f>+'BS consol'!M35/1000</f>
        <v>0</v>
      </c>
      <c r="N34" s="200">
        <f>+'BS consol'!N35/1000</f>
        <v>0</v>
      </c>
      <c r="O34" s="200">
        <f>+'BS consol'!O35/1000</f>
        <v>0</v>
      </c>
      <c r="P34" s="200">
        <f>+'BS consol'!P35/1000</f>
        <v>0</v>
      </c>
      <c r="Q34" s="200">
        <f>+'BS consol'!Q35/1000</f>
        <v>0</v>
      </c>
    </row>
    <row r="35" spans="3:17" hidden="1" outlineLevel="1">
      <c r="C35" s="20" t="s">
        <v>5</v>
      </c>
      <c r="D35" s="200" t="str">
        <f>'BS offshore'!C37</f>
        <v>Inventories</v>
      </c>
      <c r="E35" s="200">
        <f>'BS consol'!E40/1000</f>
        <v>0</v>
      </c>
      <c r="F35" s="200">
        <f>'BS consol'!F40/1000</f>
        <v>0</v>
      </c>
      <c r="G35" s="200">
        <f>'BS consol'!G40/1000</f>
        <v>0</v>
      </c>
      <c r="H35" s="200">
        <f>'BS consol'!H40/1000</f>
        <v>0</v>
      </c>
      <c r="I35" s="200">
        <f>'BS consol'!I40/1000</f>
        <v>0</v>
      </c>
      <c r="J35" s="200">
        <f>'BS consol'!J40/1000</f>
        <v>0</v>
      </c>
      <c r="K35" s="200">
        <f>'BS consol'!K40/1000</f>
        <v>0</v>
      </c>
      <c r="L35" s="200">
        <f>'BS consol'!L40/1000</f>
        <v>0</v>
      </c>
      <c r="M35" s="200">
        <f>'BS consol'!M40/1000</f>
        <v>0</v>
      </c>
      <c r="N35" s="200">
        <f>'BS consol'!N40/1000</f>
        <v>0</v>
      </c>
      <c r="O35" s="200">
        <f>'BS consol'!O40/1000</f>
        <v>0</v>
      </c>
      <c r="P35" s="200">
        <f>'BS consol'!P40/1000</f>
        <v>0</v>
      </c>
      <c r="Q35" s="200">
        <f>'BS consol'!Q40/1000</f>
        <v>0</v>
      </c>
    </row>
    <row r="36" spans="3:17" hidden="1" outlineLevel="1">
      <c r="C36" s="20" t="s">
        <v>6</v>
      </c>
      <c r="D36" s="200" t="str">
        <f>'BS offshore'!C41</f>
        <v>Other Receivables</v>
      </c>
      <c r="E36" s="200">
        <f>'BS consol'!E45/1000</f>
        <v>0</v>
      </c>
      <c r="F36" s="200">
        <f>'BS consol'!F45/1000</f>
        <v>0</v>
      </c>
      <c r="G36" s="200">
        <f>'BS consol'!G45/1000</f>
        <v>0</v>
      </c>
      <c r="H36" s="200">
        <f>'BS consol'!H45/1000</f>
        <v>0</v>
      </c>
      <c r="I36" s="200">
        <f>'BS consol'!I45/1000</f>
        <v>0</v>
      </c>
      <c r="J36" s="200">
        <f>'BS consol'!J45/1000</f>
        <v>0</v>
      </c>
      <c r="K36" s="200">
        <f>'BS consol'!K45/1000</f>
        <v>0</v>
      </c>
      <c r="L36" s="200">
        <f>'BS consol'!L45/1000</f>
        <v>0</v>
      </c>
      <c r="M36" s="200">
        <f>'BS consol'!M45/1000</f>
        <v>0</v>
      </c>
      <c r="N36" s="200">
        <f>'BS consol'!N45/1000</f>
        <v>0</v>
      </c>
      <c r="O36" s="200">
        <f>'BS consol'!O45/1000</f>
        <v>0</v>
      </c>
      <c r="P36" s="200">
        <f>'BS consol'!P45/1000</f>
        <v>0</v>
      </c>
      <c r="Q36" s="200">
        <f>'BS consol'!Q45/1000</f>
        <v>0</v>
      </c>
    </row>
    <row r="37" spans="3:17" hidden="1" outlineLevel="1">
      <c r="C37" s="20" t="s">
        <v>7</v>
      </c>
      <c r="D37" s="200" t="str">
        <f>'BS offshore'!C44</f>
        <v>Other Current Assets: Operating</v>
      </c>
      <c r="E37" s="200">
        <f>+'BS consol'!E50/1000</f>
        <v>0</v>
      </c>
      <c r="F37" s="200">
        <f>+'BS consol'!F50/1000</f>
        <v>0</v>
      </c>
      <c r="G37" s="200">
        <f>+'BS consol'!G50/1000</f>
        <v>0</v>
      </c>
      <c r="H37" s="200">
        <f>+'BS consol'!H50/1000</f>
        <v>0</v>
      </c>
      <c r="I37" s="200">
        <f>+'BS consol'!I50/1000</f>
        <v>0</v>
      </c>
      <c r="J37" s="200">
        <f>+'BS consol'!J50/1000</f>
        <v>0</v>
      </c>
      <c r="K37" s="200">
        <f>+'BS consol'!K50/1000</f>
        <v>0</v>
      </c>
      <c r="L37" s="200">
        <f>+'BS consol'!L50/1000</f>
        <v>0</v>
      </c>
      <c r="M37" s="200">
        <f>+'BS consol'!M50/1000</f>
        <v>0</v>
      </c>
      <c r="N37" s="200">
        <f>+'BS consol'!N50/1000</f>
        <v>0</v>
      </c>
      <c r="O37" s="200">
        <f>+'BS consol'!O50/1000</f>
        <v>0</v>
      </c>
      <c r="P37" s="200">
        <f>+'BS consol'!P50/1000</f>
        <v>0</v>
      </c>
      <c r="Q37" s="200">
        <f>+'BS consol'!Q50/1000</f>
        <v>0</v>
      </c>
    </row>
    <row r="38" spans="3:17" hidden="1" outlineLevel="1">
      <c r="C38" s="201" t="s">
        <v>8</v>
      </c>
      <c r="D38" s="199"/>
      <c r="E38" s="199">
        <f>SUM(E39:E43)</f>
        <v>0</v>
      </c>
      <c r="F38" s="199">
        <f t="shared" ref="F38:M38" ca="1" si="32">SUM(F39:F43)</f>
        <v>0</v>
      </c>
      <c r="G38" s="199">
        <f t="shared" ca="1" si="32"/>
        <v>0</v>
      </c>
      <c r="H38" s="199">
        <f t="shared" ca="1" si="32"/>
        <v>0</v>
      </c>
      <c r="I38" s="199">
        <f ca="1">SUM(I39:I43)</f>
        <v>0</v>
      </c>
      <c r="J38" s="199">
        <f t="shared" ca="1" si="32"/>
        <v>0</v>
      </c>
      <c r="K38" s="199">
        <f t="shared" ca="1" si="32"/>
        <v>0</v>
      </c>
      <c r="L38" s="199">
        <f ca="1">SUM(L39:L43)</f>
        <v>0</v>
      </c>
      <c r="M38" s="199">
        <f t="shared" ca="1" si="32"/>
        <v>0</v>
      </c>
      <c r="N38" s="199">
        <f t="shared" ref="N38:Q38" ca="1" si="33">SUM(N39:N43)</f>
        <v>0</v>
      </c>
      <c r="O38" s="199">
        <f t="shared" ca="1" si="33"/>
        <v>0</v>
      </c>
      <c r="P38" s="199">
        <f t="shared" ca="1" si="33"/>
        <v>0</v>
      </c>
      <c r="Q38" s="199">
        <f t="shared" ca="1" si="33"/>
        <v>0</v>
      </c>
    </row>
    <row r="39" spans="3:17" hidden="1" outlineLevel="1">
      <c r="C39" s="20"/>
      <c r="D39" s="200" t="str">
        <f>'BS offshore'!C51</f>
        <v>Net Property, Plant and Equipment</v>
      </c>
      <c r="E39" s="200">
        <f>+'BS consol'!E62/1000</f>
        <v>0</v>
      </c>
      <c r="F39" s="200">
        <f>+'BS consol'!F62/1000</f>
        <v>0</v>
      </c>
      <c r="G39" s="200">
        <f>+'BS consol'!G62/1000</f>
        <v>0</v>
      </c>
      <c r="H39" s="200">
        <f>+'BS consol'!H62/1000</f>
        <v>0</v>
      </c>
      <c r="I39" s="200">
        <f>+'BS consol'!I62/1000</f>
        <v>0</v>
      </c>
      <c r="J39" s="200">
        <f>+'BS consol'!J62/1000</f>
        <v>0</v>
      </c>
      <c r="K39" s="200">
        <f>+'BS consol'!K62/1000</f>
        <v>0</v>
      </c>
      <c r="L39" s="200">
        <f>+'BS consol'!L62/1000</f>
        <v>0</v>
      </c>
      <c r="M39" s="200">
        <f>+'BS consol'!M62/1000</f>
        <v>0</v>
      </c>
      <c r="N39" s="200">
        <f>+'BS consol'!N62/1000</f>
        <v>0</v>
      </c>
      <c r="O39" s="200">
        <f>+'BS consol'!O62/1000</f>
        <v>0</v>
      </c>
      <c r="P39" s="200">
        <f>+'BS consol'!P62/1000</f>
        <v>0</v>
      </c>
      <c r="Q39" s="200">
        <f>+'BS consol'!Q62/1000</f>
        <v>0</v>
      </c>
    </row>
    <row r="40" spans="3:17" hidden="1" outlineLevel="1">
      <c r="C40" s="20" t="s">
        <v>9</v>
      </c>
      <c r="D40" s="200" t="str">
        <f>'BS offshore'!C55</f>
        <v>Deferred Tax Assets</v>
      </c>
      <c r="E40" s="200">
        <f>+'BS consol'!E67/1000</f>
        <v>0</v>
      </c>
      <c r="F40" s="200">
        <f>+'BS consol'!F67/1000</f>
        <v>0</v>
      </c>
      <c r="G40" s="200">
        <f>+'BS consol'!G67/1000</f>
        <v>0</v>
      </c>
      <c r="H40" s="200">
        <f>+'BS consol'!H67/1000</f>
        <v>0</v>
      </c>
      <c r="I40" s="200">
        <f>+'BS consol'!I67/1000</f>
        <v>0</v>
      </c>
      <c r="J40" s="200">
        <f>+'BS consol'!J67/1000</f>
        <v>0</v>
      </c>
      <c r="K40" s="200">
        <f>+'BS consol'!K67/1000</f>
        <v>0</v>
      </c>
      <c r="L40" s="200">
        <f>+'BS consol'!L67/1000</f>
        <v>0</v>
      </c>
      <c r="M40" s="200">
        <f>+'BS consol'!M67/1000</f>
        <v>0</v>
      </c>
      <c r="N40" s="200">
        <f>+'BS consol'!N67/1000</f>
        <v>0</v>
      </c>
      <c r="O40" s="200">
        <f>+'BS consol'!O67/1000</f>
        <v>0</v>
      </c>
      <c r="P40" s="200">
        <f>+'BS consol'!P67/1000</f>
        <v>0</v>
      </c>
      <c r="Q40" s="200">
        <f>+'BS consol'!Q67/1000</f>
        <v>0</v>
      </c>
    </row>
    <row r="41" spans="3:17" hidden="1" outlineLevel="1">
      <c r="C41" s="20"/>
      <c r="D41" s="200" t="str">
        <f>'BS offshore'!C59</f>
        <v>Other Investments</v>
      </c>
      <c r="E41" s="200">
        <f>+'BS consol'!E72/1000</f>
        <v>0</v>
      </c>
      <c r="F41" s="200">
        <f ca="1">+'BS consol'!F72/1000</f>
        <v>0</v>
      </c>
      <c r="G41" s="200">
        <f ca="1">+'BS consol'!G72/1000</f>
        <v>0</v>
      </c>
      <c r="H41" s="200">
        <f ca="1">+'BS consol'!H72/1000</f>
        <v>0</v>
      </c>
      <c r="I41" s="200">
        <f ca="1">+'BS consol'!I72/1000</f>
        <v>0</v>
      </c>
      <c r="J41" s="200">
        <f ca="1">+'BS consol'!J72/1000</f>
        <v>0</v>
      </c>
      <c r="K41" s="200">
        <f ca="1">+'BS consol'!K72/1000</f>
        <v>0</v>
      </c>
      <c r="L41" s="200">
        <f ca="1">+'BS consol'!L72/1000</f>
        <v>0</v>
      </c>
      <c r="M41" s="200">
        <f ca="1">+'BS consol'!M72/1000</f>
        <v>0</v>
      </c>
      <c r="N41" s="200">
        <f ca="1">+'BS consol'!N72/1000</f>
        <v>0</v>
      </c>
      <c r="O41" s="200">
        <f ca="1">+'BS consol'!O72/1000</f>
        <v>0</v>
      </c>
      <c r="P41" s="200">
        <f ca="1">+'BS consol'!P72/1000</f>
        <v>0</v>
      </c>
      <c r="Q41" s="200">
        <f ca="1">+'BS consol'!Q72/1000</f>
        <v>0</v>
      </c>
    </row>
    <row r="42" spans="3:17" hidden="1" outlineLevel="1">
      <c r="C42" s="20"/>
      <c r="D42" s="200" t="str">
        <f>'BS offshore'!C63</f>
        <v>Goodwill / Intangibles</v>
      </c>
      <c r="E42" s="200">
        <f>+'BS consol'!E77/1000</f>
        <v>0</v>
      </c>
      <c r="F42" s="200">
        <f>+'BS consol'!F77/1000</f>
        <v>0</v>
      </c>
      <c r="G42" s="200">
        <f>+'BS consol'!G77/1000</f>
        <v>0</v>
      </c>
      <c r="H42" s="200">
        <f>+'BS consol'!H77/1000</f>
        <v>0</v>
      </c>
      <c r="I42" s="200">
        <f>+'BS consol'!I77/1000</f>
        <v>0</v>
      </c>
      <c r="J42" s="200">
        <f>+'BS consol'!J77/1000</f>
        <v>0</v>
      </c>
      <c r="K42" s="200">
        <f>+'BS consol'!K77/1000</f>
        <v>0</v>
      </c>
      <c r="L42" s="200">
        <f>+'BS consol'!L77/1000</f>
        <v>0</v>
      </c>
      <c r="M42" s="200">
        <f>+'BS consol'!M77/1000</f>
        <v>0</v>
      </c>
      <c r="N42" s="200">
        <f>+'BS consol'!N77/1000</f>
        <v>0</v>
      </c>
      <c r="O42" s="200">
        <f>+'BS consol'!O77/1000</f>
        <v>0</v>
      </c>
      <c r="P42" s="200">
        <f>+'BS consol'!P77/1000</f>
        <v>0</v>
      </c>
      <c r="Q42" s="200">
        <f>+'BS consol'!Q77/1000</f>
        <v>0</v>
      </c>
    </row>
    <row r="43" spans="3:17" hidden="1" outlineLevel="1">
      <c r="C43" s="20"/>
      <c r="D43" s="200" t="str">
        <f>'BS offshore'!C67</f>
        <v>Other Non-Current Assets: Operating</v>
      </c>
      <c r="E43" s="200">
        <f>+'BS consol'!E82/1000</f>
        <v>0</v>
      </c>
      <c r="F43" s="200">
        <f>+'BS consol'!F82/1000</f>
        <v>0</v>
      </c>
      <c r="G43" s="200">
        <f>+'BS consol'!G82/1000</f>
        <v>0</v>
      </c>
      <c r="H43" s="200">
        <f>+'BS consol'!H82/1000</f>
        <v>0</v>
      </c>
      <c r="I43" s="200">
        <f>+'BS consol'!I82/1000</f>
        <v>0</v>
      </c>
      <c r="J43" s="200">
        <f>+'BS consol'!J82/1000</f>
        <v>0</v>
      </c>
      <c r="K43" s="200">
        <f>+'BS consol'!K82/1000</f>
        <v>0</v>
      </c>
      <c r="L43" s="200">
        <f>+'BS consol'!L82/1000</f>
        <v>0</v>
      </c>
      <c r="M43" s="200">
        <f>+'BS consol'!M82/1000</f>
        <v>0</v>
      </c>
      <c r="N43" s="200">
        <f>+'BS consol'!N82/1000</f>
        <v>0</v>
      </c>
      <c r="O43" s="200">
        <f>+'BS consol'!O82/1000</f>
        <v>0</v>
      </c>
      <c r="P43" s="200">
        <f>+'BS consol'!P82/1000</f>
        <v>0</v>
      </c>
      <c r="Q43" s="200">
        <f>+'BS consol'!Q82/1000</f>
        <v>0</v>
      </c>
    </row>
    <row r="44" spans="3:17" hidden="1" outlineLevel="1">
      <c r="C44" s="195" t="s">
        <v>10</v>
      </c>
      <c r="D44" s="195"/>
      <c r="E44" s="195">
        <f t="shared" ref="E44:M44" si="34">E31+E38</f>
        <v>0</v>
      </c>
      <c r="F44" s="195">
        <f t="shared" ca="1" si="34"/>
        <v>0</v>
      </c>
      <c r="G44" s="195">
        <f t="shared" ca="1" si="34"/>
        <v>0</v>
      </c>
      <c r="H44" s="195">
        <f t="shared" ca="1" si="34"/>
        <v>0</v>
      </c>
      <c r="I44" s="195">
        <f t="shared" ca="1" si="34"/>
        <v>0</v>
      </c>
      <c r="J44" s="195">
        <f t="shared" ca="1" si="34"/>
        <v>0</v>
      </c>
      <c r="K44" s="195">
        <f t="shared" ca="1" si="34"/>
        <v>0</v>
      </c>
      <c r="L44" s="195">
        <f ca="1">L31+L38</f>
        <v>0</v>
      </c>
      <c r="M44" s="195">
        <f t="shared" ca="1" si="34"/>
        <v>0</v>
      </c>
      <c r="N44" s="195">
        <f t="shared" ref="N44:Q44" ca="1" si="35">N31+N38</f>
        <v>0</v>
      </c>
      <c r="O44" s="195">
        <f t="shared" ca="1" si="35"/>
        <v>0</v>
      </c>
      <c r="P44" s="195">
        <f t="shared" ca="1" si="35"/>
        <v>0</v>
      </c>
      <c r="Q44" s="195">
        <f t="shared" ca="1" si="35"/>
        <v>0</v>
      </c>
    </row>
    <row r="45" spans="3:17" hidden="1" outlineLevel="1">
      <c r="C45" s="181" t="s">
        <v>11</v>
      </c>
      <c r="D45" s="180"/>
      <c r="E45" s="180">
        <f>+'BS consol'!E90/1000</f>
        <v>0</v>
      </c>
      <c r="F45" s="180">
        <f>+'BS consol'!F90/1000</f>
        <v>0</v>
      </c>
      <c r="G45" s="180">
        <f>+'BS consol'!G90/1000</f>
        <v>0</v>
      </c>
      <c r="H45" s="180">
        <f>+'BS consol'!H90/1000</f>
        <v>0</v>
      </c>
      <c r="I45" s="180">
        <f>+'BS consol'!I90/1000</f>
        <v>0</v>
      </c>
      <c r="J45" s="180">
        <f>+'BS consol'!J90/1000</f>
        <v>0</v>
      </c>
      <c r="K45" s="180">
        <f ca="1">+'BS consol'!K90/1000</f>
        <v>0</v>
      </c>
      <c r="L45" s="180">
        <f ca="1">+'BS consol'!L90/1000</f>
        <v>0</v>
      </c>
      <c r="M45" s="180">
        <f ca="1">+'BS consol'!M90/1000</f>
        <v>0</v>
      </c>
      <c r="N45" s="180">
        <f ca="1">+'BS consol'!N90/1000</f>
        <v>0</v>
      </c>
      <c r="O45" s="180">
        <f ca="1">+'BS consol'!O90/1000</f>
        <v>0</v>
      </c>
      <c r="P45" s="180">
        <f ca="1">+'BS consol'!P90/1000</f>
        <v>0</v>
      </c>
      <c r="Q45" s="180">
        <f>+'BS consol'!Q90/1000</f>
        <v>0</v>
      </c>
    </row>
    <row r="46" spans="3:17" hidden="1" outlineLevel="2">
      <c r="C46" s="21"/>
      <c r="D46" s="202" t="s">
        <v>851</v>
      </c>
      <c r="E46" s="202">
        <f>+'BS consol'!E126/1000</f>
        <v>0</v>
      </c>
      <c r="F46" s="202">
        <f>+'BS consol'!F126/1000</f>
        <v>0</v>
      </c>
      <c r="G46" s="202">
        <f>+'BS consol'!G126/1000</f>
        <v>0</v>
      </c>
      <c r="H46" s="202">
        <f>+'BS consol'!H126/1000</f>
        <v>0</v>
      </c>
      <c r="I46" s="202">
        <f>+'BS consol'!I126/1000</f>
        <v>0</v>
      </c>
      <c r="J46" s="202">
        <f>+'BS consol'!J126/1000</f>
        <v>0</v>
      </c>
      <c r="K46" s="202">
        <f ca="1">+'BS consol'!K126/1000</f>
        <v>0</v>
      </c>
      <c r="L46" s="202">
        <f ca="1">+'BS consol'!L126/1000</f>
        <v>0</v>
      </c>
      <c r="M46" s="202">
        <f ca="1">+'BS consol'!M126/1000</f>
        <v>0</v>
      </c>
      <c r="N46" s="202">
        <f ca="1">+'BS consol'!N126/1000</f>
        <v>0</v>
      </c>
      <c r="O46" s="202">
        <f ca="1">+'BS consol'!O126/1000</f>
        <v>0</v>
      </c>
      <c r="P46" s="202">
        <f ca="1">+'BS consol'!P126/1000</f>
        <v>0</v>
      </c>
      <c r="Q46" s="202">
        <f>+'BS consol'!Q126/1000</f>
        <v>0</v>
      </c>
    </row>
    <row r="47" spans="3:17" hidden="1" outlineLevel="2">
      <c r="C47" s="21"/>
      <c r="D47" s="202" t="s">
        <v>850</v>
      </c>
      <c r="E47" s="202">
        <f>+'BS consol'!E131/1000</f>
        <v>0</v>
      </c>
      <c r="F47" s="202">
        <f>+'BS consol'!F131/1000</f>
        <v>0</v>
      </c>
      <c r="G47" s="202">
        <f>+'BS consol'!G131/1000</f>
        <v>0</v>
      </c>
      <c r="H47" s="202">
        <f>+'BS consol'!H131/1000</f>
        <v>0</v>
      </c>
      <c r="I47" s="202">
        <f>+'BS consol'!I131/1000</f>
        <v>0</v>
      </c>
      <c r="J47" s="202">
        <f>+'BS consol'!J131/1000</f>
        <v>0</v>
      </c>
      <c r="K47" s="202">
        <f>+'BS consol'!K131/1000</f>
        <v>0</v>
      </c>
      <c r="L47" s="202">
        <f>+'BS consol'!L131/1000</f>
        <v>0</v>
      </c>
      <c r="M47" s="202">
        <f>+'BS consol'!M131/1000</f>
        <v>0</v>
      </c>
      <c r="N47" s="202">
        <f>+'BS consol'!N131/1000</f>
        <v>0</v>
      </c>
      <c r="O47" s="202">
        <f>+'BS consol'!O131/1000</f>
        <v>0</v>
      </c>
      <c r="P47" s="202">
        <f>+'BS consol'!P131/1000</f>
        <v>0</v>
      </c>
      <c r="Q47" s="202">
        <f>+'BS consol'!Q131/1000</f>
        <v>0</v>
      </c>
    </row>
    <row r="48" spans="3:17" hidden="1" outlineLevel="1">
      <c r="C48" s="20" t="s">
        <v>12</v>
      </c>
      <c r="D48" s="225" t="s">
        <v>1532</v>
      </c>
      <c r="E48" s="200">
        <f>+'BS consol'!E96/1000</f>
        <v>0</v>
      </c>
      <c r="F48" s="200">
        <f>+'BS consol'!F96/1000</f>
        <v>0</v>
      </c>
      <c r="G48" s="200">
        <f>+'BS consol'!G96/1000</f>
        <v>0</v>
      </c>
      <c r="H48" s="200">
        <f>+'BS consol'!H96/1000</f>
        <v>0</v>
      </c>
      <c r="I48" s="200">
        <f>+'BS consol'!I96/1000</f>
        <v>0</v>
      </c>
      <c r="J48" s="200">
        <f>+'BS consol'!J96/1000</f>
        <v>0</v>
      </c>
      <c r="K48" s="200">
        <f>+'BS consol'!K96/1000</f>
        <v>0</v>
      </c>
      <c r="L48" s="200">
        <f>+'BS consol'!L96/1000</f>
        <v>0</v>
      </c>
      <c r="M48" s="200">
        <f>+'BS consol'!M96/1000</f>
        <v>0</v>
      </c>
      <c r="N48" s="200">
        <f>+'BS consol'!N96/1000</f>
        <v>0</v>
      </c>
      <c r="O48" s="200">
        <f>+'BS consol'!O96/1000</f>
        <v>0</v>
      </c>
      <c r="P48" s="200">
        <f>+'BS consol'!P96/1000</f>
        <v>0</v>
      </c>
      <c r="Q48" s="200">
        <f>+'BS consol'!Q96/1000</f>
        <v>0</v>
      </c>
    </row>
    <row r="49" spans="3:17" hidden="1" outlineLevel="1">
      <c r="C49" s="20" t="s">
        <v>13</v>
      </c>
      <c r="D49" s="200" t="s">
        <v>14</v>
      </c>
      <c r="E49" s="200">
        <f>E45-SUM(E46:E48)</f>
        <v>0</v>
      </c>
      <c r="F49" s="200">
        <f t="shared" ref="F49:M49" si="36">F45-SUM(F46:F48)</f>
        <v>0</v>
      </c>
      <c r="G49" s="200">
        <f t="shared" si="36"/>
        <v>0</v>
      </c>
      <c r="H49" s="200">
        <f t="shared" si="36"/>
        <v>0</v>
      </c>
      <c r="I49" s="200">
        <f t="shared" si="36"/>
        <v>0</v>
      </c>
      <c r="J49" s="200">
        <f t="shared" si="36"/>
        <v>0</v>
      </c>
      <c r="K49" s="200">
        <f t="shared" ca="1" si="36"/>
        <v>0</v>
      </c>
      <c r="L49" s="200">
        <f t="shared" ca="1" si="36"/>
        <v>0</v>
      </c>
      <c r="M49" s="200">
        <f t="shared" ca="1" si="36"/>
        <v>0</v>
      </c>
      <c r="N49" s="200">
        <f t="shared" ref="N49:Q49" ca="1" si="37">N45-SUM(N46:N48)</f>
        <v>0</v>
      </c>
      <c r="O49" s="200">
        <f t="shared" ca="1" si="37"/>
        <v>0</v>
      </c>
      <c r="P49" s="200">
        <f t="shared" ca="1" si="37"/>
        <v>0</v>
      </c>
      <c r="Q49" s="200">
        <f t="shared" si="37"/>
        <v>0</v>
      </c>
    </row>
    <row r="50" spans="3:17" hidden="1" outlineLevel="1">
      <c r="C50" s="201" t="s">
        <v>15</v>
      </c>
      <c r="D50" s="199"/>
      <c r="E50" s="199">
        <f>+'BS consol'!E137/1000</f>
        <v>0</v>
      </c>
      <c r="F50" s="199">
        <f>+'BS consol'!F137/1000</f>
        <v>0</v>
      </c>
      <c r="G50" s="199">
        <f>+'BS consol'!G137/1000</f>
        <v>0</v>
      </c>
      <c r="H50" s="199">
        <f>+'BS consol'!H137/1000</f>
        <v>0</v>
      </c>
      <c r="I50" s="199">
        <f>+'BS consol'!I137/1000</f>
        <v>0</v>
      </c>
      <c r="J50" s="199">
        <f>+'BS consol'!J137/1000</f>
        <v>0</v>
      </c>
      <c r="K50" s="199">
        <f ca="1">+'BS consol'!K137/1000</f>
        <v>0</v>
      </c>
      <c r="L50" s="199">
        <f ca="1">+'BS consol'!L137/1000</f>
        <v>0</v>
      </c>
      <c r="M50" s="199">
        <f ca="1">+'BS consol'!M137/1000</f>
        <v>0</v>
      </c>
      <c r="N50" s="199">
        <f ca="1">+'BS consol'!N137/1000</f>
        <v>0</v>
      </c>
      <c r="O50" s="199">
        <f ca="1">+'BS consol'!O137/1000</f>
        <v>0</v>
      </c>
      <c r="P50" s="199">
        <f ca="1">+'BS consol'!P137/1000</f>
        <v>0</v>
      </c>
      <c r="Q50" s="199">
        <f>+'BS consol'!Q137/1000</f>
        <v>0</v>
      </c>
    </row>
    <row r="51" spans="3:17" hidden="1" outlineLevel="2">
      <c r="C51" s="20" t="s">
        <v>16</v>
      </c>
      <c r="D51" s="200" t="str">
        <f>'BS offshore'!C107</f>
        <v>Finance Lease Obligations</v>
      </c>
      <c r="E51" s="200">
        <f>+'BS consol'!E138/1000</f>
        <v>0</v>
      </c>
      <c r="F51" s="200">
        <f>+'BS consol'!F138/1000</f>
        <v>0</v>
      </c>
      <c r="G51" s="200">
        <f>+'BS consol'!G138/1000</f>
        <v>0</v>
      </c>
      <c r="H51" s="200">
        <f>+'BS consol'!H138/1000</f>
        <v>0</v>
      </c>
      <c r="I51" s="200">
        <f>+'BS consol'!I138/1000</f>
        <v>0</v>
      </c>
      <c r="J51" s="200">
        <f>+'BS consol'!J138/1000</f>
        <v>0</v>
      </c>
      <c r="K51" s="200">
        <f>+'BS consol'!K138/1000</f>
        <v>0</v>
      </c>
      <c r="L51" s="200">
        <f>+'BS consol'!L138/1000</f>
        <v>0</v>
      </c>
      <c r="M51" s="200">
        <f>+'BS consol'!M138/1000</f>
        <v>0</v>
      </c>
      <c r="N51" s="200">
        <f>+'BS consol'!N138/1000</f>
        <v>0</v>
      </c>
      <c r="O51" s="200">
        <f>+'BS consol'!O138/1000</f>
        <v>0</v>
      </c>
      <c r="P51" s="200">
        <f>+'BS consol'!P138/1000</f>
        <v>0</v>
      </c>
      <c r="Q51" s="200">
        <f>+'BS consol'!Q138/1000</f>
        <v>0</v>
      </c>
    </row>
    <row r="52" spans="3:17" hidden="1" outlineLevel="2">
      <c r="C52" s="20"/>
      <c r="D52" s="200" t="str">
        <f>'BS offshore'!C111</f>
        <v>Long Term Debt</v>
      </c>
      <c r="E52" s="200">
        <f>+'BS consol'!E143/1000</f>
        <v>0</v>
      </c>
      <c r="F52" s="200">
        <f>+'BS consol'!F143/1000</f>
        <v>0</v>
      </c>
      <c r="G52" s="200">
        <f>+'BS consol'!G143/1000</f>
        <v>0</v>
      </c>
      <c r="H52" s="200">
        <f>+'BS consol'!H143/1000</f>
        <v>0</v>
      </c>
      <c r="I52" s="200">
        <f>+'BS consol'!I143/1000</f>
        <v>0</v>
      </c>
      <c r="J52" s="200">
        <f>+'BS consol'!J143/1000</f>
        <v>0</v>
      </c>
      <c r="K52" s="200">
        <f ca="1">+'BS consol'!K143/1000</f>
        <v>0</v>
      </c>
      <c r="L52" s="200">
        <f ca="1">+'BS consol'!L143/1000</f>
        <v>0</v>
      </c>
      <c r="M52" s="200">
        <f ca="1">+'BS consol'!M143/1000</f>
        <v>0</v>
      </c>
      <c r="N52" s="200">
        <f ca="1">+'BS consol'!N143/1000</f>
        <v>0</v>
      </c>
      <c r="O52" s="200">
        <f ca="1">+'BS consol'!O143/1000</f>
        <v>0</v>
      </c>
      <c r="P52" s="200">
        <f ca="1">+'BS consol'!P143/1000</f>
        <v>0</v>
      </c>
      <c r="Q52" s="200">
        <f>+'BS consol'!Q143/1000</f>
        <v>0</v>
      </c>
    </row>
    <row r="53" spans="3:17" hidden="1" outlineLevel="1">
      <c r="C53" s="20"/>
      <c r="D53" s="200" t="str">
        <f>'BS offshore'!C115</f>
        <v>Deferred Tax Liability</v>
      </c>
      <c r="E53" s="200">
        <f>+'BS consol'!E148/1000</f>
        <v>0</v>
      </c>
      <c r="F53" s="200">
        <f>+'BS consol'!F148/1000</f>
        <v>0</v>
      </c>
      <c r="G53" s="200">
        <f>+'BS consol'!G148/1000</f>
        <v>0</v>
      </c>
      <c r="H53" s="200">
        <f>+'BS consol'!H148/1000</f>
        <v>0</v>
      </c>
      <c r="I53" s="200">
        <f>+'BS consol'!I148/1000</f>
        <v>0</v>
      </c>
      <c r="J53" s="200">
        <f>+'BS consol'!J148/1000</f>
        <v>0</v>
      </c>
      <c r="K53" s="200">
        <f>+'BS consol'!K148/1000</f>
        <v>0</v>
      </c>
      <c r="L53" s="200">
        <f>+'BS consol'!L148/1000</f>
        <v>0</v>
      </c>
      <c r="M53" s="200">
        <f>+'BS consol'!M148/1000</f>
        <v>0</v>
      </c>
      <c r="N53" s="200">
        <f>+'BS consol'!N148/1000</f>
        <v>0</v>
      </c>
      <c r="O53" s="200">
        <f>+'BS consol'!O148/1000</f>
        <v>0</v>
      </c>
      <c r="P53" s="200">
        <f>+'BS consol'!P148/1000</f>
        <v>0</v>
      </c>
      <c r="Q53" s="200">
        <f>+'BS consol'!Q148/1000</f>
        <v>0</v>
      </c>
    </row>
    <row r="54" spans="3:17" hidden="1" outlineLevel="1">
      <c r="C54" s="20"/>
      <c r="D54" s="200" t="str">
        <f>'BS offshore'!C119</f>
        <v>Other Long Term Liabilities: Operating</v>
      </c>
      <c r="E54" s="200">
        <f>+'BS consol'!E153/1000</f>
        <v>0</v>
      </c>
      <c r="F54" s="200">
        <f>+'BS consol'!F153/1000</f>
        <v>0</v>
      </c>
      <c r="G54" s="200">
        <f>+'BS consol'!G153/1000</f>
        <v>0</v>
      </c>
      <c r="H54" s="200">
        <f>+'BS consol'!H153/1000</f>
        <v>0</v>
      </c>
      <c r="I54" s="200">
        <f>+'BS consol'!I153/1000</f>
        <v>0</v>
      </c>
      <c r="J54" s="200">
        <f>+'BS consol'!J153/1000</f>
        <v>0</v>
      </c>
      <c r="K54" s="200">
        <f>+'BS consol'!K153/1000</f>
        <v>0</v>
      </c>
      <c r="L54" s="200">
        <f>+'BS consol'!L153/1000</f>
        <v>0</v>
      </c>
      <c r="M54" s="200">
        <f>+'BS consol'!M153/1000</f>
        <v>0</v>
      </c>
      <c r="N54" s="200">
        <f>+'BS consol'!N153/1000</f>
        <v>0</v>
      </c>
      <c r="O54" s="200">
        <f>+'BS consol'!O153/1000</f>
        <v>0</v>
      </c>
      <c r="P54" s="200">
        <f>+'BS consol'!P153/1000</f>
        <v>0</v>
      </c>
      <c r="Q54" s="200">
        <f>+'BS consol'!Q153/1000</f>
        <v>0</v>
      </c>
    </row>
    <row r="55" spans="3:17" hidden="1" outlineLevel="1">
      <c r="C55" s="192" t="s">
        <v>17</v>
      </c>
      <c r="D55" s="195"/>
      <c r="E55" s="195">
        <f>E45+E50</f>
        <v>0</v>
      </c>
      <c r="F55" s="195">
        <f t="shared" ref="F55:M55" si="38">F45+F50</f>
        <v>0</v>
      </c>
      <c r="G55" s="195">
        <f t="shared" si="38"/>
        <v>0</v>
      </c>
      <c r="H55" s="195">
        <f t="shared" si="38"/>
        <v>0</v>
      </c>
      <c r="I55" s="195">
        <f t="shared" si="38"/>
        <v>0</v>
      </c>
      <c r="J55" s="195">
        <f t="shared" si="38"/>
        <v>0</v>
      </c>
      <c r="K55" s="195">
        <f t="shared" ca="1" si="38"/>
        <v>0</v>
      </c>
      <c r="L55" s="195">
        <f t="shared" ca="1" si="38"/>
        <v>0</v>
      </c>
      <c r="M55" s="195">
        <f t="shared" ca="1" si="38"/>
        <v>0</v>
      </c>
      <c r="N55" s="195">
        <f t="shared" ref="N55:Q55" ca="1" si="39">N45+N50</f>
        <v>0</v>
      </c>
      <c r="O55" s="195">
        <f t="shared" ca="1" si="39"/>
        <v>0</v>
      </c>
      <c r="P55" s="195">
        <f t="shared" ca="1" si="39"/>
        <v>0</v>
      </c>
      <c r="Q55" s="195">
        <f t="shared" si="39"/>
        <v>0</v>
      </c>
    </row>
    <row r="56" spans="3:17" hidden="1" outlineLevel="1">
      <c r="C56" s="192" t="s">
        <v>18</v>
      </c>
      <c r="D56" s="195"/>
      <c r="E56" s="195">
        <f>+'BS consol'!E161/1000</f>
        <v>0</v>
      </c>
      <c r="F56" s="195">
        <f ca="1">+'BS consol'!F161/1000</f>
        <v>0</v>
      </c>
      <c r="G56" s="195">
        <f ca="1">+'BS consol'!G161/1000</f>
        <v>0</v>
      </c>
      <c r="H56" s="195">
        <f ca="1">+'BS consol'!H161/1000</f>
        <v>0</v>
      </c>
      <c r="I56" s="195">
        <f ca="1">+'BS consol'!I161/1000</f>
        <v>0</v>
      </c>
      <c r="J56" s="195">
        <f ca="1">+'BS consol'!J161/1000</f>
        <v>372544</v>
      </c>
      <c r="K56" s="195">
        <f ca="1">+'BS consol'!K161/1000</f>
        <v>372544</v>
      </c>
      <c r="L56" s="195">
        <f ca="1">+'BS consol'!L161/1000</f>
        <v>372544</v>
      </c>
      <c r="M56" s="195">
        <f ca="1">+'BS consol'!M161/1000</f>
        <v>372544</v>
      </c>
      <c r="N56" s="195">
        <f ca="1">+'BS consol'!N161/1000</f>
        <v>372544</v>
      </c>
      <c r="O56" s="195">
        <f ca="1">+'BS consol'!O161/1000</f>
        <v>372544</v>
      </c>
      <c r="P56" s="195">
        <f ca="1">+'BS consol'!P161/1000</f>
        <v>372544</v>
      </c>
      <c r="Q56" s="195">
        <f ca="1">+'BS consol'!Q161/1000</f>
        <v>0</v>
      </c>
    </row>
    <row r="57" spans="3:17" hidden="1" outlineLevel="1">
      <c r="C57" s="203" t="s">
        <v>19</v>
      </c>
      <c r="D57" s="203"/>
      <c r="E57" s="204" t="str">
        <f>IF(ROUND(E56+E55-E44,0)=0,"-",E56+E55-E44)</f>
        <v>-</v>
      </c>
      <c r="F57" s="204" t="str">
        <f t="shared" ref="F57:P57" ca="1" si="40">IF(ROUND(F56+F55-F44,0)=0,"-",F56+F55-F44)</f>
        <v>-</v>
      </c>
      <c r="G57" s="204" t="str">
        <f t="shared" ca="1" si="40"/>
        <v>-</v>
      </c>
      <c r="H57" s="204" t="str">
        <f t="shared" ca="1" si="40"/>
        <v>-</v>
      </c>
      <c r="I57" s="204" t="str">
        <f t="shared" ca="1" si="40"/>
        <v>-</v>
      </c>
      <c r="J57" s="204">
        <f t="shared" ca="1" si="40"/>
        <v>372544</v>
      </c>
      <c r="K57" s="204">
        <f ca="1">IF(ROUND(K56+K55-K44,0)=0,"-",K56+K55-K44)</f>
        <v>372544</v>
      </c>
      <c r="L57" s="204">
        <f t="shared" ca="1" si="40"/>
        <v>372544</v>
      </c>
      <c r="M57" s="204">
        <f t="shared" ca="1" si="40"/>
        <v>372544</v>
      </c>
      <c r="N57" s="204">
        <f t="shared" ca="1" si="40"/>
        <v>372544</v>
      </c>
      <c r="O57" s="204">
        <f t="shared" ca="1" si="40"/>
        <v>372544</v>
      </c>
      <c r="P57" s="204">
        <f t="shared" ca="1" si="40"/>
        <v>372544</v>
      </c>
      <c r="Q57" s="204" t="str">
        <f t="shared" ref="Q57" ca="1" si="41">IF(ROUND(Q56+Q55-Q44,0)=0,"-",Q56+Q55-Q44)</f>
        <v>-</v>
      </c>
    </row>
    <row r="58" spans="3:17" hidden="1" outlineLevel="1">
      <c r="C58" s="203"/>
      <c r="D58" s="203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</row>
    <row r="59" spans="3:17" hidden="1" outlineLevel="1">
      <c r="C59" s="6"/>
      <c r="D59" s="6"/>
      <c r="E59" s="6"/>
      <c r="F59" s="6"/>
      <c r="G59" s="6"/>
      <c r="H59" s="6"/>
      <c r="I59" s="6"/>
      <c r="J59" s="6"/>
      <c r="K59" s="6"/>
      <c r="L59" s="6"/>
      <c r="N59" s="17"/>
      <c r="O59" s="17"/>
      <c r="P59" s="17"/>
      <c r="Q59" s="17"/>
    </row>
    <row r="60" spans="3:17" hidden="1" outlineLevel="1">
      <c r="C60" s="177" t="str">
        <f>C29</f>
        <v>Sponsor base (USDx1.000)</v>
      </c>
      <c r="D60" s="177"/>
      <c r="E60" s="178" t="str">
        <f>E$11</f>
        <v>2014A</v>
      </c>
      <c r="F60" s="178" t="str">
        <f t="shared" ref="F60:Q60" si="42">F$11</f>
        <v>2015A</v>
      </c>
      <c r="G60" s="178" t="str">
        <f t="shared" si="42"/>
        <v>2016A</v>
      </c>
      <c r="H60" s="178" t="str">
        <f t="shared" si="42"/>
        <v>2017A</v>
      </c>
      <c r="I60" s="178" t="str">
        <f t="shared" si="42"/>
        <v>2018A</v>
      </c>
      <c r="J60" s="178" t="str">
        <f t="shared" si="42"/>
        <v>2019C</v>
      </c>
      <c r="K60" s="178" t="str">
        <f t="shared" si="42"/>
        <v>2019F</v>
      </c>
      <c r="L60" s="178" t="str">
        <f t="shared" si="42"/>
        <v>2020F</v>
      </c>
      <c r="M60" s="178" t="str">
        <f t="shared" si="42"/>
        <v>2021F</v>
      </c>
      <c r="N60" s="178" t="str">
        <f t="shared" si="42"/>
        <v>2022F</v>
      </c>
      <c r="O60" s="178" t="str">
        <f t="shared" si="42"/>
        <v>2023F</v>
      </c>
      <c r="P60" s="178" t="str">
        <f t="shared" si="42"/>
        <v>2024F</v>
      </c>
      <c r="Q60" s="178" t="e">
        <f t="shared" si="42"/>
        <v>#N/A</v>
      </c>
    </row>
    <row r="61" spans="3:17" hidden="1" outlineLevel="1">
      <c r="C61" s="198" t="s">
        <v>1533</v>
      </c>
      <c r="D61" s="198"/>
      <c r="E61" s="198">
        <f>E30</f>
        <v>42004</v>
      </c>
      <c r="F61" s="198">
        <f t="shared" ref="F61:P61" si="43">F30</f>
        <v>42369</v>
      </c>
      <c r="G61" s="198">
        <f t="shared" si="43"/>
        <v>42735</v>
      </c>
      <c r="H61" s="198">
        <f t="shared" si="43"/>
        <v>43100</v>
      </c>
      <c r="I61" s="198">
        <f t="shared" si="43"/>
        <v>43465</v>
      </c>
      <c r="J61" s="198">
        <f t="shared" si="43"/>
        <v>43466</v>
      </c>
      <c r="K61" s="198">
        <f t="shared" si="43"/>
        <v>43830</v>
      </c>
      <c r="L61" s="198">
        <f t="shared" si="43"/>
        <v>44196</v>
      </c>
      <c r="M61" s="198">
        <f t="shared" si="43"/>
        <v>44561</v>
      </c>
      <c r="N61" s="198">
        <f t="shared" si="43"/>
        <v>44926</v>
      </c>
      <c r="O61" s="198">
        <f t="shared" si="43"/>
        <v>45291</v>
      </c>
      <c r="P61" s="198">
        <f t="shared" si="43"/>
        <v>45657</v>
      </c>
      <c r="Q61" s="198">
        <f t="shared" ref="Q61" si="44">Q30</f>
        <v>0</v>
      </c>
    </row>
    <row r="62" spans="3:17" hidden="1" outlineLevel="2">
      <c r="C62" s="180" t="s">
        <v>868</v>
      </c>
      <c r="D62" s="180"/>
      <c r="E62" s="180"/>
      <c r="F62" s="180">
        <f>+'CF consol'!F23/1000</f>
        <v>0</v>
      </c>
      <c r="G62" s="180">
        <f>+'CF consol'!G23/1000</f>
        <v>0</v>
      </c>
      <c r="H62" s="180">
        <f>+'CF consol'!H23/1000</f>
        <v>0</v>
      </c>
      <c r="I62" s="180">
        <f>+'CF consol'!I23/1000</f>
        <v>0</v>
      </c>
      <c r="J62" s="180">
        <f>+'CF consol'!J23/1000</f>
        <v>0</v>
      </c>
      <c r="K62" s="180">
        <f>+'CF consol'!K23/1000</f>
        <v>0</v>
      </c>
      <c r="L62" s="180">
        <f>+'CF consol'!L23/1000</f>
        <v>0</v>
      </c>
      <c r="M62" s="180">
        <f>+'CF consol'!M23/1000</f>
        <v>0</v>
      </c>
      <c r="N62" s="180">
        <f>+'CF consol'!N23/1000</f>
        <v>0</v>
      </c>
      <c r="O62" s="180">
        <f>+'CF consol'!O23/1000</f>
        <v>0</v>
      </c>
      <c r="P62" s="180">
        <f>+'CF consol'!P23/1000</f>
        <v>0</v>
      </c>
      <c r="Q62" s="180">
        <f>+'CF consol'!Q23/1000</f>
        <v>0</v>
      </c>
    </row>
    <row r="63" spans="3:17" hidden="1" outlineLevel="2">
      <c r="C63" s="202"/>
      <c r="D63" s="205" t="s">
        <v>20</v>
      </c>
      <c r="E63" s="202"/>
      <c r="F63" s="200">
        <f>+'CF consol'!F24/1000</f>
        <v>0</v>
      </c>
      <c r="G63" s="200">
        <f>+'CF consol'!G24/1000</f>
        <v>0</v>
      </c>
      <c r="H63" s="200">
        <f>+'CF consol'!H24/1000</f>
        <v>0</v>
      </c>
      <c r="I63" s="200">
        <f>+'CF consol'!I24/1000</f>
        <v>0</v>
      </c>
      <c r="J63" s="200">
        <f>+'CF consol'!J24/1000</f>
        <v>0</v>
      </c>
      <c r="K63" s="200">
        <f>+'CF consol'!K24/1000</f>
        <v>0</v>
      </c>
      <c r="L63" s="200">
        <f>+'CF consol'!L24/1000</f>
        <v>0</v>
      </c>
      <c r="M63" s="200">
        <f>+'CF consol'!M24/1000</f>
        <v>0</v>
      </c>
      <c r="N63" s="200">
        <f>+'CF consol'!N24/1000</f>
        <v>0</v>
      </c>
      <c r="O63" s="200">
        <f>+'CF consol'!O24/1000</f>
        <v>0</v>
      </c>
      <c r="P63" s="200">
        <f>+'CF consol'!P24/1000</f>
        <v>0</v>
      </c>
      <c r="Q63" s="200">
        <f>+'CF consol'!Q24/1000</f>
        <v>0</v>
      </c>
    </row>
    <row r="64" spans="3:17" hidden="1" outlineLevel="2">
      <c r="C64" s="202"/>
      <c r="D64" s="206" t="s">
        <v>677</v>
      </c>
      <c r="E64" s="202"/>
      <c r="F64" s="200">
        <f>+'CF consol'!F25/1000</f>
        <v>0</v>
      </c>
      <c r="G64" s="200">
        <f>+'CF consol'!G25/1000</f>
        <v>0</v>
      </c>
      <c r="H64" s="200">
        <f>+'CF consol'!H25/1000</f>
        <v>0</v>
      </c>
      <c r="I64" s="200">
        <f>+'CF consol'!I25/1000</f>
        <v>0</v>
      </c>
      <c r="J64" s="200">
        <f ca="1">+'CF consol'!J25/1000</f>
        <v>0</v>
      </c>
      <c r="K64" s="200">
        <f ca="1">+'CF consol'!K25/1000</f>
        <v>0</v>
      </c>
      <c r="L64" s="200">
        <f ca="1">+'CF consol'!L25/1000</f>
        <v>0</v>
      </c>
      <c r="M64" s="200">
        <f ca="1">+'CF consol'!M25/1000</f>
        <v>0</v>
      </c>
      <c r="N64" s="200">
        <f ca="1">+'CF consol'!N25/1000</f>
        <v>0</v>
      </c>
      <c r="O64" s="200">
        <f ca="1">+'CF consol'!O25/1000</f>
        <v>0</v>
      </c>
      <c r="P64" s="200">
        <f ca="1">+'CF consol'!P25/1000</f>
        <v>0</v>
      </c>
      <c r="Q64" s="200">
        <f>+'CF consol'!Q25/1000</f>
        <v>0</v>
      </c>
    </row>
    <row r="65" spans="2:17" hidden="1" outlineLevel="1">
      <c r="B65" s="332"/>
      <c r="C65" s="208"/>
      <c r="D65" s="206" t="str">
        <f>'CF offshore'!C26</f>
        <v>+ change in deferred tax</v>
      </c>
      <c r="E65" s="202"/>
      <c r="F65" s="200">
        <f>+'CF consol'!F26/1000</f>
        <v>0</v>
      </c>
      <c r="G65" s="200">
        <f>+'CF consol'!G26/1000</f>
        <v>0</v>
      </c>
      <c r="H65" s="200">
        <f>+'CF consol'!H26/1000</f>
        <v>0</v>
      </c>
      <c r="I65" s="200">
        <f>+'CF consol'!I26/1000</f>
        <v>0</v>
      </c>
      <c r="J65" s="200">
        <f>+'CF consol'!J26/1000</f>
        <v>0</v>
      </c>
      <c r="K65" s="200">
        <f>+'CF consol'!K26/1000</f>
        <v>0</v>
      </c>
      <c r="L65" s="200">
        <f>+'CF consol'!L26/1000</f>
        <v>0</v>
      </c>
      <c r="M65" s="200">
        <f>+'CF consol'!M26/1000</f>
        <v>0</v>
      </c>
      <c r="N65" s="200">
        <f>+'CF consol'!N26/1000</f>
        <v>0</v>
      </c>
      <c r="O65" s="200">
        <f>+'CF consol'!O26/1000</f>
        <v>0</v>
      </c>
      <c r="P65" s="200">
        <f>+'CF consol'!P26/1000</f>
        <v>0</v>
      </c>
      <c r="Q65" s="200">
        <f>+'CF consol'!Q26/1000</f>
        <v>0</v>
      </c>
    </row>
    <row r="66" spans="2:17" hidden="1" outlineLevel="1">
      <c r="C66" s="199" t="s">
        <v>678</v>
      </c>
      <c r="D66" s="199"/>
      <c r="E66" s="199"/>
      <c r="F66" s="199">
        <f>SUM(F62:F65)</f>
        <v>0</v>
      </c>
      <c r="G66" s="199">
        <f t="shared" ref="G66:M66" si="45">SUM(G62:G65)</f>
        <v>0</v>
      </c>
      <c r="H66" s="199">
        <f t="shared" si="45"/>
        <v>0</v>
      </c>
      <c r="I66" s="199">
        <f t="shared" si="45"/>
        <v>0</v>
      </c>
      <c r="J66" s="199">
        <f t="shared" ca="1" si="45"/>
        <v>0</v>
      </c>
      <c r="K66" s="199">
        <f t="shared" ca="1" si="45"/>
        <v>0</v>
      </c>
      <c r="L66" s="199">
        <f t="shared" ca="1" si="45"/>
        <v>0</v>
      </c>
      <c r="M66" s="199">
        <f t="shared" ca="1" si="45"/>
        <v>0</v>
      </c>
      <c r="N66" s="199">
        <f t="shared" ref="N66:Q66" ca="1" si="46">SUM(N62:N65)</f>
        <v>0</v>
      </c>
      <c r="O66" s="199">
        <f t="shared" ca="1" si="46"/>
        <v>0</v>
      </c>
      <c r="P66" s="199">
        <f t="shared" ca="1" si="46"/>
        <v>0</v>
      </c>
      <c r="Q66" s="199">
        <f t="shared" si="46"/>
        <v>0</v>
      </c>
    </row>
    <row r="67" spans="2:17" hidden="1" outlineLevel="2">
      <c r="C67" s="202"/>
      <c r="D67" s="206" t="str">
        <f>'CF offshore'!C28</f>
        <v>- Net Capex</v>
      </c>
      <c r="E67" s="202"/>
      <c r="F67" s="202">
        <f>+'CF consol'!F28/1000</f>
        <v>0</v>
      </c>
      <c r="G67" s="202">
        <f>+'CF consol'!G28/1000</f>
        <v>0</v>
      </c>
      <c r="H67" s="202">
        <f>+'CF consol'!H28/1000</f>
        <v>0</v>
      </c>
      <c r="I67" s="202">
        <f>+'CF consol'!I28/1000</f>
        <v>0</v>
      </c>
      <c r="J67" s="202">
        <f>+'CF consol'!J28/1000</f>
        <v>0</v>
      </c>
      <c r="K67" s="202">
        <f>+'CF consol'!K28/1000</f>
        <v>0</v>
      </c>
      <c r="L67" s="202">
        <f>+'CF consol'!L28/1000</f>
        <v>0</v>
      </c>
      <c r="M67" s="202">
        <f>+'CF consol'!M28/1000</f>
        <v>0</v>
      </c>
      <c r="N67" s="202">
        <f>+'CF consol'!N28/1000</f>
        <v>0</v>
      </c>
      <c r="O67" s="202">
        <f>+'CF consol'!O28/1000</f>
        <v>0</v>
      </c>
      <c r="P67" s="202">
        <f>+'CF consol'!P28/1000</f>
        <v>0</v>
      </c>
      <c r="Q67" s="202">
        <f>+'CF consol'!Q28/1000</f>
        <v>0</v>
      </c>
    </row>
    <row r="68" spans="2:17" hidden="1" outlineLevel="2">
      <c r="C68" s="202"/>
      <c r="D68" s="206" t="str">
        <f>'CF offshore'!C32</f>
        <v>- Increase in other assets</v>
      </c>
      <c r="E68" s="202"/>
      <c r="F68" s="202">
        <f ca="1">+'CF consol'!F32/1000</f>
        <v>0</v>
      </c>
      <c r="G68" s="202">
        <f ca="1">+'CF consol'!G32/1000</f>
        <v>0</v>
      </c>
      <c r="H68" s="202">
        <f ca="1">+'CF consol'!H32/1000</f>
        <v>0</v>
      </c>
      <c r="I68" s="202">
        <f ca="1">+'CF consol'!I32/1000</f>
        <v>0</v>
      </c>
      <c r="J68" s="202">
        <f ca="1">+'CF consol'!J32/1000</f>
        <v>0</v>
      </c>
      <c r="K68" s="202">
        <f ca="1">+'CF consol'!K32/1000</f>
        <v>0</v>
      </c>
      <c r="L68" s="202">
        <f ca="1">+'CF consol'!L32/1000</f>
        <v>0</v>
      </c>
      <c r="M68" s="202">
        <f ca="1">+'CF consol'!M32/1000</f>
        <v>0</v>
      </c>
      <c r="N68" s="202">
        <f ca="1">+'CF consol'!N32/1000</f>
        <v>0</v>
      </c>
      <c r="O68" s="202">
        <f ca="1">+'CF consol'!O32/1000</f>
        <v>0</v>
      </c>
      <c r="P68" s="202">
        <f ca="1">+'CF consol'!P32/1000</f>
        <v>0</v>
      </c>
      <c r="Q68" s="202">
        <f ca="1">+'CF consol'!Q32/1000</f>
        <v>0</v>
      </c>
    </row>
    <row r="69" spans="2:17" hidden="1" outlineLevel="1">
      <c r="C69" s="199" t="s">
        <v>679</v>
      </c>
      <c r="D69" s="199"/>
      <c r="E69" s="199"/>
      <c r="F69" s="199">
        <f t="shared" ref="F69:M69" ca="1" si="47">SUM(F67:F68)</f>
        <v>0</v>
      </c>
      <c r="G69" s="199">
        <f t="shared" ca="1" si="47"/>
        <v>0</v>
      </c>
      <c r="H69" s="199">
        <f t="shared" ca="1" si="47"/>
        <v>0</v>
      </c>
      <c r="I69" s="199">
        <f t="shared" ca="1" si="47"/>
        <v>0</v>
      </c>
      <c r="J69" s="199">
        <f t="shared" ca="1" si="47"/>
        <v>0</v>
      </c>
      <c r="K69" s="199">
        <f t="shared" ca="1" si="47"/>
        <v>0</v>
      </c>
      <c r="L69" s="199">
        <f t="shared" ca="1" si="47"/>
        <v>0</v>
      </c>
      <c r="M69" s="199">
        <f t="shared" ca="1" si="47"/>
        <v>0</v>
      </c>
      <c r="N69" s="199">
        <f t="shared" ref="N69:Q69" ca="1" si="48">SUM(N67:N68)</f>
        <v>0</v>
      </c>
      <c r="O69" s="199">
        <f t="shared" ca="1" si="48"/>
        <v>0</v>
      </c>
      <c r="P69" s="199">
        <f t="shared" ca="1" si="48"/>
        <v>0</v>
      </c>
      <c r="Q69" s="199">
        <f t="shared" ca="1" si="48"/>
        <v>0</v>
      </c>
    </row>
    <row r="70" spans="2:17" hidden="1" outlineLevel="1">
      <c r="C70" s="207"/>
      <c r="D70" s="206" t="str">
        <f>+'CF consol'!C35</f>
        <v>- Total Interest Expense</v>
      </c>
      <c r="E70" s="202"/>
      <c r="F70" s="202">
        <f>+'CF consol'!F35/1000</f>
        <v>0</v>
      </c>
      <c r="G70" s="202">
        <f>+'CF consol'!G35/1000</f>
        <v>0</v>
      </c>
      <c r="H70" s="202">
        <f>+'CF consol'!H35/1000</f>
        <v>0</v>
      </c>
      <c r="I70" s="202">
        <f>+'CF consol'!I35/1000</f>
        <v>0</v>
      </c>
      <c r="J70" s="202">
        <f ca="1">+'CF consol'!J35/1000</f>
        <v>0</v>
      </c>
      <c r="K70" s="202">
        <f ca="1">+'CF consol'!K35/1000</f>
        <v>0</v>
      </c>
      <c r="L70" s="202">
        <f ca="1">+'CF consol'!L35/1000</f>
        <v>0</v>
      </c>
      <c r="M70" s="202">
        <f ca="1">+'CF consol'!M35/1000</f>
        <v>0</v>
      </c>
      <c r="N70" s="202">
        <f ca="1">+'CF consol'!N35/1000</f>
        <v>0</v>
      </c>
      <c r="O70" s="202">
        <f ca="1">+'CF consol'!O35/1000</f>
        <v>0</v>
      </c>
      <c r="P70" s="202">
        <f ca="1">+'CF consol'!P35/1000</f>
        <v>0</v>
      </c>
      <c r="Q70" s="202">
        <f>+'CF consol'!Q35/1000</f>
        <v>0</v>
      </c>
    </row>
    <row r="71" spans="2:17" hidden="1" outlineLevel="2">
      <c r="C71" s="207"/>
      <c r="D71" s="206" t="str">
        <f>+'CF consol'!C36</f>
        <v>+ accrued interest expense</v>
      </c>
      <c r="E71" s="202"/>
      <c r="F71" s="202">
        <f>+'CF consol'!F36/1000</f>
        <v>0</v>
      </c>
      <c r="G71" s="202">
        <f>+'CF consol'!G36/1000</f>
        <v>0</v>
      </c>
      <c r="H71" s="202">
        <f>+'CF consol'!H36/1000</f>
        <v>0</v>
      </c>
      <c r="I71" s="202">
        <f>+'CF consol'!I36/1000</f>
        <v>0</v>
      </c>
      <c r="J71" s="202">
        <f ca="1">+'CF consol'!J36/1000</f>
        <v>0</v>
      </c>
      <c r="K71" s="202">
        <f ca="1">+'CF consol'!K36/1000</f>
        <v>0</v>
      </c>
      <c r="L71" s="202">
        <f ca="1">+'CF consol'!L36/1000</f>
        <v>0</v>
      </c>
      <c r="M71" s="202">
        <f ca="1">+'CF consol'!M36/1000</f>
        <v>0</v>
      </c>
      <c r="N71" s="202">
        <f ca="1">+'CF consol'!N36/1000</f>
        <v>0</v>
      </c>
      <c r="O71" s="202">
        <f ca="1">+'CF consol'!O36/1000</f>
        <v>0</v>
      </c>
      <c r="P71" s="202">
        <f ca="1">+'CF consol'!P36/1000</f>
        <v>0</v>
      </c>
      <c r="Q71" s="202">
        <f>+'CF consol'!Q36/1000</f>
        <v>0</v>
      </c>
    </row>
    <row r="72" spans="2:17" hidden="1" outlineLevel="2">
      <c r="C72" s="207"/>
      <c r="D72" s="206" t="str">
        <f>+'CF consol'!C37</f>
        <v>+ tax shield debt</v>
      </c>
      <c r="E72" s="202"/>
      <c r="F72" s="202">
        <f>+'CF consol'!F37/1000</f>
        <v>0</v>
      </c>
      <c r="G72" s="202">
        <f>+'CF consol'!G37/1000</f>
        <v>0</v>
      </c>
      <c r="H72" s="202">
        <f>+'CF consol'!H37/1000</f>
        <v>0</v>
      </c>
      <c r="I72" s="202">
        <f>+'CF consol'!I37/1000</f>
        <v>0</v>
      </c>
      <c r="J72" s="202">
        <f>+'CF consol'!J37/1000</f>
        <v>0</v>
      </c>
      <c r="K72" s="202">
        <f>+'CF consol'!K37/1000</f>
        <v>0</v>
      </c>
      <c r="L72" s="202">
        <f>+'CF consol'!L37/1000</f>
        <v>0</v>
      </c>
      <c r="M72" s="202">
        <f>+'CF consol'!M37/1000</f>
        <v>0</v>
      </c>
      <c r="N72" s="202">
        <f>+'CF consol'!N37/1000</f>
        <v>0</v>
      </c>
      <c r="O72" s="202">
        <f>+'CF consol'!O37/1000</f>
        <v>0</v>
      </c>
      <c r="P72" s="202">
        <f ca="1">+'CF consol'!P37/1000</f>
        <v>0</v>
      </c>
      <c r="Q72" s="202">
        <f>+'CF consol'!Q37/1000</f>
        <v>0</v>
      </c>
    </row>
    <row r="73" spans="2:17" hidden="1" outlineLevel="2">
      <c r="C73" s="207"/>
      <c r="D73" s="206" t="str">
        <f>+'CF consol'!C38</f>
        <v>- Repayment</v>
      </c>
      <c r="E73" s="202"/>
      <c r="F73" s="202">
        <f>+'CF consol'!F38/1000</f>
        <v>0</v>
      </c>
      <c r="G73" s="202">
        <f>+'CF consol'!G38/1000</f>
        <v>0</v>
      </c>
      <c r="H73" s="202">
        <f>+'CF consol'!H38/1000</f>
        <v>0</v>
      </c>
      <c r="I73" s="202">
        <f>+'CF consol'!I38/1000</f>
        <v>0</v>
      </c>
      <c r="J73" s="202">
        <f ca="1">+'CF consol'!J38/1000</f>
        <v>0</v>
      </c>
      <c r="K73" s="202">
        <f ca="1">+'CF consol'!K38/1000</f>
        <v>0</v>
      </c>
      <c r="L73" s="202">
        <f ca="1">+'CF consol'!L38/1000</f>
        <v>0</v>
      </c>
      <c r="M73" s="202">
        <f ca="1">+'CF consol'!M38/1000</f>
        <v>0</v>
      </c>
      <c r="N73" s="202">
        <f ca="1">+'CF consol'!N38/1000</f>
        <v>0</v>
      </c>
      <c r="O73" s="202">
        <f ca="1">+'CF consol'!O38/1000</f>
        <v>0</v>
      </c>
      <c r="P73" s="202">
        <f ca="1">+'CF consol'!P38/1000</f>
        <v>0</v>
      </c>
      <c r="Q73" s="202">
        <f>+'CF consol'!Q38/1000</f>
        <v>0</v>
      </c>
    </row>
    <row r="74" spans="2:17" hidden="1" outlineLevel="2">
      <c r="C74" s="207"/>
      <c r="D74" s="206" t="str">
        <f>+'CF consol'!C39</f>
        <v>- Cash Sweep</v>
      </c>
      <c r="E74" s="202"/>
      <c r="F74" s="202">
        <f>+'CF consol'!F39/1000</f>
        <v>0</v>
      </c>
      <c r="G74" s="202">
        <f>+'CF consol'!G39/1000</f>
        <v>0</v>
      </c>
      <c r="H74" s="202">
        <f>+'CF consol'!H39/1000</f>
        <v>0</v>
      </c>
      <c r="I74" s="202">
        <f>+'CF consol'!I39/1000</f>
        <v>0</v>
      </c>
      <c r="J74" s="202">
        <f ca="1">+'CF consol'!J39/1000</f>
        <v>0</v>
      </c>
      <c r="K74" s="202">
        <f ca="1">+'CF consol'!K39/1000</f>
        <v>0</v>
      </c>
      <c r="L74" s="202">
        <f ca="1">+'CF consol'!L39/1000</f>
        <v>0</v>
      </c>
      <c r="M74" s="202">
        <f ca="1">+'CF consol'!M39/1000</f>
        <v>0</v>
      </c>
      <c r="N74" s="202">
        <f ca="1">+'CF consol'!N39/1000</f>
        <v>0</v>
      </c>
      <c r="O74" s="202">
        <f ca="1">+'CF consol'!O39/1000</f>
        <v>0</v>
      </c>
      <c r="P74" s="202">
        <f ca="1">+'CF consol'!P39/1000</f>
        <v>0</v>
      </c>
      <c r="Q74" s="202">
        <f>+'CF consol'!Q39/1000</f>
        <v>0</v>
      </c>
    </row>
    <row r="75" spans="2:17" hidden="1" outlineLevel="2">
      <c r="C75" s="208"/>
      <c r="D75" s="206" t="str">
        <f>+'CF consol'!C40</f>
        <v>+Drawdown</v>
      </c>
      <c r="E75" s="202"/>
      <c r="F75" s="202">
        <f>+'CF consol'!F40/1000</f>
        <v>0</v>
      </c>
      <c r="G75" s="202">
        <f>+'CF consol'!G40/1000</f>
        <v>0</v>
      </c>
      <c r="H75" s="202">
        <f>+'CF consol'!H40/1000</f>
        <v>0</v>
      </c>
      <c r="I75" s="202">
        <f>+'CF consol'!I40/1000</f>
        <v>0</v>
      </c>
      <c r="J75" s="202">
        <f ca="1">+'CF consol'!J40/1000</f>
        <v>0</v>
      </c>
      <c r="K75" s="202">
        <f ca="1">+'CF consol'!K40/1000</f>
        <v>0</v>
      </c>
      <c r="L75" s="202">
        <f ca="1">+'CF consol'!L40/1000</f>
        <v>0</v>
      </c>
      <c r="M75" s="202">
        <f ca="1">+'CF consol'!M40/1000</f>
        <v>0</v>
      </c>
      <c r="N75" s="202">
        <f ca="1">+'CF consol'!N40/1000</f>
        <v>0</v>
      </c>
      <c r="O75" s="202">
        <f ca="1">+'CF consol'!O40/1000</f>
        <v>0</v>
      </c>
      <c r="P75" s="202">
        <f ca="1">+'CF consol'!P40/1000</f>
        <v>0</v>
      </c>
      <c r="Q75" s="202">
        <f ca="1">+'CF consol'!Q40/1000</f>
        <v>0</v>
      </c>
    </row>
    <row r="76" spans="2:17" hidden="1" outlineLevel="2">
      <c r="C76" s="208"/>
      <c r="D76" s="206" t="str">
        <f>+'CF consol'!C42</f>
        <v>+ defaulted debt payments</v>
      </c>
      <c r="E76" s="202"/>
      <c r="F76" s="202">
        <f>+'CF consol'!F42/1000</f>
        <v>0</v>
      </c>
      <c r="G76" s="202">
        <f>+'CF consol'!G42/1000</f>
        <v>0</v>
      </c>
      <c r="H76" s="202">
        <f>+'CF consol'!H42/1000</f>
        <v>0</v>
      </c>
      <c r="I76" s="202">
        <f>+'CF consol'!I42/1000</f>
        <v>0</v>
      </c>
      <c r="J76" s="202">
        <f ca="1">+'CF consol'!J42/1000</f>
        <v>0</v>
      </c>
      <c r="K76" s="202">
        <f ca="1">+'CF consol'!K42/1000</f>
        <v>0</v>
      </c>
      <c r="L76" s="202">
        <f ca="1">+'CF consol'!L42/1000</f>
        <v>0</v>
      </c>
      <c r="M76" s="202">
        <f ca="1">+'CF consol'!M42/1000</f>
        <v>0</v>
      </c>
      <c r="N76" s="202">
        <f ca="1">+'CF consol'!N42/1000</f>
        <v>0</v>
      </c>
      <c r="O76" s="202">
        <f ca="1">+'CF consol'!O42/1000</f>
        <v>0</v>
      </c>
      <c r="P76" s="202">
        <f ca="1">+'CF consol'!P42/1000</f>
        <v>0</v>
      </c>
      <c r="Q76" s="202">
        <f>+'CF consol'!Q42/1000</f>
        <v>0</v>
      </c>
    </row>
    <row r="77" spans="2:17" hidden="1" outlineLevel="1">
      <c r="C77" s="208"/>
      <c r="D77" s="206" t="str">
        <f>+'CF consol'!C43</f>
        <v>- Historical Change in debt</v>
      </c>
      <c r="E77" s="202"/>
      <c r="F77" s="202">
        <f>+'CF consol'!F43/1000</f>
        <v>0</v>
      </c>
      <c r="G77" s="202">
        <f>+'CF consol'!G43/1000</f>
        <v>0</v>
      </c>
      <c r="H77" s="202">
        <f>+'CF consol'!H43/1000</f>
        <v>0</v>
      </c>
      <c r="I77" s="202">
        <f>+'CF consol'!I43/1000</f>
        <v>0</v>
      </c>
      <c r="J77" s="202">
        <f>+'CF consol'!J43/1000</f>
        <v>0</v>
      </c>
      <c r="K77" s="202">
        <f ca="1">+'CF consol'!K43/1000</f>
        <v>0</v>
      </c>
      <c r="L77" s="202">
        <f ca="1">+'CF consol'!L43/1000</f>
        <v>0</v>
      </c>
      <c r="M77" s="202">
        <f ca="1">+'CF consol'!M43/1000</f>
        <v>0</v>
      </c>
      <c r="N77" s="202">
        <f ca="1">+'CF consol'!N43/1000</f>
        <v>0</v>
      </c>
      <c r="O77" s="202">
        <f ca="1">+'CF consol'!O43/1000</f>
        <v>0</v>
      </c>
      <c r="P77" s="202">
        <f ca="1">+'CF consol'!P43/1000</f>
        <v>0</v>
      </c>
      <c r="Q77" s="202">
        <f ca="1">+'CF consol'!Q43/1000</f>
        <v>0</v>
      </c>
    </row>
    <row r="78" spans="2:17" hidden="1" outlineLevel="1">
      <c r="C78" s="208"/>
      <c r="D78" s="206" t="str">
        <f>+'CF consol'!C44</f>
        <v>- Dividend</v>
      </c>
      <c r="E78" s="202"/>
      <c r="F78" s="202">
        <f ca="1">+'CF consol'!F44/1000</f>
        <v>0</v>
      </c>
      <c r="G78" s="202">
        <f ca="1">+'CF consol'!G44/1000</f>
        <v>0</v>
      </c>
      <c r="H78" s="202">
        <f ca="1">+'CF consol'!H44/1000</f>
        <v>0</v>
      </c>
      <c r="I78" s="202">
        <f ca="1">+'CF consol'!I44/1000</f>
        <v>0</v>
      </c>
      <c r="J78" s="202">
        <f ca="1">+'CF consol'!J44/1000</f>
        <v>0</v>
      </c>
      <c r="K78" s="202">
        <f ca="1">+'CF consol'!K44/1000</f>
        <v>0</v>
      </c>
      <c r="L78" s="202">
        <f ca="1">+'CF consol'!L44/1000</f>
        <v>0</v>
      </c>
      <c r="M78" s="202">
        <f ca="1">+'CF consol'!M44/1000</f>
        <v>0</v>
      </c>
      <c r="N78" s="202">
        <f ca="1">+'CF consol'!N44/1000</f>
        <v>0</v>
      </c>
      <c r="O78" s="202">
        <f ca="1">+'CF consol'!O44/1000</f>
        <v>0</v>
      </c>
      <c r="P78" s="202">
        <f ca="1">+'CF consol'!P44/1000</f>
        <v>0</v>
      </c>
      <c r="Q78" s="202">
        <f ca="1">+'CF consol'!Q44/1000</f>
        <v>-372544</v>
      </c>
    </row>
    <row r="79" spans="2:17" hidden="1" outlineLevel="1">
      <c r="C79" s="199" t="s">
        <v>682</v>
      </c>
      <c r="D79" s="199"/>
      <c r="E79" s="199"/>
      <c r="F79" s="199">
        <f ca="1">SUM(F70:F78)</f>
        <v>0</v>
      </c>
      <c r="G79" s="199">
        <f t="shared" ref="G79:M79" ca="1" si="49">SUM(G70:G78)</f>
        <v>0</v>
      </c>
      <c r="H79" s="199">
        <f t="shared" ca="1" si="49"/>
        <v>0</v>
      </c>
      <c r="I79" s="199">
        <f t="shared" ca="1" si="49"/>
        <v>0</v>
      </c>
      <c r="J79" s="199">
        <f t="shared" ca="1" si="49"/>
        <v>0</v>
      </c>
      <c r="K79" s="199">
        <f t="shared" ca="1" si="49"/>
        <v>0</v>
      </c>
      <c r="L79" s="199">
        <f ca="1">SUM(L70:L78)</f>
        <v>0</v>
      </c>
      <c r="M79" s="199">
        <f t="shared" ca="1" si="49"/>
        <v>0</v>
      </c>
      <c r="N79" s="199">
        <f t="shared" ref="N79:Q79" ca="1" si="50">SUM(N70:N78)</f>
        <v>0</v>
      </c>
      <c r="O79" s="199">
        <f t="shared" ca="1" si="50"/>
        <v>0</v>
      </c>
      <c r="P79" s="199">
        <f t="shared" ca="1" si="50"/>
        <v>0</v>
      </c>
      <c r="Q79" s="199">
        <f t="shared" ca="1" si="50"/>
        <v>-372544</v>
      </c>
    </row>
    <row r="80" spans="2:17" hidden="1" outlineLevel="1">
      <c r="C80" s="23"/>
      <c r="D80" s="202" t="str">
        <f>'CF offshore'!C46</f>
        <v>+other gains and losses</v>
      </c>
      <c r="E80" s="207"/>
      <c r="F80" s="202">
        <f>+'CF consol'!F46/1000</f>
        <v>0</v>
      </c>
      <c r="G80" s="202">
        <f>+'CF consol'!G46/1000</f>
        <v>0</v>
      </c>
      <c r="H80" s="202">
        <f>+'CF consol'!H46/1000</f>
        <v>0</v>
      </c>
      <c r="I80" s="202">
        <f>+'CF consol'!I46/1000</f>
        <v>0</v>
      </c>
      <c r="J80" s="202">
        <f>+'CF consol'!J46/1000</f>
        <v>0</v>
      </c>
      <c r="K80" s="202">
        <f>+'CF consol'!K46/1000</f>
        <v>0</v>
      </c>
      <c r="L80" s="202">
        <f>+'CF consol'!L46/1000</f>
        <v>0</v>
      </c>
      <c r="M80" s="202">
        <f>+'CF consol'!M46/1000</f>
        <v>0</v>
      </c>
      <c r="N80" s="202">
        <f>+'CF consol'!N46/1000</f>
        <v>0</v>
      </c>
      <c r="O80" s="202">
        <f>+'CF consol'!O46/1000</f>
        <v>0</v>
      </c>
      <c r="P80" s="202">
        <f>+'CF consol'!P46/1000</f>
        <v>0</v>
      </c>
      <c r="Q80" s="202">
        <f>+'CF consol'!Q46/1000</f>
        <v>0</v>
      </c>
    </row>
    <row r="81" spans="1:17" hidden="1" outlineLevel="1">
      <c r="C81" s="23"/>
      <c r="D81" s="202" t="str">
        <f>'CF offshore'!C47</f>
        <v>+ acquisition adjustments</v>
      </c>
      <c r="E81" s="207"/>
      <c r="F81" s="202">
        <f ca="1">+'CF consol'!F47/1000</f>
        <v>0</v>
      </c>
      <c r="G81" s="202">
        <f ca="1">+'CF consol'!G47/1000</f>
        <v>0</v>
      </c>
      <c r="H81" s="202">
        <f ca="1">+'CF consol'!H47/1000</f>
        <v>0</v>
      </c>
      <c r="I81" s="202">
        <f ca="1">+'CF consol'!I47/1000</f>
        <v>0</v>
      </c>
      <c r="J81" s="202">
        <f ca="1">+'CF consol'!J47/1000</f>
        <v>0</v>
      </c>
      <c r="K81" s="202">
        <f ca="1">+'CF consol'!K47/1000</f>
        <v>0</v>
      </c>
      <c r="L81" s="202">
        <f ca="1">+'CF consol'!L47/1000</f>
        <v>0</v>
      </c>
      <c r="M81" s="202">
        <f ca="1">+'CF consol'!M47/1000</f>
        <v>0</v>
      </c>
      <c r="N81" s="202">
        <f ca="1">+'CF consol'!N47/1000</f>
        <v>0</v>
      </c>
      <c r="O81" s="202">
        <f ca="1">+'CF consol'!O47/1000</f>
        <v>0</v>
      </c>
      <c r="P81" s="202">
        <f ca="1">+'CF consol'!P47/1000</f>
        <v>0</v>
      </c>
      <c r="Q81" s="202">
        <f ca="1">+'CF consol'!Q47/1000</f>
        <v>0</v>
      </c>
    </row>
    <row r="82" spans="1:17" hidden="1" outlineLevel="1">
      <c r="C82" s="195" t="s">
        <v>1004</v>
      </c>
      <c r="D82" s="195"/>
      <c r="E82" s="195"/>
      <c r="F82" s="195">
        <f ca="1">F66+F69+F79+F80+F81</f>
        <v>0</v>
      </c>
      <c r="G82" s="195">
        <f t="shared" ref="G82:M82" ca="1" si="51">G66+G69+G79+G80+G81</f>
        <v>0</v>
      </c>
      <c r="H82" s="195">
        <f t="shared" ca="1" si="51"/>
        <v>0</v>
      </c>
      <c r="I82" s="195">
        <f t="shared" ca="1" si="51"/>
        <v>0</v>
      </c>
      <c r="J82" s="195">
        <f t="shared" ca="1" si="51"/>
        <v>0</v>
      </c>
      <c r="K82" s="195">
        <f t="shared" ca="1" si="51"/>
        <v>0</v>
      </c>
      <c r="L82" s="195">
        <f t="shared" ca="1" si="51"/>
        <v>0</v>
      </c>
      <c r="M82" s="195">
        <f t="shared" ca="1" si="51"/>
        <v>0</v>
      </c>
      <c r="N82" s="195">
        <f t="shared" ref="N82:Q82" ca="1" si="52">N66+N69+N79+N80+N81</f>
        <v>0</v>
      </c>
      <c r="O82" s="195">
        <f t="shared" ca="1" si="52"/>
        <v>0</v>
      </c>
      <c r="P82" s="195">
        <f t="shared" ca="1" si="52"/>
        <v>0</v>
      </c>
      <c r="Q82" s="195">
        <f t="shared" ca="1" si="52"/>
        <v>-372544</v>
      </c>
    </row>
    <row r="83" spans="1:17" hidden="1" outlineLevel="1">
      <c r="C83" s="202" t="s">
        <v>21</v>
      </c>
      <c r="D83" s="202"/>
      <c r="E83" s="210"/>
      <c r="F83" s="210">
        <f ca="1">F85-F84-F82</f>
        <v>0</v>
      </c>
      <c r="G83" s="210">
        <f t="shared" ref="G83:M83" ca="1" si="53">G85-G84-G82</f>
        <v>0</v>
      </c>
      <c r="H83" s="210">
        <f t="shared" ca="1" si="53"/>
        <v>0</v>
      </c>
      <c r="I83" s="210">
        <f t="shared" ca="1" si="53"/>
        <v>0</v>
      </c>
      <c r="J83" s="210">
        <f t="shared" ca="1" si="53"/>
        <v>0</v>
      </c>
      <c r="K83" s="210">
        <f t="shared" ca="1" si="53"/>
        <v>0</v>
      </c>
      <c r="L83" s="210">
        <f ca="1">L85-L84-L82</f>
        <v>0</v>
      </c>
      <c r="M83" s="210">
        <f t="shared" ca="1" si="53"/>
        <v>0</v>
      </c>
      <c r="N83" s="210">
        <f t="shared" ref="N83:Q83" ca="1" si="54">N85-N84-N82</f>
        <v>0</v>
      </c>
      <c r="O83" s="210">
        <f t="shared" ca="1" si="54"/>
        <v>0</v>
      </c>
      <c r="P83" s="210">
        <f t="shared" ca="1" si="54"/>
        <v>0</v>
      </c>
      <c r="Q83" s="210">
        <f t="shared" ca="1" si="54"/>
        <v>372544</v>
      </c>
    </row>
    <row r="84" spans="1:17" hidden="1" outlineLevel="1">
      <c r="C84" s="211" t="s">
        <v>683</v>
      </c>
      <c r="D84" s="212"/>
      <c r="E84" s="202"/>
      <c r="F84" s="202">
        <f>+'CF consol'!F50/1000</f>
        <v>0</v>
      </c>
      <c r="G84" s="202">
        <f>+'CF consol'!G50/1000</f>
        <v>0</v>
      </c>
      <c r="H84" s="202">
        <f>+'CF consol'!H50/1000</f>
        <v>0</v>
      </c>
      <c r="I84" s="202">
        <f>+'CF consol'!I50/1000</f>
        <v>0</v>
      </c>
      <c r="J84" s="202">
        <f>+'CF consol'!J50/1000</f>
        <v>0</v>
      </c>
      <c r="K84" s="202">
        <f>+'CF consol'!K50/1000</f>
        <v>0</v>
      </c>
      <c r="L84" s="202">
        <f ca="1">+'CF consol'!L50/1000</f>
        <v>0</v>
      </c>
      <c r="M84" s="202">
        <f ca="1">+'CF consol'!M50/1000</f>
        <v>0</v>
      </c>
      <c r="N84" s="202">
        <f ca="1">+'CF consol'!N50/1000</f>
        <v>0</v>
      </c>
      <c r="O84" s="202">
        <f ca="1">+'CF consol'!O50/1000</f>
        <v>0</v>
      </c>
      <c r="P84" s="202">
        <f ca="1">+'CF consol'!P50/1000</f>
        <v>0</v>
      </c>
      <c r="Q84" s="202">
        <f ca="1">+'CF consol'!Q50/1000</f>
        <v>0</v>
      </c>
    </row>
    <row r="85" spans="1:17" hidden="1" outlineLevel="1">
      <c r="C85" s="192" t="s">
        <v>22</v>
      </c>
      <c r="D85" s="192"/>
      <c r="E85" s="195">
        <f>E32</f>
        <v>0</v>
      </c>
      <c r="F85" s="195">
        <f t="shared" ref="F85" si="55">F32</f>
        <v>0</v>
      </c>
      <c r="G85" s="195">
        <f t="shared" ref="G85:M85" si="56">G32</f>
        <v>0</v>
      </c>
      <c r="H85" s="195">
        <f t="shared" si="56"/>
        <v>0</v>
      </c>
      <c r="I85" s="195">
        <f t="shared" si="56"/>
        <v>0</v>
      </c>
      <c r="J85" s="195">
        <f t="shared" si="56"/>
        <v>0</v>
      </c>
      <c r="K85" s="195">
        <f t="shared" ca="1" si="56"/>
        <v>0</v>
      </c>
      <c r="L85" s="195">
        <f ca="1">L32</f>
        <v>0</v>
      </c>
      <c r="M85" s="195">
        <f t="shared" ca="1" si="56"/>
        <v>0</v>
      </c>
      <c r="N85" s="195">
        <f t="shared" ref="N85:Q85" ca="1" si="57">N32</f>
        <v>0</v>
      </c>
      <c r="O85" s="195">
        <f t="shared" ca="1" si="57"/>
        <v>0</v>
      </c>
      <c r="P85" s="195">
        <f t="shared" ca="1" si="57"/>
        <v>0</v>
      </c>
      <c r="Q85" s="195">
        <f t="shared" si="57"/>
        <v>0</v>
      </c>
    </row>
    <row r="86" spans="1:17" hidden="1" outlineLevel="1">
      <c r="C86" s="6"/>
      <c r="D86" s="6"/>
      <c r="E86" s="6"/>
      <c r="F86" s="6"/>
      <c r="G86" s="6"/>
      <c r="H86" s="6"/>
      <c r="I86" s="6"/>
      <c r="J86" s="6"/>
      <c r="K86" s="6"/>
      <c r="L86" s="6"/>
    </row>
    <row r="87" spans="1:17" hidden="1" outlineLevel="1">
      <c r="C87" s="209" t="str">
        <f>C60</f>
        <v>Sponsor base (USDx1.000)</v>
      </c>
      <c r="D87" s="209"/>
      <c r="E87" s="178" t="str">
        <f>E$11</f>
        <v>2014A</v>
      </c>
      <c r="F87" s="178" t="str">
        <f t="shared" ref="F87:Q87" si="58">F$11</f>
        <v>2015A</v>
      </c>
      <c r="G87" s="178" t="str">
        <f t="shared" si="58"/>
        <v>2016A</v>
      </c>
      <c r="H87" s="178" t="str">
        <f t="shared" si="58"/>
        <v>2017A</v>
      </c>
      <c r="I87" s="178" t="str">
        <f t="shared" si="58"/>
        <v>2018A</v>
      </c>
      <c r="J87" s="178" t="str">
        <f t="shared" si="58"/>
        <v>2019C</v>
      </c>
      <c r="K87" s="178" t="str">
        <f t="shared" si="58"/>
        <v>2019F</v>
      </c>
      <c r="L87" s="178" t="str">
        <f t="shared" si="58"/>
        <v>2020F</v>
      </c>
      <c r="M87" s="178" t="str">
        <f t="shared" si="58"/>
        <v>2021F</v>
      </c>
      <c r="N87" s="178" t="str">
        <f t="shared" si="58"/>
        <v>2022F</v>
      </c>
      <c r="O87" s="178" t="str">
        <f t="shared" si="58"/>
        <v>2023F</v>
      </c>
      <c r="P87" s="178" t="str">
        <f t="shared" si="58"/>
        <v>2024F</v>
      </c>
      <c r="Q87" s="178" t="e">
        <f t="shared" si="58"/>
        <v>#N/A</v>
      </c>
    </row>
    <row r="88" spans="1:17" collapsed="1">
      <c r="C88" s="198" t="s">
        <v>1059</v>
      </c>
      <c r="D88" s="198"/>
      <c r="E88" s="198">
        <f>E12</f>
        <v>42004</v>
      </c>
      <c r="F88" s="198">
        <f>F12</f>
        <v>42369</v>
      </c>
      <c r="G88" s="198">
        <f t="shared" ref="G88:P88" si="59">G12</f>
        <v>42735</v>
      </c>
      <c r="H88" s="198">
        <f t="shared" si="59"/>
        <v>43100</v>
      </c>
      <c r="I88" s="198">
        <f t="shared" si="59"/>
        <v>43465</v>
      </c>
      <c r="J88" s="198">
        <f t="shared" si="59"/>
        <v>43466</v>
      </c>
      <c r="K88" s="198">
        <f t="shared" si="59"/>
        <v>43830</v>
      </c>
      <c r="L88" s="198">
        <f t="shared" si="59"/>
        <v>44196</v>
      </c>
      <c r="M88" s="198">
        <f t="shared" si="59"/>
        <v>44561</v>
      </c>
      <c r="N88" s="198">
        <f t="shared" si="59"/>
        <v>44926</v>
      </c>
      <c r="O88" s="198">
        <f t="shared" si="59"/>
        <v>45291</v>
      </c>
      <c r="P88" s="198">
        <f t="shared" si="59"/>
        <v>45657</v>
      </c>
      <c r="Q88" s="198">
        <f t="shared" ref="Q88" si="60">Q12</f>
        <v>0</v>
      </c>
    </row>
    <row r="89" spans="1:17">
      <c r="A89" s="26"/>
      <c r="C89" s="6"/>
      <c r="D89" s="214" t="str">
        <f>'Covenants Consolidated'!C47</f>
        <v>Senior Net leverage</v>
      </c>
      <c r="E89" s="214" t="str">
        <f>IFERROR(E$10*INDEX('Covenants Consolidated'!47:47,MATCH('Financial summary'!E$88,'Covenants offshore'!$4:$4,0)),"")</f>
        <v/>
      </c>
      <c r="F89" s="214" t="str">
        <f>IFERROR(F$10*INDEX('Covenants Consolidated'!47:47,MATCH('Financial summary'!F$88,'Covenants offshore'!$4:$4,0)),"")</f>
        <v/>
      </c>
      <c r="G89" s="214" t="str">
        <f>IFERROR(G$10*INDEX('Covenants Consolidated'!47:47,MATCH('Financial summary'!G$88,'Covenants offshore'!$4:$4,0)),"")</f>
        <v/>
      </c>
      <c r="H89" s="214" t="str">
        <f>IFERROR(H$10*INDEX('Covenants Consolidated'!47:47,MATCH('Financial summary'!H$88,'Covenants offshore'!$4:$4,0)),"")</f>
        <v/>
      </c>
      <c r="I89" s="214" t="str">
        <f>IFERROR(I$10*INDEX('Covenants Consolidated'!47:47,MATCH('Financial summary'!I$88,'Covenants offshore'!$4:$4,0)),"")</f>
        <v/>
      </c>
      <c r="J89" s="214" t="str">
        <f>IFERROR(J$10*INDEX('Covenants Consolidated'!47:47,MATCH('Financial summary'!J$88,'Covenants offshore'!$4:$4,0)),"")</f>
        <v/>
      </c>
      <c r="K89" s="214" t="str">
        <f ca="1">IFERROR(K$10*INDEX('Covenants Consolidated'!47:47,MATCH('Financial summary'!K$88,'Covenants offshore'!$4:$4,0)),"")</f>
        <v/>
      </c>
      <c r="L89" s="214" t="str">
        <f ca="1">IFERROR(L$10*INDEX('Covenants Consolidated'!47:47,MATCH('Financial summary'!L$88,'Covenants offshore'!$4:$4,0)),"")</f>
        <v/>
      </c>
      <c r="M89" s="214" t="str">
        <f ca="1">IFERROR(M$10*INDEX('Covenants Consolidated'!47:47,MATCH('Financial summary'!M$88,'Covenants offshore'!$4:$4,0)),"")</f>
        <v/>
      </c>
      <c r="N89" s="214" t="str">
        <f ca="1">IFERROR(N$10*INDEX('Covenants Consolidated'!47:47,MATCH('Financial summary'!N$88,'Covenants offshore'!$4:$4,0)),"")</f>
        <v/>
      </c>
      <c r="O89" s="214" t="str">
        <f ca="1">IFERROR(O$10*INDEX('Covenants Consolidated'!47:47,MATCH('Financial summary'!O$88,'Covenants offshore'!$4:$4,0)),"")</f>
        <v/>
      </c>
      <c r="P89" s="214" t="str">
        <f ca="1">IFERROR(P$10*INDEX('Covenants Consolidated'!47:47,MATCH('Financial summary'!P$88,'Covenants offshore'!$4:$4,0)),"")</f>
        <v/>
      </c>
      <c r="Q89" s="214" t="str">
        <f>IFERROR(Q$10*INDEX('Covenants Consolidated'!47:47,MATCH('Financial summary'!Q$88,'Covenants offshore'!$4:$4,0)),"")</f>
        <v/>
      </c>
    </row>
    <row r="90" spans="1:17">
      <c r="A90" s="26"/>
      <c r="C90" s="6"/>
      <c r="D90" s="214" t="str">
        <f>'Covenants Consolidated'!C61</f>
        <v>Senior ICR</v>
      </c>
      <c r="E90" s="214" t="str">
        <f>IFERROR(E$10*INDEX('Covenants Consolidated'!61:61,MATCH('Financial summary'!E$88,'Covenants offshore'!$4:$4,0)),"")</f>
        <v/>
      </c>
      <c r="F90" s="214" t="str">
        <f>IFERROR(F$10*INDEX('Covenants Consolidated'!61:61,MATCH('Financial summary'!F$88,'Covenants offshore'!$4:$4,0)),"")</f>
        <v/>
      </c>
      <c r="G90" s="214" t="str">
        <f>IFERROR(G$10*INDEX('Covenants Consolidated'!61:61,MATCH('Financial summary'!G$88,'Covenants offshore'!$4:$4,0)),"")</f>
        <v/>
      </c>
      <c r="H90" s="214" t="str">
        <f>IFERROR(H$10*INDEX('Covenants Consolidated'!61:61,MATCH('Financial summary'!H$88,'Covenants offshore'!$4:$4,0)),"")</f>
        <v/>
      </c>
      <c r="I90" s="214" t="str">
        <f>IFERROR(I$10*INDEX('Covenants Consolidated'!61:61,MATCH('Financial summary'!I$88,'Covenants offshore'!$4:$4,0)),"")</f>
        <v/>
      </c>
      <c r="J90" s="214" t="str">
        <f>IFERROR(J$10*INDEX('Covenants Consolidated'!61:61,MATCH('Financial summary'!J$88,'Covenants offshore'!$4:$4,0)),"")</f>
        <v/>
      </c>
      <c r="K90" s="214" t="str">
        <f ca="1">IFERROR(K$10*INDEX('Covenants Consolidated'!61:61,MATCH('Financial summary'!K$88,'Covenants offshore'!$4:$4,0)),"")</f>
        <v/>
      </c>
      <c r="L90" s="214" t="str">
        <f ca="1">IFERROR(L$10*INDEX('Covenants Consolidated'!61:61,MATCH('Financial summary'!L$88,'Covenants offshore'!$4:$4,0)),"")</f>
        <v/>
      </c>
      <c r="M90" s="214" t="str">
        <f ca="1">IFERROR(M$10*INDEX('Covenants Consolidated'!61:61,MATCH('Financial summary'!M$88,'Covenants offshore'!$4:$4,0)),"")</f>
        <v/>
      </c>
      <c r="N90" s="214" t="str">
        <f ca="1">IFERROR(N$10*INDEX('Covenants Consolidated'!61:61,MATCH('Financial summary'!N$88,'Covenants offshore'!$4:$4,0)),"")</f>
        <v/>
      </c>
      <c r="O90" s="214" t="str">
        <f ca="1">IFERROR(O$10*INDEX('Covenants Consolidated'!61:61,MATCH('Financial summary'!O$88,'Covenants offshore'!$4:$4,0)),"")</f>
        <v/>
      </c>
      <c r="P90" s="214" t="str">
        <f ca="1">IFERROR(P$10*INDEX('Covenants Consolidated'!61:61,MATCH('Financial summary'!P$88,'Covenants offshore'!$4:$4,0)),"")</f>
        <v/>
      </c>
      <c r="Q90" s="214" t="str">
        <f>IFERROR(Q$10*INDEX('Covenants Consolidated'!61:61,MATCH('Financial summary'!Q$88,'Covenants offshore'!$4:$4,0)),"")</f>
        <v/>
      </c>
    </row>
    <row r="91" spans="1:17">
      <c r="A91" s="26"/>
      <c r="C91" s="6"/>
      <c r="D91" s="214" t="str">
        <f>'Covenants Consolidated'!C65</f>
        <v>Senior DSCR</v>
      </c>
      <c r="E91" s="214" t="str">
        <f>IFERROR(E$10*INDEX('Covenants Consolidated'!65:65,MATCH('Financial summary'!E$88,'Covenants offshore'!$4:$4,0)),"")</f>
        <v/>
      </c>
      <c r="F91" s="214" t="str">
        <f>IFERROR(F$10*INDEX('Covenants Consolidated'!65:65,MATCH('Financial summary'!F$88,'Covenants offshore'!$4:$4,0)),"")</f>
        <v/>
      </c>
      <c r="G91" s="214" t="str">
        <f>IFERROR(G$10*INDEX('Covenants Consolidated'!65:65,MATCH('Financial summary'!G$88,'Covenants offshore'!$4:$4,0)),"")</f>
        <v/>
      </c>
      <c r="H91" s="214" t="str">
        <f>IFERROR(H$10*INDEX('Covenants Consolidated'!65:65,MATCH('Financial summary'!H$88,'Covenants offshore'!$4:$4,0)),"")</f>
        <v/>
      </c>
      <c r="I91" s="214" t="str">
        <f>IFERROR(I$10*INDEX('Covenants Consolidated'!65:65,MATCH('Financial summary'!I$88,'Covenants offshore'!$4:$4,0)),"")</f>
        <v/>
      </c>
      <c r="J91" s="214" t="str">
        <f>IFERROR(J$10*INDEX('Covenants Consolidated'!65:65,MATCH('Financial summary'!J$88,'Covenants offshore'!$4:$4,0)),"")</f>
        <v/>
      </c>
      <c r="K91" s="214" t="str">
        <f ca="1">IFERROR(K$10*INDEX('Covenants Consolidated'!65:65,MATCH('Financial summary'!K$88,'Covenants offshore'!$4:$4,0)),"")</f>
        <v/>
      </c>
      <c r="L91" s="214" t="str">
        <f ca="1">IFERROR(L$10*INDEX('Covenants Consolidated'!65:65,MATCH('Financial summary'!L$88,'Covenants offshore'!$4:$4,0)),"")</f>
        <v/>
      </c>
      <c r="M91" s="214" t="str">
        <f ca="1">IFERROR(M$10*INDEX('Covenants Consolidated'!65:65,MATCH('Financial summary'!M$88,'Covenants offshore'!$4:$4,0)),"")</f>
        <v/>
      </c>
      <c r="N91" s="214" t="str">
        <f ca="1">IFERROR(N$10*INDEX('Covenants Consolidated'!65:65,MATCH('Financial summary'!N$88,'Covenants offshore'!$4:$4,0)),"")</f>
        <v/>
      </c>
      <c r="O91" s="214" t="str">
        <f ca="1">IFERROR(O$10*INDEX('Covenants Consolidated'!65:65,MATCH('Financial summary'!O$88,'Covenants offshore'!$4:$4,0)),"")</f>
        <v/>
      </c>
      <c r="P91" s="214" t="str">
        <f ca="1">IFERROR(P$10*INDEX('Covenants Consolidated'!65:65,MATCH('Financial summary'!P$88,'Covenants offshore'!$4:$4,0)),"")</f>
        <v/>
      </c>
      <c r="Q91" s="214" t="str">
        <f>IFERROR(Q$10*INDEX('Covenants Consolidated'!65:65,MATCH('Financial summary'!Q$88,'Covenants offshore'!$4:$4,0)),"")</f>
        <v/>
      </c>
    </row>
    <row r="92" spans="1:17">
      <c r="A92" s="26"/>
      <c r="C92" s="6"/>
      <c r="D92" s="214" t="str">
        <f>'Covenants Consolidated'!C69</f>
        <v>Senior DSCR incl. opening cash</v>
      </c>
      <c r="E92" s="214"/>
      <c r="F92" s="214"/>
      <c r="G92" s="214"/>
      <c r="H92" s="214"/>
      <c r="I92" s="214"/>
      <c r="J92" s="214" t="str">
        <f>IFERROR(J$10*INDEX('Covenants Consolidated'!69:69,MATCH('Financial summary'!J$88,'Covenants offshore'!$4:$4,0)),"")</f>
        <v/>
      </c>
      <c r="K92" s="214" t="str">
        <f ca="1">IFERROR(K$10*INDEX('Covenants Consolidated'!69:69,MATCH('Financial summary'!K$88,'Covenants offshore'!$4:$4,0)),"")</f>
        <v/>
      </c>
      <c r="L92" s="214" t="str">
        <f ca="1">IFERROR(L$10*INDEX('Covenants Consolidated'!69:69,MATCH('Financial summary'!L$88,'Covenants offshore'!$4:$4,0)),"")</f>
        <v/>
      </c>
      <c r="M92" s="214" t="str">
        <f ca="1">IFERROR(M$10*INDEX('Covenants Consolidated'!69:69,MATCH('Financial summary'!M$88,'Covenants offshore'!$4:$4,0)),"")</f>
        <v/>
      </c>
      <c r="N92" s="214" t="str">
        <f ca="1">IFERROR(N$10*INDEX('Covenants Consolidated'!69:69,MATCH('Financial summary'!N$88,'Covenants offshore'!$4:$4,0)),"")</f>
        <v/>
      </c>
      <c r="O92" s="214" t="str">
        <f ca="1">IFERROR(O$10*INDEX('Covenants Consolidated'!69:69,MATCH('Financial summary'!O$88,'Covenants offshore'!$4:$4,0)),"")</f>
        <v/>
      </c>
      <c r="P92" s="214" t="str">
        <f ca="1">IFERROR(P$10*INDEX('Covenants Consolidated'!69:69,MATCH('Financial summary'!P$88,'Covenants offshore'!$4:$4,0)),"")</f>
        <v/>
      </c>
      <c r="Q92" s="214"/>
    </row>
    <row r="93" spans="1:17">
      <c r="C93" s="180" t="s">
        <v>23</v>
      </c>
      <c r="D93" s="180"/>
      <c r="E93" s="180"/>
      <c r="F93" s="180"/>
      <c r="G93" s="180"/>
      <c r="H93" s="180"/>
      <c r="I93" s="180"/>
      <c r="J93" s="180"/>
      <c r="K93" s="180"/>
      <c r="L93" s="180"/>
      <c r="M93" s="180"/>
      <c r="N93" s="180"/>
      <c r="O93" s="180"/>
      <c r="P93" s="180"/>
      <c r="Q93" s="180"/>
    </row>
    <row r="94" spans="1:17">
      <c r="C94" s="11"/>
      <c r="D94" s="214" t="str">
        <f>D89</f>
        <v>Senior Net leverage</v>
      </c>
      <c r="E94" s="404" t="str">
        <f>IFERROR(E$10*INDEX('Covenants Consolidated'!48:48,MATCH('Financial summary'!E$88,'Covenants offshore'!$4:$4,0)),"")</f>
        <v/>
      </c>
      <c r="F94" s="404" t="str">
        <f>IFERROR(F$10*INDEX('Covenants Consolidated'!48:48,MATCH('Financial summary'!F$88,'Covenants offshore'!$4:$4,0)),"")</f>
        <v/>
      </c>
      <c r="G94" s="404" t="str">
        <f>IFERROR(G$10*INDEX('Covenants Consolidated'!48:48,MATCH('Financial summary'!G$88,'Covenants offshore'!$4:$4,0)),"")</f>
        <v/>
      </c>
      <c r="H94" s="404" t="str">
        <f>IFERROR(H$10*INDEX('Covenants Consolidated'!48:48,MATCH('Financial summary'!H$88,'Covenants offshore'!$4:$4,0)),"")</f>
        <v/>
      </c>
      <c r="I94" s="404" t="str">
        <f>IFERROR(I$10*INDEX('Covenants Consolidated'!48:48,MATCH('Financial summary'!I$88,'Covenants offshore'!$4:$4,0)),"")</f>
        <v/>
      </c>
      <c r="J94" s="404" t="str">
        <f>IFERROR(J$10*INDEX('Covenants Consolidated'!48:48,MATCH('Financial summary'!J$88,'Covenants offshore'!$4:$4,0)),"")</f>
        <v/>
      </c>
      <c r="K94" s="404">
        <f>IFERROR(K$10*INDEX('Covenants Consolidated'!48:48,MATCH('Financial summary'!K$88,'Covenants offshore'!$4:$4,0)),"")</f>
        <v>5.5</v>
      </c>
      <c r="L94" s="404">
        <f>IFERROR(L$10*INDEX('Covenants Consolidated'!48:48,MATCH('Financial summary'!L$88,'Covenants offshore'!$4:$4,0)),"")</f>
        <v>5.5</v>
      </c>
      <c r="M94" s="404">
        <f>IFERROR(M$10*INDEX('Covenants Consolidated'!48:48,MATCH('Financial summary'!M$88,'Covenants offshore'!$4:$4,0)),"")</f>
        <v>5</v>
      </c>
      <c r="N94" s="404">
        <f>IFERROR(N$10*INDEX('Covenants Consolidated'!48:48,MATCH('Financial summary'!N$88,'Covenants offshore'!$4:$4,0)),"")</f>
        <v>4.5</v>
      </c>
      <c r="O94" s="404">
        <f>IFERROR(O$10*INDEX('Covenants Consolidated'!48:48,MATCH('Financial summary'!O$88,'Covenants offshore'!$4:$4,0)),"")</f>
        <v>4.5</v>
      </c>
      <c r="P94" s="404">
        <f>IFERROR(P$10*INDEX('Covenants Consolidated'!48:48,MATCH('Financial summary'!P$88,'Covenants offshore'!$4:$4,0)),"")</f>
        <v>3</v>
      </c>
      <c r="Q94" s="404" t="str">
        <f>IFERROR(Q$10*INDEX('Covenants Consolidated'!48:48,MATCH('Financial summary'!Q$88,'Covenants offshore'!$4:$4,0)),"")</f>
        <v/>
      </c>
    </row>
    <row r="95" spans="1:17" hidden="1" outlineLevel="1">
      <c r="D95" s="214" t="str">
        <f t="shared" ref="D95:D96" si="61">D90</f>
        <v>Senior ICR</v>
      </c>
      <c r="E95" s="404" t="str">
        <f>IFERROR(E$10*INDEX('Covenants Consolidated'!62:62,MATCH('Financial summary'!E$88,'Covenants offshore'!$4:$4,0)),"")</f>
        <v/>
      </c>
      <c r="F95" s="404" t="str">
        <f>IFERROR(F$10*INDEX('Covenants Consolidated'!62:62,MATCH('Financial summary'!F$88,'Covenants offshore'!$4:$4,0)),"")</f>
        <v/>
      </c>
      <c r="G95" s="404" t="str">
        <f>IFERROR(G$10*INDEX('Covenants Consolidated'!62:62,MATCH('Financial summary'!G$88,'Covenants offshore'!$4:$4,0)),"")</f>
        <v/>
      </c>
      <c r="H95" s="404" t="str">
        <f>IFERROR(H$10*INDEX('Covenants Consolidated'!62:62,MATCH('Financial summary'!H$88,'Covenants offshore'!$4:$4,0)),"")</f>
        <v/>
      </c>
      <c r="I95" s="404" t="str">
        <f>IFERROR(I$10*INDEX('Covenants Consolidated'!62:62,MATCH('Financial summary'!I$88,'Covenants offshore'!$4:$4,0)),"")</f>
        <v/>
      </c>
      <c r="J95" s="404"/>
      <c r="K95" s="404"/>
      <c r="L95" s="404"/>
      <c r="M95" s="404"/>
      <c r="N95" s="404"/>
      <c r="O95" s="404"/>
      <c r="P95" s="404"/>
      <c r="Q95" s="404"/>
    </row>
    <row r="96" spans="1:17" hidden="1" outlineLevel="1">
      <c r="D96" s="214" t="str">
        <f t="shared" si="61"/>
        <v>Senior DSCR</v>
      </c>
      <c r="E96" s="404" t="str">
        <f>IFERROR(E$10*INDEX('Covenants Consolidated'!66:66,MATCH('Financial summary'!E$88,'Covenants offshore'!$4:$4,0)),"")</f>
        <v/>
      </c>
      <c r="F96" s="404" t="str">
        <f>IFERROR(F$10*INDEX('Covenants Consolidated'!66:66,MATCH('Financial summary'!F$88,'Covenants offshore'!$4:$4,0)),"")</f>
        <v/>
      </c>
      <c r="G96" s="404" t="str">
        <f>IFERROR(G$10*INDEX('Covenants Consolidated'!66:66,MATCH('Financial summary'!G$88,'Covenants offshore'!$4:$4,0)),"")</f>
        <v/>
      </c>
      <c r="H96" s="404" t="str">
        <f>IFERROR(H$10*INDEX('Covenants Consolidated'!66:66,MATCH('Financial summary'!H$88,'Covenants offshore'!$4:$4,0)),"")</f>
        <v/>
      </c>
      <c r="I96" s="404" t="str">
        <f>IFERROR(I$10*INDEX('Covenants Consolidated'!66:66,MATCH('Financial summary'!I$88,'Covenants offshore'!$4:$4,0)),"")</f>
        <v/>
      </c>
      <c r="J96" s="404" t="str">
        <f>IFERROR(J$10*INDEX('Covenants Consolidated'!66:66,MATCH('Financial summary'!J$88,'Covenants offshore'!$4:$4,0)),"")</f>
        <v/>
      </c>
      <c r="K96" s="404">
        <f>IFERROR(K$10*INDEX('Covenants Consolidated'!66:66,MATCH('Financial summary'!K$88,'Covenants offshore'!$4:$4,0)),"")</f>
        <v>0</v>
      </c>
      <c r="L96" s="404">
        <f>IFERROR(L$10*INDEX('Covenants Consolidated'!66:66,MATCH('Financial summary'!L$88,'Covenants offshore'!$4:$4,0)),"")</f>
        <v>0</v>
      </c>
      <c r="M96" s="404">
        <f>IFERROR(M$10*INDEX('Covenants Consolidated'!66:66,MATCH('Financial summary'!M$88,'Covenants offshore'!$4:$4,0)),"")</f>
        <v>0</v>
      </c>
      <c r="N96" s="404">
        <f>IFERROR(N$10*INDEX('Covenants Consolidated'!66:66,MATCH('Financial summary'!N$88,'Covenants offshore'!$4:$4,0)),"")</f>
        <v>0</v>
      </c>
      <c r="O96" s="404">
        <f>IFERROR(O$10*INDEX('Covenants Consolidated'!66:66,MATCH('Financial summary'!O$88,'Covenants offshore'!$4:$4,0)),"")</f>
        <v>0</v>
      </c>
      <c r="P96" s="404">
        <f>IFERROR(P$10*INDEX('Covenants Consolidated'!66:66,MATCH('Financial summary'!P$88,'Covenants offshore'!$4:$4,0)),"")</f>
        <v>0</v>
      </c>
      <c r="Q96" s="404"/>
    </row>
    <row r="97" spans="4:16" collapsed="1">
      <c r="D97" s="668" t="str">
        <f>D92</f>
        <v>Senior DSCR incl. opening cash</v>
      </c>
      <c r="I97" s="404" t="str">
        <f>IFERROR(I$10*INDEX('Covenants Consolidated'!70:70,MATCH('Financial summary'!I$88,'Covenants offshore'!$4:$4,0)),"")</f>
        <v/>
      </c>
      <c r="J97" s="404" t="str">
        <f>IFERROR(J$10*INDEX('Covenants Consolidated'!70:70,MATCH('Financial summary'!J$88,'Covenants offshore'!$4:$4,0)),"")</f>
        <v/>
      </c>
      <c r="K97" s="404">
        <f>IFERROR(K$10*INDEX('Covenants Consolidated'!70:70,MATCH('Financial summary'!K$88,'Covenants offshore'!$4:$4,0)),"")</f>
        <v>1.05</v>
      </c>
      <c r="L97" s="404">
        <f>IFERROR(L$10*INDEX('Covenants Consolidated'!70:70,MATCH('Financial summary'!L$88,'Covenants offshore'!$4:$4,0)),"")</f>
        <v>1.05</v>
      </c>
      <c r="M97" s="404">
        <f>IFERROR(M$10*INDEX('Covenants Consolidated'!70:70,MATCH('Financial summary'!M$88,'Covenants offshore'!$4:$4,0)),"")</f>
        <v>1.05</v>
      </c>
      <c r="N97" s="404">
        <f>IFERROR(N$10*INDEX('Covenants Consolidated'!70:70,MATCH('Financial summary'!N$88,'Covenants offshore'!$4:$4,0)),"")</f>
        <v>1.05</v>
      </c>
      <c r="O97" s="404">
        <f>IFERROR(O$10*INDEX('Covenants Consolidated'!70:70,MATCH('Financial summary'!O$88,'Covenants offshore'!$4:$4,0)),"")</f>
        <v>1.05</v>
      </c>
      <c r="P97" s="404">
        <f>IFERROR(P$10*INDEX('Covenants Consolidated'!70:70,MATCH('Financial summary'!P$88,'Covenants offshore'!$4:$4,0)),"")</f>
        <v>1.05</v>
      </c>
    </row>
    <row r="98" spans="4:16">
      <c r="D98" s="214"/>
    </row>
  </sheetData>
  <sheetProtection formatCells="0" formatColumns="0" formatRows="0" sort="0" autoFilter="0" pivotTables="0"/>
  <phoneticPr fontId="2" type="noConversion"/>
  <conditionalFormatting sqref="E7:P10">
    <cfRule type="cellIs" dxfId="143" priority="23" operator="equal">
      <formula>TRUE</formula>
    </cfRule>
  </conditionalFormatting>
  <conditionalFormatting sqref="E32:Q32 E85:Q85">
    <cfRule type="cellIs" dxfId="142" priority="22" operator="lessThan">
      <formula>0</formula>
    </cfRule>
  </conditionalFormatting>
  <conditionalFormatting sqref="E89:Q89">
    <cfRule type="cellIs" dxfId="141" priority="20" operator="greaterThan">
      <formula>E94</formula>
    </cfRule>
  </conditionalFormatting>
  <conditionalFormatting sqref="N75:P75">
    <cfRule type="cellIs" dxfId="140" priority="16" operator="greaterThan">
      <formula>0</formula>
    </cfRule>
  </conditionalFormatting>
  <conditionalFormatting sqref="E89:Q89">
    <cfRule type="cellIs" dxfId="139" priority="13" operator="greaterThan">
      <formula>E94</formula>
    </cfRule>
  </conditionalFormatting>
  <conditionalFormatting sqref="I90:Q90">
    <cfRule type="cellIs" dxfId="138" priority="6" operator="lessThan">
      <formula>I95</formula>
    </cfRule>
  </conditionalFormatting>
  <conditionalFormatting sqref="I91:Q92">
    <cfRule type="cellIs" dxfId="137" priority="5" operator="lessThan">
      <formula>I96</formula>
    </cfRule>
  </conditionalFormatting>
  <conditionalFormatting sqref="Q7:Q10">
    <cfRule type="cellIs" dxfId="136" priority="4" operator="equal">
      <formula>TRUE</formula>
    </cfRule>
  </conditionalFormatting>
  <conditionalFormatting sqref="Q85 Q32">
    <cfRule type="cellIs" dxfId="135" priority="3" operator="lessThan">
      <formula>0</formula>
    </cfRule>
  </conditionalFormatting>
  <conditionalFormatting sqref="Q75">
    <cfRule type="cellIs" dxfId="134" priority="2" operator="greaterThan">
      <formula>0</formula>
    </cfRule>
  </conditionalFormatting>
  <conditionalFormatting sqref="F76:Q76">
    <cfRule type="cellIs" dxfId="133" priority="1" operator="greaterThan">
      <formula>0</formula>
    </cfRule>
  </conditionalFormatting>
  <printOptions headings="1"/>
  <pageMargins left="0.7" right="0.7" top="0.75" bottom="0.75" header="0.3" footer="0.3"/>
  <pageSetup paperSize="9" scale="68" fitToHeight="5" orientation="landscape" r:id="rId1"/>
  <headerFooter>
    <oddHeader>&amp;L&amp;"-,粗體"CUB projection
&amp;R&amp;"-,粗體"CONFIDENTIAL</oddHeader>
    <oddFooter>&amp;L&amp;A&amp;RPage &amp;P</oddFooter>
  </headerFooter>
  <rowBreaks count="2" manualBreakCount="2">
    <brk id="28" max="15" man="1"/>
    <brk id="58" max="15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Drop Down 3">
              <controlPr defaultSize="0" autoLine="0" autoPict="0">
                <anchor moveWithCells="1">
                  <from>
                    <xdr:col>3</xdr:col>
                    <xdr:colOff>2414016</xdr:colOff>
                    <xdr:row>4</xdr:row>
                    <xdr:rowOff>9144</xdr:rowOff>
                  </from>
                  <to>
                    <xdr:col>5</xdr:col>
                    <xdr:colOff>210312</xdr:colOff>
                    <xdr:row>10</xdr:row>
                    <xdr:rowOff>54864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00B0F0"/>
  </sheetPr>
  <dimension ref="A1:R30"/>
  <sheetViews>
    <sheetView zoomScale="90" zoomScaleNormal="90" workbookViewId="0">
      <selection activeCell="F17" sqref="F17"/>
    </sheetView>
  </sheetViews>
  <sheetFormatPr defaultColWidth="9.140625" defaultRowHeight="14.4"/>
  <cols>
    <col min="1" max="1" width="58.5703125" style="1" customWidth="1"/>
    <col min="2" max="2" width="15.28515625" style="1" customWidth="1"/>
    <col min="3" max="3" width="10.28515625" style="1" customWidth="1"/>
    <col min="4" max="4" width="14.7109375" style="1" customWidth="1"/>
    <col min="5" max="5" width="28.28515625" style="1" customWidth="1"/>
    <col min="6" max="6" width="14.28515625" style="1" customWidth="1"/>
    <col min="7" max="7" width="11.5703125" style="1" customWidth="1"/>
    <col min="8" max="8" width="14.5703125" style="1" customWidth="1"/>
    <col min="9" max="18" width="11.5703125" style="1" customWidth="1"/>
    <col min="19" max="16384" width="9.140625" style="1"/>
  </cols>
  <sheetData>
    <row r="1" spans="1:18" s="38" customFormat="1" ht="16.600000000000001">
      <c r="A1" s="196" t="str">
        <f>CONCATENATE("Project ",project_name," - Control Panel")</f>
        <v>Project  - Control Panel</v>
      </c>
    </row>
    <row r="2" spans="1:18">
      <c r="A2" s="4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</row>
    <row r="3" spans="1:18">
      <c r="A3" s="209" t="s">
        <v>892</v>
      </c>
      <c r="B3" s="209"/>
      <c r="C3" s="209"/>
      <c r="D3" s="38"/>
      <c r="E3" s="198" t="s">
        <v>893</v>
      </c>
      <c r="F3" s="270" t="s">
        <v>712</v>
      </c>
      <c r="G3" s="198">
        <f>DATE(B12,B6,B7)</f>
        <v>43830</v>
      </c>
      <c r="H3" s="198">
        <f>EOMONTH(G3,12)</f>
        <v>44196</v>
      </c>
      <c r="I3" s="198">
        <f t="shared" ref="I3:L3" si="0">EOMONTH(H3,12)</f>
        <v>44561</v>
      </c>
      <c r="J3" s="198">
        <f t="shared" si="0"/>
        <v>44926</v>
      </c>
      <c r="K3" s="198">
        <f t="shared" si="0"/>
        <v>45291</v>
      </c>
      <c r="L3" s="198">
        <f t="shared" si="0"/>
        <v>45657</v>
      </c>
      <c r="M3" s="198">
        <f t="shared" ref="M3" si="1">EOMONTH(L3,12)</f>
        <v>46022</v>
      </c>
      <c r="N3" s="198">
        <f t="shared" ref="N3" si="2">EOMONTH(M3,12)</f>
        <v>46387</v>
      </c>
      <c r="O3" s="29"/>
      <c r="P3" s="29"/>
      <c r="Q3" s="29"/>
      <c r="R3" s="29"/>
    </row>
    <row r="4" spans="1:18">
      <c r="A4" s="255" t="s">
        <v>894</v>
      </c>
      <c r="B4" s="197">
        <v>2014</v>
      </c>
      <c r="C4" s="38"/>
      <c r="D4" s="38"/>
      <c r="E4" s="255" t="s">
        <v>873</v>
      </c>
      <c r="F4" s="271">
        <v>1</v>
      </c>
      <c r="G4" s="271">
        <v>1</v>
      </c>
      <c r="H4" s="271">
        <v>1</v>
      </c>
      <c r="I4" s="271">
        <v>1</v>
      </c>
      <c r="J4" s="271">
        <v>1</v>
      </c>
      <c r="K4" s="271">
        <v>1</v>
      </c>
      <c r="L4" s="271">
        <v>1</v>
      </c>
      <c r="M4" s="271">
        <v>1</v>
      </c>
      <c r="N4" s="271">
        <v>1</v>
      </c>
    </row>
    <row r="5" spans="1:18">
      <c r="A5" s="255" t="s">
        <v>693</v>
      </c>
      <c r="B5" s="197">
        <v>5</v>
      </c>
      <c r="C5" s="38"/>
      <c r="D5" s="38"/>
      <c r="E5" s="255" t="s">
        <v>895</v>
      </c>
      <c r="F5" s="271">
        <v>1</v>
      </c>
      <c r="G5" s="271">
        <v>1</v>
      </c>
      <c r="H5" s="271">
        <v>1</v>
      </c>
      <c r="I5" s="271">
        <v>1</v>
      </c>
      <c r="J5" s="271">
        <v>1</v>
      </c>
      <c r="K5" s="271">
        <v>1</v>
      </c>
      <c r="L5" s="271">
        <v>1</v>
      </c>
      <c r="M5" s="271">
        <v>1</v>
      </c>
      <c r="N5" s="271">
        <v>1</v>
      </c>
    </row>
    <row r="6" spans="1:18">
      <c r="A6" s="225" t="s">
        <v>1011</v>
      </c>
      <c r="B6" s="197">
        <v>12</v>
      </c>
      <c r="C6" s="38"/>
      <c r="D6" s="38"/>
      <c r="E6" s="255" t="s">
        <v>896</v>
      </c>
      <c r="F6" s="271">
        <v>1</v>
      </c>
      <c r="G6" s="271">
        <v>1</v>
      </c>
      <c r="H6" s="271">
        <v>1</v>
      </c>
      <c r="I6" s="271">
        <v>1</v>
      </c>
      <c r="J6" s="271">
        <v>1</v>
      </c>
      <c r="K6" s="271">
        <v>1</v>
      </c>
      <c r="L6" s="271">
        <v>1</v>
      </c>
      <c r="M6" s="271">
        <v>1</v>
      </c>
      <c r="N6" s="271">
        <v>1</v>
      </c>
    </row>
    <row r="7" spans="1:18">
      <c r="A7" s="225" t="s">
        <v>1012</v>
      </c>
      <c r="B7" s="197">
        <v>31</v>
      </c>
      <c r="C7" s="38"/>
      <c r="D7" s="38"/>
      <c r="E7" s="38"/>
      <c r="F7" s="38"/>
      <c r="G7" s="38"/>
      <c r="H7" s="38"/>
      <c r="I7" s="38"/>
      <c r="J7" s="38"/>
      <c r="K7" s="38"/>
      <c r="L7" s="38"/>
    </row>
    <row r="8" spans="1:18">
      <c r="A8" s="255" t="s">
        <v>832</v>
      </c>
      <c r="B8" s="197" t="b">
        <v>0</v>
      </c>
      <c r="C8" s="38"/>
      <c r="D8" s="38"/>
      <c r="E8" s="209" t="s">
        <v>897</v>
      </c>
      <c r="F8" s="209"/>
      <c r="G8" s="38"/>
      <c r="H8" s="38"/>
      <c r="I8" s="38"/>
      <c r="J8" s="38"/>
      <c r="K8" s="38"/>
      <c r="L8" s="38"/>
    </row>
    <row r="9" spans="1:18">
      <c r="A9" s="255" t="s">
        <v>898</v>
      </c>
      <c r="B9" s="272">
        <v>43465</v>
      </c>
      <c r="C9" s="38"/>
      <c r="D9" s="38"/>
      <c r="E9" s="38" t="s">
        <v>709</v>
      </c>
      <c r="F9" s="274">
        <v>0</v>
      </c>
      <c r="G9" s="38"/>
      <c r="H9" s="38"/>
      <c r="I9" s="38"/>
      <c r="J9" s="38"/>
      <c r="K9" s="38"/>
      <c r="L9" s="38"/>
    </row>
    <row r="10" spans="1:18">
      <c r="A10" s="225" t="s">
        <v>1554</v>
      </c>
      <c r="B10" s="411">
        <v>4</v>
      </c>
      <c r="C10" s="38"/>
      <c r="D10" s="38"/>
      <c r="E10" s="38" t="s">
        <v>710</v>
      </c>
      <c r="F10" s="274">
        <v>0.1</v>
      </c>
      <c r="G10" s="38"/>
      <c r="H10" s="38"/>
      <c r="I10" s="38"/>
      <c r="J10" s="38"/>
      <c r="K10" s="38"/>
      <c r="L10" s="38"/>
    </row>
    <row r="11" spans="1:18">
      <c r="A11" s="255" t="s">
        <v>689</v>
      </c>
      <c r="B11" s="272">
        <f>IF(B8,B9+1,DATE(B4+B5-1,B6,B7)+1)</f>
        <v>43466</v>
      </c>
      <c r="C11" s="38"/>
      <c r="D11" s="38"/>
      <c r="E11" s="38" t="s">
        <v>711</v>
      </c>
      <c r="F11" s="274">
        <v>0</v>
      </c>
      <c r="G11" s="38"/>
      <c r="H11" s="38"/>
      <c r="I11" s="38"/>
      <c r="J11" s="38"/>
      <c r="K11" s="38"/>
      <c r="L11" s="38"/>
    </row>
    <row r="12" spans="1:18">
      <c r="A12" s="255" t="s">
        <v>899</v>
      </c>
      <c r="B12" s="197">
        <v>2019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</row>
    <row r="13" spans="1:18">
      <c r="A13" s="255" t="s">
        <v>900</v>
      </c>
      <c r="B13" s="197">
        <v>2024</v>
      </c>
      <c r="C13" s="38"/>
      <c r="D13" s="38"/>
      <c r="E13" s="38"/>
      <c r="F13" s="38"/>
      <c r="G13" s="38"/>
      <c r="H13" s="38"/>
      <c r="I13" s="38"/>
      <c r="J13" s="38"/>
      <c r="K13" s="38"/>
      <c r="L13" s="38"/>
    </row>
    <row r="14" spans="1:18">
      <c r="A14" s="255" t="s">
        <v>713</v>
      </c>
      <c r="B14" s="197" t="b">
        <v>0</v>
      </c>
      <c r="C14" s="255" t="b">
        <f>1-B14=1</f>
        <v>1</v>
      </c>
      <c r="D14" s="38"/>
      <c r="E14" s="38"/>
      <c r="F14" s="38"/>
      <c r="G14" s="38"/>
      <c r="H14" s="38"/>
      <c r="I14" s="38"/>
      <c r="J14" s="38"/>
      <c r="K14" s="38"/>
      <c r="L14" s="38"/>
    </row>
    <row r="15" spans="1:18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</row>
    <row r="16" spans="1:18">
      <c r="A16" s="209" t="s">
        <v>901</v>
      </c>
      <c r="B16" s="209"/>
      <c r="C16" s="209"/>
      <c r="D16" s="38"/>
      <c r="E16" s="38"/>
      <c r="F16" s="38"/>
      <c r="G16" s="38"/>
      <c r="H16" s="38"/>
      <c r="I16" s="38"/>
      <c r="J16" s="38"/>
      <c r="K16" s="38"/>
      <c r="L16" s="38"/>
    </row>
    <row r="17" spans="1:12">
      <c r="A17" s="255" t="s">
        <v>902</v>
      </c>
      <c r="B17" s="197" t="b">
        <v>0</v>
      </c>
      <c r="C17" s="38"/>
      <c r="D17" s="38"/>
      <c r="E17" s="38"/>
      <c r="F17" s="38"/>
      <c r="G17" s="38"/>
      <c r="H17" s="38"/>
      <c r="I17" s="38"/>
      <c r="J17" s="38"/>
      <c r="K17" s="38"/>
      <c r="L17" s="38"/>
    </row>
    <row r="18" spans="1:12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</row>
    <row r="19" spans="1:12">
      <c r="A19" s="209" t="s">
        <v>865</v>
      </c>
      <c r="B19" s="209"/>
      <c r="C19" s="209"/>
      <c r="D19" s="38"/>
      <c r="E19" s="38"/>
      <c r="F19" s="38"/>
      <c r="G19" s="38"/>
      <c r="H19" s="38"/>
      <c r="I19" s="38"/>
      <c r="J19" s="38"/>
      <c r="K19" s="38"/>
      <c r="L19" s="38"/>
    </row>
    <row r="20" spans="1:12">
      <c r="A20" s="255" t="s">
        <v>849</v>
      </c>
      <c r="B20" s="197" t="s">
        <v>1526</v>
      </c>
      <c r="C20" s="255"/>
      <c r="D20" s="38"/>
      <c r="E20" s="38"/>
      <c r="F20" s="38"/>
      <c r="G20" s="38"/>
      <c r="H20" s="38"/>
      <c r="I20" s="38"/>
      <c r="J20" s="38"/>
      <c r="K20" s="38"/>
      <c r="L20" s="38"/>
    </row>
    <row r="21" spans="1:12">
      <c r="A21" s="255" t="s">
        <v>866</v>
      </c>
      <c r="B21" s="197"/>
      <c r="C21" s="255"/>
      <c r="D21" s="38"/>
      <c r="E21" s="38"/>
      <c r="F21" s="38"/>
      <c r="G21" s="38"/>
      <c r="H21" s="38"/>
      <c r="I21" s="38"/>
      <c r="J21" s="38"/>
      <c r="K21" s="38"/>
      <c r="L21" s="38"/>
    </row>
    <row r="22" spans="1:12">
      <c r="A22" s="225" t="s">
        <v>1441</v>
      </c>
      <c r="B22" s="197">
        <v>1000</v>
      </c>
      <c r="C22" s="255"/>
      <c r="D22" s="38"/>
    </row>
    <row r="23" spans="1:12">
      <c r="D23" s="387"/>
    </row>
    <row r="24" spans="1:12">
      <c r="A24" s="209" t="s">
        <v>1054</v>
      </c>
      <c r="B24" s="209"/>
      <c r="C24" s="209" t="s">
        <v>1465</v>
      </c>
      <c r="D24" s="388"/>
    </row>
    <row r="25" spans="1:12">
      <c r="A25" s="1" t="s">
        <v>1055</v>
      </c>
      <c r="B25" s="197" t="s">
        <v>1589</v>
      </c>
      <c r="C25" s="274">
        <v>1</v>
      </c>
      <c r="D25" s="38"/>
    </row>
    <row r="26" spans="1:12">
      <c r="A26" s="1" t="s">
        <v>1056</v>
      </c>
      <c r="B26" s="197" t="s">
        <v>1590</v>
      </c>
      <c r="C26" s="274">
        <v>1</v>
      </c>
      <c r="D26" s="38"/>
    </row>
    <row r="27" spans="1:12">
      <c r="A27" s="1" t="s">
        <v>1057</v>
      </c>
      <c r="C27" s="274"/>
    </row>
    <row r="29" spans="1:12">
      <c r="A29" s="209" t="s">
        <v>1088</v>
      </c>
      <c r="B29" s="209"/>
    </row>
    <row r="30" spans="1:12">
      <c r="A30" s="1" t="s">
        <v>1089</v>
      </c>
      <c r="B30" s="291">
        <f ca="1">ROUND(SUMSQ('BS Holdco'!134:134,'CF Holdco'!53:53,'BS offshore'!133:133,'CF offshore'!53:53),1)</f>
        <v>0</v>
      </c>
    </row>
  </sheetData>
  <phoneticPr fontId="2" type="noConversion"/>
  <conditionalFormatting sqref="B30">
    <cfRule type="cellIs" dxfId="132" priority="1" operator="notBetween">
      <formula>-1</formula>
      <formula>1</formula>
    </cfRule>
  </conditionalFormatting>
  <dataValidations count="2">
    <dataValidation type="list" allowBlank="1" showInputMessage="1" showErrorMessage="1" sqref="B8 B14 B17">
      <formula1>"TRUE,FALSE"</formula1>
    </dataValidation>
    <dataValidation type="list" allowBlank="1" showInputMessage="1" showErrorMessage="1" sqref="B10">
      <formula1>"1,2,3,4"</formula1>
    </dataValidation>
  </dataValidation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</sheetPr>
  <dimension ref="C1:K25"/>
  <sheetViews>
    <sheetView showGridLines="0" view="pageBreakPreview" zoomScale="90" zoomScaleSheetLayoutView="90" workbookViewId="0">
      <selection activeCell="G26" sqref="G26"/>
    </sheetView>
  </sheetViews>
  <sheetFormatPr defaultColWidth="9.140625" defaultRowHeight="14.4"/>
  <cols>
    <col min="1" max="1" width="1.5703125" style="1" customWidth="1"/>
    <col min="2" max="2" width="1.42578125" style="1" customWidth="1"/>
    <col min="3" max="3" width="39" style="1" customWidth="1"/>
    <col min="4" max="4" width="9.140625" style="1"/>
    <col min="5" max="5" width="15.28515625" style="1" customWidth="1"/>
    <col min="6" max="6" width="9.140625" style="1"/>
    <col min="7" max="7" width="4.7109375" style="1" customWidth="1"/>
    <col min="8" max="8" width="31.140625" style="1" bestFit="1" customWidth="1"/>
    <col min="9" max="9" width="10.140625" style="1" customWidth="1"/>
    <col min="10" max="10" width="19.42578125" style="1" customWidth="1"/>
    <col min="11" max="11" width="9.5703125" style="1" bestFit="1" customWidth="1"/>
    <col min="12" max="16384" width="9.140625" style="1"/>
  </cols>
  <sheetData>
    <row r="1" spans="3:11" ht="16.600000000000001">
      <c r="C1" s="196" t="str">
        <f>CONCATENATE("Project ",project_name," sources and uses")</f>
        <v>Project  sources and uses</v>
      </c>
    </row>
    <row r="2" spans="3:11">
      <c r="C2" s="213" t="s">
        <v>31</v>
      </c>
      <c r="D2" s="209"/>
      <c r="E2" s="209"/>
      <c r="F2" s="209"/>
      <c r="G2" s="209"/>
      <c r="H2" s="209"/>
      <c r="I2" s="209"/>
      <c r="J2" s="209"/>
      <c r="K2" s="209"/>
    </row>
    <row r="3" spans="3:11" ht="27.4">
      <c r="C3" s="213" t="s">
        <v>32</v>
      </c>
      <c r="D3" s="284" t="str">
        <f>CONCATENATE(model_curr," MM")</f>
        <v>USD MM</v>
      </c>
      <c r="E3" s="294" t="s">
        <v>1754</v>
      </c>
      <c r="F3" s="284" t="s">
        <v>33</v>
      </c>
      <c r="G3" s="213"/>
      <c r="H3" s="213" t="s">
        <v>34</v>
      </c>
      <c r="I3" s="284" t="str">
        <f>CONCATENATE(model_curr," MM")</f>
        <v>USD MM</v>
      </c>
      <c r="J3" s="294" t="str">
        <f>E3</f>
        <v>x normalized EBITDA</v>
      </c>
      <c r="K3" s="284" t="s">
        <v>33</v>
      </c>
    </row>
    <row r="4" spans="3:11">
      <c r="C4" s="295" t="s">
        <v>39</v>
      </c>
      <c r="D4" s="296">
        <f>D9-SUM(D5:D8)</f>
        <v>962</v>
      </c>
      <c r="E4" s="219" t="e">
        <f>D4/'Financing assumptions Holdco'!$F$10*1000</f>
        <v>#DIV/0!</v>
      </c>
      <c r="F4" s="184">
        <f>D4/D$9</f>
        <v>1</v>
      </c>
      <c r="H4" s="295" t="s">
        <v>1761</v>
      </c>
      <c r="I4" s="318">
        <f>1072-157-5</f>
        <v>910</v>
      </c>
      <c r="J4" s="219" t="e">
        <f>I4/'Financing assumptions Holdco'!$F$10*1000</f>
        <v>#DIV/0!</v>
      </c>
      <c r="K4" s="184">
        <f>I4/I$9</f>
        <v>0.94594594594594594</v>
      </c>
    </row>
    <row r="5" spans="3:11">
      <c r="C5" s="28" t="s">
        <v>1759</v>
      </c>
      <c r="D5" s="296">
        <f>('Financing assumptions offshore'!F15+'Financing assumptions offshore'!F24+'Financing assumptions offshore'!F33)/1000+('Financing assumptions Holdco'!F15+'Financing assumptions Holdco'!F27+'Financing assumptions Holdco'!F36)/1000</f>
        <v>0</v>
      </c>
      <c r="E5" s="219" t="e">
        <f>D5/'Financing assumptions Holdco'!$F$10*1000</f>
        <v>#DIV/0!</v>
      </c>
      <c r="F5" s="184">
        <f>D5/D$9</f>
        <v>0</v>
      </c>
      <c r="H5" s="28" t="s">
        <v>35</v>
      </c>
      <c r="I5" s="318">
        <f>('BS consol'!H126+'BS consol'!H131+'BS consol'!H143)/1000000/Stake_Bu1</f>
        <v>0</v>
      </c>
      <c r="J5" s="219" t="e">
        <f>I5/'Financing assumptions Holdco'!$F$10*1000</f>
        <v>#DIV/0!</v>
      </c>
      <c r="K5" s="184">
        <f>I5/I$9</f>
        <v>0</v>
      </c>
    </row>
    <row r="6" spans="3:11">
      <c r="C6" s="28" t="s">
        <v>965</v>
      </c>
      <c r="D6" s="296">
        <f>+'Financing assumptions offshore'!F42/1000+'Financing assumptions Holdco'!F74/1000</f>
        <v>0</v>
      </c>
      <c r="E6" s="219" t="e">
        <f>D6/'Financing assumptions Holdco'!$F$10*1000</f>
        <v>#DIV/0!</v>
      </c>
      <c r="F6" s="184">
        <f>D6/D$9</f>
        <v>0</v>
      </c>
      <c r="H6" s="28" t="s">
        <v>966</v>
      </c>
      <c r="I6" s="319">
        <f>28+24</f>
        <v>52</v>
      </c>
      <c r="J6" s="219" t="e">
        <f>I6/'Financing assumptions Holdco'!$F$10*1000</f>
        <v>#DIV/0!</v>
      </c>
      <c r="K6" s="184">
        <f>I6/I$9</f>
        <v>5.4054054054054057E-2</v>
      </c>
    </row>
    <row r="7" spans="3:11">
      <c r="C7" s="28" t="s">
        <v>857</v>
      </c>
      <c r="D7" s="297">
        <v>0</v>
      </c>
      <c r="E7" s="219" t="e">
        <f>D7/'Financing assumptions Holdco'!$F$10*1000</f>
        <v>#DIV/0!</v>
      </c>
      <c r="F7" s="184">
        <f>D7/D$9</f>
        <v>0</v>
      </c>
      <c r="H7" s="28" t="s">
        <v>1529</v>
      </c>
      <c r="I7" s="319">
        <v>0</v>
      </c>
      <c r="J7" s="219" t="e">
        <f>I7/'Financing assumptions Holdco'!$F$10*1000</f>
        <v>#DIV/0!</v>
      </c>
      <c r="K7" s="184">
        <f>I7/I$9</f>
        <v>0</v>
      </c>
    </row>
    <row r="8" spans="3:11">
      <c r="C8" s="103"/>
      <c r="D8" s="298"/>
      <c r="E8" s="103"/>
      <c r="F8" s="104"/>
      <c r="H8" s="105" t="s">
        <v>1752</v>
      </c>
      <c r="I8" s="319">
        <v>0</v>
      </c>
      <c r="J8" s="219" t="e">
        <f>I8/'Financing assumptions Holdco'!$F$10*1000</f>
        <v>#DIV/0!</v>
      </c>
      <c r="K8" s="184">
        <f>I8/I$9</f>
        <v>0</v>
      </c>
    </row>
    <row r="9" spans="3:11">
      <c r="C9" s="192" t="s">
        <v>36</v>
      </c>
      <c r="D9" s="299">
        <f>I9</f>
        <v>962</v>
      </c>
      <c r="E9" s="300" t="e">
        <f>SUM(E4:E7)</f>
        <v>#DIV/0!</v>
      </c>
      <c r="F9" s="301">
        <f>SUM(F4:F8)</f>
        <v>1</v>
      </c>
      <c r="G9" s="195"/>
      <c r="H9" s="192" t="s">
        <v>36</v>
      </c>
      <c r="I9" s="299">
        <f>SUM(I4:I8)</f>
        <v>962</v>
      </c>
      <c r="J9" s="300" t="e">
        <f>SUM(J4:J7)</f>
        <v>#DIV/0!</v>
      </c>
      <c r="K9" s="301">
        <f>SUM(K4:K8)</f>
        <v>1</v>
      </c>
    </row>
    <row r="10" spans="3:11" ht="20.7" hidden="1" customHeight="1"/>
    <row r="11" spans="3:11">
      <c r="C11" s="753" t="s">
        <v>1760</v>
      </c>
    </row>
    <row r="12" spans="3:11">
      <c r="C12" s="753" t="s">
        <v>1762</v>
      </c>
    </row>
    <row r="13" spans="3:11" ht="20.7" customHeight="1"/>
    <row r="14" spans="3:11" ht="20.7" customHeight="1"/>
    <row r="15" spans="3:11" ht="20.7" customHeight="1"/>
    <row r="16" spans="3:11" ht="20.7" customHeight="1"/>
    <row r="17" ht="20.7" customHeight="1"/>
    <row r="18" ht="20.7" customHeight="1"/>
    <row r="19" ht="20.7" customHeight="1"/>
    <row r="20" ht="20.7" customHeight="1"/>
    <row r="21" ht="20.7" customHeight="1"/>
    <row r="22" ht="20.7" customHeight="1"/>
    <row r="23" ht="20.7" customHeight="1"/>
    <row r="24" ht="20.7" customHeight="1"/>
    <row r="25" ht="20.7" customHeight="1"/>
  </sheetData>
  <phoneticPr fontId="2" type="noConversion"/>
  <pageMargins left="0.7" right="0.7" top="0.88" bottom="0.75" header="0.43" footer="0.3"/>
  <pageSetup scale="75" orientation="landscape" horizontalDpi="300" verticalDpi="300" r:id="rId1"/>
  <headerFooter>
    <oddHeader>&amp;L&amp;"-,粗體"CUB projection&amp;R&amp;"-,粗體"CONFIDENTIAL</oddHeader>
    <oddFooter>&amp;L&amp;A&amp;RPage &amp;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00B0F0"/>
  </sheetPr>
  <dimension ref="A1:G270"/>
  <sheetViews>
    <sheetView zoomScale="90" zoomScaleNormal="90" workbookViewId="0">
      <selection activeCell="E4" sqref="E4"/>
    </sheetView>
  </sheetViews>
  <sheetFormatPr defaultColWidth="9.140625" defaultRowHeight="13.7"/>
  <cols>
    <col min="1" max="1" width="9.42578125" style="52" customWidth="1"/>
    <col min="2" max="2" width="41.5703125" style="52" customWidth="1"/>
    <col min="3" max="3" width="24.140625" style="52" customWidth="1"/>
    <col min="4" max="4" width="16.5703125" style="52" customWidth="1"/>
    <col min="5" max="5" width="18.7109375" style="52" customWidth="1"/>
    <col min="6" max="6" width="9.140625" style="52"/>
    <col min="7" max="7" width="13" style="52" bestFit="1" customWidth="1"/>
    <col min="8" max="8" width="11.85546875" style="52" bestFit="1" customWidth="1"/>
    <col min="9" max="16384" width="9.140625" style="52"/>
  </cols>
  <sheetData>
    <row r="1" spans="1:5" ht="16.600000000000001">
      <c r="A1" s="196" t="s">
        <v>1023</v>
      </c>
    </row>
    <row r="2" spans="1:5">
      <c r="A2" s="198" t="s">
        <v>836</v>
      </c>
      <c r="B2" s="198"/>
      <c r="C2" s="198">
        <f>IF(stub_switch,'Control Panel'!B9,'Control Panel'!B11-1)</f>
        <v>43465</v>
      </c>
      <c r="D2" s="198"/>
      <c r="E2" s="198"/>
    </row>
    <row r="3" spans="1:5">
      <c r="A3" s="209" t="s">
        <v>696</v>
      </c>
      <c r="B3" s="209"/>
      <c r="C3" s="209" t="s">
        <v>698</v>
      </c>
      <c r="D3" s="209" t="s">
        <v>700</v>
      </c>
      <c r="E3" s="209" t="s">
        <v>699</v>
      </c>
    </row>
    <row r="4" spans="1:5">
      <c r="A4" s="28" t="s">
        <v>1024</v>
      </c>
      <c r="B4" s="28" t="s">
        <v>213</v>
      </c>
      <c r="C4" s="291">
        <f t="shared" ref="C4:D10" si="0">+C49*Stake_Bu1+C94*Stake_Bu2+C139*Stake_other+C184+C229</f>
        <v>0</v>
      </c>
      <c r="D4" s="291">
        <f t="shared" si="0"/>
        <v>0</v>
      </c>
      <c r="E4" s="291">
        <f t="shared" ref="E4:E9" si="1">C4+D4</f>
        <v>0</v>
      </c>
    </row>
    <row r="5" spans="1:5">
      <c r="A5" s="28" t="s">
        <v>1025</v>
      </c>
      <c r="B5" s="28" t="s">
        <v>214</v>
      </c>
      <c r="C5" s="291">
        <f t="shared" si="0"/>
        <v>0</v>
      </c>
      <c r="D5" s="291">
        <f t="shared" si="0"/>
        <v>0</v>
      </c>
      <c r="E5" s="291">
        <f t="shared" si="1"/>
        <v>0</v>
      </c>
    </row>
    <row r="6" spans="1:5">
      <c r="A6" s="28" t="s">
        <v>1026</v>
      </c>
      <c r="B6" s="28" t="s">
        <v>215</v>
      </c>
      <c r="C6" s="291">
        <f t="shared" si="0"/>
        <v>0</v>
      </c>
      <c r="D6" s="291">
        <f t="shared" si="0"/>
        <v>0</v>
      </c>
      <c r="E6" s="291">
        <f t="shared" si="1"/>
        <v>0</v>
      </c>
    </row>
    <row r="7" spans="1:5" ht="13.15" customHeight="1">
      <c r="A7" s="28" t="s">
        <v>1027</v>
      </c>
      <c r="B7" s="28" t="s">
        <v>6</v>
      </c>
      <c r="C7" s="291">
        <f t="shared" si="0"/>
        <v>0</v>
      </c>
      <c r="D7" s="291">
        <f t="shared" si="0"/>
        <v>0</v>
      </c>
      <c r="E7" s="291">
        <f t="shared" si="1"/>
        <v>0</v>
      </c>
    </row>
    <row r="8" spans="1:5">
      <c r="A8" s="28" t="s">
        <v>1028</v>
      </c>
      <c r="B8" s="28" t="s">
        <v>1029</v>
      </c>
      <c r="C8" s="291">
        <f t="shared" si="0"/>
        <v>0</v>
      </c>
      <c r="D8" s="291">
        <f t="shared" si="0"/>
        <v>0</v>
      </c>
      <c r="E8" s="291">
        <f t="shared" si="1"/>
        <v>0</v>
      </c>
    </row>
    <row r="9" spans="1:5">
      <c r="A9" s="28" t="s">
        <v>1030</v>
      </c>
      <c r="B9" s="28" t="s">
        <v>216</v>
      </c>
      <c r="C9" s="291">
        <f t="shared" si="0"/>
        <v>0</v>
      </c>
      <c r="D9" s="291">
        <f t="shared" si="0"/>
        <v>0</v>
      </c>
      <c r="E9" s="291">
        <f t="shared" si="1"/>
        <v>0</v>
      </c>
    </row>
    <row r="10" spans="1:5">
      <c r="A10" s="28"/>
      <c r="B10" s="28" t="s">
        <v>1474</v>
      </c>
      <c r="C10" s="291">
        <f t="shared" si="0"/>
        <v>0</v>
      </c>
      <c r="D10" s="291">
        <f t="shared" si="0"/>
        <v>0</v>
      </c>
      <c r="E10" s="291">
        <f t="shared" ref="E10" si="2">C10+D10</f>
        <v>0</v>
      </c>
    </row>
    <row r="11" spans="1:5">
      <c r="A11" s="199"/>
      <c r="B11" s="199" t="s">
        <v>217</v>
      </c>
      <c r="C11" s="199">
        <f>SUM(C4:C9)</f>
        <v>0</v>
      </c>
      <c r="D11" s="199">
        <f t="shared" ref="D11:E11" si="3">SUM(D4:D9)</f>
        <v>0</v>
      </c>
      <c r="E11" s="199">
        <f t="shared" si="3"/>
        <v>0</v>
      </c>
    </row>
    <row r="12" spans="1:5">
      <c r="A12" s="28" t="s">
        <v>583</v>
      </c>
      <c r="B12" s="28" t="s">
        <v>218</v>
      </c>
      <c r="C12" s="291">
        <f t="shared" ref="C12:D16" si="4">+C57*Stake_Bu1+C102*Stake_Bu2+C147*Stake_other+C192+C237</f>
        <v>0</v>
      </c>
      <c r="D12" s="291">
        <f t="shared" si="4"/>
        <v>0</v>
      </c>
      <c r="E12" s="291">
        <f>C12+D12</f>
        <v>0</v>
      </c>
    </row>
    <row r="13" spans="1:5">
      <c r="A13" s="28" t="s">
        <v>584</v>
      </c>
      <c r="B13" s="28" t="s">
        <v>219</v>
      </c>
      <c r="C13" s="291">
        <f t="shared" si="4"/>
        <v>0</v>
      </c>
      <c r="D13" s="291">
        <f t="shared" si="4"/>
        <v>0</v>
      </c>
      <c r="E13" s="291">
        <f>C13+D13</f>
        <v>0</v>
      </c>
    </row>
    <row r="14" spans="1:5">
      <c r="A14" s="28" t="s">
        <v>66</v>
      </c>
      <c r="B14" s="28" t="s">
        <v>220</v>
      </c>
      <c r="C14" s="291">
        <f t="shared" si="4"/>
        <v>0</v>
      </c>
      <c r="D14" s="291">
        <f t="shared" si="4"/>
        <v>0</v>
      </c>
      <c r="E14" s="291">
        <f>C14+D14</f>
        <v>0</v>
      </c>
    </row>
    <row r="15" spans="1:5">
      <c r="A15" s="28" t="s">
        <v>585</v>
      </c>
      <c r="B15" s="28" t="s">
        <v>221</v>
      </c>
      <c r="C15" s="291">
        <f t="shared" si="4"/>
        <v>0</v>
      </c>
      <c r="D15" s="291">
        <f t="shared" si="4"/>
        <v>0</v>
      </c>
      <c r="E15" s="291">
        <f>C15+D15</f>
        <v>0</v>
      </c>
    </row>
    <row r="16" spans="1:5">
      <c r="A16" s="28" t="s">
        <v>82</v>
      </c>
      <c r="B16" s="28" t="s">
        <v>222</v>
      </c>
      <c r="C16" s="291">
        <f t="shared" si="4"/>
        <v>0</v>
      </c>
      <c r="D16" s="291">
        <f t="shared" si="4"/>
        <v>0</v>
      </c>
      <c r="E16" s="291">
        <f>C16+D16</f>
        <v>0</v>
      </c>
    </row>
    <row r="17" spans="1:5">
      <c r="A17" s="199"/>
      <c r="B17" s="199" t="s">
        <v>223</v>
      </c>
      <c r="C17" s="199">
        <f>SUM(C12:C16)</f>
        <v>0</v>
      </c>
      <c r="D17" s="199">
        <f t="shared" ref="D17:E17" si="5">SUM(D12:D16)</f>
        <v>0</v>
      </c>
      <c r="E17" s="199">
        <f t="shared" si="5"/>
        <v>0</v>
      </c>
    </row>
    <row r="18" spans="1:5">
      <c r="A18" s="195"/>
      <c r="B18" s="195" t="s">
        <v>10</v>
      </c>
      <c r="C18" s="195">
        <f>+C17+C11</f>
        <v>0</v>
      </c>
      <c r="D18" s="195">
        <f t="shared" ref="D18" si="6">+D17+D11</f>
        <v>0</v>
      </c>
      <c r="E18" s="195">
        <f>+E17+E11</f>
        <v>0</v>
      </c>
    </row>
    <row r="19" spans="1:5">
      <c r="A19" s="209" t="s">
        <v>224</v>
      </c>
      <c r="B19" s="209"/>
      <c r="C19" s="209"/>
      <c r="D19" s="209"/>
      <c r="E19" s="209"/>
    </row>
    <row r="20" spans="1:5">
      <c r="A20" s="28" t="s">
        <v>100</v>
      </c>
      <c r="B20" s="28" t="s">
        <v>225</v>
      </c>
      <c r="C20" s="291">
        <f t="shared" ref="C20:D28" si="7">+C65*Stake_Bu1+C110*Stake_Bu2+C155*Stake_other+C200+C245</f>
        <v>0</v>
      </c>
      <c r="D20" s="291">
        <f t="shared" si="7"/>
        <v>0</v>
      </c>
      <c r="E20" s="291">
        <f t="shared" ref="E20:E27" si="8">C20+D20</f>
        <v>0</v>
      </c>
    </row>
    <row r="21" spans="1:5">
      <c r="A21" s="28" t="s">
        <v>586</v>
      </c>
      <c r="B21" s="28" t="s">
        <v>226</v>
      </c>
      <c r="C21" s="291">
        <f t="shared" si="7"/>
        <v>0</v>
      </c>
      <c r="D21" s="291">
        <f t="shared" si="7"/>
        <v>0</v>
      </c>
      <c r="E21" s="291">
        <f t="shared" si="8"/>
        <v>0</v>
      </c>
    </row>
    <row r="22" spans="1:5">
      <c r="A22" s="28" t="s">
        <v>587</v>
      </c>
      <c r="B22" s="28" t="s">
        <v>227</v>
      </c>
      <c r="C22" s="291">
        <f t="shared" si="7"/>
        <v>0</v>
      </c>
      <c r="D22" s="291">
        <f t="shared" si="7"/>
        <v>0</v>
      </c>
      <c r="E22" s="291">
        <f t="shared" si="8"/>
        <v>0</v>
      </c>
    </row>
    <row r="23" spans="1:5">
      <c r="A23" s="28" t="s">
        <v>588</v>
      </c>
      <c r="B23" s="28" t="s">
        <v>228</v>
      </c>
      <c r="C23" s="291">
        <f t="shared" si="7"/>
        <v>0</v>
      </c>
      <c r="D23" s="291">
        <f t="shared" si="7"/>
        <v>0</v>
      </c>
      <c r="E23" s="291">
        <f t="shared" si="8"/>
        <v>0</v>
      </c>
    </row>
    <row r="24" spans="1:5">
      <c r="A24" s="28" t="s">
        <v>96</v>
      </c>
      <c r="B24" s="28" t="s">
        <v>229</v>
      </c>
      <c r="C24" s="291">
        <f t="shared" si="7"/>
        <v>0</v>
      </c>
      <c r="D24" s="291">
        <f t="shared" si="7"/>
        <v>0</v>
      </c>
      <c r="E24" s="291">
        <f t="shared" si="8"/>
        <v>0</v>
      </c>
    </row>
    <row r="25" spans="1:5">
      <c r="A25" s="28" t="s">
        <v>589</v>
      </c>
      <c r="B25" s="28" t="s">
        <v>230</v>
      </c>
      <c r="C25" s="291">
        <f t="shared" si="7"/>
        <v>0</v>
      </c>
      <c r="D25" s="291">
        <f t="shared" si="7"/>
        <v>0</v>
      </c>
      <c r="E25" s="291">
        <f t="shared" si="8"/>
        <v>0</v>
      </c>
    </row>
    <row r="26" spans="1:5">
      <c r="A26" s="28" t="s">
        <v>92</v>
      </c>
      <c r="B26" s="28" t="s">
        <v>231</v>
      </c>
      <c r="C26" s="291">
        <f t="shared" si="7"/>
        <v>0</v>
      </c>
      <c r="D26" s="291">
        <f t="shared" si="7"/>
        <v>0</v>
      </c>
      <c r="E26" s="291">
        <f t="shared" si="8"/>
        <v>0</v>
      </c>
    </row>
    <row r="27" spans="1:5">
      <c r="A27" s="28" t="s">
        <v>590</v>
      </c>
      <c r="B27" s="28" t="s">
        <v>232</v>
      </c>
      <c r="C27" s="291">
        <f t="shared" si="7"/>
        <v>0</v>
      </c>
      <c r="D27" s="291">
        <f t="shared" si="7"/>
        <v>0</v>
      </c>
      <c r="E27" s="291">
        <f t="shared" si="8"/>
        <v>0</v>
      </c>
    </row>
    <row r="28" spans="1:5">
      <c r="A28" s="28"/>
      <c r="B28" s="28" t="s">
        <v>1475</v>
      </c>
      <c r="C28" s="291">
        <f t="shared" si="7"/>
        <v>0</v>
      </c>
      <c r="D28" s="291">
        <f t="shared" si="7"/>
        <v>0</v>
      </c>
      <c r="E28" s="291">
        <f t="shared" ref="E28" si="9">C28+D28</f>
        <v>0</v>
      </c>
    </row>
    <row r="29" spans="1:5">
      <c r="A29" s="199"/>
      <c r="B29" s="199" t="s">
        <v>233</v>
      </c>
      <c r="C29" s="199">
        <f>SUM(C20:C27)</f>
        <v>0</v>
      </c>
      <c r="D29" s="199">
        <f t="shared" ref="D29:E29" si="10">SUM(D20:D27)</f>
        <v>0</v>
      </c>
      <c r="E29" s="199">
        <f t="shared" si="10"/>
        <v>0</v>
      </c>
    </row>
    <row r="30" spans="1:5">
      <c r="A30" s="28" t="s">
        <v>1031</v>
      </c>
      <c r="B30" s="28" t="s">
        <v>234</v>
      </c>
      <c r="C30" s="291">
        <f>+C75*Stake_Bu1+C120*Stake_Bu2+C165*Stake_other+C210+C255</f>
        <v>0</v>
      </c>
      <c r="D30" s="291">
        <f>+D75*Stake_Bu1+D120*Stake_Bu2+D165*Stake_other+D210+D255</f>
        <v>0</v>
      </c>
      <c r="E30" s="291">
        <f>C30+D30</f>
        <v>0</v>
      </c>
    </row>
    <row r="31" spans="1:5">
      <c r="A31" s="28" t="s">
        <v>1032</v>
      </c>
      <c r="B31" s="28" t="s">
        <v>235</v>
      </c>
      <c r="C31" s="291">
        <f>+C76*Stake_Bu1+C121*Stake_Bu2+C166*Stake_other+C211+C256</f>
        <v>0</v>
      </c>
      <c r="D31" s="291">
        <f>+D76*Stake_Bu1+D121*Stake_Bu2+D166*Stake_other+D211+D256</f>
        <v>0</v>
      </c>
      <c r="E31" s="291">
        <f>C31+D31</f>
        <v>0</v>
      </c>
    </row>
    <row r="32" spans="1:5">
      <c r="A32" s="199"/>
      <c r="B32" s="199" t="s">
        <v>236</v>
      </c>
      <c r="C32" s="199">
        <f>SUM(C30:C31)</f>
        <v>0</v>
      </c>
      <c r="D32" s="199">
        <f t="shared" ref="D32:E32" si="11">SUM(D30:D31)</f>
        <v>0</v>
      </c>
      <c r="E32" s="199">
        <f t="shared" si="11"/>
        <v>0</v>
      </c>
    </row>
    <row r="33" spans="1:5">
      <c r="A33" s="28" t="s">
        <v>591</v>
      </c>
      <c r="B33" s="28" t="s">
        <v>237</v>
      </c>
      <c r="C33" s="291">
        <f>+C78*Stake_Bu1+C123*Stake_Bu2+C168*Stake_other+C213+C258</f>
        <v>0</v>
      </c>
      <c r="D33" s="291">
        <f>+D78*Stake_Bu1+D123*Stake_Bu2+D168*Stake_other+D213+D258</f>
        <v>0</v>
      </c>
      <c r="E33" s="291">
        <f>C33+D33</f>
        <v>0</v>
      </c>
    </row>
    <row r="34" spans="1:5">
      <c r="A34" s="28" t="s">
        <v>114</v>
      </c>
      <c r="B34" s="28" t="s">
        <v>238</v>
      </c>
      <c r="C34" s="291">
        <f>+C79*Stake_Bu1+C124*Stake_Bu2+C169*Stake_other+C214+C259</f>
        <v>0</v>
      </c>
      <c r="D34" s="291">
        <f>+D79*Stake_Bu1+D124*Stake_Bu2+D169*Stake_other+D214+D259</f>
        <v>0</v>
      </c>
      <c r="E34" s="291">
        <f>C34+D34</f>
        <v>0</v>
      </c>
    </row>
    <row r="35" spans="1:5">
      <c r="A35" s="199"/>
      <c r="B35" s="199" t="s">
        <v>17</v>
      </c>
      <c r="C35" s="199">
        <f>SUM(C32:C34)+C29</f>
        <v>0</v>
      </c>
      <c r="D35" s="199">
        <f t="shared" ref="D35" si="12">SUM(D32:D34)+D29</f>
        <v>0</v>
      </c>
      <c r="E35" s="199">
        <f>SUM(E32:E34)+E29</f>
        <v>0</v>
      </c>
    </row>
    <row r="36" spans="1:5">
      <c r="A36" s="28" t="s">
        <v>165</v>
      </c>
      <c r="B36" s="28" t="s">
        <v>209</v>
      </c>
      <c r="C36" s="291">
        <f t="shared" ref="C36:D42" si="13">+C81*Stake_Bu1+C126*Stake_Bu2+C171*Stake_other+C216+C261</f>
        <v>0</v>
      </c>
      <c r="D36" s="291">
        <f>+D81*Stake_Bu1+D126*Stake_Bu2+D171*Stake_other+D216+D261</f>
        <v>0</v>
      </c>
      <c r="E36" s="291">
        <f t="shared" ref="E36:E42" si="14">C36+D36</f>
        <v>0</v>
      </c>
    </row>
    <row r="37" spans="1:5">
      <c r="A37" s="28" t="s">
        <v>592</v>
      </c>
      <c r="B37" s="28" t="s">
        <v>239</v>
      </c>
      <c r="C37" s="291">
        <f t="shared" si="13"/>
        <v>0</v>
      </c>
      <c r="D37" s="291">
        <f t="shared" si="13"/>
        <v>0</v>
      </c>
      <c r="E37" s="291">
        <f t="shared" si="14"/>
        <v>0</v>
      </c>
    </row>
    <row r="38" spans="1:5">
      <c r="A38" s="28" t="s">
        <v>593</v>
      </c>
      <c r="B38" s="28" t="s">
        <v>240</v>
      </c>
      <c r="C38" s="291">
        <f t="shared" si="13"/>
        <v>0</v>
      </c>
      <c r="D38" s="291">
        <f>+D83*Stake_Bu1+D128*Stake_Bu2+D173*Stake_other+D218+D263</f>
        <v>372544000</v>
      </c>
      <c r="E38" s="291">
        <f t="shared" si="14"/>
        <v>372544000</v>
      </c>
    </row>
    <row r="39" spans="1:5">
      <c r="A39" s="28" t="s">
        <v>594</v>
      </c>
      <c r="B39" s="28" t="s">
        <v>241</v>
      </c>
      <c r="C39" s="291">
        <f t="shared" si="13"/>
        <v>0</v>
      </c>
      <c r="D39" s="291">
        <f t="shared" si="13"/>
        <v>0</v>
      </c>
      <c r="E39" s="291">
        <f t="shared" si="14"/>
        <v>0</v>
      </c>
    </row>
    <row r="40" spans="1:5">
      <c r="A40" s="28" t="s">
        <v>595</v>
      </c>
      <c r="B40" s="28" t="s">
        <v>596</v>
      </c>
      <c r="C40" s="291">
        <f t="shared" si="13"/>
        <v>0</v>
      </c>
      <c r="D40" s="291">
        <f t="shared" si="13"/>
        <v>0</v>
      </c>
      <c r="E40" s="291">
        <f t="shared" si="14"/>
        <v>0</v>
      </c>
    </row>
    <row r="41" spans="1:5">
      <c r="A41" s="28" t="s">
        <v>597</v>
      </c>
      <c r="B41" s="28" t="s">
        <v>242</v>
      </c>
      <c r="C41" s="291">
        <f t="shared" si="13"/>
        <v>0</v>
      </c>
      <c r="D41" s="291">
        <f t="shared" si="13"/>
        <v>0</v>
      </c>
      <c r="E41" s="291">
        <f t="shared" si="14"/>
        <v>0</v>
      </c>
    </row>
    <row r="42" spans="1:5">
      <c r="A42" s="28" t="s">
        <v>129</v>
      </c>
      <c r="B42" s="28" t="s">
        <v>598</v>
      </c>
      <c r="C42" s="291">
        <f t="shared" si="13"/>
        <v>0</v>
      </c>
      <c r="D42" s="291">
        <f>+D87*Stake_Bu1+D132*Stake_Bu2+D177*Stake_other+D222+D267</f>
        <v>0</v>
      </c>
      <c r="E42" s="291">
        <f t="shared" si="14"/>
        <v>0</v>
      </c>
    </row>
    <row r="43" spans="1:5">
      <c r="A43" s="199"/>
      <c r="B43" s="199" t="s">
        <v>243</v>
      </c>
      <c r="C43" s="199">
        <f>SUM(C36:C42)</f>
        <v>0</v>
      </c>
      <c r="D43" s="199">
        <f t="shared" ref="D43" si="15">SUM(D36:D42)</f>
        <v>372544000</v>
      </c>
      <c r="E43" s="199">
        <f>SUM(E36:E42)</f>
        <v>372544000</v>
      </c>
    </row>
    <row r="44" spans="1:5">
      <c r="A44" s="195"/>
      <c r="B44" s="195" t="s">
        <v>244</v>
      </c>
      <c r="C44" s="195">
        <f>C43+C35</f>
        <v>0</v>
      </c>
      <c r="D44" s="195">
        <f t="shared" ref="D44" si="16">D43+D35</f>
        <v>372544000</v>
      </c>
      <c r="E44" s="195">
        <f>E43+E35</f>
        <v>372544000</v>
      </c>
    </row>
    <row r="45" spans="1:5">
      <c r="B45" s="269" t="s">
        <v>1010</v>
      </c>
      <c r="C45" s="269">
        <f>C44-C18</f>
        <v>0</v>
      </c>
      <c r="D45" s="269">
        <f t="shared" ref="D45" si="17">D44-D18</f>
        <v>372544000</v>
      </c>
      <c r="E45" s="269">
        <f>E44-E18</f>
        <v>372544000</v>
      </c>
    </row>
    <row r="47" spans="1:5">
      <c r="A47" s="198" t="s">
        <v>697</v>
      </c>
      <c r="B47" s="198"/>
      <c r="C47" s="198">
        <f>C2</f>
        <v>43465</v>
      </c>
      <c r="D47" s="198"/>
      <c r="E47" s="198"/>
    </row>
    <row r="48" spans="1:5">
      <c r="A48" s="209" t="s">
        <v>696</v>
      </c>
      <c r="B48" s="209"/>
      <c r="C48" s="209" t="s">
        <v>698</v>
      </c>
      <c r="D48" s="209" t="s">
        <v>700</v>
      </c>
      <c r="E48" s="209" t="s">
        <v>699</v>
      </c>
    </row>
    <row r="49" spans="1:5">
      <c r="A49" s="28" t="s">
        <v>55</v>
      </c>
      <c r="B49" s="28" t="s">
        <v>213</v>
      </c>
      <c r="C49" s="291">
        <f>IFERROR(INDEX('Historical BU1'!$D$42:$T$80,MATCH('Acquisition BS adjustments'!$A49,'Historical BU1'!$A$42:$A$80,0),MATCH('Acquisition BS adjustments'!$C$47,'Historical BU1'!$D$39:$T$39,0)),0)*Currency_conversion_BU1</f>
        <v>0</v>
      </c>
      <c r="D49" s="197"/>
      <c r="E49" s="291">
        <f t="shared" ref="E49:E55" si="18">C49+D49</f>
        <v>0</v>
      </c>
    </row>
    <row r="50" spans="1:5">
      <c r="A50" s="28" t="s">
        <v>56</v>
      </c>
      <c r="B50" s="28" t="s">
        <v>214</v>
      </c>
      <c r="C50" s="291">
        <f>IFERROR(INDEX('Historical BU1'!$D$42:$T$80,MATCH('Acquisition BS adjustments'!$A50,'Historical BU1'!$A$42:$A$80,0),MATCH('Acquisition BS adjustments'!$C$47,'Historical BU1'!$D$39:$T$39,0)),0)*Currency_conversion_BU1</f>
        <v>0</v>
      </c>
      <c r="D50" s="197"/>
      <c r="E50" s="291">
        <f t="shared" si="18"/>
        <v>0</v>
      </c>
    </row>
    <row r="51" spans="1:5">
      <c r="A51" s="28" t="s">
        <v>63</v>
      </c>
      <c r="B51" s="28" t="s">
        <v>215</v>
      </c>
      <c r="C51" s="291">
        <f>IFERROR(INDEX('Historical BU1'!$D$42:$T$80,MATCH('Acquisition BS adjustments'!$A51,'Historical BU1'!$A$42:$A$80,0),MATCH('Acquisition BS adjustments'!$C$47,'Historical BU1'!$D$39:$T$39,0)),0)*Currency_conversion_BU1</f>
        <v>0</v>
      </c>
      <c r="D51" s="197"/>
      <c r="E51" s="291">
        <f t="shared" si="18"/>
        <v>0</v>
      </c>
    </row>
    <row r="52" spans="1:5">
      <c r="A52" s="28" t="s">
        <v>58</v>
      </c>
      <c r="B52" s="28" t="s">
        <v>6</v>
      </c>
      <c r="C52" s="291">
        <f>IFERROR(INDEX('Historical BU1'!$D$42:$T$80,MATCH('Acquisition BS adjustments'!$A52,'Historical BU1'!$A$42:$A$80,0),MATCH('Acquisition BS adjustments'!$C$47,'Historical BU1'!$D$39:$T$39,0)),0)*Currency_conversion_BU1</f>
        <v>0</v>
      </c>
      <c r="D52" s="197"/>
      <c r="E52" s="291">
        <f t="shared" si="18"/>
        <v>0</v>
      </c>
    </row>
    <row r="53" spans="1:5">
      <c r="A53" s="28" t="s">
        <v>57</v>
      </c>
      <c r="B53" s="28" t="s">
        <v>582</v>
      </c>
      <c r="C53" s="291">
        <f>IFERROR(INDEX('Historical BU1'!$D$42:$T$80,MATCH('Acquisition BS adjustments'!$A53,'Historical BU1'!$A$42:$A$80,0),MATCH('Acquisition BS adjustments'!$C$47,'Historical BU1'!$D$39:$T$39,0)),0)*Currency_conversion_BU1</f>
        <v>0</v>
      </c>
      <c r="D53" s="197"/>
      <c r="E53" s="291">
        <f t="shared" si="18"/>
        <v>0</v>
      </c>
    </row>
    <row r="54" spans="1:5">
      <c r="A54" s="28" t="s">
        <v>60</v>
      </c>
      <c r="B54" s="28" t="s">
        <v>216</v>
      </c>
      <c r="C54" s="291">
        <f>IFERROR(INDEX('Historical BU1'!$D$42:$T$80,MATCH('Acquisition BS adjustments'!$A54,'Historical BU1'!$A$42:$A$80,0),MATCH('Acquisition BS adjustments'!$C$47,'Historical BU1'!$D$39:$T$39,0)),0)*Currency_conversion_BU1</f>
        <v>0</v>
      </c>
      <c r="D54" s="197"/>
      <c r="E54" s="291">
        <f t="shared" si="18"/>
        <v>0</v>
      </c>
    </row>
    <row r="55" spans="1:5">
      <c r="A55" s="28"/>
      <c r="B55" s="28" t="s">
        <v>1472</v>
      </c>
      <c r="C55" s="291"/>
      <c r="D55" s="197"/>
      <c r="E55" s="291">
        <f t="shared" si="18"/>
        <v>0</v>
      </c>
    </row>
    <row r="56" spans="1:5">
      <c r="A56" s="199"/>
      <c r="B56" s="199" t="s">
        <v>217</v>
      </c>
      <c r="C56" s="199">
        <f>SUM(C49:C55)</f>
        <v>0</v>
      </c>
      <c r="D56" s="199">
        <f>SUM(D49:D55)</f>
        <v>0</v>
      </c>
      <c r="E56" s="199">
        <f>SUM(E49:E55)</f>
        <v>0</v>
      </c>
    </row>
    <row r="57" spans="1:5">
      <c r="A57" s="28" t="s">
        <v>583</v>
      </c>
      <c r="B57" s="28" t="s">
        <v>218</v>
      </c>
      <c r="C57" s="291">
        <f>IFERROR(INDEX('Historical BU1'!$D$42:$T$80,MATCH('Acquisition BS adjustments'!$A57,'Historical BU1'!$A$42:$A$80,0),MATCH('Acquisition BS adjustments'!$C$47,'Historical BU1'!$D$39:$T$39,0)),0)*Currency_conversion_BU1</f>
        <v>0</v>
      </c>
      <c r="D57" s="197"/>
      <c r="E57" s="291">
        <f>C57+D57</f>
        <v>0</v>
      </c>
    </row>
    <row r="58" spans="1:5">
      <c r="A58" s="28" t="s">
        <v>584</v>
      </c>
      <c r="B58" s="28" t="s">
        <v>219</v>
      </c>
      <c r="C58" s="291">
        <f>IFERROR(INDEX('Historical BU1'!$D$42:$T$80,MATCH('Acquisition BS adjustments'!$A58,'Historical BU1'!$A$42:$A$80,0),MATCH('Acquisition BS adjustments'!$C$47,'Historical BU1'!$D$39:$T$39,0)),0)*Currency_conversion_BU1</f>
        <v>0</v>
      </c>
      <c r="D58" s="197"/>
      <c r="E58" s="291">
        <f>C58+D58</f>
        <v>0</v>
      </c>
    </row>
    <row r="59" spans="1:5">
      <c r="A59" s="28" t="s">
        <v>66</v>
      </c>
      <c r="B59" s="28" t="s">
        <v>220</v>
      </c>
      <c r="C59" s="291">
        <f>IFERROR(INDEX('Historical BU1'!$D$42:$T$80,MATCH('Acquisition BS adjustments'!$A59,'Historical BU1'!$A$42:$A$80,0),MATCH('Acquisition BS adjustments'!$C$47,'Historical BU1'!$D$39:$T$39,0)),0)*Currency_conversion_BU1</f>
        <v>0</v>
      </c>
      <c r="D59" s="197"/>
      <c r="E59" s="291">
        <f>C59+D59</f>
        <v>0</v>
      </c>
    </row>
    <row r="60" spans="1:5">
      <c r="A60" s="28" t="s">
        <v>585</v>
      </c>
      <c r="B60" s="28" t="s">
        <v>221</v>
      </c>
      <c r="C60" s="291">
        <f>IFERROR(INDEX('Historical BU1'!$D$42:$T$80,MATCH('Acquisition BS adjustments'!$A60,'Historical BU1'!$A$42:$A$80,0),MATCH('Acquisition BS adjustments'!$C$47,'Historical BU1'!$D$39:$T$39,0)),0)*Currency_conversion_BU1</f>
        <v>0</v>
      </c>
      <c r="D60" s="197"/>
      <c r="E60" s="291">
        <f>C60+D60</f>
        <v>0</v>
      </c>
    </row>
    <row r="61" spans="1:5">
      <c r="A61" s="28" t="s">
        <v>82</v>
      </c>
      <c r="B61" s="28" t="s">
        <v>222</v>
      </c>
      <c r="C61" s="291">
        <f>IFERROR(INDEX('Historical BU1'!$D$42:$T$80,MATCH('Acquisition BS adjustments'!$A61,'Historical BU1'!$A$42:$A$80,0),MATCH('Acquisition BS adjustments'!$C$47,'Historical BU1'!$D$39:$T$39,0)),0)*Currency_conversion_BU1</f>
        <v>0</v>
      </c>
      <c r="D61" s="197"/>
      <c r="E61" s="291">
        <f>C61+D61</f>
        <v>0</v>
      </c>
    </row>
    <row r="62" spans="1:5">
      <c r="A62" s="199"/>
      <c r="B62" s="199" t="s">
        <v>223</v>
      </c>
      <c r="C62" s="199">
        <f>SUM(C57:C61)</f>
        <v>0</v>
      </c>
      <c r="D62" s="199">
        <f t="shared" ref="D62:E62" si="19">SUM(D57:D61)</f>
        <v>0</v>
      </c>
      <c r="E62" s="199">
        <f t="shared" si="19"/>
        <v>0</v>
      </c>
    </row>
    <row r="63" spans="1:5">
      <c r="A63" s="195"/>
      <c r="B63" s="195" t="s">
        <v>10</v>
      </c>
      <c r="C63" s="195">
        <f>+C62+C56</f>
        <v>0</v>
      </c>
      <c r="D63" s="195">
        <f t="shared" ref="D63:E63" si="20">+D62+D56</f>
        <v>0</v>
      </c>
      <c r="E63" s="195">
        <f t="shared" si="20"/>
        <v>0</v>
      </c>
    </row>
    <row r="64" spans="1:5">
      <c r="A64" s="209" t="s">
        <v>224</v>
      </c>
      <c r="B64" s="209"/>
      <c r="C64" s="209"/>
      <c r="D64" s="209"/>
      <c r="E64" s="209"/>
    </row>
    <row r="65" spans="1:5">
      <c r="A65" s="28" t="s">
        <v>100</v>
      </c>
      <c r="B65" s="28" t="s">
        <v>225</v>
      </c>
      <c r="C65" s="291">
        <f>IFERROR(INDEX('Historical BU1'!$D$42:$T$80,MATCH('Acquisition BS adjustments'!$A65,'Historical BU1'!$A$42:$A$80,0),MATCH('Acquisition BS adjustments'!$C$47,'Historical BU1'!$D$39:$T$39,0)),0)*Currency_conversion_BU1</f>
        <v>0</v>
      </c>
      <c r="D65" s="197"/>
      <c r="E65" s="291">
        <f t="shared" ref="E65:E73" si="21">C65+D65</f>
        <v>0</v>
      </c>
    </row>
    <row r="66" spans="1:5">
      <c r="A66" s="28" t="s">
        <v>586</v>
      </c>
      <c r="B66" s="28" t="s">
        <v>226</v>
      </c>
      <c r="C66" s="291">
        <f>IFERROR(INDEX('Historical BU1'!$D$42:$T$80,MATCH('Acquisition BS adjustments'!$A66,'Historical BU1'!$A$42:$A$80,0),MATCH('Acquisition BS adjustments'!$C$47,'Historical BU1'!$D$39:$T$39,0)),0)*Currency_conversion_BU1</f>
        <v>0</v>
      </c>
      <c r="D66" s="197"/>
      <c r="E66" s="291">
        <f t="shared" si="21"/>
        <v>0</v>
      </c>
    </row>
    <row r="67" spans="1:5">
      <c r="A67" s="28" t="s">
        <v>587</v>
      </c>
      <c r="B67" s="28" t="s">
        <v>227</v>
      </c>
      <c r="C67" s="291">
        <f>IFERROR(INDEX('Historical BU1'!$D$42:$T$80,MATCH('Acquisition BS adjustments'!$A67,'Historical BU1'!$A$42:$A$80,0),MATCH('Acquisition BS adjustments'!$C$47,'Historical BU1'!$D$39:$T$39,0)),0)*Currency_conversion_BU1</f>
        <v>0</v>
      </c>
      <c r="D67" s="197"/>
      <c r="E67" s="291">
        <f t="shared" si="21"/>
        <v>0</v>
      </c>
    </row>
    <row r="68" spans="1:5">
      <c r="A68" s="28" t="s">
        <v>588</v>
      </c>
      <c r="B68" s="28" t="s">
        <v>228</v>
      </c>
      <c r="C68" s="291">
        <f>IFERROR(INDEX('Historical BU1'!$D$42:$T$80,MATCH('Acquisition BS adjustments'!$A68,'Historical BU1'!$A$42:$A$80,0),MATCH('Acquisition BS adjustments'!$C$47,'Historical BU1'!$D$39:$T$39,0)),0)*Currency_conversion_BU1</f>
        <v>0</v>
      </c>
      <c r="D68" s="197"/>
      <c r="E68" s="291">
        <f t="shared" si="21"/>
        <v>0</v>
      </c>
    </row>
    <row r="69" spans="1:5">
      <c r="A69" s="28" t="s">
        <v>96</v>
      </c>
      <c r="B69" s="28" t="s">
        <v>229</v>
      </c>
      <c r="C69" s="291">
        <f>IFERROR(INDEX('Historical BU1'!$D$42:$T$80,MATCH('Acquisition BS adjustments'!$A69,'Historical BU1'!$A$42:$A$80,0),MATCH('Acquisition BS adjustments'!$C$47,'Historical BU1'!$D$39:$T$39,0)),0)*Currency_conversion_BU1</f>
        <v>0</v>
      </c>
      <c r="D69" s="197"/>
      <c r="E69" s="291">
        <f t="shared" si="21"/>
        <v>0</v>
      </c>
    </row>
    <row r="70" spans="1:5">
      <c r="A70" s="28" t="s">
        <v>589</v>
      </c>
      <c r="B70" s="28" t="s">
        <v>230</v>
      </c>
      <c r="C70" s="291">
        <f>IFERROR(INDEX('Historical BU1'!$D$42:$T$80,MATCH('Acquisition BS adjustments'!$A70,'Historical BU1'!$A$42:$A$80,0),MATCH('Acquisition BS adjustments'!$C$47,'Historical BU1'!$D$39:$T$39,0)),0)*Currency_conversion_BU1</f>
        <v>0</v>
      </c>
      <c r="D70" s="197"/>
      <c r="E70" s="291">
        <f t="shared" si="21"/>
        <v>0</v>
      </c>
    </row>
    <row r="71" spans="1:5">
      <c r="A71" s="28" t="s">
        <v>92</v>
      </c>
      <c r="B71" s="28" t="s">
        <v>231</v>
      </c>
      <c r="C71" s="291">
        <f>IFERROR(INDEX('Historical BU1'!$D$42:$T$80,MATCH('Acquisition BS adjustments'!$A71,'Historical BU1'!$A$42:$A$80,0),MATCH('Acquisition BS adjustments'!$C$47,'Historical BU1'!$D$39:$T$39,0)),0)*Currency_conversion_BU1</f>
        <v>0</v>
      </c>
      <c r="D71" s="197"/>
      <c r="E71" s="291">
        <f t="shared" si="21"/>
        <v>0</v>
      </c>
    </row>
    <row r="72" spans="1:5">
      <c r="A72" s="28" t="s">
        <v>590</v>
      </c>
      <c r="B72" s="28" t="s">
        <v>232</v>
      </c>
      <c r="C72" s="291">
        <f>IFERROR(INDEX('Historical BU1'!$D$42:$T$80,MATCH('Acquisition BS adjustments'!$A72,'Historical BU1'!$A$42:$A$80,0),MATCH('Acquisition BS adjustments'!$C$47,'Historical BU1'!$D$39:$T$39,0)),0)*Currency_conversion_BU1</f>
        <v>0</v>
      </c>
      <c r="D72" s="197"/>
      <c r="E72" s="291">
        <f t="shared" si="21"/>
        <v>0</v>
      </c>
    </row>
    <row r="73" spans="1:5">
      <c r="A73" s="28"/>
      <c r="B73" s="28" t="s">
        <v>1473</v>
      </c>
      <c r="C73" s="291"/>
      <c r="D73" s="197"/>
      <c r="E73" s="291">
        <f t="shared" si="21"/>
        <v>0</v>
      </c>
    </row>
    <row r="74" spans="1:5">
      <c r="A74" s="199"/>
      <c r="B74" s="199" t="s">
        <v>233</v>
      </c>
      <c r="C74" s="199">
        <f>SUM(C65:C73)</f>
        <v>0</v>
      </c>
      <c r="D74" s="199">
        <f>SUM(D65:D73)</f>
        <v>0</v>
      </c>
      <c r="E74" s="199">
        <f>SUM(E65:E73)</f>
        <v>0</v>
      </c>
    </row>
    <row r="75" spans="1:5">
      <c r="A75" s="28" t="s">
        <v>702</v>
      </c>
      <c r="B75" s="28" t="s">
        <v>234</v>
      </c>
      <c r="C75" s="291">
        <f>IFERROR(INDEX('Historical BU1'!$D$42:$T$80,MATCH('Acquisition BS adjustments'!$A75,'Historical BU1'!$A$42:$A$80,0),MATCH('Acquisition BS adjustments'!$C$47,'Historical BU1'!$D$39:$T$39,0)),0)*Currency_conversion_BU1</f>
        <v>0</v>
      </c>
      <c r="D75" s="197"/>
      <c r="E75" s="291">
        <f>C75+D75</f>
        <v>0</v>
      </c>
    </row>
    <row r="76" spans="1:5">
      <c r="A76" s="28" t="s">
        <v>118</v>
      </c>
      <c r="B76" s="28" t="s">
        <v>235</v>
      </c>
      <c r="C76" s="291">
        <f>IFERROR(INDEX('Historical BU1'!$D$42:$T$80,MATCH('Acquisition BS adjustments'!$A76,'Historical BU1'!$A$42:$A$80,0),MATCH('Acquisition BS adjustments'!$C$47,'Historical BU1'!$D$39:$T$39,0)),0)*Currency_conversion_BU1</f>
        <v>0</v>
      </c>
      <c r="D76" s="197">
        <f>-D71-D72</f>
        <v>0</v>
      </c>
      <c r="E76" s="291">
        <f>C76+D76</f>
        <v>0</v>
      </c>
    </row>
    <row r="77" spans="1:5">
      <c r="A77" s="199"/>
      <c r="B77" s="199" t="s">
        <v>236</v>
      </c>
      <c r="C77" s="199">
        <f>SUM(C75:C76)</f>
        <v>0</v>
      </c>
      <c r="D77" s="199">
        <f t="shared" ref="D77:E77" si="22">SUM(D75:D76)</f>
        <v>0</v>
      </c>
      <c r="E77" s="199">
        <f t="shared" si="22"/>
        <v>0</v>
      </c>
    </row>
    <row r="78" spans="1:5">
      <c r="A78" s="28" t="s">
        <v>591</v>
      </c>
      <c r="B78" s="28" t="s">
        <v>237</v>
      </c>
      <c r="C78" s="291">
        <f>IFERROR(INDEX('Historical BU1'!$D$42:$T$80,MATCH('Acquisition BS adjustments'!$A78,'Historical BU1'!$A$42:$A$80,0),MATCH('Acquisition BS adjustments'!$C$47,'Historical BU1'!$D$39:$T$39,0)),0)*Currency_conversion_BU1</f>
        <v>0</v>
      </c>
      <c r="D78" s="197"/>
      <c r="E78" s="291">
        <f>C78+D78</f>
        <v>0</v>
      </c>
    </row>
    <row r="79" spans="1:5">
      <c r="A79" s="28" t="s">
        <v>114</v>
      </c>
      <c r="B79" s="28" t="s">
        <v>238</v>
      </c>
      <c r="C79" s="291">
        <f>IFERROR(INDEX('Historical BU1'!$D$42:$T$80,MATCH('Acquisition BS adjustments'!$A79,'Historical BU1'!$A$42:$A$80,0),MATCH('Acquisition BS adjustments'!$C$47,'Historical BU1'!$D$39:$T$39,0)),0)*Currency_conversion_BU1</f>
        <v>0</v>
      </c>
      <c r="D79" s="197"/>
      <c r="E79" s="291">
        <f>C79+D79</f>
        <v>0</v>
      </c>
    </row>
    <row r="80" spans="1:5">
      <c r="A80" s="199"/>
      <c r="B80" s="199" t="s">
        <v>17</v>
      </c>
      <c r="C80" s="199">
        <f>SUM(C77:C79)+C74</f>
        <v>0</v>
      </c>
      <c r="D80" s="199">
        <f t="shared" ref="D80:E80" si="23">SUM(D77:D79)+D74</f>
        <v>0</v>
      </c>
      <c r="E80" s="199">
        <f t="shared" si="23"/>
        <v>0</v>
      </c>
    </row>
    <row r="81" spans="1:7">
      <c r="A81" s="28" t="s">
        <v>165</v>
      </c>
      <c r="B81" s="28" t="s">
        <v>209</v>
      </c>
      <c r="C81" s="291">
        <f>IFERROR(INDEX('Historical BU1'!$D$42:$T$80,MATCH('Acquisition BS adjustments'!$A81,'Historical BU1'!$A$42:$A$80,0),MATCH('Acquisition BS adjustments'!$C$47,'Historical BU1'!$D$39:$T$39,0)),0)*Currency_conversion_BU1</f>
        <v>0</v>
      </c>
      <c r="D81" s="197">
        <v>0</v>
      </c>
      <c r="E81" s="291">
        <f t="shared" ref="E81:E87" si="24">C81+D81</f>
        <v>0</v>
      </c>
    </row>
    <row r="82" spans="1:7">
      <c r="A82" s="28" t="s">
        <v>592</v>
      </c>
      <c r="B82" s="28" t="s">
        <v>239</v>
      </c>
      <c r="C82" s="291">
        <f>IFERROR(INDEX('Historical BU1'!$D$42:$T$80,MATCH('Acquisition BS adjustments'!$A82,'Historical BU1'!$A$42:$A$80,0),MATCH('Acquisition BS adjustments'!$C$47,'Historical BU1'!$D$39:$T$39,0)),0)*Currency_conversion_BU1</f>
        <v>0</v>
      </c>
      <c r="D82" s="197"/>
      <c r="E82" s="291">
        <f t="shared" si="24"/>
        <v>0</v>
      </c>
    </row>
    <row r="83" spans="1:7">
      <c r="A83" s="28" t="s">
        <v>593</v>
      </c>
      <c r="B83" s="28" t="s">
        <v>240</v>
      </c>
      <c r="C83" s="291">
        <f>IFERROR(INDEX('Historical BU1'!$D$42:$T$80,MATCH('Acquisition BS adjustments'!$A83,'Historical BU1'!$A$42:$A$80,0),MATCH('Acquisition BS adjustments'!$C$47,'Historical BU1'!$D$39:$T$39,0)),0)*Currency_conversion_BU1</f>
        <v>0</v>
      </c>
      <c r="D83" s="197"/>
      <c r="E83" s="291">
        <f t="shared" si="24"/>
        <v>0</v>
      </c>
    </row>
    <row r="84" spans="1:7">
      <c r="A84" s="28" t="s">
        <v>594</v>
      </c>
      <c r="B84" s="28" t="s">
        <v>241</v>
      </c>
      <c r="C84" s="291">
        <f>IFERROR(INDEX('Historical BU1'!$D$42:$T$80,MATCH('Acquisition BS adjustments'!$A84,'Historical BU1'!$A$42:$A$80,0),MATCH('Acquisition BS adjustments'!$C$47,'Historical BU1'!$D$39:$T$39,0)),0)*Currency_conversion_BU1</f>
        <v>0</v>
      </c>
      <c r="D84" s="197"/>
      <c r="E84" s="291">
        <f t="shared" si="24"/>
        <v>0</v>
      </c>
    </row>
    <row r="85" spans="1:7">
      <c r="A85" s="28" t="s">
        <v>595</v>
      </c>
      <c r="B85" s="28" t="s">
        <v>596</v>
      </c>
      <c r="C85" s="291">
        <f>IFERROR(INDEX('Historical BU1'!$D$42:$T$80,MATCH('Acquisition BS adjustments'!$A85,'Historical BU1'!$A$42:$A$80,0),MATCH('Acquisition BS adjustments'!$C$47,'Historical BU1'!$D$39:$T$39,0)),0)*Currency_conversion_BU1</f>
        <v>0</v>
      </c>
      <c r="D85" s="197"/>
      <c r="E85" s="291">
        <f t="shared" si="24"/>
        <v>0</v>
      </c>
    </row>
    <row r="86" spans="1:7">
      <c r="A86" s="28" t="s">
        <v>597</v>
      </c>
      <c r="B86" s="28" t="s">
        <v>242</v>
      </c>
      <c r="C86" s="291">
        <f>IFERROR(INDEX('Historical BU1'!$D$42:$T$80,MATCH('Acquisition BS adjustments'!$A86,'Historical BU1'!$A$42:$A$80,0),MATCH('Acquisition BS adjustments'!$C$47,'Historical BU1'!$D$39:$T$39,0)),0)*Currency_conversion_BU1</f>
        <v>0</v>
      </c>
      <c r="D86" s="197"/>
      <c r="E86" s="291">
        <f t="shared" si="24"/>
        <v>0</v>
      </c>
    </row>
    <row r="87" spans="1:7">
      <c r="A87" s="28" t="s">
        <v>129</v>
      </c>
      <c r="B87" s="28" t="s">
        <v>598</v>
      </c>
      <c r="C87" s="291">
        <f>IFERROR(INDEX('Historical BU1'!$D$42:$T$80,MATCH('Acquisition BS adjustments'!$A87,'Historical BU1'!$A$42:$A$80,0),MATCH('Acquisition BS adjustments'!$C$47,'Historical BU1'!$D$39:$T$39,0)),0)*Currency_conversion_BU1</f>
        <v>0</v>
      </c>
      <c r="D87" s="197"/>
      <c r="E87" s="291">
        <f t="shared" si="24"/>
        <v>0</v>
      </c>
    </row>
    <row r="88" spans="1:7">
      <c r="A88" s="199"/>
      <c r="B88" s="199" t="s">
        <v>243</v>
      </c>
      <c r="C88" s="199">
        <f>SUM(C81:C87)</f>
        <v>0</v>
      </c>
      <c r="D88" s="199">
        <f t="shared" ref="D88:E88" si="25">SUM(D81:D87)</f>
        <v>0</v>
      </c>
      <c r="E88" s="199">
        <f t="shared" si="25"/>
        <v>0</v>
      </c>
    </row>
    <row r="89" spans="1:7">
      <c r="A89" s="195"/>
      <c r="B89" s="195" t="s">
        <v>244</v>
      </c>
      <c r="C89" s="195">
        <f>C88+C80</f>
        <v>0</v>
      </c>
      <c r="D89" s="195">
        <f t="shared" ref="D89:E89" si="26">D88+D80</f>
        <v>0</v>
      </c>
      <c r="E89" s="195">
        <f t="shared" si="26"/>
        <v>0</v>
      </c>
    </row>
    <row r="90" spans="1:7">
      <c r="B90" s="269" t="s">
        <v>701</v>
      </c>
      <c r="C90" s="269">
        <f>C89-C63</f>
        <v>0</v>
      </c>
      <c r="D90" s="269">
        <f t="shared" ref="D90:E90" si="27">D89-D63</f>
        <v>0</v>
      </c>
      <c r="E90" s="269">
        <f t="shared" si="27"/>
        <v>0</v>
      </c>
    </row>
    <row r="92" spans="1:7">
      <c r="A92" s="198" t="s">
        <v>707</v>
      </c>
      <c r="B92" s="198"/>
      <c r="C92" s="198">
        <f>C47</f>
        <v>43465</v>
      </c>
      <c r="D92" s="198"/>
      <c r="E92" s="198"/>
    </row>
    <row r="93" spans="1:7">
      <c r="A93" s="209" t="s">
        <v>696</v>
      </c>
      <c r="B93" s="209"/>
      <c r="C93" s="209" t="s">
        <v>698</v>
      </c>
      <c r="D93" s="209" t="s">
        <v>700</v>
      </c>
      <c r="E93" s="209" t="s">
        <v>699</v>
      </c>
    </row>
    <row r="94" spans="1:7">
      <c r="A94" s="28" t="s">
        <v>55</v>
      </c>
      <c r="B94" s="28" t="s">
        <v>213</v>
      </c>
      <c r="C94" s="291">
        <f>IFERROR(INDEX('Historical BU2'!$D$42:$T$80,MATCH('Acquisition BS adjustments'!$A94,'Historical BU2'!$A$42:$A$80,0),MATCH('Acquisition BS adjustments'!$C$47,'Historical BU2'!$D$39:$T$39,0)),0)*Currency_conversion_rate_BU2</f>
        <v>0</v>
      </c>
      <c r="D94" s="197"/>
      <c r="E94" s="291">
        <f t="shared" ref="E94:E100" si="28">C94+D94</f>
        <v>0</v>
      </c>
      <c r="G94" s="52" t="s">
        <v>1731</v>
      </c>
    </row>
    <row r="95" spans="1:7">
      <c r="A95" s="28" t="s">
        <v>56</v>
      </c>
      <c r="B95" s="28" t="s">
        <v>214</v>
      </c>
      <c r="C95" s="291">
        <f>IFERROR(INDEX('Historical BU2'!$D$42:$T$80,MATCH('Acquisition BS adjustments'!$A95,'Historical BU2'!$A$42:$A$80,0),MATCH('Acquisition BS adjustments'!$C$47,'Historical BU2'!$D$39:$T$39,0)),0)*Currency_conversion_rate_BU2</f>
        <v>0</v>
      </c>
      <c r="D95" s="197"/>
      <c r="E95" s="291">
        <f t="shared" si="28"/>
        <v>0</v>
      </c>
      <c r="G95" s="52" t="s">
        <v>1695</v>
      </c>
    </row>
    <row r="96" spans="1:7">
      <c r="A96" s="28" t="s">
        <v>63</v>
      </c>
      <c r="B96" s="28" t="s">
        <v>215</v>
      </c>
      <c r="C96" s="291">
        <f>IFERROR(INDEX('Historical BU2'!$D$42:$T$80,MATCH('Acquisition BS adjustments'!$A96,'Historical BU2'!$A$42:$A$80,0),MATCH('Acquisition BS adjustments'!$C$47,'Historical BU2'!$D$39:$T$39,0)),0)*Currency_conversion_rate_BU2</f>
        <v>0</v>
      </c>
      <c r="D96" s="197"/>
      <c r="E96" s="291">
        <f t="shared" si="28"/>
        <v>0</v>
      </c>
      <c r="G96" s="52" t="s">
        <v>1696</v>
      </c>
    </row>
    <row r="97" spans="1:7">
      <c r="A97" s="28" t="s">
        <v>58</v>
      </c>
      <c r="B97" s="28" t="s">
        <v>6</v>
      </c>
      <c r="C97" s="291">
        <f>IFERROR(INDEX('Historical BU2'!$D$42:$T$80,MATCH('Acquisition BS adjustments'!$A97,'Historical BU2'!$A$42:$A$80,0),MATCH('Acquisition BS adjustments'!$C$47,'Historical BU2'!$D$39:$T$39,0)),0)*Currency_conversion_rate_BU2</f>
        <v>0</v>
      </c>
      <c r="D97" s="197"/>
      <c r="E97" s="291">
        <f t="shared" si="28"/>
        <v>0</v>
      </c>
      <c r="G97" s="52" t="s">
        <v>1696</v>
      </c>
    </row>
    <row r="98" spans="1:7">
      <c r="A98" s="28" t="s">
        <v>57</v>
      </c>
      <c r="B98" s="28" t="s">
        <v>582</v>
      </c>
      <c r="C98" s="291">
        <f>IFERROR(INDEX('Historical BU2'!$D$42:$T$80,MATCH('Acquisition BS adjustments'!$A98,'Historical BU2'!$A$42:$A$80,0),MATCH('Acquisition BS adjustments'!$C$47,'Historical BU2'!$D$39:$T$39,0)),0)*Currency_conversion_rate_BU2</f>
        <v>0</v>
      </c>
      <c r="D98" s="197"/>
      <c r="E98" s="291">
        <f t="shared" si="28"/>
        <v>0</v>
      </c>
      <c r="G98" s="52" t="s">
        <v>1697</v>
      </c>
    </row>
    <row r="99" spans="1:7">
      <c r="A99" s="28" t="s">
        <v>60</v>
      </c>
      <c r="B99" s="28" t="s">
        <v>216</v>
      </c>
      <c r="C99" s="291">
        <f>IFERROR(INDEX('Historical BU2'!$D$42:$T$80,MATCH('Acquisition BS adjustments'!$A99,'Historical BU2'!$A$42:$A$80,0),MATCH('Acquisition BS adjustments'!$C$47,'Historical BU2'!$D$39:$T$39,0)),0)*Currency_conversion_rate_BU2</f>
        <v>0</v>
      </c>
      <c r="D99" s="197"/>
      <c r="E99" s="291">
        <f t="shared" si="28"/>
        <v>0</v>
      </c>
    </row>
    <row r="100" spans="1:7">
      <c r="A100" s="28"/>
      <c r="B100" s="28" t="s">
        <v>1472</v>
      </c>
      <c r="C100" s="291"/>
      <c r="D100" s="197"/>
      <c r="E100" s="291">
        <f t="shared" si="28"/>
        <v>0</v>
      </c>
    </row>
    <row r="101" spans="1:7">
      <c r="A101" s="199"/>
      <c r="B101" s="199" t="s">
        <v>217</v>
      </c>
      <c r="C101" s="199">
        <f>SUM(C94:C100)</f>
        <v>0</v>
      </c>
      <c r="D101" s="199">
        <f>SUM(D94:D100)</f>
        <v>0</v>
      </c>
      <c r="E101" s="199">
        <f>SUM(E94:E100)</f>
        <v>0</v>
      </c>
    </row>
    <row r="102" spans="1:7">
      <c r="A102" s="28" t="s">
        <v>583</v>
      </c>
      <c r="B102" s="28" t="s">
        <v>218</v>
      </c>
      <c r="C102" s="291">
        <f>IFERROR(INDEX('Historical BU2'!$D$42:$T$80,MATCH('Acquisition BS adjustments'!$A102,'Historical BU2'!$A$42:$A$80,0),MATCH('Acquisition BS adjustments'!$C$47,'Historical BU2'!$D$39:$T$39,0)),0)*Currency_conversion_rate_BU2</f>
        <v>0</v>
      </c>
      <c r="D102" s="197"/>
      <c r="E102" s="291">
        <f>C102+D102</f>
        <v>0</v>
      </c>
      <c r="G102" s="52" t="s">
        <v>1732</v>
      </c>
    </row>
    <row r="103" spans="1:7">
      <c r="A103" s="28" t="s">
        <v>584</v>
      </c>
      <c r="B103" s="28" t="s">
        <v>219</v>
      </c>
      <c r="C103" s="291">
        <f>IFERROR(INDEX('Historical BU2'!$D$42:$T$80,MATCH('Acquisition BS adjustments'!$A103,'Historical BU2'!$A$42:$A$80,0),MATCH('Acquisition BS adjustments'!$C$47,'Historical BU2'!$D$39:$T$39,0)),0)*Currency_conversion_rate_BU2</f>
        <v>0</v>
      </c>
      <c r="D103" s="197"/>
      <c r="E103" s="291">
        <f>C103+D103</f>
        <v>0</v>
      </c>
    </row>
    <row r="104" spans="1:7">
      <c r="A104" s="28" t="s">
        <v>66</v>
      </c>
      <c r="B104" s="28" t="s">
        <v>220</v>
      </c>
      <c r="C104" s="291">
        <f>IFERROR(INDEX('Historical BU2'!$D$42:$T$80,MATCH('Acquisition BS adjustments'!$A104,'Historical BU2'!$A$42:$A$80,0),MATCH('Acquisition BS adjustments'!$C$47,'Historical BU2'!$D$39:$T$39,0)),0)*Currency_conversion_rate_BU2</f>
        <v>0</v>
      </c>
      <c r="D104" s="197"/>
      <c r="E104" s="291">
        <f>C104+D104</f>
        <v>0</v>
      </c>
      <c r="G104" s="52" t="s">
        <v>1696</v>
      </c>
    </row>
    <row r="105" spans="1:7">
      <c r="A105" s="28" t="s">
        <v>585</v>
      </c>
      <c r="B105" s="28" t="s">
        <v>221</v>
      </c>
      <c r="C105" s="291">
        <f>IFERROR(INDEX('Historical BU2'!$D$42:$T$80,MATCH('Acquisition BS adjustments'!$A105,'Historical BU2'!$A$42:$A$80,0),MATCH('Acquisition BS adjustments'!$C$47,'Historical BU2'!$D$39:$T$39,0)),0)*Currency_conversion_rate_BU2</f>
        <v>0</v>
      </c>
      <c r="D105" s="197">
        <f>-C105</f>
        <v>0</v>
      </c>
      <c r="E105" s="291">
        <f>C105+D105</f>
        <v>0</v>
      </c>
    </row>
    <row r="106" spans="1:7">
      <c r="A106" s="28" t="s">
        <v>82</v>
      </c>
      <c r="B106" s="28" t="s">
        <v>222</v>
      </c>
      <c r="C106" s="291">
        <f>IFERROR(INDEX('Historical BU2'!$D$42:$T$80,MATCH('Acquisition BS adjustments'!$A106,'Historical BU2'!$A$42:$A$80,0),MATCH('Acquisition BS adjustments'!$C$47,'Historical BU2'!$D$39:$T$39,0)),0)*Currency_conversion_rate_BU2</f>
        <v>0</v>
      </c>
      <c r="D106" s="197"/>
      <c r="E106" s="291">
        <f>C106+D106</f>
        <v>0</v>
      </c>
      <c r="G106" s="52" t="s">
        <v>1732</v>
      </c>
    </row>
    <row r="107" spans="1:7">
      <c r="A107" s="199"/>
      <c r="B107" s="199" t="s">
        <v>223</v>
      </c>
      <c r="C107" s="199">
        <f>SUM(C102:C106)</f>
        <v>0</v>
      </c>
      <c r="D107" s="199">
        <f t="shared" ref="D107:E107" si="29">SUM(D102:D106)</f>
        <v>0</v>
      </c>
      <c r="E107" s="199">
        <f t="shared" si="29"/>
        <v>0</v>
      </c>
    </row>
    <row r="108" spans="1:7">
      <c r="A108" s="195"/>
      <c r="B108" s="195" t="s">
        <v>10</v>
      </c>
      <c r="C108" s="195">
        <f>+C107+C101</f>
        <v>0</v>
      </c>
      <c r="D108" s="195">
        <f>+D107+D101</f>
        <v>0</v>
      </c>
      <c r="E108" s="195">
        <f t="shared" ref="E108" si="30">+E107+E101</f>
        <v>0</v>
      </c>
    </row>
    <row r="109" spans="1:7">
      <c r="A109" s="209" t="s">
        <v>224</v>
      </c>
      <c r="B109" s="209"/>
      <c r="C109" s="209"/>
      <c r="D109" s="209"/>
      <c r="E109" s="209"/>
    </row>
    <row r="110" spans="1:7">
      <c r="A110" s="28" t="s">
        <v>100</v>
      </c>
      <c r="B110" s="28" t="s">
        <v>225</v>
      </c>
      <c r="C110" s="291">
        <f>IFERROR(INDEX('Historical BU2'!$D$42:$T$80,MATCH('Acquisition BS adjustments'!$A110,'Historical BU2'!$A$42:$A$80,0),MATCH('Acquisition BS adjustments'!$C$47,'Historical BU2'!$D$39:$T$39,0)),0)*Currency_conversion_rate_BU2</f>
        <v>0</v>
      </c>
      <c r="D110" s="197"/>
      <c r="E110" s="291">
        <f t="shared" ref="E110:E118" si="31">C110+D110</f>
        <v>0</v>
      </c>
      <c r="G110" s="52" t="s">
        <v>1696</v>
      </c>
    </row>
    <row r="111" spans="1:7">
      <c r="A111" s="28" t="s">
        <v>586</v>
      </c>
      <c r="B111" s="28" t="s">
        <v>226</v>
      </c>
      <c r="C111" s="291">
        <f>IFERROR(INDEX('Historical BU2'!$D$42:$T$80,MATCH('Acquisition BS adjustments'!$A111,'Historical BU2'!$A$42:$A$80,0),MATCH('Acquisition BS adjustments'!$C$47,'Historical BU2'!$D$39:$T$39,0)),0)*Currency_conversion_rate_BU2</f>
        <v>0</v>
      </c>
      <c r="D111" s="197"/>
      <c r="E111" s="291">
        <f t="shared" si="31"/>
        <v>0</v>
      </c>
    </row>
    <row r="112" spans="1:7">
      <c r="A112" s="28" t="s">
        <v>587</v>
      </c>
      <c r="B112" s="28" t="s">
        <v>227</v>
      </c>
      <c r="C112" s="291">
        <f>IFERROR(INDEX('Historical BU2'!$D$42:$T$80,MATCH('Acquisition BS adjustments'!$A112,'Historical BU2'!$A$42:$A$80,0),MATCH('Acquisition BS adjustments'!$C$47,'Historical BU2'!$D$39:$T$39,0)),0)*Currency_conversion_rate_BU2</f>
        <v>0</v>
      </c>
      <c r="D112" s="197"/>
      <c r="E112" s="291">
        <f t="shared" si="31"/>
        <v>0</v>
      </c>
    </row>
    <row r="113" spans="1:7">
      <c r="A113" s="28" t="s">
        <v>588</v>
      </c>
      <c r="B113" s="28" t="s">
        <v>228</v>
      </c>
      <c r="C113" s="291">
        <f>IFERROR(INDEX('Historical BU2'!$D$42:$T$80,MATCH('Acquisition BS adjustments'!$A113,'Historical BU2'!$A$42:$A$80,0),MATCH('Acquisition BS adjustments'!$C$47,'Historical BU2'!$D$39:$T$39,0)),0)*Currency_conversion_rate_BU2</f>
        <v>0</v>
      </c>
      <c r="D113" s="197"/>
      <c r="E113" s="291">
        <f t="shared" si="31"/>
        <v>0</v>
      </c>
      <c r="G113" s="52" t="s">
        <v>1696</v>
      </c>
    </row>
    <row r="114" spans="1:7">
      <c r="A114" s="28" t="s">
        <v>96</v>
      </c>
      <c r="B114" s="28" t="s">
        <v>229</v>
      </c>
      <c r="C114" s="291">
        <f>IFERROR(INDEX('Historical BU2'!$D$42:$T$80,MATCH('Acquisition BS adjustments'!$A114,'Historical BU2'!$A$42:$A$80,0),MATCH('Acquisition BS adjustments'!$C$47,'Historical BU2'!$D$39:$T$39,0)),0)*Currency_conversion_rate_BU2</f>
        <v>0</v>
      </c>
      <c r="D114" s="197"/>
      <c r="E114" s="291">
        <f t="shared" si="31"/>
        <v>0</v>
      </c>
      <c r="G114" s="52" t="s">
        <v>1696</v>
      </c>
    </row>
    <row r="115" spans="1:7">
      <c r="A115" s="28" t="s">
        <v>589</v>
      </c>
      <c r="B115" s="28" t="s">
        <v>230</v>
      </c>
      <c r="C115" s="291">
        <f>IFERROR(INDEX('Historical BU2'!$D$42:$T$80,MATCH('Acquisition BS adjustments'!$A115,'Historical BU2'!$A$42:$A$80,0),MATCH('Acquisition BS adjustments'!$C$47,'Historical BU2'!$D$39:$T$39,0)),0)*Currency_conversion_rate_BU2</f>
        <v>0</v>
      </c>
      <c r="D115" s="197"/>
      <c r="E115" s="291">
        <f t="shared" si="31"/>
        <v>0</v>
      </c>
    </row>
    <row r="116" spans="1:7">
      <c r="A116" s="28" t="s">
        <v>92</v>
      </c>
      <c r="B116" s="28" t="s">
        <v>231</v>
      </c>
      <c r="C116" s="291">
        <f>IFERROR(INDEX('Historical BU2'!$D$42:$T$80,MATCH('Acquisition BS adjustments'!$A116,'Historical BU2'!$A$42:$A$80,0),MATCH('Acquisition BS adjustments'!$C$47,'Historical BU2'!$D$39:$T$39,0)),0)*Currency_conversion_rate_BU2</f>
        <v>0</v>
      </c>
      <c r="D116" s="197"/>
      <c r="E116" s="291">
        <f t="shared" si="31"/>
        <v>0</v>
      </c>
      <c r="G116" s="52" t="s">
        <v>1695</v>
      </c>
    </row>
    <row r="117" spans="1:7">
      <c r="A117" s="28" t="s">
        <v>590</v>
      </c>
      <c r="B117" s="28" t="s">
        <v>232</v>
      </c>
      <c r="C117" s="291">
        <f>IFERROR(INDEX('Historical BU2'!$D$42:$T$80,MATCH('Acquisition BS adjustments'!$A117,'Historical BU2'!$A$42:$A$80,0),MATCH('Acquisition BS adjustments'!$C$47,'Historical BU2'!$D$39:$T$39,0)),0)*Currency_conversion_rate_BU2</f>
        <v>0</v>
      </c>
      <c r="D117" s="197"/>
      <c r="E117" s="291">
        <f t="shared" si="31"/>
        <v>0</v>
      </c>
    </row>
    <row r="118" spans="1:7">
      <c r="A118" s="28"/>
      <c r="B118" s="28" t="s">
        <v>1473</v>
      </c>
      <c r="C118" s="291"/>
      <c r="D118" s="197"/>
      <c r="E118" s="291">
        <f t="shared" si="31"/>
        <v>0</v>
      </c>
    </row>
    <row r="119" spans="1:7">
      <c r="A119" s="199"/>
      <c r="B119" s="199" t="s">
        <v>233</v>
      </c>
      <c r="C119" s="199">
        <f>SUM(C110:C118)</f>
        <v>0</v>
      </c>
      <c r="D119" s="199">
        <f>SUM(D110:D118)</f>
        <v>0</v>
      </c>
      <c r="E119" s="199">
        <f>SUM(E110:E118)</f>
        <v>0</v>
      </c>
    </row>
    <row r="120" spans="1:7">
      <c r="A120" s="28" t="s">
        <v>702</v>
      </c>
      <c r="B120" s="28" t="s">
        <v>234</v>
      </c>
      <c r="C120" s="291">
        <f>IFERROR(INDEX('Historical BU2'!$D$42:$T$80,MATCH('Acquisition BS adjustments'!$A120,'Historical BU2'!$A$42:$A$80,0),MATCH('Acquisition BS adjustments'!$C$47,'Historical BU2'!$D$39:$T$39,0)),0)*Currency_conversion_rate_BU2</f>
        <v>0</v>
      </c>
      <c r="D120" s="197"/>
      <c r="E120" s="291">
        <f>C120+D120</f>
        <v>0</v>
      </c>
    </row>
    <row r="121" spans="1:7">
      <c r="A121" s="28" t="s">
        <v>118</v>
      </c>
      <c r="B121" s="28" t="s">
        <v>235</v>
      </c>
      <c r="C121" s="291">
        <f>IFERROR(INDEX('Historical BU2'!$D$42:$T$80,MATCH('Acquisition BS adjustments'!$A121,'Historical BU2'!$A$42:$A$80,0),MATCH('Acquisition BS adjustments'!$C$47,'Historical BU2'!$D$39:$T$39,0)),0)*Currency_conversion_rate_BU2</f>
        <v>0</v>
      </c>
      <c r="D121" s="197">
        <f>-C121</f>
        <v>0</v>
      </c>
      <c r="E121" s="291">
        <f>C121+D121</f>
        <v>0</v>
      </c>
    </row>
    <row r="122" spans="1:7">
      <c r="A122" s="199"/>
      <c r="B122" s="199" t="s">
        <v>236</v>
      </c>
      <c r="C122" s="199">
        <f>SUM(C120:C121)</f>
        <v>0</v>
      </c>
      <c r="D122" s="199">
        <f t="shared" ref="D122" si="32">SUM(D120:D121)</f>
        <v>0</v>
      </c>
      <c r="E122" s="199">
        <f>SUM(E120:E121)</f>
        <v>0</v>
      </c>
    </row>
    <row r="123" spans="1:7">
      <c r="A123" s="28" t="s">
        <v>591</v>
      </c>
      <c r="B123" s="28" t="s">
        <v>237</v>
      </c>
      <c r="C123" s="291">
        <f>IFERROR(INDEX('Historical BU2'!$D$42:$T$80,MATCH('Acquisition BS adjustments'!$A123,'Historical BU2'!$A$42:$A$80,0),MATCH('Acquisition BS adjustments'!$C$47,'Historical BU2'!$D$39:$T$39,0)),0)*Currency_conversion_rate_BU2</f>
        <v>0</v>
      </c>
      <c r="D123" s="197"/>
      <c r="E123" s="291">
        <f>C123+D123</f>
        <v>0</v>
      </c>
    </row>
    <row r="124" spans="1:7">
      <c r="A124" s="28" t="s">
        <v>114</v>
      </c>
      <c r="B124" s="28" t="s">
        <v>238</v>
      </c>
      <c r="C124" s="291">
        <f>IFERROR(INDEX('Historical BU2'!$D$42:$T$80,MATCH('Acquisition BS adjustments'!$A124,'Historical BU2'!$A$42:$A$80,0),MATCH('Acquisition BS adjustments'!$C$47,'Historical BU2'!$D$39:$T$39,0)),0)*Currency_conversion_rate_BU2</f>
        <v>0</v>
      </c>
      <c r="D124" s="197"/>
      <c r="E124" s="291">
        <f>C124+D124</f>
        <v>0</v>
      </c>
    </row>
    <row r="125" spans="1:7">
      <c r="A125" s="199"/>
      <c r="B125" s="199" t="s">
        <v>17</v>
      </c>
      <c r="C125" s="199">
        <f>SUM(C122:C124)+C119</f>
        <v>0</v>
      </c>
      <c r="D125" s="199">
        <f t="shared" ref="D125:E125" si="33">SUM(D122:D124)+D119</f>
        <v>0</v>
      </c>
      <c r="E125" s="199">
        <f t="shared" si="33"/>
        <v>0</v>
      </c>
    </row>
    <row r="126" spans="1:7">
      <c r="A126" s="28" t="s">
        <v>165</v>
      </c>
      <c r="B126" s="28" t="s">
        <v>209</v>
      </c>
      <c r="C126" s="291">
        <f>IFERROR(INDEX('Historical BU2'!$D$42:$T$80,MATCH('Acquisition BS adjustments'!$A126,'Historical BU2'!$A$42:$A$80,0),MATCH('Acquisition BS adjustments'!$C$47,'Historical BU2'!$D$39:$T$39,0)),0)*Currency_conversion_rate_BU2</f>
        <v>0</v>
      </c>
      <c r="D126" s="197">
        <f>-C126</f>
        <v>0</v>
      </c>
      <c r="E126" s="291">
        <f t="shared" ref="E126:E132" si="34">C126+D126</f>
        <v>0</v>
      </c>
    </row>
    <row r="127" spans="1:7">
      <c r="A127" s="28" t="s">
        <v>592</v>
      </c>
      <c r="B127" s="28" t="s">
        <v>239</v>
      </c>
      <c r="C127" s="291">
        <f>IFERROR(INDEX('Historical BU2'!$D$42:$T$80,MATCH('Acquisition BS adjustments'!$A127,'Historical BU2'!$A$42:$A$80,0),MATCH('Acquisition BS adjustments'!$C$47,'Historical BU2'!$D$39:$T$39,0)),0)*Currency_conversion_rate_BU2</f>
        <v>0</v>
      </c>
      <c r="D127" s="197"/>
      <c r="E127" s="291">
        <f t="shared" si="34"/>
        <v>0</v>
      </c>
    </row>
    <row r="128" spans="1:7">
      <c r="A128" s="28" t="s">
        <v>593</v>
      </c>
      <c r="B128" s="28" t="s">
        <v>240</v>
      </c>
      <c r="C128" s="291">
        <f>IFERROR(INDEX('Historical BU2'!$D$42:$T$80,MATCH('Acquisition BS adjustments'!$A128,'Historical BU2'!$A$42:$A$80,0),MATCH('Acquisition BS adjustments'!$C$47,'Historical BU2'!$D$39:$T$39,0)),0)*Currency_conversion_rate_BU2</f>
        <v>0</v>
      </c>
      <c r="D128" s="197"/>
      <c r="E128" s="291">
        <f t="shared" si="34"/>
        <v>0</v>
      </c>
    </row>
    <row r="129" spans="1:7">
      <c r="A129" s="28" t="s">
        <v>594</v>
      </c>
      <c r="B129" s="28" t="s">
        <v>241</v>
      </c>
      <c r="C129" s="291">
        <f>IFERROR(INDEX('Historical BU2'!$D$42:$T$80,MATCH('Acquisition BS adjustments'!$A129,'Historical BU2'!$A$42:$A$80,0),MATCH('Acquisition BS adjustments'!$C$47,'Historical BU2'!$D$39:$T$39,0)),0)*Currency_conversion_rate_BU2</f>
        <v>0</v>
      </c>
      <c r="D129" s="197"/>
      <c r="E129" s="291">
        <f t="shared" si="34"/>
        <v>0</v>
      </c>
    </row>
    <row r="130" spans="1:7">
      <c r="A130" s="28" t="s">
        <v>595</v>
      </c>
      <c r="B130" s="28" t="s">
        <v>596</v>
      </c>
      <c r="C130" s="291">
        <f>IFERROR(INDEX('Historical BU2'!$D$42:$T$80,MATCH('Acquisition BS adjustments'!$A130,'Historical BU2'!$A$42:$A$80,0),MATCH('Acquisition BS adjustments'!$C$47,'Historical BU2'!$D$39:$T$39,0)),0)*Currency_conversion_rate_BU2</f>
        <v>0</v>
      </c>
      <c r="D130" s="197"/>
      <c r="E130" s="291">
        <f t="shared" si="34"/>
        <v>0</v>
      </c>
    </row>
    <row r="131" spans="1:7">
      <c r="A131" s="28" t="s">
        <v>597</v>
      </c>
      <c r="B131" s="28" t="s">
        <v>242</v>
      </c>
      <c r="C131" s="291">
        <f>IFERROR(INDEX('Historical BU2'!$D$42:$T$80,MATCH('Acquisition BS adjustments'!$A131,'Historical BU2'!$A$42:$A$80,0),MATCH('Acquisition BS adjustments'!$C$47,'Historical BU2'!$D$39:$T$39,0)),0)*Currency_conversion_rate_BU2</f>
        <v>0</v>
      </c>
      <c r="D131" s="197"/>
      <c r="E131" s="291">
        <f t="shared" si="34"/>
        <v>0</v>
      </c>
    </row>
    <row r="132" spans="1:7">
      <c r="A132" s="28" t="s">
        <v>129</v>
      </c>
      <c r="B132" s="28" t="s">
        <v>598</v>
      </c>
      <c r="C132" s="291">
        <f>IFERROR(INDEX('Historical BU2'!$D$42:$T$80,MATCH('Acquisition BS adjustments'!$A132,'Historical BU2'!$A$42:$A$80,0),MATCH('Acquisition BS adjustments'!$C$47,'Historical BU2'!$D$39:$T$39,0)),0)*Currency_conversion_rate_BU2</f>
        <v>0</v>
      </c>
      <c r="D132" s="197">
        <f>D108-D125-D126</f>
        <v>0</v>
      </c>
      <c r="E132" s="291">
        <f t="shared" si="34"/>
        <v>0</v>
      </c>
      <c r="G132" s="52" t="s">
        <v>1698</v>
      </c>
    </row>
    <row r="133" spans="1:7">
      <c r="A133" s="199"/>
      <c r="B133" s="199" t="s">
        <v>243</v>
      </c>
      <c r="C133" s="199">
        <f>SUM(C126:C132)</f>
        <v>0</v>
      </c>
      <c r="D133" s="199">
        <f t="shared" ref="D133" si="35">SUM(D126:D132)</f>
        <v>0</v>
      </c>
      <c r="E133" s="199">
        <f>SUM(E126:E132)</f>
        <v>0</v>
      </c>
    </row>
    <row r="134" spans="1:7">
      <c r="A134" s="195"/>
      <c r="B134" s="195" t="s">
        <v>244</v>
      </c>
      <c r="C134" s="195">
        <f>C133+C125</f>
        <v>0</v>
      </c>
      <c r="D134" s="195">
        <f>D133+D125</f>
        <v>0</v>
      </c>
      <c r="E134" s="195">
        <f t="shared" ref="E134" si="36">E133+E125</f>
        <v>0</v>
      </c>
    </row>
    <row r="135" spans="1:7">
      <c r="B135" s="269" t="s">
        <v>701</v>
      </c>
      <c r="C135" s="269">
        <f>C134-C108</f>
        <v>0</v>
      </c>
      <c r="D135" s="269">
        <f t="shared" ref="D135:E135" si="37">D134-D108</f>
        <v>0</v>
      </c>
      <c r="E135" s="269">
        <f t="shared" si="37"/>
        <v>0</v>
      </c>
    </row>
    <row r="137" spans="1:7">
      <c r="A137" s="198" t="s">
        <v>37</v>
      </c>
      <c r="B137" s="198"/>
      <c r="C137" s="198">
        <f>C92</f>
        <v>43465</v>
      </c>
      <c r="D137" s="198"/>
      <c r="E137" s="198"/>
    </row>
    <row r="138" spans="1:7">
      <c r="A138" s="209" t="s">
        <v>696</v>
      </c>
      <c r="B138" s="209"/>
      <c r="C138" s="209" t="s">
        <v>698</v>
      </c>
      <c r="D138" s="209" t="s">
        <v>700</v>
      </c>
      <c r="E138" s="209" t="s">
        <v>699</v>
      </c>
    </row>
    <row r="139" spans="1:7">
      <c r="A139" s="28" t="s">
        <v>55</v>
      </c>
      <c r="B139" s="28" t="s">
        <v>213</v>
      </c>
      <c r="C139" s="291">
        <f>IFERROR(INDEX('Historical other'!$D$42:$T$80,MATCH('Acquisition BS adjustments'!$A139,'Historical other'!$A$42:$A$80,0),MATCH('Acquisition BS adjustments'!$C$47,'Historical other'!$D$39:$T$39,0)),0)*Currency_conversion_rate_other</f>
        <v>0</v>
      </c>
      <c r="D139" s="197"/>
      <c r="E139" s="291">
        <f t="shared" ref="E139:E145" si="38">C139+D139</f>
        <v>0</v>
      </c>
    </row>
    <row r="140" spans="1:7">
      <c r="A140" s="28" t="s">
        <v>56</v>
      </c>
      <c r="B140" s="28" t="s">
        <v>214</v>
      </c>
      <c r="C140" s="291">
        <f>IFERROR(INDEX('Historical other'!$D$42:$T$80,MATCH('Acquisition BS adjustments'!$A140,'Historical other'!$A$42:$A$80,0),MATCH('Acquisition BS adjustments'!$C$47,'Historical other'!$D$39:$T$39,0)),0)*Currency_conversion_rate_other</f>
        <v>0</v>
      </c>
      <c r="D140" s="197"/>
      <c r="E140" s="291">
        <f t="shared" si="38"/>
        <v>0</v>
      </c>
    </row>
    <row r="141" spans="1:7">
      <c r="A141" s="28" t="s">
        <v>63</v>
      </c>
      <c r="B141" s="28" t="s">
        <v>215</v>
      </c>
      <c r="C141" s="291">
        <f>IFERROR(INDEX('Historical other'!$D$42:$T$80,MATCH('Acquisition BS adjustments'!$A141,'Historical other'!$A$42:$A$80,0),MATCH('Acquisition BS adjustments'!$C$47,'Historical other'!$D$39:$T$39,0)),0)*Currency_conversion_rate_other</f>
        <v>0</v>
      </c>
      <c r="D141" s="197"/>
      <c r="E141" s="291">
        <f t="shared" si="38"/>
        <v>0</v>
      </c>
    </row>
    <row r="142" spans="1:7">
      <c r="A142" s="28" t="s">
        <v>58</v>
      </c>
      <c r="B142" s="28" t="s">
        <v>6</v>
      </c>
      <c r="C142" s="291">
        <f>IFERROR(INDEX('Historical other'!$D$42:$T$80,MATCH('Acquisition BS adjustments'!$A142,'Historical other'!$A$42:$A$80,0),MATCH('Acquisition BS adjustments'!$C$47,'Historical other'!$D$39:$T$39,0)),0)*Currency_conversion_rate_other</f>
        <v>0</v>
      </c>
      <c r="D142" s="197"/>
      <c r="E142" s="291">
        <f t="shared" si="38"/>
        <v>0</v>
      </c>
    </row>
    <row r="143" spans="1:7">
      <c r="A143" s="28" t="s">
        <v>57</v>
      </c>
      <c r="B143" s="28" t="s">
        <v>582</v>
      </c>
      <c r="C143" s="291">
        <f>IFERROR(INDEX('Historical other'!$D$42:$T$80,MATCH('Acquisition BS adjustments'!$A143,'Historical other'!$A$42:$A$80,0),MATCH('Acquisition BS adjustments'!$C$47,'Historical other'!$D$39:$T$39,0)),0)*Currency_conversion_rate_other</f>
        <v>0</v>
      </c>
      <c r="D143" s="197"/>
      <c r="E143" s="291">
        <f t="shared" si="38"/>
        <v>0</v>
      </c>
    </row>
    <row r="144" spans="1:7">
      <c r="A144" s="28" t="s">
        <v>60</v>
      </c>
      <c r="B144" s="28" t="s">
        <v>216</v>
      </c>
      <c r="C144" s="291">
        <f>IFERROR(INDEX('Historical other'!$D$42:$T$80,MATCH('Acquisition BS adjustments'!$A144,'Historical other'!$A$42:$A$80,0),MATCH('Acquisition BS adjustments'!$C$47,'Historical other'!$D$39:$T$39,0)),0)*Currency_conversion_rate_other</f>
        <v>0</v>
      </c>
      <c r="D144" s="197"/>
      <c r="E144" s="291">
        <f t="shared" si="38"/>
        <v>0</v>
      </c>
    </row>
    <row r="145" spans="1:5">
      <c r="A145" s="28"/>
      <c r="B145" s="28" t="s">
        <v>1472</v>
      </c>
      <c r="C145" s="291"/>
      <c r="D145" s="197"/>
      <c r="E145" s="291">
        <f t="shared" si="38"/>
        <v>0</v>
      </c>
    </row>
    <row r="146" spans="1:5">
      <c r="A146" s="199"/>
      <c r="B146" s="199" t="s">
        <v>217</v>
      </c>
      <c r="C146" s="199">
        <f>SUM(C139:C145)</f>
        <v>0</v>
      </c>
      <c r="D146" s="199">
        <f>SUM(D139:D145)</f>
        <v>0</v>
      </c>
      <c r="E146" s="199">
        <f>SUM(E139:E145)</f>
        <v>0</v>
      </c>
    </row>
    <row r="147" spans="1:5">
      <c r="A147" s="28" t="s">
        <v>583</v>
      </c>
      <c r="B147" s="28" t="s">
        <v>218</v>
      </c>
      <c r="C147" s="291">
        <f>IFERROR(INDEX('Historical other'!$D$42:$T$80,MATCH('Acquisition BS adjustments'!$A147,'Historical other'!$A$42:$A$80,0),MATCH('Acquisition BS adjustments'!$C$47,'Historical other'!$D$39:$T$39,0)),0)*Currency_conversion_rate_other</f>
        <v>0</v>
      </c>
      <c r="D147" s="197"/>
      <c r="E147" s="291">
        <f>C147+D147</f>
        <v>0</v>
      </c>
    </row>
    <row r="148" spans="1:5">
      <c r="A148" s="28" t="s">
        <v>584</v>
      </c>
      <c r="B148" s="28" t="s">
        <v>219</v>
      </c>
      <c r="C148" s="291">
        <f>IFERROR(INDEX('Historical other'!$D$42:$T$80,MATCH('Acquisition BS adjustments'!$A148,'Historical other'!$A$42:$A$80,0),MATCH('Acquisition BS adjustments'!$C$47,'Historical other'!$D$39:$T$39,0)),0)*Currency_conversion_rate_other</f>
        <v>0</v>
      </c>
      <c r="D148" s="197"/>
      <c r="E148" s="291">
        <f>C148+D148</f>
        <v>0</v>
      </c>
    </row>
    <row r="149" spans="1:5">
      <c r="A149" s="28" t="s">
        <v>66</v>
      </c>
      <c r="B149" s="28" t="s">
        <v>220</v>
      </c>
      <c r="C149" s="291">
        <f>IFERROR(INDEX('Historical other'!$D$42:$T$80,MATCH('Acquisition BS adjustments'!$A149,'Historical other'!$A$42:$A$80,0),MATCH('Acquisition BS adjustments'!$C$47,'Historical other'!$D$39:$T$39,0)),0)*Currency_conversion_rate_other</f>
        <v>0</v>
      </c>
      <c r="D149" s="197"/>
      <c r="E149" s="291">
        <f>C149+D149</f>
        <v>0</v>
      </c>
    </row>
    <row r="150" spans="1:5">
      <c r="A150" s="28" t="s">
        <v>585</v>
      </c>
      <c r="B150" s="28" t="s">
        <v>221</v>
      </c>
      <c r="C150" s="291">
        <f>IFERROR(INDEX('Historical other'!$D$42:$T$80,MATCH('Acquisition BS adjustments'!$A150,'Historical other'!$A$42:$A$80,0),MATCH('Acquisition BS adjustments'!$C$47,'Historical other'!$D$39:$T$39,0)),0)*Currency_conversion_rate_other</f>
        <v>0</v>
      </c>
      <c r="D150" s="197"/>
      <c r="E150" s="291">
        <f>C150+D150</f>
        <v>0</v>
      </c>
    </row>
    <row r="151" spans="1:5">
      <c r="A151" s="28" t="s">
        <v>82</v>
      </c>
      <c r="B151" s="28" t="s">
        <v>222</v>
      </c>
      <c r="C151" s="291">
        <f>IFERROR(INDEX('Historical other'!$D$42:$T$80,MATCH('Acquisition BS adjustments'!$A151,'Historical other'!$A$42:$A$80,0),MATCH('Acquisition BS adjustments'!$C$47,'Historical other'!$D$39:$T$39,0)),0)*Currency_conversion_rate_other</f>
        <v>0</v>
      </c>
      <c r="D151" s="197"/>
      <c r="E151" s="291">
        <f>C151+D151</f>
        <v>0</v>
      </c>
    </row>
    <row r="152" spans="1:5">
      <c r="A152" s="199"/>
      <c r="B152" s="199" t="s">
        <v>223</v>
      </c>
      <c r="C152" s="199">
        <f>SUM(C147:C151)</f>
        <v>0</v>
      </c>
      <c r="D152" s="199">
        <f t="shared" ref="D152:E152" si="39">SUM(D147:D151)</f>
        <v>0</v>
      </c>
      <c r="E152" s="199">
        <f t="shared" si="39"/>
        <v>0</v>
      </c>
    </row>
    <row r="153" spans="1:5">
      <c r="A153" s="195"/>
      <c r="B153" s="195" t="s">
        <v>10</v>
      </c>
      <c r="C153" s="195">
        <f>+C152+C146</f>
        <v>0</v>
      </c>
      <c r="D153" s="195">
        <f t="shared" ref="D153:E153" si="40">+D152+D146</f>
        <v>0</v>
      </c>
      <c r="E153" s="195">
        <f t="shared" si="40"/>
        <v>0</v>
      </c>
    </row>
    <row r="154" spans="1:5">
      <c r="A154" s="209" t="s">
        <v>224</v>
      </c>
      <c r="B154" s="209"/>
      <c r="C154" s="209"/>
      <c r="D154" s="209"/>
      <c r="E154" s="209"/>
    </row>
    <row r="155" spans="1:5">
      <c r="A155" s="28" t="s">
        <v>100</v>
      </c>
      <c r="B155" s="28" t="s">
        <v>225</v>
      </c>
      <c r="C155" s="291">
        <f>IFERROR(INDEX('Historical other'!$D$42:$T$80,MATCH('Acquisition BS adjustments'!$A155,'Historical other'!$A$42:$A$80,0),MATCH('Acquisition BS adjustments'!$C$47,'Historical other'!$D$39:$T$39,0)),0)*Currency_conversion_rate_other</f>
        <v>0</v>
      </c>
      <c r="D155" s="197"/>
      <c r="E155" s="291">
        <f t="shared" ref="E155:E163" si="41">C155+D155</f>
        <v>0</v>
      </c>
    </row>
    <row r="156" spans="1:5">
      <c r="A156" s="28" t="s">
        <v>586</v>
      </c>
      <c r="B156" s="28" t="s">
        <v>226</v>
      </c>
      <c r="C156" s="291">
        <f>IFERROR(INDEX('Historical other'!$D$42:$T$80,MATCH('Acquisition BS adjustments'!$A156,'Historical other'!$A$42:$A$80,0),MATCH('Acquisition BS adjustments'!$C$47,'Historical other'!$D$39:$T$39,0)),0)*Currency_conversion_rate_other</f>
        <v>0</v>
      </c>
      <c r="D156" s="197"/>
      <c r="E156" s="291">
        <f t="shared" si="41"/>
        <v>0</v>
      </c>
    </row>
    <row r="157" spans="1:5">
      <c r="A157" s="28" t="s">
        <v>587</v>
      </c>
      <c r="B157" s="28" t="s">
        <v>227</v>
      </c>
      <c r="C157" s="291">
        <f>IFERROR(INDEX('Historical other'!$D$42:$T$80,MATCH('Acquisition BS adjustments'!$A157,'Historical other'!$A$42:$A$80,0),MATCH('Acquisition BS adjustments'!$C$47,'Historical other'!$D$39:$T$39,0)),0)*Currency_conversion_rate_other</f>
        <v>0</v>
      </c>
      <c r="D157" s="197"/>
      <c r="E157" s="291">
        <f t="shared" si="41"/>
        <v>0</v>
      </c>
    </row>
    <row r="158" spans="1:5">
      <c r="A158" s="28" t="s">
        <v>588</v>
      </c>
      <c r="B158" s="28" t="s">
        <v>228</v>
      </c>
      <c r="C158" s="291">
        <f>IFERROR(INDEX('Historical other'!$D$42:$T$80,MATCH('Acquisition BS adjustments'!$A158,'Historical other'!$A$42:$A$80,0),MATCH('Acquisition BS adjustments'!$C$47,'Historical other'!$D$39:$T$39,0)),0)*Currency_conversion_rate_other</f>
        <v>0</v>
      </c>
      <c r="D158" s="197"/>
      <c r="E158" s="291">
        <f t="shared" si="41"/>
        <v>0</v>
      </c>
    </row>
    <row r="159" spans="1:5">
      <c r="A159" s="28" t="s">
        <v>96</v>
      </c>
      <c r="B159" s="28" t="s">
        <v>229</v>
      </c>
      <c r="C159" s="291">
        <f>IFERROR(INDEX('Historical other'!$D$42:$T$80,MATCH('Acquisition BS adjustments'!$A159,'Historical other'!$A$42:$A$80,0),MATCH('Acquisition BS adjustments'!$C$47,'Historical other'!$D$39:$T$39,0)),0)*Currency_conversion_rate_other</f>
        <v>0</v>
      </c>
      <c r="D159" s="197"/>
      <c r="E159" s="291">
        <f t="shared" si="41"/>
        <v>0</v>
      </c>
    </row>
    <row r="160" spans="1:5">
      <c r="A160" s="28" t="s">
        <v>589</v>
      </c>
      <c r="B160" s="28" t="s">
        <v>230</v>
      </c>
      <c r="C160" s="291">
        <f>IFERROR(INDEX('Historical other'!$D$42:$T$80,MATCH('Acquisition BS adjustments'!$A160,'Historical other'!$A$42:$A$80,0),MATCH('Acquisition BS adjustments'!$C$47,'Historical other'!$D$39:$T$39,0)),0)*Currency_conversion_rate_other</f>
        <v>0</v>
      </c>
      <c r="D160" s="197"/>
      <c r="E160" s="291">
        <f t="shared" si="41"/>
        <v>0</v>
      </c>
    </row>
    <row r="161" spans="1:5">
      <c r="A161" s="28" t="s">
        <v>92</v>
      </c>
      <c r="B161" s="28" t="s">
        <v>231</v>
      </c>
      <c r="C161" s="291">
        <f>IFERROR(INDEX('Historical other'!$D$42:$T$80,MATCH('Acquisition BS adjustments'!$A161,'Historical other'!$A$42:$A$80,0),MATCH('Acquisition BS adjustments'!$C$47,'Historical other'!$D$39:$T$39,0)),0)*Currency_conversion_rate_other</f>
        <v>0</v>
      </c>
      <c r="D161" s="197"/>
      <c r="E161" s="291">
        <f t="shared" si="41"/>
        <v>0</v>
      </c>
    </row>
    <row r="162" spans="1:5">
      <c r="A162" s="28" t="s">
        <v>590</v>
      </c>
      <c r="B162" s="28" t="s">
        <v>232</v>
      </c>
      <c r="C162" s="291">
        <f>IFERROR(INDEX('Historical other'!$D$42:$T$80,MATCH('Acquisition BS adjustments'!$A162,'Historical other'!$A$42:$A$80,0),MATCH('Acquisition BS adjustments'!$C$47,'Historical other'!$D$39:$T$39,0)),0)*Currency_conversion_rate_other</f>
        <v>0</v>
      </c>
      <c r="D162" s="197"/>
      <c r="E162" s="291">
        <f t="shared" si="41"/>
        <v>0</v>
      </c>
    </row>
    <row r="163" spans="1:5">
      <c r="A163" s="28"/>
      <c r="B163" s="28" t="s">
        <v>1473</v>
      </c>
      <c r="C163" s="291"/>
      <c r="D163" s="197"/>
      <c r="E163" s="291">
        <f t="shared" si="41"/>
        <v>0</v>
      </c>
    </row>
    <row r="164" spans="1:5">
      <c r="A164" s="199"/>
      <c r="B164" s="199" t="s">
        <v>233</v>
      </c>
      <c r="C164" s="199">
        <f>SUM(C155:C163)</f>
        <v>0</v>
      </c>
      <c r="D164" s="199">
        <f>SUM(D155:D163)</f>
        <v>0</v>
      </c>
      <c r="E164" s="199">
        <f>SUM(E155:E163)</f>
        <v>0</v>
      </c>
    </row>
    <row r="165" spans="1:5">
      <c r="A165" s="28" t="s">
        <v>702</v>
      </c>
      <c r="B165" s="28" t="s">
        <v>234</v>
      </c>
      <c r="C165" s="291">
        <f>IFERROR(INDEX('Historical other'!$D$42:$T$80,MATCH('Acquisition BS adjustments'!$A165,'Historical other'!$A$42:$A$80,0),MATCH('Acquisition BS adjustments'!$C$47,'Historical other'!$D$39:$T$39,0)),0)*Currency_conversion_rate_other</f>
        <v>0</v>
      </c>
      <c r="D165" s="197"/>
      <c r="E165" s="291">
        <f>C165+D165</f>
        <v>0</v>
      </c>
    </row>
    <row r="166" spans="1:5">
      <c r="A166" s="28" t="s">
        <v>118</v>
      </c>
      <c r="B166" s="28" t="s">
        <v>235</v>
      </c>
      <c r="C166" s="291">
        <f>IFERROR(INDEX('Historical other'!$D$42:$T$80,MATCH('Acquisition BS adjustments'!$A166,'Historical other'!$A$42:$A$80,0),MATCH('Acquisition BS adjustments'!$C$47,'Historical other'!$D$39:$T$39,0)),0)*Currency_conversion_rate_other</f>
        <v>0</v>
      </c>
      <c r="D166" s="197"/>
      <c r="E166" s="291">
        <f>C166+D166</f>
        <v>0</v>
      </c>
    </row>
    <row r="167" spans="1:5">
      <c r="A167" s="199"/>
      <c r="B167" s="199" t="s">
        <v>236</v>
      </c>
      <c r="C167" s="199">
        <f>SUM(C165:C166)</f>
        <v>0</v>
      </c>
      <c r="D167" s="199">
        <f t="shared" ref="D167:E167" si="42">SUM(D165:D166)</f>
        <v>0</v>
      </c>
      <c r="E167" s="199">
        <f t="shared" si="42"/>
        <v>0</v>
      </c>
    </row>
    <row r="168" spans="1:5">
      <c r="A168" s="28" t="s">
        <v>591</v>
      </c>
      <c r="B168" s="28" t="s">
        <v>237</v>
      </c>
      <c r="C168" s="291">
        <f>IFERROR(INDEX('Historical other'!$D$42:$T$80,MATCH('Acquisition BS adjustments'!$A168,'Historical other'!$A$42:$A$80,0),MATCH('Acquisition BS adjustments'!$C$47,'Historical other'!$D$39:$T$39,0)),0)*Currency_conversion_rate_other</f>
        <v>0</v>
      </c>
      <c r="D168" s="197"/>
      <c r="E168" s="291">
        <f>C168+D168</f>
        <v>0</v>
      </c>
    </row>
    <row r="169" spans="1:5">
      <c r="A169" s="28" t="s">
        <v>114</v>
      </c>
      <c r="B169" s="28" t="s">
        <v>238</v>
      </c>
      <c r="C169" s="291">
        <f>IFERROR(INDEX('Historical other'!$D$42:$T$80,MATCH('Acquisition BS adjustments'!$A169,'Historical other'!$A$42:$A$80,0),MATCH('Acquisition BS adjustments'!$C$47,'Historical other'!$D$39:$T$39,0)),0)*Currency_conversion_rate_other</f>
        <v>0</v>
      </c>
      <c r="D169" s="197"/>
      <c r="E169" s="291">
        <f>C169+D169</f>
        <v>0</v>
      </c>
    </row>
    <row r="170" spans="1:5">
      <c r="A170" s="199"/>
      <c r="B170" s="199" t="s">
        <v>17</v>
      </c>
      <c r="C170" s="199">
        <f>SUM(C167:C169)+C164</f>
        <v>0</v>
      </c>
      <c r="D170" s="199">
        <f t="shared" ref="D170:E170" si="43">SUM(D167:D169)+D164</f>
        <v>0</v>
      </c>
      <c r="E170" s="199">
        <f t="shared" si="43"/>
        <v>0</v>
      </c>
    </row>
    <row r="171" spans="1:5">
      <c r="A171" s="28" t="s">
        <v>165</v>
      </c>
      <c r="B171" s="28" t="s">
        <v>209</v>
      </c>
      <c r="C171" s="291">
        <f>IFERROR(INDEX('Historical other'!$D$42:$T$80,MATCH('Acquisition BS adjustments'!$A171,'Historical other'!$A$42:$A$80,0),MATCH('Acquisition BS adjustments'!$C$47,'Historical other'!$D$39:$T$39,0)),0)*Currency_conversion_rate_other</f>
        <v>0</v>
      </c>
      <c r="D171" s="197"/>
      <c r="E171" s="291">
        <f t="shared" ref="E171:E177" si="44">C171+D171</f>
        <v>0</v>
      </c>
    </row>
    <row r="172" spans="1:5">
      <c r="A172" s="28" t="s">
        <v>592</v>
      </c>
      <c r="B172" s="28" t="s">
        <v>239</v>
      </c>
      <c r="C172" s="291">
        <f>IFERROR(INDEX('Historical other'!$D$42:$T$80,MATCH('Acquisition BS adjustments'!$A172,'Historical other'!$A$42:$A$80,0),MATCH('Acquisition BS adjustments'!$C$47,'Historical other'!$D$39:$T$39,0)),0)*Currency_conversion_rate_other</f>
        <v>0</v>
      </c>
      <c r="D172" s="197"/>
      <c r="E172" s="291">
        <f t="shared" si="44"/>
        <v>0</v>
      </c>
    </row>
    <row r="173" spans="1:5">
      <c r="A173" s="28" t="s">
        <v>593</v>
      </c>
      <c r="B173" s="28" t="s">
        <v>240</v>
      </c>
      <c r="C173" s="291">
        <f>IFERROR(INDEX('Historical other'!$D$42:$T$80,MATCH('Acquisition BS adjustments'!$A173,'Historical other'!$A$42:$A$80,0),MATCH('Acquisition BS adjustments'!$C$47,'Historical other'!$D$39:$T$39,0)),0)*Currency_conversion_rate_other</f>
        <v>0</v>
      </c>
      <c r="D173" s="197"/>
      <c r="E173" s="291">
        <f t="shared" si="44"/>
        <v>0</v>
      </c>
    </row>
    <row r="174" spans="1:5">
      <c r="A174" s="28" t="s">
        <v>594</v>
      </c>
      <c r="B174" s="28" t="s">
        <v>241</v>
      </c>
      <c r="C174" s="291">
        <f>IFERROR(INDEX('Historical other'!$D$42:$T$80,MATCH('Acquisition BS adjustments'!$A174,'Historical other'!$A$42:$A$80,0),MATCH('Acquisition BS adjustments'!$C$47,'Historical other'!$D$39:$T$39,0)),0)*Currency_conversion_rate_other</f>
        <v>0</v>
      </c>
      <c r="D174" s="197"/>
      <c r="E174" s="291">
        <f t="shared" si="44"/>
        <v>0</v>
      </c>
    </row>
    <row r="175" spans="1:5">
      <c r="A175" s="28" t="s">
        <v>595</v>
      </c>
      <c r="B175" s="28" t="s">
        <v>596</v>
      </c>
      <c r="C175" s="291">
        <f>IFERROR(INDEX('Historical other'!$D$42:$T$80,MATCH('Acquisition BS adjustments'!$A175,'Historical other'!$A$42:$A$80,0),MATCH('Acquisition BS adjustments'!$C$47,'Historical other'!$D$39:$T$39,0)),0)*Currency_conversion_rate_other</f>
        <v>0</v>
      </c>
      <c r="D175" s="197"/>
      <c r="E175" s="291">
        <f t="shared" si="44"/>
        <v>0</v>
      </c>
    </row>
    <row r="176" spans="1:5">
      <c r="A176" s="28" t="s">
        <v>597</v>
      </c>
      <c r="B176" s="28" t="s">
        <v>242</v>
      </c>
      <c r="C176" s="291">
        <f>IFERROR(INDEX('Historical other'!$D$42:$T$80,MATCH('Acquisition BS adjustments'!$A176,'Historical other'!$A$42:$A$80,0),MATCH('Acquisition BS adjustments'!$C$47,'Historical other'!$D$39:$T$39,0)),0)*Currency_conversion_rate_other</f>
        <v>0</v>
      </c>
      <c r="D176" s="197"/>
      <c r="E176" s="291">
        <f t="shared" si="44"/>
        <v>0</v>
      </c>
    </row>
    <row r="177" spans="1:5">
      <c r="A177" s="28" t="s">
        <v>129</v>
      </c>
      <c r="B177" s="28" t="s">
        <v>598</v>
      </c>
      <c r="C177" s="291">
        <f>IFERROR(INDEX('Historical other'!$D$42:$T$80,MATCH('Acquisition BS adjustments'!$A177,'Historical other'!$A$42:$A$80,0),MATCH('Acquisition BS adjustments'!$C$47,'Historical other'!$D$39:$T$39,0)),0)*Currency_conversion_rate_other</f>
        <v>0</v>
      </c>
      <c r="D177" s="197"/>
      <c r="E177" s="291">
        <f t="shared" si="44"/>
        <v>0</v>
      </c>
    </row>
    <row r="178" spans="1:5">
      <c r="A178" s="199"/>
      <c r="B178" s="199" t="s">
        <v>243</v>
      </c>
      <c r="C178" s="199">
        <f>SUM(C171:C177)</f>
        <v>0</v>
      </c>
      <c r="D178" s="199">
        <f t="shared" ref="D178:E178" si="45">SUM(D171:D177)</f>
        <v>0</v>
      </c>
      <c r="E178" s="199">
        <f t="shared" si="45"/>
        <v>0</v>
      </c>
    </row>
    <row r="179" spans="1:5">
      <c r="A179" s="195"/>
      <c r="B179" s="195" t="s">
        <v>244</v>
      </c>
      <c r="C179" s="195">
        <f>C178+C170</f>
        <v>0</v>
      </c>
      <c r="D179" s="195">
        <f t="shared" ref="D179:E179" si="46">D178+D170</f>
        <v>0</v>
      </c>
      <c r="E179" s="195">
        <f t="shared" si="46"/>
        <v>0</v>
      </c>
    </row>
    <row r="180" spans="1:5">
      <c r="B180" s="269" t="s">
        <v>701</v>
      </c>
      <c r="C180" s="269">
        <f>C179-C153</f>
        <v>0</v>
      </c>
      <c r="D180" s="269">
        <f t="shared" ref="D180:E180" si="47">D179-D153</f>
        <v>0</v>
      </c>
      <c r="E180" s="269">
        <f t="shared" si="47"/>
        <v>0</v>
      </c>
    </row>
    <row r="182" spans="1:5">
      <c r="A182" s="198" t="s">
        <v>708</v>
      </c>
      <c r="B182" s="198"/>
      <c r="C182" s="198">
        <f>C137</f>
        <v>43465</v>
      </c>
      <c r="D182" s="198"/>
      <c r="E182" s="198"/>
    </row>
    <row r="183" spans="1:5">
      <c r="A183" s="209" t="s">
        <v>696</v>
      </c>
      <c r="B183" s="209"/>
      <c r="C183" s="209" t="s">
        <v>698</v>
      </c>
      <c r="D183" s="209" t="s">
        <v>700</v>
      </c>
      <c r="E183" s="209" t="s">
        <v>699</v>
      </c>
    </row>
    <row r="184" spans="1:5">
      <c r="A184" s="28" t="s">
        <v>55</v>
      </c>
      <c r="B184" s="28" t="s">
        <v>213</v>
      </c>
      <c r="C184" s="291">
        <f>IFERROR(INDEX('Historical Holdco'!$D$42:$T$80,MATCH('Acquisition BS adjustments'!$A184,'Historical Holdco'!$A$42:$A$80,0),MATCH('Acquisition BS adjustments'!$C$47,'Historical Holdco'!$D$39:$T$39,0)),0)</f>
        <v>0</v>
      </c>
      <c r="D184" s="197"/>
      <c r="E184" s="291">
        <f t="shared" ref="E184:E190" si="48">C184+D184</f>
        <v>0</v>
      </c>
    </row>
    <row r="185" spans="1:5">
      <c r="A185" s="28" t="s">
        <v>56</v>
      </c>
      <c r="B185" s="28" t="s">
        <v>214</v>
      </c>
      <c r="C185" s="291">
        <f>IFERROR(INDEX('Historical Holdco'!$D$42:$T$80,MATCH('Acquisition BS adjustments'!$A185,'Historical Holdco'!$A$42:$A$80,0),MATCH('Acquisition BS adjustments'!$C$47,'Historical Holdco'!$D$39:$T$39,0)),0)</f>
        <v>0</v>
      </c>
      <c r="D185" s="197"/>
      <c r="E185" s="291">
        <f t="shared" si="48"/>
        <v>0</v>
      </c>
    </row>
    <row r="186" spans="1:5">
      <c r="A186" s="28" t="s">
        <v>63</v>
      </c>
      <c r="B186" s="28" t="s">
        <v>215</v>
      </c>
      <c r="C186" s="291">
        <f>IFERROR(INDEX('Historical Holdco'!$D$42:$T$80,MATCH('Acquisition BS adjustments'!$A186,'Historical Holdco'!$A$42:$A$80,0),MATCH('Acquisition BS adjustments'!$C$47,'Historical Holdco'!$D$39:$T$39,0)),0)</f>
        <v>0</v>
      </c>
      <c r="D186" s="197"/>
      <c r="E186" s="291">
        <f t="shared" si="48"/>
        <v>0</v>
      </c>
    </row>
    <row r="187" spans="1:5">
      <c r="A187" s="28" t="s">
        <v>58</v>
      </c>
      <c r="B187" s="28" t="s">
        <v>6</v>
      </c>
      <c r="C187" s="291">
        <f>IFERROR(INDEX('Historical Holdco'!$D$42:$T$80,MATCH('Acquisition BS adjustments'!$A187,'Historical Holdco'!$A$42:$A$80,0),MATCH('Acquisition BS adjustments'!$C$47,'Historical Holdco'!$D$39:$T$39,0)),0)</f>
        <v>0</v>
      </c>
      <c r="D187" s="197"/>
      <c r="E187" s="291">
        <f t="shared" si="48"/>
        <v>0</v>
      </c>
    </row>
    <row r="188" spans="1:5">
      <c r="A188" s="28" t="s">
        <v>57</v>
      </c>
      <c r="B188" s="28" t="s">
        <v>582</v>
      </c>
      <c r="C188" s="291">
        <f>IFERROR(INDEX('Historical Holdco'!$D$42:$T$80,MATCH('Acquisition BS adjustments'!$A188,'Historical Holdco'!$A$42:$A$80,0),MATCH('Acquisition BS adjustments'!$C$47,'Historical Holdco'!$D$39:$T$39,0)),0)</f>
        <v>0</v>
      </c>
      <c r="D188" s="197"/>
      <c r="E188" s="291">
        <f t="shared" si="48"/>
        <v>0</v>
      </c>
    </row>
    <row r="189" spans="1:5">
      <c r="A189" s="28" t="s">
        <v>60</v>
      </c>
      <c r="B189" s="28" t="s">
        <v>216</v>
      </c>
      <c r="C189" s="291">
        <f>IFERROR(INDEX('Historical Holdco'!$D$42:$T$80,MATCH('Acquisition BS adjustments'!$A189,'Historical Holdco'!$A$42:$A$80,0),MATCH('Acquisition BS adjustments'!$C$47,'Historical Holdco'!$D$39:$T$39,0)),0)</f>
        <v>0</v>
      </c>
      <c r="D189" s="197"/>
      <c r="E189" s="291">
        <f t="shared" si="48"/>
        <v>0</v>
      </c>
    </row>
    <row r="190" spans="1:5">
      <c r="A190" s="28"/>
      <c r="B190" s="28" t="s">
        <v>1472</v>
      </c>
      <c r="C190" s="291"/>
      <c r="D190" s="197"/>
      <c r="E190" s="291">
        <f t="shared" si="48"/>
        <v>0</v>
      </c>
    </row>
    <row r="191" spans="1:5">
      <c r="A191" s="199"/>
      <c r="B191" s="199" t="s">
        <v>217</v>
      </c>
      <c r="C191" s="199">
        <f>SUM(C184:C190)</f>
        <v>0</v>
      </c>
      <c r="D191" s="199">
        <f>SUM(D184:D190)</f>
        <v>0</v>
      </c>
      <c r="E191" s="199">
        <f>SUM(E184:E190)</f>
        <v>0</v>
      </c>
    </row>
    <row r="192" spans="1:5">
      <c r="A192" s="28" t="s">
        <v>583</v>
      </c>
      <c r="B192" s="28" t="s">
        <v>218</v>
      </c>
      <c r="C192" s="291">
        <f>IFERROR(INDEX('Historical Holdco'!$D$42:$T$80,MATCH('Acquisition BS adjustments'!$A192,'Historical Holdco'!$A$42:$A$80,0),MATCH('Acquisition BS adjustments'!$C$47,'Historical Holdco'!$D$39:$T$39,0)),0)</f>
        <v>0</v>
      </c>
      <c r="D192" s="197"/>
      <c r="E192" s="291">
        <f>C192+D192</f>
        <v>0</v>
      </c>
    </row>
    <row r="193" spans="1:5">
      <c r="A193" s="28" t="s">
        <v>584</v>
      </c>
      <c r="B193" s="28" t="s">
        <v>219</v>
      </c>
      <c r="C193" s="291">
        <f>IFERROR(INDEX('Historical Holdco'!$D$42:$T$80,MATCH('Acquisition BS adjustments'!$A193,'Historical Holdco'!$A$42:$A$80,0),MATCH('Acquisition BS adjustments'!$C$47,'Historical Holdco'!$D$39:$T$39,0)),0)</f>
        <v>0</v>
      </c>
      <c r="D193" s="197"/>
      <c r="E193" s="291">
        <f>C193+D193</f>
        <v>0</v>
      </c>
    </row>
    <row r="194" spans="1:5">
      <c r="A194" s="28" t="s">
        <v>66</v>
      </c>
      <c r="B194" s="28" t="s">
        <v>220</v>
      </c>
      <c r="C194" s="291">
        <f>IFERROR(INDEX('Historical Holdco'!$D$42:$T$80,MATCH('Acquisition BS adjustments'!$A194,'Historical Holdco'!$A$42:$A$80,0),MATCH('Acquisition BS adjustments'!$C$47,'Historical Holdco'!$D$39:$T$39,0)),0)</f>
        <v>0</v>
      </c>
      <c r="D194" s="197">
        <f>D224-D195</f>
        <v>372544000</v>
      </c>
      <c r="E194" s="291">
        <f>C194+D194</f>
        <v>372544000</v>
      </c>
    </row>
    <row r="195" spans="1:5">
      <c r="A195" s="28" t="s">
        <v>585</v>
      </c>
      <c r="B195" s="28" t="s">
        <v>221</v>
      </c>
      <c r="C195" s="291">
        <f>IFERROR(INDEX('Historical Holdco'!$D$42:$T$80,MATCH('Acquisition BS adjustments'!$A195,'Historical Holdco'!$A$42:$A$80,0),MATCH('Acquisition BS adjustments'!$C$47,'Historical Holdco'!$D$39:$T$39,0)),0)</f>
        <v>0</v>
      </c>
      <c r="D195" s="197"/>
      <c r="E195" s="291">
        <f>C195+D195</f>
        <v>0</v>
      </c>
    </row>
    <row r="196" spans="1:5">
      <c r="A196" s="28" t="s">
        <v>82</v>
      </c>
      <c r="B196" s="28" t="s">
        <v>222</v>
      </c>
      <c r="C196" s="291">
        <f>IFERROR(INDEX('Historical Holdco'!$D$42:$T$80,MATCH('Acquisition BS adjustments'!$A196,'Historical Holdco'!$A$42:$A$80,0),MATCH('Acquisition BS adjustments'!$C$47,'Historical Holdco'!$D$39:$T$39,0)),0)</f>
        <v>0</v>
      </c>
      <c r="D196" s="197"/>
      <c r="E196" s="291">
        <f>C196+D196</f>
        <v>0</v>
      </c>
    </row>
    <row r="197" spans="1:5">
      <c r="A197" s="199"/>
      <c r="B197" s="199" t="s">
        <v>223</v>
      </c>
      <c r="C197" s="199">
        <f>SUM(C192:C196)</f>
        <v>0</v>
      </c>
      <c r="D197" s="199">
        <f t="shared" ref="D197:E197" si="49">SUM(D192:D196)</f>
        <v>372544000</v>
      </c>
      <c r="E197" s="199">
        <f t="shared" si="49"/>
        <v>372544000</v>
      </c>
    </row>
    <row r="198" spans="1:5">
      <c r="A198" s="195"/>
      <c r="B198" s="195" t="s">
        <v>10</v>
      </c>
      <c r="C198" s="195">
        <f>+C197+C191</f>
        <v>0</v>
      </c>
      <c r="D198" s="195">
        <f t="shared" ref="D198:E198" si="50">+D197+D191</f>
        <v>372544000</v>
      </c>
      <c r="E198" s="195">
        <f t="shared" si="50"/>
        <v>372544000</v>
      </c>
    </row>
    <row r="199" spans="1:5">
      <c r="A199" s="209" t="s">
        <v>224</v>
      </c>
      <c r="B199" s="209"/>
      <c r="C199" s="209"/>
      <c r="D199" s="209"/>
      <c r="E199" s="209"/>
    </row>
    <row r="200" spans="1:5">
      <c r="A200" s="28" t="s">
        <v>100</v>
      </c>
      <c r="B200" s="28" t="s">
        <v>225</v>
      </c>
      <c r="C200" s="291">
        <f>IFERROR(INDEX('Historical Holdco'!$D$42:$T$80,MATCH('Acquisition BS adjustments'!$A200,'Historical Holdco'!$A$42:$A$80,0),MATCH('Acquisition BS adjustments'!$C$47,'Historical Holdco'!$D$39:$T$39,0)),0)</f>
        <v>0</v>
      </c>
      <c r="D200" s="197"/>
      <c r="E200" s="291">
        <f t="shared" ref="E200:E208" si="51">C200+D200</f>
        <v>0</v>
      </c>
    </row>
    <row r="201" spans="1:5">
      <c r="A201" s="28" t="s">
        <v>586</v>
      </c>
      <c r="B201" s="28" t="s">
        <v>226</v>
      </c>
      <c r="C201" s="291">
        <f>IFERROR(INDEX('Historical Holdco'!$D$42:$T$80,MATCH('Acquisition BS adjustments'!$A201,'Historical Holdco'!$A$42:$A$80,0),MATCH('Acquisition BS adjustments'!$C$47,'Historical Holdco'!$D$39:$T$39,0)),0)</f>
        <v>0</v>
      </c>
      <c r="D201" s="197"/>
      <c r="E201" s="291">
        <f t="shared" si="51"/>
        <v>0</v>
      </c>
    </row>
    <row r="202" spans="1:5">
      <c r="A202" s="28" t="s">
        <v>587</v>
      </c>
      <c r="B202" s="28" t="s">
        <v>227</v>
      </c>
      <c r="C202" s="291">
        <f>IFERROR(INDEX('Historical Holdco'!$D$42:$T$80,MATCH('Acquisition BS adjustments'!$A202,'Historical Holdco'!$A$42:$A$80,0),MATCH('Acquisition BS adjustments'!$C$47,'Historical Holdco'!$D$39:$T$39,0)),0)</f>
        <v>0</v>
      </c>
      <c r="D202" s="197"/>
      <c r="E202" s="291">
        <f t="shared" si="51"/>
        <v>0</v>
      </c>
    </row>
    <row r="203" spans="1:5">
      <c r="A203" s="28" t="s">
        <v>588</v>
      </c>
      <c r="B203" s="28" t="s">
        <v>228</v>
      </c>
      <c r="C203" s="291">
        <f>IFERROR(INDEX('Historical Holdco'!$D$42:$T$80,MATCH('Acquisition BS adjustments'!$A203,'Historical Holdco'!$A$42:$A$80,0),MATCH('Acquisition BS adjustments'!$C$47,'Historical Holdco'!$D$39:$T$39,0)),0)</f>
        <v>0</v>
      </c>
      <c r="D203" s="197"/>
      <c r="E203" s="291">
        <f t="shared" si="51"/>
        <v>0</v>
      </c>
    </row>
    <row r="204" spans="1:5">
      <c r="A204" s="28" t="s">
        <v>96</v>
      </c>
      <c r="B204" s="28" t="s">
        <v>229</v>
      </c>
      <c r="C204" s="291">
        <f>IFERROR(INDEX('Historical Holdco'!$D$42:$T$80,MATCH('Acquisition BS adjustments'!$A204,'Historical Holdco'!$A$42:$A$80,0),MATCH('Acquisition BS adjustments'!$C$47,'Historical Holdco'!$D$39:$T$39,0)),0)</f>
        <v>0</v>
      </c>
      <c r="D204" s="197"/>
      <c r="E204" s="291">
        <f t="shared" si="51"/>
        <v>0</v>
      </c>
    </row>
    <row r="205" spans="1:5">
      <c r="A205" s="28" t="s">
        <v>589</v>
      </c>
      <c r="B205" s="28" t="s">
        <v>230</v>
      </c>
      <c r="C205" s="291">
        <f>IFERROR(INDEX('Historical Holdco'!$D$42:$T$80,MATCH('Acquisition BS adjustments'!$A205,'Historical Holdco'!$A$42:$A$80,0),MATCH('Acquisition BS adjustments'!$C$47,'Historical Holdco'!$D$39:$T$39,0)),0)</f>
        <v>0</v>
      </c>
      <c r="D205" s="197"/>
      <c r="E205" s="291">
        <f t="shared" si="51"/>
        <v>0</v>
      </c>
    </row>
    <row r="206" spans="1:5">
      <c r="A206" s="28" t="s">
        <v>92</v>
      </c>
      <c r="B206" s="28" t="s">
        <v>231</v>
      </c>
      <c r="C206" s="291">
        <f>IFERROR(INDEX('Historical Holdco'!$D$42:$T$80,MATCH('Acquisition BS adjustments'!$A206,'Historical Holdco'!$A$42:$A$80,0),MATCH('Acquisition BS adjustments'!$C$47,'Historical Holdco'!$D$39:$T$39,0)),0)</f>
        <v>0</v>
      </c>
      <c r="D206" s="197">
        <f>'Financing assumptions Holdco'!F57*1000</f>
        <v>0</v>
      </c>
      <c r="E206" s="291">
        <f t="shared" si="51"/>
        <v>0</v>
      </c>
    </row>
    <row r="207" spans="1:5">
      <c r="A207" s="28" t="s">
        <v>590</v>
      </c>
      <c r="B207" s="28" t="s">
        <v>232</v>
      </c>
      <c r="C207" s="291">
        <f>IFERROR(INDEX('Historical Holdco'!$D$42:$T$80,MATCH('Acquisition BS adjustments'!$A207,'Historical Holdco'!$A$42:$A$80,0),MATCH('Acquisition BS adjustments'!$C$47,'Historical Holdco'!$D$39:$T$39,0)),0)</f>
        <v>0</v>
      </c>
      <c r="D207" s="197"/>
      <c r="E207" s="291">
        <f t="shared" si="51"/>
        <v>0</v>
      </c>
    </row>
    <row r="208" spans="1:5">
      <c r="A208" s="28"/>
      <c r="B208" s="28" t="s">
        <v>1473</v>
      </c>
      <c r="C208" s="291"/>
      <c r="D208" s="197"/>
      <c r="E208" s="291">
        <f t="shared" si="51"/>
        <v>0</v>
      </c>
    </row>
    <row r="209" spans="1:7">
      <c r="A209" s="199"/>
      <c r="B209" s="199" t="s">
        <v>233</v>
      </c>
      <c r="C209" s="199">
        <f>SUM(C200:C208)</f>
        <v>0</v>
      </c>
      <c r="D209" s="199">
        <f t="shared" ref="D209:E209" si="52">SUM(D200:D208)</f>
        <v>0</v>
      </c>
      <c r="E209" s="199">
        <f t="shared" si="52"/>
        <v>0</v>
      </c>
    </row>
    <row r="210" spans="1:7">
      <c r="A210" s="28" t="s">
        <v>702</v>
      </c>
      <c r="B210" s="28" t="s">
        <v>234</v>
      </c>
      <c r="C210" s="291">
        <f>IFERROR(INDEX('Historical Holdco'!$D$42:$T$80,MATCH('Acquisition BS adjustments'!$A210,'Historical Holdco'!$A$42:$A$80,0),MATCH('Acquisition BS adjustments'!$C$47,'Historical Holdco'!$D$39:$T$39,0)),0)</f>
        <v>0</v>
      </c>
      <c r="D210" s="197"/>
      <c r="E210" s="291">
        <f>C210+D210</f>
        <v>0</v>
      </c>
    </row>
    <row r="211" spans="1:7">
      <c r="A211" s="28" t="s">
        <v>118</v>
      </c>
      <c r="B211" s="28" t="s">
        <v>235</v>
      </c>
      <c r="C211" s="291">
        <f>IFERROR(INDEX('Historical Holdco'!$D$42:$T$80,MATCH('Acquisition BS adjustments'!$A211,'Historical Holdco'!$A$42:$A$80,0),MATCH('Acquisition BS adjustments'!$C$47,'Historical Holdco'!$D$39:$T$39,0)),0)</f>
        <v>0</v>
      </c>
      <c r="D211" s="197">
        <f>('Financing assumptions Holdco'!F15+'Financing assumptions Holdco'!F45+'Financing assumptions Holdco'!F27)*1000</f>
        <v>0</v>
      </c>
      <c r="E211" s="291">
        <f>C211+D211</f>
        <v>0</v>
      </c>
    </row>
    <row r="212" spans="1:7">
      <c r="A212" s="199"/>
      <c r="B212" s="199" t="s">
        <v>236</v>
      </c>
      <c r="C212" s="199">
        <f>SUM(C210:C211)</f>
        <v>0</v>
      </c>
      <c r="D212" s="199">
        <f t="shared" ref="D212:E212" si="53">SUM(D210:D211)</f>
        <v>0</v>
      </c>
      <c r="E212" s="199">
        <f t="shared" si="53"/>
        <v>0</v>
      </c>
    </row>
    <row r="213" spans="1:7">
      <c r="A213" s="28" t="s">
        <v>591</v>
      </c>
      <c r="B213" s="28" t="s">
        <v>237</v>
      </c>
      <c r="C213" s="291">
        <f>IFERROR(INDEX('Historical Holdco'!$D$42:$T$80,MATCH('Acquisition BS adjustments'!$A213,'Historical Holdco'!$A$42:$A$80,0),MATCH('Acquisition BS adjustments'!$C$47,'Historical Holdco'!$D$39:$T$39,0)),0)</f>
        <v>0</v>
      </c>
      <c r="D213" s="197"/>
      <c r="E213" s="291">
        <f>C213+D213</f>
        <v>0</v>
      </c>
    </row>
    <row r="214" spans="1:7">
      <c r="A214" s="28" t="s">
        <v>114</v>
      </c>
      <c r="B214" s="28" t="s">
        <v>238</v>
      </c>
      <c r="C214" s="291">
        <f>IFERROR(INDEX('Historical Holdco'!$D$42:$T$80,MATCH('Acquisition BS adjustments'!$A214,'Historical Holdco'!$A$42:$A$80,0),MATCH('Acquisition BS adjustments'!$C$47,'Historical Holdco'!$D$39:$T$39,0)),0)</f>
        <v>0</v>
      </c>
      <c r="D214" s="197"/>
      <c r="E214" s="291">
        <f>C214+D214</f>
        <v>0</v>
      </c>
    </row>
    <row r="215" spans="1:7">
      <c r="A215" s="199"/>
      <c r="B215" s="199" t="s">
        <v>17</v>
      </c>
      <c r="C215" s="199">
        <f>SUM(C212:C214)+C209</f>
        <v>0</v>
      </c>
      <c r="D215" s="199">
        <f t="shared" ref="D215:E215" si="54">SUM(D212:D214)+D209</f>
        <v>0</v>
      </c>
      <c r="E215" s="199">
        <f t="shared" si="54"/>
        <v>0</v>
      </c>
    </row>
    <row r="216" spans="1:7">
      <c r="A216" s="28" t="s">
        <v>165</v>
      </c>
      <c r="B216" s="28" t="s">
        <v>209</v>
      </c>
      <c r="C216" s="291">
        <f>IFERROR(INDEX('Historical Holdco'!$D$42:$T$80,MATCH('Acquisition BS adjustments'!$A216,'Historical Holdco'!$A$42:$A$80,0),MATCH('Acquisition BS adjustments'!$C$47,'Historical Holdco'!$D$39:$T$39,0)),0)</f>
        <v>0</v>
      </c>
      <c r="D216" s="197">
        <f>-D126</f>
        <v>0</v>
      </c>
      <c r="E216" s="291">
        <f t="shared" ref="E216:E222" si="55">C216+D216</f>
        <v>0</v>
      </c>
    </row>
    <row r="217" spans="1:7">
      <c r="A217" s="28" t="s">
        <v>592</v>
      </c>
      <c r="B217" s="28" t="s">
        <v>239</v>
      </c>
      <c r="C217" s="291">
        <f>IFERROR(INDEX('Historical Holdco'!$D$42:$T$80,MATCH('Acquisition BS adjustments'!$A217,'Historical Holdco'!$A$42:$A$80,0),MATCH('Acquisition BS adjustments'!$C$47,'Historical Holdco'!$D$39:$T$39,0)),0)</f>
        <v>0</v>
      </c>
      <c r="D217" s="197"/>
      <c r="E217" s="291">
        <f t="shared" si="55"/>
        <v>0</v>
      </c>
    </row>
    <row r="218" spans="1:7">
      <c r="A218" s="28" t="s">
        <v>593</v>
      </c>
      <c r="B218" s="28" t="s">
        <v>240</v>
      </c>
      <c r="C218" s="291">
        <f>IFERROR(INDEX('Historical Holdco'!$D$42:$T$80,MATCH('Acquisition BS adjustments'!$A218,'Historical Holdco'!$A$42:$A$80,0),MATCH('Acquisition BS adjustments'!$C$47,'Historical Holdco'!$D$39:$T$39,0)),0)</f>
        <v>0</v>
      </c>
      <c r="D218" s="197">
        <f>372544*1000</f>
        <v>372544000</v>
      </c>
      <c r="E218" s="291">
        <f t="shared" si="55"/>
        <v>372544000</v>
      </c>
    </row>
    <row r="219" spans="1:7">
      <c r="A219" s="28" t="s">
        <v>594</v>
      </c>
      <c r="B219" s="28" t="s">
        <v>241</v>
      </c>
      <c r="C219" s="291">
        <f>IFERROR(INDEX('Historical Holdco'!$D$42:$T$80,MATCH('Acquisition BS adjustments'!$A219,'Historical Holdco'!$A$42:$A$80,0),MATCH('Acquisition BS adjustments'!$C$47,'Historical Holdco'!$D$39:$T$39,0)),0)</f>
        <v>0</v>
      </c>
      <c r="D219" s="197"/>
      <c r="E219" s="291">
        <f t="shared" si="55"/>
        <v>0</v>
      </c>
    </row>
    <row r="220" spans="1:7">
      <c r="A220" s="28" t="s">
        <v>595</v>
      </c>
      <c r="B220" s="28" t="s">
        <v>596</v>
      </c>
      <c r="C220" s="291">
        <f>IFERROR(INDEX('Historical Holdco'!$D$42:$T$80,MATCH('Acquisition BS adjustments'!$A220,'Historical Holdco'!$A$42:$A$80,0),MATCH('Acquisition BS adjustments'!$C$47,'Historical Holdco'!$D$39:$T$39,0)),0)</f>
        <v>0</v>
      </c>
      <c r="D220" s="197">
        <f>C130</f>
        <v>0</v>
      </c>
      <c r="E220" s="291">
        <f t="shared" si="55"/>
        <v>0</v>
      </c>
      <c r="G220" s="760">
        <v>-11549000</v>
      </c>
    </row>
    <row r="221" spans="1:7">
      <c r="A221" s="28" t="s">
        <v>597</v>
      </c>
      <c r="B221" s="28" t="s">
        <v>242</v>
      </c>
      <c r="C221" s="291">
        <f>IFERROR(INDEX('Historical Holdco'!$D$42:$T$80,MATCH('Acquisition BS adjustments'!$A221,'Historical Holdco'!$A$42:$A$80,0),MATCH('Acquisition BS adjustments'!$C$47,'Historical Holdco'!$D$39:$T$39,0)),0)</f>
        <v>0</v>
      </c>
      <c r="D221" s="197">
        <f>C131</f>
        <v>0</v>
      </c>
      <c r="E221" s="291">
        <f t="shared" si="55"/>
        <v>0</v>
      </c>
      <c r="G221" s="760">
        <v>-23762000</v>
      </c>
    </row>
    <row r="222" spans="1:7">
      <c r="A222" s="28" t="s">
        <v>129</v>
      </c>
      <c r="B222" s="28" t="s">
        <v>598</v>
      </c>
      <c r="C222" s="291">
        <f>IFERROR(INDEX('Historical Holdco'!$D$42:$T$80,MATCH('Acquisition BS adjustments'!$A222,'Historical Holdco'!$A$42:$A$80,0),MATCH('Acquisition BS adjustments'!$C$47,'Historical Holdco'!$D$39:$T$39,0)),0)</f>
        <v>0</v>
      </c>
      <c r="D222" s="197"/>
      <c r="E222" s="291">
        <f t="shared" si="55"/>
        <v>0</v>
      </c>
    </row>
    <row r="223" spans="1:7">
      <c r="A223" s="199"/>
      <c r="B223" s="199" t="s">
        <v>243</v>
      </c>
      <c r="C223" s="199">
        <f>SUM(C216:C222)</f>
        <v>0</v>
      </c>
      <c r="D223" s="199">
        <f>SUM(D216:D222)</f>
        <v>372544000</v>
      </c>
      <c r="E223" s="199">
        <f t="shared" ref="E223" si="56">SUM(E216:E222)</f>
        <v>372544000</v>
      </c>
    </row>
    <row r="224" spans="1:7">
      <c r="A224" s="195"/>
      <c r="B224" s="195" t="s">
        <v>244</v>
      </c>
      <c r="C224" s="195">
        <f>C223+C215</f>
        <v>0</v>
      </c>
      <c r="D224" s="195">
        <f>D223+D215</f>
        <v>372544000</v>
      </c>
      <c r="E224" s="195">
        <f t="shared" ref="E224" si="57">E223+E215</f>
        <v>372544000</v>
      </c>
    </row>
    <row r="225" spans="1:5">
      <c r="B225" s="269" t="s">
        <v>701</v>
      </c>
      <c r="C225" s="269">
        <f>C224-C198</f>
        <v>0</v>
      </c>
      <c r="D225" s="269">
        <f t="shared" ref="D225:E225" si="58">D224-D198</f>
        <v>0</v>
      </c>
      <c r="E225" s="269">
        <f t="shared" si="58"/>
        <v>0</v>
      </c>
    </row>
    <row r="227" spans="1:5">
      <c r="A227" s="198" t="s">
        <v>964</v>
      </c>
      <c r="B227" s="198"/>
      <c r="C227" s="198">
        <f>C182</f>
        <v>43465</v>
      </c>
      <c r="D227" s="198"/>
      <c r="E227" s="198"/>
    </row>
    <row r="228" spans="1:5">
      <c r="A228" s="209" t="s">
        <v>696</v>
      </c>
      <c r="B228" s="209"/>
      <c r="C228" s="209" t="s">
        <v>698</v>
      </c>
      <c r="D228" s="209" t="s">
        <v>700</v>
      </c>
      <c r="E228" s="209" t="s">
        <v>699</v>
      </c>
    </row>
    <row r="229" spans="1:5">
      <c r="A229" s="28" t="s">
        <v>55</v>
      </c>
      <c r="B229" s="28" t="s">
        <v>213</v>
      </c>
      <c r="C229" s="291">
        <f>IFERROR(INDEX('Consolidation adjustments'!$D$42:$T$80,MATCH('Acquisition BS adjustments'!$A229,'Consolidation adjustments'!$A$42:$A$80,0),MATCH('Acquisition BS adjustments'!$C$47,'Consolidation adjustments'!$D$39:$T$39,0)),0)</f>
        <v>0</v>
      </c>
      <c r="D229" s="197"/>
      <c r="E229" s="291">
        <f t="shared" ref="E229:E235" si="59">C229+D229</f>
        <v>0</v>
      </c>
    </row>
    <row r="230" spans="1:5">
      <c r="A230" s="28" t="s">
        <v>56</v>
      </c>
      <c r="B230" s="28" t="s">
        <v>214</v>
      </c>
      <c r="C230" s="291">
        <f>IFERROR(INDEX('Consolidation adjustments'!$D$42:$T$80,MATCH('Acquisition BS adjustments'!$A230,'Consolidation adjustments'!$A$42:$A$80,0),MATCH('Acquisition BS adjustments'!$C$47,'Consolidation adjustments'!$D$39:$T$39,0)),0)</f>
        <v>0</v>
      </c>
      <c r="D230" s="197"/>
      <c r="E230" s="291">
        <f t="shared" si="59"/>
        <v>0</v>
      </c>
    </row>
    <row r="231" spans="1:5">
      <c r="A231" s="28" t="s">
        <v>63</v>
      </c>
      <c r="B231" s="28" t="s">
        <v>215</v>
      </c>
      <c r="C231" s="291">
        <f>IFERROR(INDEX('Consolidation adjustments'!$D$42:$T$80,MATCH('Acquisition BS adjustments'!$A231,'Consolidation adjustments'!$A$42:$A$80,0),MATCH('Acquisition BS adjustments'!$C$47,'Consolidation adjustments'!$D$39:$T$39,0)),0)</f>
        <v>0</v>
      </c>
      <c r="D231" s="197"/>
      <c r="E231" s="291">
        <f t="shared" si="59"/>
        <v>0</v>
      </c>
    </row>
    <row r="232" spans="1:5">
      <c r="A232" s="28" t="s">
        <v>58</v>
      </c>
      <c r="B232" s="28" t="s">
        <v>6</v>
      </c>
      <c r="C232" s="291">
        <f>IFERROR(INDEX('Consolidation adjustments'!$D$42:$T$80,MATCH('Acquisition BS adjustments'!$A232,'Consolidation adjustments'!$A$42:$A$80,0),MATCH('Acquisition BS adjustments'!$C$47,'Consolidation adjustments'!$D$39:$T$39,0)),0)</f>
        <v>0</v>
      </c>
      <c r="D232" s="197"/>
      <c r="E232" s="291">
        <f t="shared" si="59"/>
        <v>0</v>
      </c>
    </row>
    <row r="233" spans="1:5">
      <c r="A233" s="28" t="s">
        <v>57</v>
      </c>
      <c r="B233" s="28" t="s">
        <v>582</v>
      </c>
      <c r="C233" s="291">
        <f>IFERROR(INDEX('Consolidation adjustments'!$D$42:$T$80,MATCH('Acquisition BS adjustments'!$A233,'Consolidation adjustments'!$A$42:$A$80,0),MATCH('Acquisition BS adjustments'!$C$47,'Consolidation adjustments'!$D$39:$T$39,0)),0)</f>
        <v>0</v>
      </c>
      <c r="D233" s="197"/>
      <c r="E233" s="291">
        <f t="shared" si="59"/>
        <v>0</v>
      </c>
    </row>
    <row r="234" spans="1:5">
      <c r="A234" s="28" t="s">
        <v>60</v>
      </c>
      <c r="B234" s="28" t="s">
        <v>216</v>
      </c>
      <c r="C234" s="291">
        <f>IFERROR(INDEX('Consolidation adjustments'!$D$42:$T$80,MATCH('Acquisition BS adjustments'!$A234,'Consolidation adjustments'!$A$42:$A$80,0),MATCH('Acquisition BS adjustments'!$C$47,'Consolidation adjustments'!$D$39:$T$39,0)),0)</f>
        <v>0</v>
      </c>
      <c r="D234" s="197"/>
      <c r="E234" s="291">
        <f t="shared" si="59"/>
        <v>0</v>
      </c>
    </row>
    <row r="235" spans="1:5">
      <c r="A235" s="28"/>
      <c r="B235" s="28" t="s">
        <v>1472</v>
      </c>
      <c r="C235" s="291"/>
      <c r="D235" s="197"/>
      <c r="E235" s="291">
        <f t="shared" si="59"/>
        <v>0</v>
      </c>
    </row>
    <row r="236" spans="1:5">
      <c r="A236" s="199"/>
      <c r="B236" s="199" t="s">
        <v>217</v>
      </c>
      <c r="C236" s="199">
        <f>SUM(C229:C235)</f>
        <v>0</v>
      </c>
      <c r="D236" s="199">
        <f t="shared" ref="D236:E236" si="60">SUM(D229:D235)</f>
        <v>0</v>
      </c>
      <c r="E236" s="199">
        <f t="shared" si="60"/>
        <v>0</v>
      </c>
    </row>
    <row r="237" spans="1:5">
      <c r="A237" s="28" t="s">
        <v>583</v>
      </c>
      <c r="B237" s="28" t="s">
        <v>218</v>
      </c>
      <c r="C237" s="291">
        <f>IFERROR(INDEX('Consolidation adjustments'!$D$42:$T$80,MATCH('Acquisition BS adjustments'!$A237,'Consolidation adjustments'!$A$42:$A$80,0),MATCH('Acquisition BS adjustments'!$C$47,'Consolidation adjustments'!$D$39:$T$39,0)),0)</f>
        <v>0</v>
      </c>
      <c r="D237" s="197"/>
      <c r="E237" s="291">
        <f>C237+D237</f>
        <v>0</v>
      </c>
    </row>
    <row r="238" spans="1:5">
      <c r="A238" s="28" t="s">
        <v>584</v>
      </c>
      <c r="B238" s="28" t="s">
        <v>219</v>
      </c>
      <c r="C238" s="291">
        <f>IFERROR(INDEX('Consolidation adjustments'!$D$42:$T$80,MATCH('Acquisition BS adjustments'!$A238,'Consolidation adjustments'!$A$42:$A$80,0),MATCH('Acquisition BS adjustments'!$C$47,'Consolidation adjustments'!$D$39:$T$39,0)),0)</f>
        <v>0</v>
      </c>
      <c r="D238" s="197"/>
      <c r="E238" s="291">
        <f>C238+D238</f>
        <v>0</v>
      </c>
    </row>
    <row r="239" spans="1:5">
      <c r="A239" s="28" t="s">
        <v>66</v>
      </c>
      <c r="B239" s="28" t="s">
        <v>220</v>
      </c>
      <c r="C239" s="291">
        <f>IFERROR(INDEX('Consolidation adjustments'!$D$42:$T$80,MATCH('Acquisition BS adjustments'!$A239,'Consolidation adjustments'!$A$42:$A$80,0),MATCH('Acquisition BS adjustments'!$C$47,'Consolidation adjustments'!$D$39:$T$39,0)),0)</f>
        <v>0</v>
      </c>
      <c r="D239" s="197">
        <f>-E194</f>
        <v>-372544000</v>
      </c>
      <c r="E239" s="291">
        <f>C239+D239</f>
        <v>-372544000</v>
      </c>
    </row>
    <row r="240" spans="1:5">
      <c r="A240" s="28" t="s">
        <v>585</v>
      </c>
      <c r="B240" s="28" t="s">
        <v>221</v>
      </c>
      <c r="C240" s="291">
        <f>IFERROR(INDEX('Consolidation adjustments'!$D$42:$T$80,MATCH('Acquisition BS adjustments'!$A240,'Consolidation adjustments'!$A$42:$A$80,0),MATCH('Acquisition BS adjustments'!$C$47,'Consolidation adjustments'!$D$39:$T$39,0)),0)</f>
        <v>0</v>
      </c>
      <c r="D240" s="197">
        <f>+C105</f>
        <v>0</v>
      </c>
      <c r="E240" s="291">
        <f>C240+D240</f>
        <v>0</v>
      </c>
    </row>
    <row r="241" spans="1:5">
      <c r="A241" s="28" t="s">
        <v>82</v>
      </c>
      <c r="B241" s="28" t="s">
        <v>222</v>
      </c>
      <c r="C241" s="291">
        <f>IFERROR(INDEX('Consolidation adjustments'!$D$42:$T$80,MATCH('Acquisition BS adjustments'!$A241,'Consolidation adjustments'!$A$42:$A$80,0),MATCH('Acquisition BS adjustments'!$C$47,'Consolidation adjustments'!$D$39:$T$39,0)),0)</f>
        <v>0</v>
      </c>
      <c r="D241" s="197"/>
      <c r="E241" s="291">
        <f>C241+D241</f>
        <v>0</v>
      </c>
    </row>
    <row r="242" spans="1:5">
      <c r="A242" s="199"/>
      <c r="B242" s="199" t="s">
        <v>223</v>
      </c>
      <c r="C242" s="199">
        <f>SUM(C237:C241)</f>
        <v>0</v>
      </c>
      <c r="D242" s="199">
        <f t="shared" ref="D242:E242" si="61">SUM(D237:D241)</f>
        <v>-372544000</v>
      </c>
      <c r="E242" s="199">
        <f t="shared" si="61"/>
        <v>-372544000</v>
      </c>
    </row>
    <row r="243" spans="1:5">
      <c r="A243" s="195"/>
      <c r="B243" s="195" t="s">
        <v>10</v>
      </c>
      <c r="C243" s="195">
        <f>+C242+C236</f>
        <v>0</v>
      </c>
      <c r="D243" s="195">
        <f t="shared" ref="D243:E243" si="62">+D242+D236</f>
        <v>-372544000</v>
      </c>
      <c r="E243" s="195">
        <f t="shared" si="62"/>
        <v>-372544000</v>
      </c>
    </row>
    <row r="244" spans="1:5">
      <c r="A244" s="209" t="s">
        <v>224</v>
      </c>
      <c r="B244" s="209"/>
      <c r="C244" s="209"/>
      <c r="D244" s="209"/>
      <c r="E244" s="209"/>
    </row>
    <row r="245" spans="1:5">
      <c r="A245" s="28" t="s">
        <v>100</v>
      </c>
      <c r="B245" s="28" t="s">
        <v>225</v>
      </c>
      <c r="C245" s="291">
        <f>IFERROR(INDEX('Consolidation adjustments'!$D$42:$T$80,MATCH('Acquisition BS adjustments'!$A245,'Consolidation adjustments'!$A$42:$A$80,0),MATCH('Acquisition BS adjustments'!$C$47,'Consolidation adjustments'!$D$39:$T$39,0)),0)</f>
        <v>0</v>
      </c>
      <c r="D245" s="197"/>
      <c r="E245" s="291">
        <f t="shared" ref="E245:E253" si="63">C245+D245</f>
        <v>0</v>
      </c>
    </row>
    <row r="246" spans="1:5">
      <c r="A246" s="28" t="s">
        <v>586</v>
      </c>
      <c r="B246" s="28" t="s">
        <v>226</v>
      </c>
      <c r="C246" s="291">
        <f>IFERROR(INDEX('Consolidation adjustments'!$D$42:$T$80,MATCH('Acquisition BS adjustments'!$A246,'Consolidation adjustments'!$A$42:$A$80,0),MATCH('Acquisition BS adjustments'!$C$47,'Consolidation adjustments'!$D$39:$T$39,0)),0)</f>
        <v>0</v>
      </c>
      <c r="D246" s="197"/>
      <c r="E246" s="291">
        <f t="shared" si="63"/>
        <v>0</v>
      </c>
    </row>
    <row r="247" spans="1:5">
      <c r="A247" s="28" t="s">
        <v>587</v>
      </c>
      <c r="B247" s="28" t="s">
        <v>227</v>
      </c>
      <c r="C247" s="291">
        <f>IFERROR(INDEX('Consolidation adjustments'!$D$42:$T$80,MATCH('Acquisition BS adjustments'!$A247,'Consolidation adjustments'!$A$42:$A$80,0),MATCH('Acquisition BS adjustments'!$C$47,'Consolidation adjustments'!$D$39:$T$39,0)),0)</f>
        <v>0</v>
      </c>
      <c r="D247" s="197"/>
      <c r="E247" s="291">
        <f t="shared" si="63"/>
        <v>0</v>
      </c>
    </row>
    <row r="248" spans="1:5">
      <c r="A248" s="28" t="s">
        <v>588</v>
      </c>
      <c r="B248" s="28" t="s">
        <v>228</v>
      </c>
      <c r="C248" s="291">
        <f>IFERROR(INDEX('Consolidation adjustments'!$D$42:$T$80,MATCH('Acquisition BS adjustments'!$A248,'Consolidation adjustments'!$A$42:$A$80,0),MATCH('Acquisition BS adjustments'!$C$47,'Consolidation adjustments'!$D$39:$T$39,0)),0)</f>
        <v>0</v>
      </c>
      <c r="D248" s="197"/>
      <c r="E248" s="291">
        <f t="shared" si="63"/>
        <v>0</v>
      </c>
    </row>
    <row r="249" spans="1:5">
      <c r="A249" s="28" t="s">
        <v>96</v>
      </c>
      <c r="B249" s="28" t="s">
        <v>229</v>
      </c>
      <c r="C249" s="291">
        <f>IFERROR(INDEX('Consolidation adjustments'!$D$42:$T$80,MATCH('Acquisition BS adjustments'!$A249,'Consolidation adjustments'!$A$42:$A$80,0),MATCH('Acquisition BS adjustments'!$C$47,'Consolidation adjustments'!$D$39:$T$39,0)),0)</f>
        <v>0</v>
      </c>
      <c r="D249" s="197"/>
      <c r="E249" s="291">
        <f t="shared" si="63"/>
        <v>0</v>
      </c>
    </row>
    <row r="250" spans="1:5">
      <c r="A250" s="28" t="s">
        <v>589</v>
      </c>
      <c r="B250" s="28" t="s">
        <v>230</v>
      </c>
      <c r="C250" s="291">
        <f>IFERROR(INDEX('Consolidation adjustments'!$D$42:$T$80,MATCH('Acquisition BS adjustments'!$A250,'Consolidation adjustments'!$A$42:$A$80,0),MATCH('Acquisition BS adjustments'!$C$47,'Consolidation adjustments'!$D$39:$T$39,0)),0)</f>
        <v>0</v>
      </c>
      <c r="D250" s="197"/>
      <c r="E250" s="291">
        <f t="shared" si="63"/>
        <v>0</v>
      </c>
    </row>
    <row r="251" spans="1:5">
      <c r="A251" s="28" t="s">
        <v>92</v>
      </c>
      <c r="B251" s="28" t="s">
        <v>231</v>
      </c>
      <c r="C251" s="291">
        <f>IFERROR(INDEX('Consolidation adjustments'!$D$42:$T$80,MATCH('Acquisition BS adjustments'!$A251,'Consolidation adjustments'!$A$42:$A$80,0),MATCH('Acquisition BS adjustments'!$C$47,'Consolidation adjustments'!$D$39:$T$39,0)),0)</f>
        <v>0</v>
      </c>
      <c r="D251" s="197"/>
      <c r="E251" s="291">
        <f t="shared" si="63"/>
        <v>0</v>
      </c>
    </row>
    <row r="252" spans="1:5">
      <c r="A252" s="28" t="s">
        <v>590</v>
      </c>
      <c r="B252" s="28" t="s">
        <v>232</v>
      </c>
      <c r="C252" s="291">
        <f>IFERROR(INDEX('Consolidation adjustments'!$D$42:$T$80,MATCH('Acquisition BS adjustments'!$A252,'Consolidation adjustments'!$A$42:$A$80,0),MATCH('Acquisition BS adjustments'!$C$47,'Consolidation adjustments'!$D$39:$T$39,0)),0)</f>
        <v>0</v>
      </c>
      <c r="D252" s="197"/>
      <c r="E252" s="291">
        <f t="shared" si="63"/>
        <v>0</v>
      </c>
    </row>
    <row r="253" spans="1:5">
      <c r="A253" s="28"/>
      <c r="B253" s="28" t="s">
        <v>1473</v>
      </c>
      <c r="C253" s="291"/>
      <c r="D253" s="197"/>
      <c r="E253" s="291">
        <f t="shared" si="63"/>
        <v>0</v>
      </c>
    </row>
    <row r="254" spans="1:5">
      <c r="A254" s="199"/>
      <c r="B254" s="199" t="s">
        <v>233</v>
      </c>
      <c r="C254" s="199">
        <f>SUM(C245:C253)</f>
        <v>0</v>
      </c>
      <c r="D254" s="199">
        <f t="shared" ref="D254:E254" si="64">SUM(D245:D253)</f>
        <v>0</v>
      </c>
      <c r="E254" s="199">
        <f t="shared" si="64"/>
        <v>0</v>
      </c>
    </row>
    <row r="255" spans="1:5">
      <c r="A255" s="28" t="s">
        <v>702</v>
      </c>
      <c r="B255" s="28" t="s">
        <v>234</v>
      </c>
      <c r="C255" s="291">
        <f>IFERROR(INDEX('Consolidation adjustments'!$D$42:$T$80,MATCH('Acquisition BS adjustments'!$A255,'Consolidation adjustments'!$A$42:$A$80,0),MATCH('Acquisition BS adjustments'!$C$47,'Consolidation adjustments'!$D$39:$T$39,0)),0)</f>
        <v>0</v>
      </c>
      <c r="D255" s="197"/>
      <c r="E255" s="291">
        <f>C255+D255</f>
        <v>0</v>
      </c>
    </row>
    <row r="256" spans="1:5">
      <c r="A256" s="28" t="s">
        <v>118</v>
      </c>
      <c r="B256" s="28" t="s">
        <v>235</v>
      </c>
      <c r="C256" s="291">
        <f>IFERROR(INDEX('Consolidation adjustments'!$D$42:$T$80,MATCH('Acquisition BS adjustments'!$A256,'Consolidation adjustments'!$A$42:$A$80,0),MATCH('Acquisition BS adjustments'!$C$47,'Consolidation adjustments'!$D$39:$T$39,0)),0)</f>
        <v>0</v>
      </c>
      <c r="D256" s="197"/>
      <c r="E256" s="291">
        <f>C256+D256</f>
        <v>0</v>
      </c>
    </row>
    <row r="257" spans="1:5">
      <c r="A257" s="199"/>
      <c r="B257" s="199" t="s">
        <v>236</v>
      </c>
      <c r="C257" s="199">
        <f>SUM(C255:C256)</f>
        <v>0</v>
      </c>
      <c r="D257" s="199">
        <f t="shared" ref="D257:E257" si="65">SUM(D255:D256)</f>
        <v>0</v>
      </c>
      <c r="E257" s="199">
        <f t="shared" si="65"/>
        <v>0</v>
      </c>
    </row>
    <row r="258" spans="1:5">
      <c r="A258" s="28" t="s">
        <v>591</v>
      </c>
      <c r="B258" s="28" t="s">
        <v>237</v>
      </c>
      <c r="C258" s="291">
        <f>IFERROR(INDEX('Consolidation adjustments'!$D$42:$T$80,MATCH('Acquisition BS adjustments'!$A258,'Consolidation adjustments'!$A$42:$A$80,0),MATCH('Acquisition BS adjustments'!$C$47,'Consolidation adjustments'!$D$39:$T$39,0)),0)</f>
        <v>0</v>
      </c>
      <c r="D258" s="197"/>
      <c r="E258" s="291">
        <f>C258+D258</f>
        <v>0</v>
      </c>
    </row>
    <row r="259" spans="1:5">
      <c r="A259" s="28" t="s">
        <v>114</v>
      </c>
      <c r="B259" s="28" t="s">
        <v>238</v>
      </c>
      <c r="C259" s="291">
        <f>IFERROR(INDEX('Consolidation adjustments'!$D$42:$T$80,MATCH('Acquisition BS adjustments'!$A259,'Consolidation adjustments'!$A$42:$A$80,0),MATCH('Acquisition BS adjustments'!$C$47,'Consolidation adjustments'!$D$39:$T$39,0)),0)</f>
        <v>0</v>
      </c>
      <c r="D259" s="197"/>
      <c r="E259" s="291">
        <f>C259+D259</f>
        <v>0</v>
      </c>
    </row>
    <row r="260" spans="1:5">
      <c r="A260" s="199"/>
      <c r="B260" s="199" t="s">
        <v>17</v>
      </c>
      <c r="C260" s="199">
        <f>SUM(C257:C259)+C254</f>
        <v>0</v>
      </c>
      <c r="D260" s="199">
        <f t="shared" ref="D260:E260" si="66">SUM(D257:D259)+D254</f>
        <v>0</v>
      </c>
      <c r="E260" s="199">
        <f t="shared" si="66"/>
        <v>0</v>
      </c>
    </row>
    <row r="261" spans="1:5">
      <c r="A261" s="28" t="s">
        <v>165</v>
      </c>
      <c r="B261" s="28" t="s">
        <v>209</v>
      </c>
      <c r="C261" s="291">
        <f>IFERROR(INDEX('Consolidation adjustments'!$D$42:$T$80,MATCH('Acquisition BS adjustments'!$A261,'Consolidation adjustments'!$A$42:$A$80,0),MATCH('Acquisition BS adjustments'!$C$47,'Consolidation adjustments'!$D$39:$T$39,0)),0)</f>
        <v>0</v>
      </c>
      <c r="D261" s="197"/>
      <c r="E261" s="291">
        <f t="shared" ref="E261:E267" si="67">C261+D261</f>
        <v>0</v>
      </c>
    </row>
    <row r="262" spans="1:5">
      <c r="A262" s="28" t="s">
        <v>592</v>
      </c>
      <c r="B262" s="28" t="s">
        <v>239</v>
      </c>
      <c r="C262" s="291">
        <f>IFERROR(INDEX('Consolidation adjustments'!$D$42:$T$80,MATCH('Acquisition BS adjustments'!$A262,'Consolidation adjustments'!$A$42:$A$80,0),MATCH('Acquisition BS adjustments'!$C$47,'Consolidation adjustments'!$D$39:$T$39,0)),0)</f>
        <v>0</v>
      </c>
      <c r="D262" s="197">
        <f t="shared" ref="D262:D264" si="68">-E82-E127-E172</f>
        <v>0</v>
      </c>
      <c r="E262" s="291">
        <f t="shared" si="67"/>
        <v>0</v>
      </c>
    </row>
    <row r="263" spans="1:5">
      <c r="A263" s="28" t="s">
        <v>593</v>
      </c>
      <c r="B263" s="28" t="s">
        <v>240</v>
      </c>
      <c r="C263" s="291">
        <f>IFERROR(INDEX('Consolidation adjustments'!$D$42:$T$80,MATCH('Acquisition BS adjustments'!$A263,'Consolidation adjustments'!$A$42:$A$80,0),MATCH('Acquisition BS adjustments'!$C$47,'Consolidation adjustments'!$D$39:$T$39,0)),0)</f>
        <v>0</v>
      </c>
      <c r="D263" s="197">
        <f>-E83-E128-E173</f>
        <v>0</v>
      </c>
      <c r="E263" s="291">
        <f t="shared" si="67"/>
        <v>0</v>
      </c>
    </row>
    <row r="264" spans="1:5">
      <c r="A264" s="28" t="s">
        <v>594</v>
      </c>
      <c r="B264" s="28" t="s">
        <v>241</v>
      </c>
      <c r="C264" s="291">
        <f>IFERROR(INDEX('Consolidation adjustments'!$D$42:$T$80,MATCH('Acquisition BS adjustments'!$A264,'Consolidation adjustments'!$A$42:$A$80,0),MATCH('Acquisition BS adjustments'!$C$47,'Consolidation adjustments'!$D$39:$T$39,0)),0)</f>
        <v>0</v>
      </c>
      <c r="D264" s="197">
        <f t="shared" si="68"/>
        <v>0</v>
      </c>
      <c r="E264" s="291">
        <f t="shared" si="67"/>
        <v>0</v>
      </c>
    </row>
    <row r="265" spans="1:5">
      <c r="A265" s="28" t="s">
        <v>595</v>
      </c>
      <c r="B265" s="28" t="s">
        <v>596</v>
      </c>
      <c r="C265" s="291">
        <f>IFERROR(INDEX('Consolidation adjustments'!$D$42:$T$80,MATCH('Acquisition BS adjustments'!$A265,'Consolidation adjustments'!$A$42:$A$80,0),MATCH('Acquisition BS adjustments'!$C$47,'Consolidation adjustments'!$D$39:$T$39,0)),0)</f>
        <v>0</v>
      </c>
      <c r="D265" s="197">
        <f>-D220</f>
        <v>0</v>
      </c>
      <c r="E265" s="291">
        <f t="shared" si="67"/>
        <v>0</v>
      </c>
    </row>
    <row r="266" spans="1:5">
      <c r="A266" s="28" t="s">
        <v>597</v>
      </c>
      <c r="B266" s="28" t="s">
        <v>242</v>
      </c>
      <c r="C266" s="291">
        <f>IFERROR(INDEX('Consolidation adjustments'!$D$42:$T$80,MATCH('Acquisition BS adjustments'!$A266,'Consolidation adjustments'!$A$42:$A$80,0),MATCH('Acquisition BS adjustments'!$C$47,'Consolidation adjustments'!$D$39:$T$39,0)),0)</f>
        <v>0</v>
      </c>
      <c r="D266" s="197">
        <f>-D221</f>
        <v>0</v>
      </c>
      <c r="E266" s="291">
        <f t="shared" si="67"/>
        <v>0</v>
      </c>
    </row>
    <row r="267" spans="1:5">
      <c r="A267" s="28" t="s">
        <v>129</v>
      </c>
      <c r="B267" s="28" t="s">
        <v>598</v>
      </c>
      <c r="C267" s="291">
        <f>IFERROR(INDEX('Consolidation adjustments'!$D$42:$T$80,MATCH('Acquisition BS adjustments'!$A267,'Consolidation adjustments'!$A$42:$A$80,0),MATCH('Acquisition BS adjustments'!$C$47,'Consolidation adjustments'!$D$39:$T$39,0)),0)</f>
        <v>0</v>
      </c>
      <c r="D267" s="197">
        <f>-D132-C132</f>
        <v>0</v>
      </c>
      <c r="E267" s="291">
        <f t="shared" si="67"/>
        <v>0</v>
      </c>
    </row>
    <row r="268" spans="1:5">
      <c r="A268" s="199"/>
      <c r="B268" s="199" t="s">
        <v>243</v>
      </c>
      <c r="C268" s="199">
        <f>SUM(C261:C267)</f>
        <v>0</v>
      </c>
      <c r="D268" s="199">
        <f>SUM(D261:D267)</f>
        <v>0</v>
      </c>
      <c r="E268" s="199">
        <f t="shared" ref="E268" si="69">SUM(E261:E267)</f>
        <v>0</v>
      </c>
    </row>
    <row r="269" spans="1:5">
      <c r="A269" s="195"/>
      <c r="B269" s="195" t="s">
        <v>244</v>
      </c>
      <c r="C269" s="195">
        <f>C268+C260</f>
        <v>0</v>
      </c>
      <c r="D269" s="195">
        <f t="shared" ref="D269:E269" si="70">D268+D260</f>
        <v>0</v>
      </c>
      <c r="E269" s="195">
        <f t="shared" si="70"/>
        <v>0</v>
      </c>
    </row>
    <row r="270" spans="1:5">
      <c r="B270" s="269" t="s">
        <v>701</v>
      </c>
      <c r="C270" s="269">
        <f>C269-C243</f>
        <v>0</v>
      </c>
      <c r="D270" s="269">
        <f t="shared" ref="D270:E270" si="71">D269-D243</f>
        <v>372544000</v>
      </c>
      <c r="E270" s="269">
        <f t="shared" si="71"/>
        <v>372544000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002060"/>
  </sheetPr>
  <dimension ref="A1"/>
  <sheetViews>
    <sheetView workbookViewId="0">
      <selection activeCell="E19" sqref="E19"/>
    </sheetView>
  </sheetViews>
  <sheetFormatPr defaultRowHeight="13.7"/>
  <cols>
    <col min="1" max="16384" width="9.140625" style="28"/>
  </cols>
  <sheetData/>
  <phoneticPr fontId="5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0"/>
    <pageSetUpPr fitToPage="1"/>
  </sheetPr>
  <dimension ref="C1:AC145"/>
  <sheetViews>
    <sheetView view="pageBreakPreview" topLeftCell="A15" zoomScale="85" zoomScaleNormal="90" zoomScaleSheetLayoutView="85" workbookViewId="0">
      <selection activeCell="K30" sqref="K30"/>
    </sheetView>
  </sheetViews>
  <sheetFormatPr defaultColWidth="9.140625" defaultRowHeight="14.4" outlineLevelRow="1" outlineLevelCol="1"/>
  <cols>
    <col min="1" max="2" width="3.42578125" style="1" customWidth="1"/>
    <col min="3" max="3" width="9.140625" style="1"/>
    <col min="4" max="4" width="38" style="1" customWidth="1"/>
    <col min="5" max="9" width="16.140625" style="1" customWidth="1"/>
    <col min="10" max="10" width="16.140625" style="1" hidden="1" customWidth="1" outlineLevel="1"/>
    <col min="11" max="11" width="16.140625" style="1" customWidth="1" collapsed="1"/>
    <col min="12" max="15" width="16.140625" style="1" customWidth="1"/>
    <col min="16" max="17" width="13.42578125" style="1" customWidth="1"/>
    <col min="18" max="20" width="10.42578125" style="1" customWidth="1"/>
    <col min="21" max="21" width="11.5703125" style="1" customWidth="1"/>
    <col min="22" max="24" width="10.42578125" style="1" customWidth="1"/>
    <col min="25" max="25" width="11.5703125" style="1" customWidth="1"/>
    <col min="26" max="28" width="10.42578125" style="1" customWidth="1"/>
    <col min="29" max="29" width="11.5703125" style="1" customWidth="1"/>
    <col min="30" max="16384" width="9.140625" style="1"/>
  </cols>
  <sheetData>
    <row r="1" spans="3:29" s="18" customFormat="1" ht="14.6" hidden="1" customHeight="1" outlineLevel="1">
      <c r="C1" s="24" t="s">
        <v>870</v>
      </c>
      <c r="D1" s="24">
        <f>'Control Panel'!B12</f>
        <v>2019</v>
      </c>
      <c r="E1" s="24"/>
      <c r="F1" s="18" t="s">
        <v>689</v>
      </c>
      <c r="G1" s="5">
        <f>'Control Panel'!B9+1</f>
        <v>43466</v>
      </c>
      <c r="I1" s="18" t="s">
        <v>691</v>
      </c>
      <c r="J1" s="5">
        <f>'Control Panel'!B9</f>
        <v>43465</v>
      </c>
      <c r="L1" s="18" t="s">
        <v>705</v>
      </c>
      <c r="M1" s="18">
        <f>'Control Panel'!B13-'Control Panel'!B12+1</f>
        <v>6</v>
      </c>
    </row>
    <row r="2" spans="3:29" s="18" customFormat="1" ht="14.6" hidden="1" customHeight="1" outlineLevel="1">
      <c r="C2" s="24" t="s">
        <v>871</v>
      </c>
      <c r="D2" s="24">
        <f>'Financial summary'!E5</f>
        <v>1</v>
      </c>
      <c r="E2" s="24" t="e">
        <f>INDEX(#REF!,D2)</f>
        <v>#REF!</v>
      </c>
      <c r="I2" s="18" t="s">
        <v>693</v>
      </c>
      <c r="J2" s="27">
        <f>'Control Panel'!B5</f>
        <v>5</v>
      </c>
      <c r="L2" s="18" t="s">
        <v>1555</v>
      </c>
      <c r="M2" s="18">
        <f>stub_quarter+1</f>
        <v>5</v>
      </c>
    </row>
    <row r="3" spans="3:29" ht="14.6" hidden="1" customHeight="1" outlineLevel="1">
      <c r="C3" s="215"/>
    </row>
    <row r="4" spans="3:29" ht="14.6" hidden="1" customHeight="1" outlineLevel="1">
      <c r="C4" s="1" t="s">
        <v>692</v>
      </c>
      <c r="E4" s="1">
        <f>'BS consol'!E4</f>
        <v>1</v>
      </c>
      <c r="F4" s="1">
        <f>'BS consol'!F4</f>
        <v>2</v>
      </c>
      <c r="G4" s="1">
        <f>'BS consol'!G4</f>
        <v>3</v>
      </c>
      <c r="H4" s="1">
        <f>'BS consol'!H4</f>
        <v>4</v>
      </c>
      <c r="I4" s="1">
        <f>'BS consol'!I4</f>
        <v>5</v>
      </c>
      <c r="J4" s="1">
        <f>'BS consol'!J4</f>
        <v>6</v>
      </c>
      <c r="K4" s="1">
        <f>'BS consol'!K4</f>
        <v>7</v>
      </c>
      <c r="L4" s="1">
        <f>'BS consol'!L4</f>
        <v>8</v>
      </c>
      <c r="M4" s="1">
        <f>'BS consol'!M4</f>
        <v>9</v>
      </c>
      <c r="N4" s="1">
        <f>'BS consol'!N4</f>
        <v>10</v>
      </c>
      <c r="O4" s="1">
        <f>'BS consol'!O4</f>
        <v>11</v>
      </c>
      <c r="P4" s="1">
        <f>'BS consol'!P4</f>
        <v>12</v>
      </c>
      <c r="Q4" s="1">
        <f>'BS consol'!Q4</f>
        <v>13</v>
      </c>
      <c r="R4" s="1">
        <f>'BS consol'!R4</f>
        <v>14</v>
      </c>
      <c r="S4" s="1">
        <f>'BS consol'!S4</f>
        <v>15</v>
      </c>
      <c r="T4" s="1">
        <f>'BS consol'!T4</f>
        <v>16</v>
      </c>
      <c r="U4" s="1">
        <f>'BS consol'!U4</f>
        <v>17</v>
      </c>
    </row>
    <row r="5" spans="3:29" ht="14.6" hidden="1" customHeight="1" outlineLevel="1">
      <c r="C5" s="1" t="s">
        <v>719</v>
      </c>
      <c r="E5" s="29">
        <f>'BS consol'!E5</f>
        <v>42004</v>
      </c>
      <c r="F5" s="29">
        <f>'BS consol'!F5</f>
        <v>42369</v>
      </c>
      <c r="G5" s="29">
        <f>'BS consol'!G5</f>
        <v>42735</v>
      </c>
      <c r="H5" s="29">
        <f>'BS consol'!H5</f>
        <v>43100</v>
      </c>
      <c r="I5" s="29">
        <f>'BS consol'!I5</f>
        <v>43465</v>
      </c>
      <c r="J5" s="29">
        <f>'BS consol'!J5</f>
        <v>43466</v>
      </c>
      <c r="K5" s="29">
        <f>'BS consol'!K5</f>
        <v>43830</v>
      </c>
      <c r="L5" s="29">
        <f>'BS consol'!L5</f>
        <v>44196</v>
      </c>
      <c r="M5" s="29">
        <f>'BS consol'!M5</f>
        <v>44561</v>
      </c>
      <c r="N5" s="29">
        <f>'BS consol'!N5</f>
        <v>44926</v>
      </c>
      <c r="O5" s="29">
        <f>'BS consol'!O5</f>
        <v>45291</v>
      </c>
      <c r="P5" s="29">
        <f>'BS consol'!P5</f>
        <v>45657</v>
      </c>
      <c r="Q5" s="29">
        <f>'BS consol'!Q5</f>
        <v>0</v>
      </c>
      <c r="R5" s="29">
        <f>'BS consol'!R5</f>
        <v>0</v>
      </c>
      <c r="S5" s="29">
        <f>'BS consol'!S5</f>
        <v>0</v>
      </c>
      <c r="T5" s="29">
        <f>'BS consol'!T5</f>
        <v>0</v>
      </c>
      <c r="U5" s="29">
        <f>'BS consol'!U5</f>
        <v>0</v>
      </c>
      <c r="V5" s="29"/>
      <c r="W5" s="29"/>
      <c r="X5" s="29"/>
      <c r="Y5" s="29"/>
      <c r="Z5" s="29"/>
      <c r="AA5" s="29"/>
      <c r="AB5" s="29"/>
      <c r="AC5" s="29"/>
    </row>
    <row r="6" spans="3:29" ht="14.6" hidden="1" customHeight="1" outlineLevel="1">
      <c r="C6" s="1" t="s">
        <v>686</v>
      </c>
      <c r="E6" s="1" t="b">
        <f>'BS consol'!E6</f>
        <v>1</v>
      </c>
      <c r="F6" s="1" t="b">
        <f>'BS consol'!F6</f>
        <v>1</v>
      </c>
      <c r="G6" s="29" t="b">
        <f>'BS consol'!G6</f>
        <v>1</v>
      </c>
      <c r="H6" s="29" t="b">
        <f>'BS consol'!H6</f>
        <v>1</v>
      </c>
      <c r="I6" s="29" t="b">
        <f>'BS consol'!I6</f>
        <v>1</v>
      </c>
      <c r="J6" s="29" t="b">
        <f>'BS consol'!J6</f>
        <v>0</v>
      </c>
      <c r="K6" s="29" t="b">
        <f>'BS consol'!K6</f>
        <v>0</v>
      </c>
      <c r="L6" s="29" t="b">
        <f>'BS consol'!L6</f>
        <v>0</v>
      </c>
      <c r="M6" s="29" t="b">
        <f>'BS consol'!M6</f>
        <v>0</v>
      </c>
      <c r="N6" s="29" t="b">
        <f>'BS consol'!N6</f>
        <v>0</v>
      </c>
      <c r="O6" s="29" t="b">
        <f>'BS consol'!O6</f>
        <v>0</v>
      </c>
      <c r="P6" s="29" t="b">
        <f>'BS consol'!P6</f>
        <v>0</v>
      </c>
      <c r="Q6" s="29" t="b">
        <f>'BS consol'!Q6</f>
        <v>0</v>
      </c>
      <c r="R6" s="29" t="b">
        <f>'BS consol'!R6</f>
        <v>0</v>
      </c>
      <c r="S6" s="29" t="b">
        <f>'BS consol'!S6</f>
        <v>0</v>
      </c>
      <c r="T6" s="29" t="b">
        <f>'BS consol'!T6</f>
        <v>0</v>
      </c>
      <c r="U6" s="29" t="b">
        <f>'BS consol'!U6</f>
        <v>0</v>
      </c>
      <c r="V6" s="29"/>
      <c r="W6" s="29"/>
      <c r="X6" s="29"/>
      <c r="Y6" s="29"/>
      <c r="Z6" s="29"/>
      <c r="AA6" s="29"/>
      <c r="AB6" s="29"/>
      <c r="AC6" s="29"/>
    </row>
    <row r="7" spans="3:29" ht="14.6" hidden="1" customHeight="1" outlineLevel="1">
      <c r="C7" s="1" t="s">
        <v>687</v>
      </c>
      <c r="E7" s="1" t="b">
        <f>'BS consol'!E7</f>
        <v>0</v>
      </c>
      <c r="F7" s="1" t="b">
        <f>'BS consol'!F7</f>
        <v>0</v>
      </c>
      <c r="G7" s="29" t="b">
        <f>'BS consol'!G7</f>
        <v>0</v>
      </c>
      <c r="H7" s="29" t="b">
        <f>'BS consol'!H7</f>
        <v>0</v>
      </c>
      <c r="I7" s="29" t="b">
        <f>'BS consol'!I7</f>
        <v>0</v>
      </c>
      <c r="J7" s="29" t="b">
        <f>'BS consol'!J7</f>
        <v>0</v>
      </c>
      <c r="K7" s="29" t="b">
        <f>'BS consol'!K7</f>
        <v>0</v>
      </c>
      <c r="L7" s="29" t="b">
        <f>'BS consol'!L7</f>
        <v>0</v>
      </c>
      <c r="M7" s="29" t="b">
        <f>'BS consol'!M7</f>
        <v>0</v>
      </c>
      <c r="N7" s="29" t="b">
        <f>'BS consol'!N7</f>
        <v>0</v>
      </c>
      <c r="O7" s="29" t="b">
        <f>'BS consol'!O7</f>
        <v>0</v>
      </c>
      <c r="P7" s="29" t="b">
        <f>'BS consol'!P7</f>
        <v>0</v>
      </c>
      <c r="Q7" s="29" t="b">
        <f>'BS consol'!Q7</f>
        <v>0</v>
      </c>
      <c r="R7" s="29" t="b">
        <f>'BS consol'!R7</f>
        <v>0</v>
      </c>
      <c r="S7" s="29" t="b">
        <f>'BS consol'!S7</f>
        <v>0</v>
      </c>
      <c r="T7" s="29" t="b">
        <f>'BS consol'!T7</f>
        <v>0</v>
      </c>
      <c r="U7" s="29" t="b">
        <f>'BS consol'!U7</f>
        <v>0</v>
      </c>
      <c r="V7" s="29"/>
      <c r="W7" s="29"/>
      <c r="X7" s="29"/>
      <c r="Y7" s="29"/>
      <c r="Z7" s="29"/>
      <c r="AA7" s="29"/>
      <c r="AB7" s="29"/>
      <c r="AC7" s="29"/>
    </row>
    <row r="8" spans="3:29" ht="14.6" hidden="1" customHeight="1" outlineLevel="1">
      <c r="C8" s="1" t="s">
        <v>688</v>
      </c>
      <c r="E8" s="1" t="b">
        <f>'BS consol'!E8</f>
        <v>0</v>
      </c>
      <c r="F8" s="1" t="b">
        <f>'BS consol'!F8</f>
        <v>0</v>
      </c>
      <c r="G8" s="30" t="b">
        <f>'BS consol'!G8</f>
        <v>0</v>
      </c>
      <c r="H8" s="30" t="b">
        <f>'BS consol'!H8</f>
        <v>0</v>
      </c>
      <c r="I8" s="30" t="b">
        <f>'BS consol'!I8</f>
        <v>0</v>
      </c>
      <c r="J8" s="30" t="b">
        <f>'BS consol'!J8</f>
        <v>1</v>
      </c>
      <c r="K8" s="30" t="b">
        <f>'BS consol'!K8</f>
        <v>0</v>
      </c>
      <c r="L8" s="30" t="b">
        <f>'BS consol'!L8</f>
        <v>0</v>
      </c>
      <c r="M8" s="30" t="b">
        <f>'BS consol'!M8</f>
        <v>0</v>
      </c>
      <c r="N8" s="30" t="b">
        <f>'BS consol'!N8</f>
        <v>0</v>
      </c>
      <c r="O8" s="30" t="b">
        <f>'BS consol'!O8</f>
        <v>0</v>
      </c>
      <c r="P8" s="30" t="b">
        <f>'BS consol'!P8</f>
        <v>0</v>
      </c>
      <c r="Q8" s="30" t="b">
        <f>'BS consol'!Q8</f>
        <v>0</v>
      </c>
      <c r="R8" s="30" t="b">
        <f>'BS consol'!R8</f>
        <v>0</v>
      </c>
      <c r="S8" s="30" t="b">
        <f>'BS consol'!S8</f>
        <v>0</v>
      </c>
      <c r="T8" s="30" t="b">
        <f>'BS consol'!T8</f>
        <v>0</v>
      </c>
      <c r="U8" s="30" t="b">
        <f>'BS consol'!U8</f>
        <v>0</v>
      </c>
      <c r="V8" s="30"/>
      <c r="W8" s="30"/>
      <c r="X8" s="30"/>
      <c r="Y8" s="30"/>
      <c r="Z8" s="30"/>
      <c r="AA8" s="30"/>
      <c r="AB8" s="30"/>
      <c r="AC8" s="30"/>
    </row>
    <row r="9" spans="3:29" ht="14.6" hidden="1" customHeight="1" outlineLevel="1">
      <c r="C9" s="1" t="s">
        <v>694</v>
      </c>
      <c r="E9" s="1" t="b">
        <f>'BS consol'!E9</f>
        <v>0</v>
      </c>
      <c r="F9" s="1" t="b">
        <f>'BS consol'!F9</f>
        <v>0</v>
      </c>
      <c r="G9" s="30" t="b">
        <f>'BS consol'!G9</f>
        <v>0</v>
      </c>
      <c r="H9" s="30" t="b">
        <f>'BS consol'!H9</f>
        <v>0</v>
      </c>
      <c r="I9" s="30" t="b">
        <f>'BS consol'!I9</f>
        <v>0</v>
      </c>
      <c r="J9" s="30" t="b">
        <f>'BS consol'!J9</f>
        <v>0</v>
      </c>
      <c r="K9" s="30" t="b">
        <f>'BS consol'!K9</f>
        <v>1</v>
      </c>
      <c r="L9" s="30" t="b">
        <f>'BS consol'!L9</f>
        <v>1</v>
      </c>
      <c r="M9" s="30" t="b">
        <f>'BS consol'!M9</f>
        <v>1</v>
      </c>
      <c r="N9" s="30" t="b">
        <f>'BS consol'!N9</f>
        <v>1</v>
      </c>
      <c r="O9" s="30" t="b">
        <f>'BS consol'!O9</f>
        <v>1</v>
      </c>
      <c r="P9" s="30" t="b">
        <f>'BS consol'!P9</f>
        <v>1</v>
      </c>
      <c r="Q9" s="30" t="b">
        <f>'BS consol'!Q9</f>
        <v>0</v>
      </c>
      <c r="R9" s="30" t="b">
        <f>'BS consol'!R9</f>
        <v>0</v>
      </c>
      <c r="S9" s="30" t="b">
        <f>'BS consol'!S9</f>
        <v>0</v>
      </c>
      <c r="T9" s="30" t="b">
        <f>'BS consol'!T9</f>
        <v>0</v>
      </c>
      <c r="U9" s="30" t="b">
        <f>'BS consol'!U9</f>
        <v>0</v>
      </c>
      <c r="V9" s="30"/>
      <c r="W9" s="30"/>
      <c r="X9" s="30"/>
      <c r="Y9" s="30"/>
      <c r="Z9" s="30"/>
      <c r="AA9" s="30"/>
      <c r="AB9" s="30"/>
      <c r="AC9" s="30"/>
    </row>
    <row r="10" spans="3:29" ht="14.6" hidden="1" customHeight="1" outlineLevel="1">
      <c r="E10" s="110">
        <f>'BS consol'!E10</f>
        <v>2014</v>
      </c>
      <c r="F10" s="110">
        <f>'BS consol'!F10</f>
        <v>2015</v>
      </c>
      <c r="G10" s="110">
        <f>'BS consol'!G10</f>
        <v>2016</v>
      </c>
      <c r="H10" s="110">
        <f>'BS consol'!H10</f>
        <v>2017</v>
      </c>
      <c r="I10" s="110">
        <f>'BS consol'!I10</f>
        <v>2018</v>
      </c>
      <c r="J10" s="110">
        <f>'BS consol'!J10</f>
        <v>2019</v>
      </c>
      <c r="K10" s="110">
        <f>'BS consol'!K10</f>
        <v>2019</v>
      </c>
      <c r="L10" s="110">
        <f>'BS consol'!L10</f>
        <v>2020</v>
      </c>
      <c r="M10" s="110">
        <f>'BS consol'!M10</f>
        <v>2021</v>
      </c>
      <c r="N10" s="110">
        <f>'BS consol'!N10</f>
        <v>2022</v>
      </c>
      <c r="O10" s="110">
        <f>'BS consol'!O10</f>
        <v>2023</v>
      </c>
      <c r="P10" s="110">
        <f>'BS consol'!P10</f>
        <v>2024</v>
      </c>
      <c r="Q10" s="110">
        <f>'BS consol'!Q10</f>
        <v>1900</v>
      </c>
      <c r="R10" s="110">
        <f>'BS consol'!R10</f>
        <v>1900</v>
      </c>
      <c r="S10" s="110">
        <f>'BS consol'!S10</f>
        <v>1900</v>
      </c>
      <c r="T10" s="110">
        <f>'BS consol'!T10</f>
        <v>1900</v>
      </c>
      <c r="U10" s="110">
        <f>'BS consol'!U10</f>
        <v>1900</v>
      </c>
      <c r="V10" s="110"/>
      <c r="W10" s="110"/>
      <c r="X10" s="110"/>
      <c r="Y10" s="110"/>
      <c r="Z10" s="110"/>
      <c r="AA10" s="110"/>
      <c r="AB10" s="110"/>
      <c r="AC10" s="110"/>
    </row>
    <row r="11" spans="3:29" ht="14.6" hidden="1" customHeight="1" collapsed="1"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3:29" ht="14.6" hidden="1" customHeight="1"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3:29" ht="14.6" hidden="1" customHeight="1"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3:29" ht="14.6" hidden="1" customHeight="1"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3:29" ht="16.600000000000001">
      <c r="C15" s="223" t="str">
        <f>CONCATENATE("Project ",project_name," - Income Statement")</f>
        <v>Project  - Income Statement</v>
      </c>
      <c r="D15" s="224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3:29">
      <c r="C16" s="194" t="str">
        <f>CONCATENATE("In ",model_curr," thousand unless otherwise stated")</f>
        <v>In USD thousand unless otherwise stated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3:21">
      <c r="C17" s="209"/>
      <c r="D17" s="209"/>
      <c r="E17" s="178" t="str">
        <f>CONCATENATE(YEAR(E5),LEFT(E19,1))</f>
        <v>2014A</v>
      </c>
      <c r="F17" s="178" t="str">
        <f t="shared" ref="F17:L17" si="0">CONCATENATE(YEAR(F5),LEFT(F19,1))</f>
        <v>2015A</v>
      </c>
      <c r="G17" s="178" t="str">
        <f t="shared" si="0"/>
        <v>2016A</v>
      </c>
      <c r="H17" s="178" t="str">
        <f t="shared" si="0"/>
        <v>2017A</v>
      </c>
      <c r="I17" s="178" t="str">
        <f t="shared" si="0"/>
        <v>2018A</v>
      </c>
      <c r="J17" s="178" t="str">
        <f t="shared" si="0"/>
        <v>2019C</v>
      </c>
      <c r="K17" s="178" t="str">
        <f t="shared" si="0"/>
        <v>2019F</v>
      </c>
      <c r="L17" s="178" t="str">
        <f t="shared" si="0"/>
        <v>2020F</v>
      </c>
      <c r="M17" s="178" t="str">
        <f t="shared" ref="M17:U17" si="1">CONCATENATE(YEAR(M5),LEFT(M19,1))</f>
        <v>2021F</v>
      </c>
      <c r="N17" s="178" t="str">
        <f t="shared" si="1"/>
        <v>2022F</v>
      </c>
      <c r="O17" s="178" t="str">
        <f t="shared" si="1"/>
        <v>2023F</v>
      </c>
      <c r="P17" s="178" t="str">
        <f t="shared" si="1"/>
        <v>2024F</v>
      </c>
      <c r="Q17" s="178" t="e">
        <f t="shared" si="1"/>
        <v>#N/A</v>
      </c>
      <c r="R17" s="178" t="e">
        <f t="shared" si="1"/>
        <v>#N/A</v>
      </c>
      <c r="S17" s="178" t="e">
        <f t="shared" si="1"/>
        <v>#N/A</v>
      </c>
      <c r="T17" s="178" t="e">
        <f t="shared" si="1"/>
        <v>#N/A</v>
      </c>
      <c r="U17" s="178" t="e">
        <f t="shared" si="1"/>
        <v>#N/A</v>
      </c>
    </row>
    <row r="18" spans="3:21">
      <c r="C18" s="198"/>
      <c r="D18" s="198"/>
      <c r="E18" s="198">
        <f>E5</f>
        <v>42004</v>
      </c>
      <c r="F18" s="198">
        <f t="shared" ref="F18:L18" si="2">F5</f>
        <v>42369</v>
      </c>
      <c r="G18" s="198">
        <f t="shared" si="2"/>
        <v>42735</v>
      </c>
      <c r="H18" s="198">
        <f t="shared" si="2"/>
        <v>43100</v>
      </c>
      <c r="I18" s="198">
        <f t="shared" si="2"/>
        <v>43465</v>
      </c>
      <c r="J18" s="198">
        <f t="shared" si="2"/>
        <v>43466</v>
      </c>
      <c r="K18" s="198">
        <f t="shared" si="2"/>
        <v>43830</v>
      </c>
      <c r="L18" s="198">
        <f t="shared" si="2"/>
        <v>44196</v>
      </c>
      <c r="M18" s="198">
        <f t="shared" ref="M18:U18" si="3">M5</f>
        <v>44561</v>
      </c>
      <c r="N18" s="198">
        <f t="shared" si="3"/>
        <v>44926</v>
      </c>
      <c r="O18" s="198">
        <f t="shared" si="3"/>
        <v>45291</v>
      </c>
      <c r="P18" s="198">
        <f t="shared" si="3"/>
        <v>45657</v>
      </c>
      <c r="Q18" s="198">
        <f t="shared" si="3"/>
        <v>0</v>
      </c>
      <c r="R18" s="198">
        <f t="shared" si="3"/>
        <v>0</v>
      </c>
      <c r="S18" s="198">
        <f t="shared" si="3"/>
        <v>0</v>
      </c>
      <c r="T18" s="198">
        <f t="shared" si="3"/>
        <v>0</v>
      </c>
      <c r="U18" s="198">
        <f t="shared" si="3"/>
        <v>0</v>
      </c>
    </row>
    <row r="19" spans="3:21" hidden="1" outlineLevel="1">
      <c r="C19" s="209"/>
      <c r="D19" s="209"/>
      <c r="E19" s="178" t="str">
        <f>INDEX($E$11:$E$14,MATCH(TRUE,E6:E9,0))</f>
        <v>Actual</v>
      </c>
      <c r="F19" s="178" t="str">
        <f t="shared" ref="F19:L19" si="4">INDEX($E$11:$E$14,MATCH(TRUE,F6:F9,0))</f>
        <v>Actual</v>
      </c>
      <c r="G19" s="178" t="str">
        <f t="shared" si="4"/>
        <v>Actual</v>
      </c>
      <c r="H19" s="178" t="str">
        <f t="shared" si="4"/>
        <v>Actual</v>
      </c>
      <c r="I19" s="178" t="str">
        <f t="shared" si="4"/>
        <v>Actual</v>
      </c>
      <c r="J19" s="178" t="str">
        <f t="shared" si="4"/>
        <v>Combination</v>
      </c>
      <c r="K19" s="178" t="str">
        <f t="shared" si="4"/>
        <v>Forecast</v>
      </c>
      <c r="L19" s="178" t="str">
        <f t="shared" si="4"/>
        <v>Forecast</v>
      </c>
      <c r="M19" s="178" t="str">
        <f t="shared" ref="M19:U19" si="5">INDEX($E$11:$E$14,MATCH(TRUE,M6:M9,0))</f>
        <v>Forecast</v>
      </c>
      <c r="N19" s="178" t="str">
        <f t="shared" si="5"/>
        <v>Forecast</v>
      </c>
      <c r="O19" s="178" t="str">
        <f t="shared" si="5"/>
        <v>Forecast</v>
      </c>
      <c r="P19" s="178" t="str">
        <f t="shared" si="5"/>
        <v>Forecast</v>
      </c>
      <c r="Q19" s="178" t="e">
        <f t="shared" si="5"/>
        <v>#N/A</v>
      </c>
      <c r="R19" s="178" t="e">
        <f t="shared" si="5"/>
        <v>#N/A</v>
      </c>
      <c r="S19" s="178" t="e">
        <f t="shared" si="5"/>
        <v>#N/A</v>
      </c>
      <c r="T19" s="178" t="e">
        <f t="shared" si="5"/>
        <v>#N/A</v>
      </c>
      <c r="U19" s="178" t="e">
        <f t="shared" si="5"/>
        <v>#N/A</v>
      </c>
    </row>
    <row r="20" spans="3:21" hidden="1" outlineLevel="1" collapsed="1">
      <c r="C20" s="220" t="s">
        <v>873</v>
      </c>
      <c r="D20" s="220"/>
      <c r="E20" s="220">
        <f>OR(E$6,E$7)*Currency_conversion_BU1+IFERROR(INDEX('Control Panel'!$G4:$Z4,MATCH('IS consol'!E$5,'Control Panel'!$G$3:$Z$3,0)),0)+E8*D20</f>
        <v>1</v>
      </c>
      <c r="F20" s="220">
        <f>OR(F$6,F$7)*Currency_conversion_BU1+IFERROR(INDEX('Control Panel'!$G4:$Z4,MATCH('IS consol'!F$5,'Control Panel'!$G$3:$Z$3,0)),0)+F8*E20</f>
        <v>1</v>
      </c>
      <c r="G20" s="220">
        <f>OR(G$6,G$7)*Currency_conversion_BU1+IFERROR(INDEX('Control Panel'!$G4:$Z4,MATCH('IS consol'!G$5,'Control Panel'!$G$3:$Z$3,0)),0)+G8*F20</f>
        <v>1</v>
      </c>
      <c r="H20" s="220">
        <f>OR(H$6,H$7)*Currency_conversion_BU1+IFERROR(INDEX('Control Panel'!$G4:$Z4,MATCH('IS consol'!H$5,'Control Panel'!$G$3:$Z$3,0)),0)+H8*G20</f>
        <v>1</v>
      </c>
      <c r="I20" s="220">
        <f>OR(I$6,I$7)*Currency_conversion_BU1+IFERROR(INDEX('Control Panel'!$G4:$Z4,MATCH('IS consol'!I$5,'Control Panel'!$G$3:$Z$3,0)),0)+I8*H20</f>
        <v>1</v>
      </c>
      <c r="J20" s="220">
        <f>OR(J$6,J$7)*Currency_conversion_BU1+IFERROR(INDEX('Control Panel'!$G4:$Z4,MATCH('IS consol'!J$5,'Control Panel'!$G$3:$Z$3,0)),0)+J8*I20</f>
        <v>1</v>
      </c>
      <c r="K20" s="220">
        <f>OR(K$6,K$7)*Currency_conversion_BU1+IFERROR(INDEX('Control Panel'!$G4:$Z4,MATCH('IS consol'!K$5,'Control Panel'!$G$3:$Z$3,0)),0)+K8*J20</f>
        <v>1</v>
      </c>
      <c r="L20" s="220">
        <f>OR(L$6,L$7)*Currency_conversion_BU1+IFERROR(INDEX('Control Panel'!$G4:$Z4,MATCH('IS consol'!L$5,'Control Panel'!$G$3:$Z$3,0)),0)+L8*K20</f>
        <v>1</v>
      </c>
      <c r="M20" s="220">
        <f>OR(M$6,M$7)*Currency_conversion_BU1+IFERROR(INDEX('Control Panel'!$G4:$Z4,MATCH('IS consol'!M$5,'Control Panel'!$G$3:$Z$3,0)),0)+M8*L20</f>
        <v>1</v>
      </c>
      <c r="N20" s="220">
        <f>OR(N$6,N$7)*Currency_conversion_BU1+IFERROR(INDEX('Control Panel'!$G4:$Z4,MATCH('IS consol'!N$5,'Control Panel'!$G$3:$Z$3,0)),0)+N8*M20</f>
        <v>1</v>
      </c>
      <c r="O20" s="220">
        <f>OR(O$6,O$7)*Currency_conversion_BU1+IFERROR(INDEX('Control Panel'!$G4:$Z4,MATCH('IS consol'!O$5,'Control Panel'!$G$3:$Z$3,0)),0)+O8*N20</f>
        <v>1</v>
      </c>
      <c r="P20" s="220">
        <f>OR(P$6,P$7)*Currency_conversion_BU1+IFERROR(INDEX('Control Panel'!$G4:$Z4,MATCH('IS consol'!P$5,'Control Panel'!$G$3:$Z$3,0)),0)+P8*O20</f>
        <v>1</v>
      </c>
      <c r="Q20" s="220">
        <f>OR(Q$6,Q$7)*Currency_conversion_BU1+IFERROR(INDEX('Control Panel'!$G4:$Z4,MATCH('IS consol'!Q$5,'Control Panel'!$G$3:$Z$3,0)),0)+Q8*P20</f>
        <v>0</v>
      </c>
      <c r="R20" s="220">
        <f>OR(R$6,R$7)*Currency_conversion_BU1+IFERROR(INDEX('Control Panel'!$G4:$Z4,MATCH('IS consol'!R$5,'Control Panel'!$G$3:$Z$3,0)),0)+R8*Q20</f>
        <v>0</v>
      </c>
      <c r="S20" s="220">
        <f>OR(S$6,S$7)*Currency_conversion_BU1+IFERROR(INDEX('Control Panel'!$G4:$Z4,MATCH('IS consol'!S$5,'Control Panel'!$G$3:$Z$3,0)),0)+S8*R20</f>
        <v>0</v>
      </c>
      <c r="T20" s="220">
        <f>OR(T$6,T$7)*Currency_conversion_BU1+IFERROR(INDEX('Control Panel'!$G4:$Z4,MATCH('IS consol'!T$5,'Control Panel'!$G$3:$Z$3,0)),0)+T8*S20</f>
        <v>0</v>
      </c>
      <c r="U20" s="220">
        <f>OR(U$6,U$7)*Currency_conversion_BU1+IFERROR(INDEX('Control Panel'!$G4:$Z4,MATCH('IS consol'!U$5,'Control Panel'!$G$3:$Z$3,0)),0)+U8*T20</f>
        <v>0</v>
      </c>
    </row>
    <row r="21" spans="3:21" hidden="1" outlineLevel="1">
      <c r="C21" s="220" t="s">
        <v>874</v>
      </c>
      <c r="D21" s="220"/>
      <c r="E21" s="220">
        <f>OR(E$6,E$7)*Currency_conversion_rate_BU2+IFERROR(INDEX('Control Panel'!$G5:$Z5,MATCH('IS consol'!E$5,'Control Panel'!$G$3:$Z$3,0)),0)+E8*D21</f>
        <v>1</v>
      </c>
      <c r="F21" s="220">
        <f>OR(F$6,F$7)*Currency_conversion_rate_BU2+IFERROR(INDEX('Control Panel'!$G5:$Z5,MATCH('IS consol'!F$5,'Control Panel'!$G$3:$Z$3,0)),0)+F8*E21</f>
        <v>1</v>
      </c>
      <c r="G21" s="220">
        <f>OR(G$6,G$7)*Currency_conversion_rate_BU2+IFERROR(INDEX('Control Panel'!$G5:$Z5,MATCH('IS consol'!G$5,'Control Panel'!$G$3:$Z$3,0)),0)+G8*F21</f>
        <v>1</v>
      </c>
      <c r="H21" s="220">
        <f>OR(H$6,H$7)*Currency_conversion_rate_BU2+IFERROR(INDEX('Control Panel'!$G5:$Z5,MATCH('IS consol'!H$5,'Control Panel'!$G$3:$Z$3,0)),0)+H8*G21</f>
        <v>1</v>
      </c>
      <c r="I21" s="220">
        <f>OR(I$6,I$7)*Currency_conversion_rate_BU2+IFERROR(INDEX('Control Panel'!$G5:$Z5,MATCH('IS consol'!I$5,'Control Panel'!$G$3:$Z$3,0)),0)+I8*H21</f>
        <v>1</v>
      </c>
      <c r="J21" s="220">
        <f>OR(J$6,J$7)*Currency_conversion_rate_BU2+IFERROR(INDEX('Control Panel'!$G5:$Z5,MATCH('IS consol'!J$5,'Control Panel'!$G$3:$Z$3,0)),0)+J8*I21</f>
        <v>1</v>
      </c>
      <c r="K21" s="220">
        <f>OR(K$6,K$7)*Currency_conversion_rate_BU2+IFERROR(INDEX('Control Panel'!$G5:$Z5,MATCH('IS consol'!K$5,'Control Panel'!$G$3:$Z$3,0)),0)+K8*J21</f>
        <v>1</v>
      </c>
      <c r="L21" s="220">
        <f>OR(L$6,L$7)*Currency_conversion_rate_BU2+IFERROR(INDEX('Control Panel'!$G5:$Z5,MATCH('IS consol'!L$5,'Control Panel'!$G$3:$Z$3,0)),0)+L8*K21</f>
        <v>1</v>
      </c>
      <c r="M21" s="220">
        <f>OR(M$6,M$7)*Currency_conversion_rate_BU2+IFERROR(INDEX('Control Panel'!$G5:$Z5,MATCH('IS consol'!M$5,'Control Panel'!$G$3:$Z$3,0)),0)+M8*L21</f>
        <v>1</v>
      </c>
      <c r="N21" s="220">
        <f>OR(N$6,N$7)*Currency_conversion_rate_BU2+IFERROR(INDEX('Control Panel'!$G5:$Z5,MATCH('IS consol'!N$5,'Control Panel'!$G$3:$Z$3,0)),0)+N8*M21</f>
        <v>1</v>
      </c>
      <c r="O21" s="220">
        <f>OR(O$6,O$7)*Currency_conversion_rate_BU2+IFERROR(INDEX('Control Panel'!$G5:$Z5,MATCH('IS consol'!O$5,'Control Panel'!$G$3:$Z$3,0)),0)+O8*N21</f>
        <v>1</v>
      </c>
      <c r="P21" s="220">
        <f>OR(P$6,P$7)*Currency_conversion_rate_BU2+IFERROR(INDEX('Control Panel'!$G5:$Z5,MATCH('IS consol'!P$5,'Control Panel'!$G$3:$Z$3,0)),0)+P8*O21</f>
        <v>1</v>
      </c>
      <c r="Q21" s="220">
        <f>OR(Q$6,Q$7)*Currency_conversion_rate_BU2+IFERROR(INDEX('Control Panel'!$G5:$Z5,MATCH('IS consol'!Q$5,'Control Panel'!$G$3:$Z$3,0)),0)+Q8*P21</f>
        <v>0</v>
      </c>
      <c r="R21" s="220">
        <f>OR(R$6,R$7)*Currency_conversion_rate_BU2+IFERROR(INDEX('Control Panel'!$G5:$Z5,MATCH('IS consol'!R$5,'Control Panel'!$G$3:$Z$3,0)),0)+R8*Q21</f>
        <v>0</v>
      </c>
      <c r="S21" s="220">
        <f>OR(S$6,S$7)*Currency_conversion_rate_BU2+IFERROR(INDEX('Control Panel'!$G5:$Z5,MATCH('IS consol'!S$5,'Control Panel'!$G$3:$Z$3,0)),0)+S8*R21</f>
        <v>0</v>
      </c>
      <c r="T21" s="220">
        <f>OR(T$6,T$7)*Currency_conversion_rate_BU2+IFERROR(INDEX('Control Panel'!$G5:$Z5,MATCH('IS consol'!T$5,'Control Panel'!$G$3:$Z$3,0)),0)+T8*S21</f>
        <v>0</v>
      </c>
      <c r="U21" s="220">
        <f>OR(U$6,U$7)*Currency_conversion_rate_BU2+IFERROR(INDEX('Control Panel'!$G5:$Z5,MATCH('IS consol'!U$5,'Control Panel'!$G$3:$Z$3,0)),0)+U8*T21</f>
        <v>0</v>
      </c>
    </row>
    <row r="22" spans="3:21" hidden="1" outlineLevel="1">
      <c r="C22" s="220" t="s">
        <v>875</v>
      </c>
      <c r="D22" s="220"/>
      <c r="E22" s="220">
        <f>OR(E$6,E$7)*Currency_conversion_rate_other+IFERROR(INDEX('Control Panel'!$G6:$Z6,MATCH('IS consol'!E$5,'Control Panel'!$G$3:$Z$3,0)),0)+E8*D22</f>
        <v>1</v>
      </c>
      <c r="F22" s="220">
        <f>OR(F$6,F$7)*Currency_conversion_rate_other+IFERROR(INDEX('Control Panel'!$G6:$Z6,MATCH('IS consol'!F$5,'Control Panel'!$G$3:$Z$3,0)),0)+F8*E22</f>
        <v>1</v>
      </c>
      <c r="G22" s="220">
        <f>OR(G$6,G$7)*Currency_conversion_rate_other+IFERROR(INDEX('Control Panel'!$G6:$Z6,MATCH('IS consol'!G$5,'Control Panel'!$G$3:$Z$3,0)),0)+G8*F22</f>
        <v>1</v>
      </c>
      <c r="H22" s="220">
        <f>OR(H$6,H$7)*Currency_conversion_rate_other+IFERROR(INDEX('Control Panel'!$G6:$Z6,MATCH('IS consol'!H$5,'Control Panel'!$G$3:$Z$3,0)),0)+H8*G22</f>
        <v>1</v>
      </c>
      <c r="I22" s="220">
        <f>OR(I$6,I$7)*Currency_conversion_rate_other+IFERROR(INDEX('Control Panel'!$G6:$Z6,MATCH('IS consol'!I$5,'Control Panel'!$G$3:$Z$3,0)),0)+I8*H22</f>
        <v>1</v>
      </c>
      <c r="J22" s="220">
        <f>OR(J$6,J$7)*Currency_conversion_rate_other+IFERROR(INDEX('Control Panel'!$G6:$Z6,MATCH('IS consol'!J$5,'Control Panel'!$G$3:$Z$3,0)),0)+J8*I22</f>
        <v>1</v>
      </c>
      <c r="K22" s="220">
        <f>OR(K$6,K$7)*Currency_conversion_rate_other+IFERROR(INDEX('Control Panel'!$G6:$Z6,MATCH('IS consol'!K$5,'Control Panel'!$G$3:$Z$3,0)),0)+K8*J22</f>
        <v>1</v>
      </c>
      <c r="L22" s="220">
        <f>OR(L$6,L$7)*Currency_conversion_rate_other+IFERROR(INDEX('Control Panel'!$G6:$Z6,MATCH('IS consol'!L$5,'Control Panel'!$G$3:$Z$3,0)),0)+L8*K22</f>
        <v>1</v>
      </c>
      <c r="M22" s="220">
        <f>OR(M$6,M$7)*Currency_conversion_rate_other+IFERROR(INDEX('Control Panel'!$G6:$Z6,MATCH('IS consol'!M$5,'Control Panel'!$G$3:$Z$3,0)),0)+M8*L22</f>
        <v>1</v>
      </c>
      <c r="N22" s="220">
        <f>OR(N$6,N$7)*Currency_conversion_rate_other+IFERROR(INDEX('Control Panel'!$G6:$Z6,MATCH('IS consol'!N$5,'Control Panel'!$G$3:$Z$3,0)),0)+N8*M22</f>
        <v>1</v>
      </c>
      <c r="O22" s="220">
        <f>OR(O$6,O$7)*Currency_conversion_rate_other+IFERROR(INDEX('Control Panel'!$G6:$Z6,MATCH('IS consol'!O$5,'Control Panel'!$G$3:$Z$3,0)),0)+O8*N22</f>
        <v>1</v>
      </c>
      <c r="P22" s="220">
        <f>OR(P$6,P$7)*Currency_conversion_rate_other+IFERROR(INDEX('Control Panel'!$G6:$Z6,MATCH('IS consol'!P$5,'Control Panel'!$G$3:$Z$3,0)),0)+P8*O22</f>
        <v>1</v>
      </c>
      <c r="Q22" s="220">
        <f>OR(Q$6,Q$7)*Currency_conversion_rate_other+IFERROR(INDEX('Control Panel'!$G6:$Z6,MATCH('IS consol'!Q$5,'Control Panel'!$G$3:$Z$3,0)),0)+Q8*P22</f>
        <v>0</v>
      </c>
      <c r="R22" s="220">
        <f>OR(R$6,R$7)*Currency_conversion_rate_other+IFERROR(INDEX('Control Panel'!$G6:$Z6,MATCH('IS consol'!R$5,'Control Panel'!$G$3:$Z$3,0)),0)+R8*Q22</f>
        <v>0</v>
      </c>
      <c r="S22" s="220">
        <f>OR(S$6,S$7)*Currency_conversion_rate_other+IFERROR(INDEX('Control Panel'!$G6:$Z6,MATCH('IS consol'!S$5,'Control Panel'!$G$3:$Z$3,0)),0)+S8*R22</f>
        <v>0</v>
      </c>
      <c r="T22" s="220">
        <f>OR(T$6,T$7)*Currency_conversion_rate_other+IFERROR(INDEX('Control Panel'!$G6:$Z6,MATCH('IS consol'!T$5,'Control Panel'!$G$3:$Z$3,0)),0)+T8*S22</f>
        <v>0</v>
      </c>
      <c r="U22" s="220">
        <f>OR(U$6,U$7)*Currency_conversion_rate_other+IFERROR(INDEX('Control Panel'!$G6:$Z6,MATCH('IS consol'!U$5,'Control Panel'!$G$3:$Z$3,0)),0)+U8*T22</f>
        <v>0</v>
      </c>
    </row>
    <row r="23" spans="3:21" hidden="1" outlineLevel="1"/>
    <row r="24" spans="3:21" collapsed="1">
      <c r="C24" s="222" t="str">
        <f>CONCATENATE("Income Statement"," (",model_curr,")")</f>
        <v>Income Statement (USD)</v>
      </c>
      <c r="D24" s="209"/>
      <c r="E24" s="178" t="str">
        <f>E17</f>
        <v>2014A</v>
      </c>
      <c r="F24" s="178" t="str">
        <f t="shared" ref="F24:L24" si="6">F17</f>
        <v>2015A</v>
      </c>
      <c r="G24" s="178" t="str">
        <f t="shared" si="6"/>
        <v>2016A</v>
      </c>
      <c r="H24" s="178" t="str">
        <f t="shared" si="6"/>
        <v>2017A</v>
      </c>
      <c r="I24" s="178" t="str">
        <f t="shared" si="6"/>
        <v>2018A</v>
      </c>
      <c r="J24" s="178" t="str">
        <f t="shared" si="6"/>
        <v>2019C</v>
      </c>
      <c r="K24" s="178" t="str">
        <f t="shared" si="6"/>
        <v>2019F</v>
      </c>
      <c r="L24" s="178" t="str">
        <f t="shared" si="6"/>
        <v>2020F</v>
      </c>
      <c r="M24" s="178" t="str">
        <f t="shared" ref="M24:U24" si="7">M17</f>
        <v>2021F</v>
      </c>
      <c r="N24" s="178" t="str">
        <f t="shared" si="7"/>
        <v>2022F</v>
      </c>
      <c r="O24" s="178" t="str">
        <f t="shared" si="7"/>
        <v>2023F</v>
      </c>
      <c r="P24" s="178" t="str">
        <f t="shared" si="7"/>
        <v>2024F</v>
      </c>
      <c r="Q24" s="178" t="e">
        <f t="shared" si="7"/>
        <v>#N/A</v>
      </c>
      <c r="R24" s="178" t="e">
        <f t="shared" si="7"/>
        <v>#N/A</v>
      </c>
      <c r="S24" s="178" t="e">
        <f t="shared" si="7"/>
        <v>#N/A</v>
      </c>
      <c r="T24" s="178" t="e">
        <f t="shared" si="7"/>
        <v>#N/A</v>
      </c>
      <c r="U24" s="178" t="e">
        <f t="shared" si="7"/>
        <v>#N/A</v>
      </c>
    </row>
    <row r="25" spans="3:21" hidden="1">
      <c r="C25" s="109"/>
      <c r="D25" s="109"/>
      <c r="E25" s="109"/>
      <c r="F25" s="109"/>
      <c r="G25" s="216"/>
      <c r="H25" s="216"/>
      <c r="I25" s="216"/>
      <c r="J25" s="216"/>
      <c r="K25" s="216"/>
      <c r="L25" s="109"/>
      <c r="M25" s="109"/>
      <c r="N25" s="109"/>
      <c r="O25" s="109"/>
      <c r="P25" s="109"/>
      <c r="Q25" s="109"/>
      <c r="R25" s="109"/>
      <c r="S25" s="109"/>
      <c r="T25" s="109"/>
      <c r="U25" s="109"/>
    </row>
    <row r="26" spans="3:21">
      <c r="C26" s="180" t="s">
        <v>1005</v>
      </c>
      <c r="D26" s="180"/>
      <c r="E26" s="227">
        <f>E28+E30+E32</f>
        <v>0</v>
      </c>
      <c r="F26" s="227">
        <f t="shared" ref="F26:L26" si="8">F28+F30+F32</f>
        <v>0</v>
      </c>
      <c r="G26" s="227">
        <f t="shared" si="8"/>
        <v>0</v>
      </c>
      <c r="H26" s="227">
        <f>H28+H30+H32</f>
        <v>0</v>
      </c>
      <c r="I26" s="227">
        <f t="shared" si="8"/>
        <v>0</v>
      </c>
      <c r="J26" s="227">
        <f t="shared" si="8"/>
        <v>0</v>
      </c>
      <c r="K26" s="227">
        <f t="shared" si="8"/>
        <v>0</v>
      </c>
      <c r="L26" s="227">
        <f t="shared" si="8"/>
        <v>0</v>
      </c>
      <c r="M26" s="227">
        <f t="shared" ref="M26:U26" si="9">M28+M30+M32</f>
        <v>0</v>
      </c>
      <c r="N26" s="227">
        <f t="shared" si="9"/>
        <v>0</v>
      </c>
      <c r="O26" s="227">
        <f t="shared" si="9"/>
        <v>0</v>
      </c>
      <c r="P26" s="227">
        <f t="shared" si="9"/>
        <v>0</v>
      </c>
      <c r="Q26" s="227">
        <f t="shared" si="9"/>
        <v>0</v>
      </c>
      <c r="R26" s="227">
        <f t="shared" si="9"/>
        <v>0</v>
      </c>
      <c r="S26" s="227">
        <f t="shared" si="9"/>
        <v>0</v>
      </c>
      <c r="T26" s="227">
        <f t="shared" si="9"/>
        <v>0</v>
      </c>
      <c r="U26" s="227">
        <f t="shared" si="9"/>
        <v>0</v>
      </c>
    </row>
    <row r="27" spans="3:21">
      <c r="C27" s="183"/>
      <c r="D27" s="221" t="s">
        <v>876</v>
      </c>
      <c r="E27" s="185" t="str">
        <f>IFERROR(E26/INDEX(26:26,MATCH(DATE(YEAR(E$18)-1,MONTH(E$18),DAY(E$18)),$18:$18,0))-1,"n.a.")</f>
        <v>n.a.</v>
      </c>
      <c r="F27" s="185" t="str">
        <f>IFERROR(F26/INDEX(26:26,MATCH(DATE(YEAR(F$18)-1,MONTH(F$18),DAY(F$18)),$18:$18,0))-1,"n.a.")</f>
        <v>n.a.</v>
      </c>
      <c r="G27" s="185" t="str">
        <f t="shared" ref="G27:L27" si="10">IFERROR(G26/INDEX(26:26,MATCH(DATE(YEAR(G$18)-1,MONTH(G$18),DAY(G$18)),$18:$18,0))-1,"n.a.")</f>
        <v>n.a.</v>
      </c>
      <c r="H27" s="185" t="str">
        <f t="shared" si="10"/>
        <v>n.a.</v>
      </c>
      <c r="I27" s="185" t="str">
        <f t="shared" si="10"/>
        <v>n.a.</v>
      </c>
      <c r="J27" s="185" t="str">
        <f t="shared" si="10"/>
        <v>n.a.</v>
      </c>
      <c r="K27" s="185" t="str">
        <f t="shared" si="10"/>
        <v>n.a.</v>
      </c>
      <c r="L27" s="185" t="str">
        <f t="shared" si="10"/>
        <v>n.a.</v>
      </c>
      <c r="M27" s="185" t="str">
        <f t="shared" ref="M27:U27" si="11">IFERROR(M26/INDEX(26:26,MATCH(DATE(YEAR(M$18)-1,MONTH(M$18),DAY(M$18)),$18:$18,0))-1,"n.a.")</f>
        <v>n.a.</v>
      </c>
      <c r="N27" s="185" t="str">
        <f t="shared" si="11"/>
        <v>n.a.</v>
      </c>
      <c r="O27" s="185" t="str">
        <f t="shared" si="11"/>
        <v>n.a.</v>
      </c>
      <c r="P27" s="185" t="str">
        <f t="shared" si="11"/>
        <v>n.a.</v>
      </c>
      <c r="Q27" s="185" t="str">
        <f t="shared" si="11"/>
        <v>n.a.</v>
      </c>
      <c r="R27" s="185" t="str">
        <f t="shared" si="11"/>
        <v>n.a.</v>
      </c>
      <c r="S27" s="185" t="str">
        <f t="shared" si="11"/>
        <v>n.a.</v>
      </c>
      <c r="T27" s="185" t="str">
        <f t="shared" si="11"/>
        <v>n.a.</v>
      </c>
      <c r="U27" s="185" t="str">
        <f t="shared" si="11"/>
        <v>n.a.</v>
      </c>
    </row>
    <row r="28" spans="3:21" outlineLevel="1">
      <c r="C28" s="225"/>
      <c r="D28" s="361" t="str">
        <f>BU1_name</f>
        <v>Offshore</v>
      </c>
      <c r="E28" s="228">
        <f>'IS offshore'!E26*Stake_Bu1</f>
        <v>0</v>
      </c>
      <c r="F28" s="228">
        <f>'IS offshore'!F26*Stake_Bu1</f>
        <v>0</v>
      </c>
      <c r="G28" s="228">
        <f>'IS offshore'!G26*Stake_Bu1</f>
        <v>0</v>
      </c>
      <c r="H28" s="228">
        <f>'IS offshore'!H26*Stake_Bu1</f>
        <v>0</v>
      </c>
      <c r="I28" s="228">
        <f>'IS offshore'!I26*Stake_Bu1</f>
        <v>0</v>
      </c>
      <c r="J28" s="228">
        <f>'IS offshore'!J26*Stake_Bu1</f>
        <v>0</v>
      </c>
      <c r="K28" s="228">
        <f>'IS offshore'!K26*Stake_Bu1</f>
        <v>0</v>
      </c>
      <c r="L28" s="228">
        <f>'IS offshore'!L26*Stake_Bu1</f>
        <v>0</v>
      </c>
      <c r="M28" s="228">
        <f>'IS offshore'!M26*Stake_Bu1</f>
        <v>0</v>
      </c>
      <c r="N28" s="228">
        <f>'IS offshore'!N26*Stake_Bu1</f>
        <v>0</v>
      </c>
      <c r="O28" s="228">
        <f>'IS offshore'!O26*Stake_Bu1</f>
        <v>0</v>
      </c>
      <c r="P28" s="228">
        <f>'IS offshore'!P26*Stake_Bu1</f>
        <v>0</v>
      </c>
      <c r="Q28" s="228">
        <f>'IS offshore'!Q26*Stake_Bu1</f>
        <v>0</v>
      </c>
      <c r="R28" s="228">
        <f>'IS offshore'!R26*Stake_Bu1</f>
        <v>0</v>
      </c>
      <c r="S28" s="228">
        <f>'IS offshore'!S26*Stake_Bu1</f>
        <v>0</v>
      </c>
      <c r="T28" s="228">
        <f>'IS offshore'!T26*Stake_Bu1</f>
        <v>0</v>
      </c>
      <c r="U28" s="228">
        <f>'IS offshore'!U26*Stake_Bu1</f>
        <v>0</v>
      </c>
    </row>
    <row r="29" spans="3:21" outlineLevel="1">
      <c r="C29" s="183"/>
      <c r="D29" s="221" t="s">
        <v>876</v>
      </c>
      <c r="E29" s="185" t="str">
        <f>IFERROR(E28/INDEX(28:28,MATCH(DATE(YEAR(E$18)-1,MONTH(E$18),DAY(E$18)),$18:$18,0))-1,"n.a.")</f>
        <v>n.a.</v>
      </c>
      <c r="F29" s="185" t="str">
        <f>IFERROR(F28/INDEX(28:28,MATCH(DATE(YEAR(F$18)-1,MONTH(F$18),DAY(F$18)),$18:$18,0))-1,"n.a.")</f>
        <v>n.a.</v>
      </c>
      <c r="G29" s="185" t="str">
        <f t="shared" ref="G29" si="12">IFERROR(G28/INDEX(28:28,MATCH(DATE(YEAR(G$18)-1,MONTH(G$18),DAY(G$18)),$18:$18,0))-1,"n.a.")</f>
        <v>n.a.</v>
      </c>
      <c r="H29" s="185" t="str">
        <f t="shared" ref="H29" si="13">IFERROR(H28/INDEX(28:28,MATCH(DATE(YEAR(H$18)-1,MONTH(H$18),DAY(H$18)),$18:$18,0))-1,"n.a.")</f>
        <v>n.a.</v>
      </c>
      <c r="I29" s="185" t="str">
        <f t="shared" ref="I29" si="14">IFERROR(I28/INDEX(28:28,MATCH(DATE(YEAR(I$18)-1,MONTH(I$18),DAY(I$18)),$18:$18,0))-1,"n.a.")</f>
        <v>n.a.</v>
      </c>
      <c r="J29" s="185" t="str">
        <f t="shared" ref="J29" si="15">IFERROR(J28/INDEX(28:28,MATCH(DATE(YEAR(J$18)-1,MONTH(J$18),DAY(J$18)),$18:$18,0))-1,"n.a.")</f>
        <v>n.a.</v>
      </c>
      <c r="K29" s="185" t="str">
        <f t="shared" ref="K29" si="16">IFERROR(K28/INDEX(28:28,MATCH(DATE(YEAR(K$18)-1,MONTH(K$18),DAY(K$18)),$18:$18,0))-1,"n.a.")</f>
        <v>n.a.</v>
      </c>
      <c r="L29" s="185" t="str">
        <f t="shared" ref="L29:U29" si="17">IFERROR(L28/INDEX(28:28,MATCH(DATE(YEAR(L$18)-1,MONTH(L$18),DAY(L$18)),$18:$18,0))-1,"n.a.")</f>
        <v>n.a.</v>
      </c>
      <c r="M29" s="185" t="str">
        <f t="shared" si="17"/>
        <v>n.a.</v>
      </c>
      <c r="N29" s="185" t="str">
        <f t="shared" si="17"/>
        <v>n.a.</v>
      </c>
      <c r="O29" s="185" t="str">
        <f t="shared" si="17"/>
        <v>n.a.</v>
      </c>
      <c r="P29" s="185" t="str">
        <f t="shared" si="17"/>
        <v>n.a.</v>
      </c>
      <c r="Q29" s="185" t="str">
        <f t="shared" si="17"/>
        <v>n.a.</v>
      </c>
      <c r="R29" s="185" t="str">
        <f t="shared" si="17"/>
        <v>n.a.</v>
      </c>
      <c r="S29" s="185" t="str">
        <f t="shared" si="17"/>
        <v>n.a.</v>
      </c>
      <c r="T29" s="185" t="str">
        <f t="shared" si="17"/>
        <v>n.a.</v>
      </c>
      <c r="U29" s="185" t="str">
        <f t="shared" si="17"/>
        <v>n.a.</v>
      </c>
    </row>
    <row r="30" spans="3:21" outlineLevel="1">
      <c r="C30" s="225"/>
      <c r="D30" s="361" t="str">
        <f>BU2_name</f>
        <v>Onshore</v>
      </c>
      <c r="E30" s="228">
        <f>'IS onshore'!E26*Stake_Bu2</f>
        <v>0</v>
      </c>
      <c r="F30" s="228">
        <f>'IS onshore'!F26*Stake_Bu2</f>
        <v>0</v>
      </c>
      <c r="G30" s="228">
        <f>'IS onshore'!G26*Stake_Bu2</f>
        <v>0</v>
      </c>
      <c r="H30" s="228">
        <f>'IS onshore'!H26*Stake_Bu2</f>
        <v>0</v>
      </c>
      <c r="I30" s="228">
        <f>'IS onshore'!I26*Stake_Bu2</f>
        <v>0</v>
      </c>
      <c r="J30" s="228">
        <f>'IS onshore'!J26*Stake_Bu2</f>
        <v>0</v>
      </c>
      <c r="K30" s="228">
        <f>'IS onshore'!K26*Stake_Bu2</f>
        <v>0</v>
      </c>
      <c r="L30" s="228">
        <f>'IS onshore'!L26*Stake_Bu2</f>
        <v>0</v>
      </c>
      <c r="M30" s="228">
        <f>'IS onshore'!M26*Stake_Bu2</f>
        <v>0</v>
      </c>
      <c r="N30" s="228">
        <f>'IS onshore'!N26*Stake_Bu2</f>
        <v>0</v>
      </c>
      <c r="O30" s="228">
        <f>'IS onshore'!O26*Stake_Bu2</f>
        <v>0</v>
      </c>
      <c r="P30" s="228">
        <f>'IS onshore'!P26*Stake_Bu2</f>
        <v>0</v>
      </c>
      <c r="Q30" s="228">
        <f>'IS onshore'!Q26*Stake_Bu2</f>
        <v>0</v>
      </c>
      <c r="R30" s="228">
        <f>'IS onshore'!R26*Stake_Bu2</f>
        <v>0</v>
      </c>
      <c r="S30" s="228">
        <f>'IS onshore'!S26*Stake_Bu2</f>
        <v>0</v>
      </c>
      <c r="T30" s="228">
        <f>'IS onshore'!T26*Stake_Bu2</f>
        <v>0</v>
      </c>
      <c r="U30" s="228">
        <f>'IS onshore'!U26*Stake_Bu2</f>
        <v>0</v>
      </c>
    </row>
    <row r="31" spans="3:21" outlineLevel="1">
      <c r="C31" s="183"/>
      <c r="D31" s="221" t="s">
        <v>876</v>
      </c>
      <c r="E31" s="185" t="str">
        <f>IFERROR(E30/INDEX(30:30,MATCH(DATE(YEAR(E$18)-1,MONTH(E$18),DAY(E$18)),$18:$18,0))-1,"n.a.")</f>
        <v>n.a.</v>
      </c>
      <c r="F31" s="185" t="str">
        <f>IFERROR(F30/INDEX(30:30,MATCH(DATE(YEAR(F$18)-1,MONTH(F$18),DAY(F$18)),$18:$18,0))-1,"n.a.")</f>
        <v>n.a.</v>
      </c>
      <c r="G31" s="185" t="str">
        <f t="shared" ref="G31" si="18">IFERROR(G30/INDEX(30:30,MATCH(DATE(YEAR(G$18)-1,MONTH(G$18),DAY(G$18)),$18:$18,0))-1,"n.a.")</f>
        <v>n.a.</v>
      </c>
      <c r="H31" s="185" t="str">
        <f t="shared" ref="H31" si="19">IFERROR(H30/INDEX(30:30,MATCH(DATE(YEAR(H$18)-1,MONTH(H$18),DAY(H$18)),$18:$18,0))-1,"n.a.")</f>
        <v>n.a.</v>
      </c>
      <c r="I31" s="185" t="str">
        <f t="shared" ref="I31" si="20">IFERROR(I30/INDEX(30:30,MATCH(DATE(YEAR(I$18)-1,MONTH(I$18),DAY(I$18)),$18:$18,0))-1,"n.a.")</f>
        <v>n.a.</v>
      </c>
      <c r="J31" s="185" t="str">
        <f t="shared" ref="J31" si="21">IFERROR(J30/INDEX(30:30,MATCH(DATE(YEAR(J$18)-1,MONTH(J$18),DAY(J$18)),$18:$18,0))-1,"n.a.")</f>
        <v>n.a.</v>
      </c>
      <c r="K31" s="185" t="str">
        <f t="shared" ref="K31" si="22">IFERROR(K30/INDEX(30:30,MATCH(DATE(YEAR(K$18)-1,MONTH(K$18),DAY(K$18)),$18:$18,0))-1,"n.a.")</f>
        <v>n.a.</v>
      </c>
      <c r="L31" s="185" t="str">
        <f t="shared" ref="L31:U31" si="23">IFERROR(L30/INDEX(30:30,MATCH(DATE(YEAR(L$18)-1,MONTH(L$18),DAY(L$18)),$18:$18,0))-1,"n.a.")</f>
        <v>n.a.</v>
      </c>
      <c r="M31" s="185" t="str">
        <f t="shared" si="23"/>
        <v>n.a.</v>
      </c>
      <c r="N31" s="185" t="str">
        <f t="shared" si="23"/>
        <v>n.a.</v>
      </c>
      <c r="O31" s="185" t="str">
        <f t="shared" si="23"/>
        <v>n.a.</v>
      </c>
      <c r="P31" s="185" t="str">
        <f t="shared" si="23"/>
        <v>n.a.</v>
      </c>
      <c r="Q31" s="185" t="str">
        <f t="shared" si="23"/>
        <v>n.a.</v>
      </c>
      <c r="R31" s="185" t="str">
        <f t="shared" si="23"/>
        <v>n.a.</v>
      </c>
      <c r="S31" s="185" t="str">
        <f t="shared" si="23"/>
        <v>n.a.</v>
      </c>
      <c r="T31" s="185" t="str">
        <f t="shared" si="23"/>
        <v>n.a.</v>
      </c>
      <c r="U31" s="185" t="str">
        <f t="shared" si="23"/>
        <v>n.a.</v>
      </c>
    </row>
    <row r="32" spans="3:21" outlineLevel="1">
      <c r="C32" s="225"/>
      <c r="D32" s="361" t="s">
        <v>1741</v>
      </c>
      <c r="E32" s="228">
        <f>-E30*E9</f>
        <v>0</v>
      </c>
      <c r="F32" s="228">
        <f t="shared" ref="F32:U32" si="24">-F30*F9</f>
        <v>0</v>
      </c>
      <c r="G32" s="228">
        <f t="shared" si="24"/>
        <v>0</v>
      </c>
      <c r="H32" s="228">
        <f t="shared" si="24"/>
        <v>0</v>
      </c>
      <c r="I32" s="228">
        <f t="shared" si="24"/>
        <v>0</v>
      </c>
      <c r="J32" s="228">
        <f t="shared" si="24"/>
        <v>0</v>
      </c>
      <c r="K32" s="228">
        <f t="shared" si="24"/>
        <v>0</v>
      </c>
      <c r="L32" s="228">
        <f t="shared" si="24"/>
        <v>0</v>
      </c>
      <c r="M32" s="228">
        <f t="shared" si="24"/>
        <v>0</v>
      </c>
      <c r="N32" s="228">
        <f t="shared" si="24"/>
        <v>0</v>
      </c>
      <c r="O32" s="228">
        <f t="shared" si="24"/>
        <v>0</v>
      </c>
      <c r="P32" s="228">
        <f t="shared" si="24"/>
        <v>0</v>
      </c>
      <c r="Q32" s="228">
        <f t="shared" si="24"/>
        <v>0</v>
      </c>
      <c r="R32" s="228">
        <f t="shared" si="24"/>
        <v>0</v>
      </c>
      <c r="S32" s="228">
        <f t="shared" si="24"/>
        <v>0</v>
      </c>
      <c r="T32" s="228">
        <f t="shared" si="24"/>
        <v>0</v>
      </c>
      <c r="U32" s="228">
        <f t="shared" si="24"/>
        <v>0</v>
      </c>
    </row>
    <row r="33" spans="3:21" outlineLevel="1">
      <c r="C33" s="183"/>
      <c r="D33" s="221" t="s">
        <v>876</v>
      </c>
      <c r="E33" s="185" t="str">
        <f>IFERROR(E32/INDEX(32:32,MATCH(DATE(YEAR(E$18)-1,MONTH(E$18),DAY(E$18)),$18:$18,0))-1,"n.a.")</f>
        <v>n.a.</v>
      </c>
      <c r="F33" s="185" t="str">
        <f>IFERROR(F32/INDEX(32:32,MATCH(DATE(YEAR(F$18)-1,MONTH(F$18),DAY(F$18)),$18:$18,0))-1,"n.a.")</f>
        <v>n.a.</v>
      </c>
      <c r="G33" s="185" t="str">
        <f t="shared" ref="G33" si="25">IFERROR(G32/INDEX(32:32,MATCH(DATE(YEAR(G$18)-1,MONTH(G$18),DAY(G$18)),$18:$18,0))-1,"n.a.")</f>
        <v>n.a.</v>
      </c>
      <c r="H33" s="185" t="str">
        <f t="shared" ref="H33" si="26">IFERROR(H32/INDEX(32:32,MATCH(DATE(YEAR(H$18)-1,MONTH(H$18),DAY(H$18)),$18:$18,0))-1,"n.a.")</f>
        <v>n.a.</v>
      </c>
      <c r="I33" s="185" t="str">
        <f t="shared" ref="I33" si="27">IFERROR(I32/INDEX(32:32,MATCH(DATE(YEAR(I$18)-1,MONTH(I$18),DAY(I$18)),$18:$18,0))-1,"n.a.")</f>
        <v>n.a.</v>
      </c>
      <c r="J33" s="185" t="str">
        <f t="shared" ref="J33" si="28">IFERROR(J32/INDEX(32:32,MATCH(DATE(YEAR(J$18)-1,MONTH(J$18),DAY(J$18)),$18:$18,0))-1,"n.a.")</f>
        <v>n.a.</v>
      </c>
      <c r="K33" s="185" t="str">
        <f t="shared" ref="K33" si="29">IFERROR(K32/INDEX(32:32,MATCH(DATE(YEAR(K$18)-1,MONTH(K$18),DAY(K$18)),$18:$18,0))-1,"n.a.")</f>
        <v>n.a.</v>
      </c>
      <c r="L33" s="185" t="str">
        <f t="shared" ref="L33:U33" si="30">IFERROR(L32/INDEX(32:32,MATCH(DATE(YEAR(L$18)-1,MONTH(L$18),DAY(L$18)),$18:$18,0))-1,"n.a.")</f>
        <v>n.a.</v>
      </c>
      <c r="M33" s="185" t="str">
        <f t="shared" si="30"/>
        <v>n.a.</v>
      </c>
      <c r="N33" s="185" t="str">
        <f t="shared" si="30"/>
        <v>n.a.</v>
      </c>
      <c r="O33" s="185" t="str">
        <f t="shared" si="30"/>
        <v>n.a.</v>
      </c>
      <c r="P33" s="185" t="str">
        <f t="shared" si="30"/>
        <v>n.a.</v>
      </c>
      <c r="Q33" s="185" t="str">
        <f t="shared" si="30"/>
        <v>n.a.</v>
      </c>
      <c r="R33" s="185" t="str">
        <f t="shared" si="30"/>
        <v>n.a.</v>
      </c>
      <c r="S33" s="185" t="str">
        <f t="shared" si="30"/>
        <v>n.a.</v>
      </c>
      <c r="T33" s="185" t="str">
        <f t="shared" si="30"/>
        <v>n.a.</v>
      </c>
      <c r="U33" s="185" t="str">
        <f t="shared" si="30"/>
        <v>n.a.</v>
      </c>
    </row>
    <row r="34" spans="3:21" outlineLevel="1" collapsed="1">
      <c r="C34" s="109"/>
      <c r="D34" s="363"/>
      <c r="E34" s="230"/>
      <c r="F34" s="230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</row>
    <row r="35" spans="3:21">
      <c r="C35" s="199" t="s">
        <v>1006</v>
      </c>
      <c r="D35" s="364"/>
      <c r="E35" s="259">
        <f>+E37+E39+E41</f>
        <v>0</v>
      </c>
      <c r="F35" s="259">
        <f t="shared" ref="F35:L35" si="31">+F37+F39+F41</f>
        <v>0</v>
      </c>
      <c r="G35" s="259">
        <f t="shared" si="31"/>
        <v>0</v>
      </c>
      <c r="H35" s="259">
        <f t="shared" si="31"/>
        <v>0</v>
      </c>
      <c r="I35" s="259">
        <f t="shared" si="31"/>
        <v>0</v>
      </c>
      <c r="J35" s="259">
        <f t="shared" si="31"/>
        <v>0</v>
      </c>
      <c r="K35" s="259">
        <f t="shared" si="31"/>
        <v>0</v>
      </c>
      <c r="L35" s="259">
        <f t="shared" si="31"/>
        <v>0</v>
      </c>
      <c r="M35" s="259">
        <f t="shared" ref="M35:U35" si="32">+M37+M39+M41</f>
        <v>0</v>
      </c>
      <c r="N35" s="259">
        <f t="shared" si="32"/>
        <v>0</v>
      </c>
      <c r="O35" s="259">
        <f t="shared" si="32"/>
        <v>0</v>
      </c>
      <c r="P35" s="259">
        <f t="shared" si="32"/>
        <v>0</v>
      </c>
      <c r="Q35" s="259">
        <f t="shared" si="32"/>
        <v>0</v>
      </c>
      <c r="R35" s="259">
        <f t="shared" si="32"/>
        <v>0</v>
      </c>
      <c r="S35" s="259">
        <f t="shared" si="32"/>
        <v>0</v>
      </c>
      <c r="T35" s="259">
        <f t="shared" si="32"/>
        <v>0</v>
      </c>
      <c r="U35" s="259">
        <f t="shared" si="32"/>
        <v>0</v>
      </c>
    </row>
    <row r="36" spans="3:21">
      <c r="C36" s="183"/>
      <c r="D36" s="221" t="s">
        <v>882</v>
      </c>
      <c r="E36" s="185" t="e">
        <f>E35/E26</f>
        <v>#DIV/0!</v>
      </c>
      <c r="F36" s="185" t="e">
        <f t="shared" ref="F36:L36" si="33">F35/F26</f>
        <v>#DIV/0!</v>
      </c>
      <c r="G36" s="185" t="e">
        <f t="shared" si="33"/>
        <v>#DIV/0!</v>
      </c>
      <c r="H36" s="185" t="e">
        <f t="shared" si="33"/>
        <v>#DIV/0!</v>
      </c>
      <c r="I36" s="185" t="e">
        <f t="shared" si="33"/>
        <v>#DIV/0!</v>
      </c>
      <c r="J36" s="185" t="e">
        <f t="shared" si="33"/>
        <v>#DIV/0!</v>
      </c>
      <c r="K36" s="185" t="e">
        <f>K35/K26</f>
        <v>#DIV/0!</v>
      </c>
      <c r="L36" s="185" t="e">
        <f t="shared" si="33"/>
        <v>#DIV/0!</v>
      </c>
      <c r="M36" s="185" t="e">
        <f t="shared" ref="M36:U36" si="34">M35/M26</f>
        <v>#DIV/0!</v>
      </c>
      <c r="N36" s="185" t="e">
        <f t="shared" si="34"/>
        <v>#DIV/0!</v>
      </c>
      <c r="O36" s="185" t="e">
        <f t="shared" si="34"/>
        <v>#DIV/0!</v>
      </c>
      <c r="P36" s="185" t="e">
        <f t="shared" si="34"/>
        <v>#DIV/0!</v>
      </c>
      <c r="Q36" s="185" t="e">
        <f t="shared" si="34"/>
        <v>#DIV/0!</v>
      </c>
      <c r="R36" s="185" t="e">
        <f t="shared" si="34"/>
        <v>#DIV/0!</v>
      </c>
      <c r="S36" s="185" t="e">
        <f t="shared" si="34"/>
        <v>#DIV/0!</v>
      </c>
      <c r="T36" s="185" t="e">
        <f t="shared" si="34"/>
        <v>#DIV/0!</v>
      </c>
      <c r="U36" s="185" t="e">
        <f t="shared" si="34"/>
        <v>#DIV/0!</v>
      </c>
    </row>
    <row r="37" spans="3:21" hidden="1" outlineLevel="1">
      <c r="C37" s="225"/>
      <c r="D37" s="361" t="str">
        <f>D28</f>
        <v>Offshore</v>
      </c>
      <c r="E37" s="228">
        <f>'IS offshore'!E31*Stake_Bu1</f>
        <v>0</v>
      </c>
      <c r="F37" s="228">
        <f>'IS offshore'!F31*Stake_Bu1</f>
        <v>0</v>
      </c>
      <c r="G37" s="228">
        <f>'IS offshore'!G31*Stake_Bu1</f>
        <v>0</v>
      </c>
      <c r="H37" s="228">
        <f>'IS offshore'!H31*Stake_Bu1</f>
        <v>0</v>
      </c>
      <c r="I37" s="228">
        <f>'IS offshore'!I31*Stake_Bu1</f>
        <v>0</v>
      </c>
      <c r="J37" s="228">
        <f>'IS offshore'!J31*Stake_Bu1</f>
        <v>0</v>
      </c>
      <c r="K37" s="228">
        <f>'IS offshore'!K31*Stake_Bu1</f>
        <v>0</v>
      </c>
      <c r="L37" s="228">
        <f>'IS offshore'!L31*Stake_Bu1</f>
        <v>0</v>
      </c>
      <c r="M37" s="228">
        <f>'IS offshore'!M31*Stake_Bu1</f>
        <v>0</v>
      </c>
      <c r="N37" s="228">
        <f>'IS offshore'!N31*Stake_Bu1</f>
        <v>0</v>
      </c>
      <c r="O37" s="228">
        <f>'IS offshore'!O31*Stake_Bu1</f>
        <v>0</v>
      </c>
      <c r="P37" s="228">
        <f>'IS offshore'!P31*Stake_Bu1</f>
        <v>0</v>
      </c>
      <c r="Q37" s="228">
        <f>'IS offshore'!Q31*Stake_Bu1</f>
        <v>0</v>
      </c>
      <c r="R37" s="228">
        <f>'IS offshore'!R31*Stake_Bu1</f>
        <v>0</v>
      </c>
      <c r="S37" s="228">
        <f>'IS offshore'!S31*Stake_Bu1</f>
        <v>0</v>
      </c>
      <c r="T37" s="228">
        <f>'IS offshore'!T31*Stake_Bu1</f>
        <v>0</v>
      </c>
      <c r="U37" s="228">
        <f>'IS offshore'!U31*Stake_Bu1</f>
        <v>0</v>
      </c>
    </row>
    <row r="38" spans="3:21" hidden="1" outlineLevel="1">
      <c r="C38" s="183"/>
      <c r="D38" s="660" t="s">
        <v>882</v>
      </c>
      <c r="E38" s="185" t="e">
        <f>E37/E28</f>
        <v>#DIV/0!</v>
      </c>
      <c r="F38" s="185" t="e">
        <f t="shared" ref="F38:L38" si="35">F37/F28</f>
        <v>#DIV/0!</v>
      </c>
      <c r="G38" s="185" t="e">
        <f t="shared" si="35"/>
        <v>#DIV/0!</v>
      </c>
      <c r="H38" s="185" t="e">
        <f t="shared" si="35"/>
        <v>#DIV/0!</v>
      </c>
      <c r="I38" s="185" t="e">
        <f t="shared" si="35"/>
        <v>#DIV/0!</v>
      </c>
      <c r="J38" s="185" t="e">
        <f t="shared" si="35"/>
        <v>#DIV/0!</v>
      </c>
      <c r="K38" s="185" t="e">
        <f t="shared" si="35"/>
        <v>#DIV/0!</v>
      </c>
      <c r="L38" s="185" t="e">
        <f t="shared" si="35"/>
        <v>#DIV/0!</v>
      </c>
      <c r="M38" s="185" t="e">
        <f t="shared" ref="M38:U38" si="36">M37/M28</f>
        <v>#DIV/0!</v>
      </c>
      <c r="N38" s="185" t="e">
        <f t="shared" si="36"/>
        <v>#DIV/0!</v>
      </c>
      <c r="O38" s="185" t="e">
        <f t="shared" si="36"/>
        <v>#DIV/0!</v>
      </c>
      <c r="P38" s="185" t="e">
        <f t="shared" si="36"/>
        <v>#DIV/0!</v>
      </c>
      <c r="Q38" s="185" t="e">
        <f t="shared" si="36"/>
        <v>#DIV/0!</v>
      </c>
      <c r="R38" s="185" t="e">
        <f t="shared" si="36"/>
        <v>#DIV/0!</v>
      </c>
      <c r="S38" s="185" t="e">
        <f t="shared" si="36"/>
        <v>#DIV/0!</v>
      </c>
      <c r="T38" s="185" t="e">
        <f t="shared" si="36"/>
        <v>#DIV/0!</v>
      </c>
      <c r="U38" s="185" t="e">
        <f t="shared" si="36"/>
        <v>#DIV/0!</v>
      </c>
    </row>
    <row r="39" spans="3:21" hidden="1" outlineLevel="1">
      <c r="C39" s="225"/>
      <c r="D39" s="361" t="str">
        <f>D30</f>
        <v>Onshore</v>
      </c>
      <c r="E39" s="228">
        <f>'IS onshore'!E31*Stake_Bu2</f>
        <v>0</v>
      </c>
      <c r="F39" s="228">
        <f>'IS onshore'!F31*Stake_Bu2</f>
        <v>0</v>
      </c>
      <c r="G39" s="228">
        <f>'IS onshore'!G31*Stake_Bu2</f>
        <v>0</v>
      </c>
      <c r="H39" s="228">
        <f>'IS onshore'!H31*Stake_Bu2</f>
        <v>0</v>
      </c>
      <c r="I39" s="228">
        <f>'IS onshore'!I31*Stake_Bu2</f>
        <v>0</v>
      </c>
      <c r="J39" s="228">
        <f>'IS onshore'!J31*Stake_Bu2</f>
        <v>0</v>
      </c>
      <c r="K39" s="228">
        <f>'IS onshore'!K31*Stake_Bu2</f>
        <v>0</v>
      </c>
      <c r="L39" s="228">
        <f>'IS onshore'!L31*Stake_Bu2</f>
        <v>0</v>
      </c>
      <c r="M39" s="228">
        <f>'IS onshore'!M31*Stake_Bu2</f>
        <v>0</v>
      </c>
      <c r="N39" s="228">
        <f>'IS onshore'!N31*Stake_Bu2</f>
        <v>0</v>
      </c>
      <c r="O39" s="228">
        <f>'IS onshore'!O31*Stake_Bu2</f>
        <v>0</v>
      </c>
      <c r="P39" s="228">
        <f>'IS onshore'!P31*Stake_Bu2</f>
        <v>0</v>
      </c>
      <c r="Q39" s="228">
        <f>'IS onshore'!Q31*Stake_Bu2</f>
        <v>0</v>
      </c>
      <c r="R39" s="228">
        <f>'IS onshore'!R31*Stake_Bu2</f>
        <v>0</v>
      </c>
      <c r="S39" s="228">
        <f>'IS onshore'!S31*Stake_Bu2</f>
        <v>0</v>
      </c>
      <c r="T39" s="228">
        <f>'IS onshore'!T31*Stake_Bu2</f>
        <v>0</v>
      </c>
      <c r="U39" s="228">
        <f>'IS onshore'!U31*Stake_Bu2</f>
        <v>0</v>
      </c>
    </row>
    <row r="40" spans="3:21" hidden="1" outlineLevel="1">
      <c r="C40" s="183"/>
      <c r="D40" s="660" t="s">
        <v>882</v>
      </c>
      <c r="E40" s="185" t="e">
        <f>E39/E30</f>
        <v>#DIV/0!</v>
      </c>
      <c r="F40" s="185" t="e">
        <f t="shared" ref="F40:L40" si="37">F39/F30</f>
        <v>#DIV/0!</v>
      </c>
      <c r="G40" s="185" t="e">
        <f t="shared" si="37"/>
        <v>#DIV/0!</v>
      </c>
      <c r="H40" s="185" t="e">
        <f t="shared" si="37"/>
        <v>#DIV/0!</v>
      </c>
      <c r="I40" s="185" t="e">
        <f t="shared" si="37"/>
        <v>#DIV/0!</v>
      </c>
      <c r="J40" s="185" t="e">
        <f t="shared" si="37"/>
        <v>#DIV/0!</v>
      </c>
      <c r="K40" s="185" t="e">
        <f t="shared" si="37"/>
        <v>#DIV/0!</v>
      </c>
      <c r="L40" s="185" t="e">
        <f t="shared" si="37"/>
        <v>#DIV/0!</v>
      </c>
      <c r="M40" s="185" t="e">
        <f t="shared" ref="M40:U40" si="38">M39/M30</f>
        <v>#DIV/0!</v>
      </c>
      <c r="N40" s="185" t="e">
        <f t="shared" si="38"/>
        <v>#DIV/0!</v>
      </c>
      <c r="O40" s="185" t="e">
        <f t="shared" si="38"/>
        <v>#DIV/0!</v>
      </c>
      <c r="P40" s="185" t="e">
        <f t="shared" si="38"/>
        <v>#DIV/0!</v>
      </c>
      <c r="Q40" s="185" t="e">
        <f t="shared" si="38"/>
        <v>#DIV/0!</v>
      </c>
      <c r="R40" s="185" t="e">
        <f t="shared" si="38"/>
        <v>#DIV/0!</v>
      </c>
      <c r="S40" s="185" t="e">
        <f t="shared" si="38"/>
        <v>#DIV/0!</v>
      </c>
      <c r="T40" s="185" t="e">
        <f t="shared" si="38"/>
        <v>#DIV/0!</v>
      </c>
      <c r="U40" s="185" t="e">
        <f t="shared" si="38"/>
        <v>#DIV/0!</v>
      </c>
    </row>
    <row r="41" spans="3:21" hidden="1" outlineLevel="1">
      <c r="C41" s="225"/>
      <c r="D41" s="361" t="str">
        <f>D32</f>
        <v>Consolidation adjustment</v>
      </c>
      <c r="E41" s="229"/>
      <c r="F41" s="229"/>
      <c r="G41" s="229"/>
      <c r="H41" s="229"/>
      <c r="I41" s="229"/>
      <c r="J41" s="229"/>
      <c r="K41" s="229"/>
      <c r="L41" s="229"/>
      <c r="M41" s="229"/>
      <c r="N41" s="229"/>
      <c r="O41" s="229"/>
      <c r="P41" s="229"/>
      <c r="Q41" s="229"/>
      <c r="R41" s="229"/>
      <c r="S41" s="229"/>
      <c r="T41" s="229"/>
      <c r="U41" s="229"/>
    </row>
    <row r="42" spans="3:21" hidden="1" outlineLevel="1" collapsed="1">
      <c r="C42" s="109"/>
      <c r="D42" s="365"/>
      <c r="E42" s="231"/>
      <c r="F42" s="231"/>
      <c r="G42" s="231"/>
      <c r="H42" s="231"/>
      <c r="I42" s="231"/>
      <c r="J42" s="231"/>
      <c r="K42" s="232"/>
      <c r="L42" s="231"/>
      <c r="M42" s="231"/>
      <c r="N42" s="231"/>
      <c r="O42" s="231"/>
      <c r="P42" s="231"/>
      <c r="Q42" s="231"/>
      <c r="R42" s="231"/>
      <c r="S42" s="231"/>
      <c r="T42" s="231"/>
      <c r="U42" s="231"/>
    </row>
    <row r="43" spans="3:21" collapsed="1">
      <c r="C43" s="180" t="s">
        <v>1007</v>
      </c>
      <c r="D43" s="661"/>
      <c r="E43" s="227">
        <f>+E46+E48+E50+E52+E45</f>
        <v>0</v>
      </c>
      <c r="F43" s="227">
        <f t="shared" ref="F43:U43" si="39">+F46+F48+F50+F52+F45</f>
        <v>0</v>
      </c>
      <c r="G43" s="227">
        <f t="shared" si="39"/>
        <v>0</v>
      </c>
      <c r="H43" s="227">
        <f t="shared" si="39"/>
        <v>0</v>
      </c>
      <c r="I43" s="227">
        <f t="shared" si="39"/>
        <v>0</v>
      </c>
      <c r="J43" s="227">
        <f t="shared" si="39"/>
        <v>0</v>
      </c>
      <c r="K43" s="227">
        <f t="shared" si="39"/>
        <v>0</v>
      </c>
      <c r="L43" s="227">
        <f t="shared" si="39"/>
        <v>0</v>
      </c>
      <c r="M43" s="227">
        <f t="shared" si="39"/>
        <v>0</v>
      </c>
      <c r="N43" s="227">
        <f t="shared" si="39"/>
        <v>0</v>
      </c>
      <c r="O43" s="227">
        <f t="shared" si="39"/>
        <v>0</v>
      </c>
      <c r="P43" s="227">
        <f t="shared" si="39"/>
        <v>0</v>
      </c>
      <c r="Q43" s="227">
        <f t="shared" si="39"/>
        <v>0</v>
      </c>
      <c r="R43" s="227">
        <f t="shared" si="39"/>
        <v>0</v>
      </c>
      <c r="S43" s="227">
        <f t="shared" si="39"/>
        <v>0</v>
      </c>
      <c r="T43" s="227">
        <f t="shared" si="39"/>
        <v>0</v>
      </c>
      <c r="U43" s="227">
        <f t="shared" si="39"/>
        <v>0</v>
      </c>
    </row>
    <row r="44" spans="3:21">
      <c r="C44" s="183"/>
      <c r="D44" s="660" t="s">
        <v>877</v>
      </c>
      <c r="E44" s="185" t="e">
        <f>-E43/E$26</f>
        <v>#DIV/0!</v>
      </c>
      <c r="F44" s="185" t="e">
        <f t="shared" ref="F44:L44" si="40">-F43/F$26</f>
        <v>#DIV/0!</v>
      </c>
      <c r="G44" s="185" t="e">
        <f t="shared" si="40"/>
        <v>#DIV/0!</v>
      </c>
      <c r="H44" s="185" t="e">
        <f t="shared" si="40"/>
        <v>#DIV/0!</v>
      </c>
      <c r="I44" s="185" t="e">
        <f t="shared" si="40"/>
        <v>#DIV/0!</v>
      </c>
      <c r="J44" s="185" t="e">
        <f t="shared" si="40"/>
        <v>#DIV/0!</v>
      </c>
      <c r="K44" s="185" t="e">
        <f t="shared" si="40"/>
        <v>#DIV/0!</v>
      </c>
      <c r="L44" s="185" t="e">
        <f t="shared" si="40"/>
        <v>#DIV/0!</v>
      </c>
      <c r="M44" s="185" t="e">
        <f t="shared" ref="M44:U44" si="41">-M43/M$26</f>
        <v>#DIV/0!</v>
      </c>
      <c r="N44" s="185" t="e">
        <f t="shared" si="41"/>
        <v>#DIV/0!</v>
      </c>
      <c r="O44" s="185" t="e">
        <f t="shared" si="41"/>
        <v>#DIV/0!</v>
      </c>
      <c r="P44" s="185" t="e">
        <f t="shared" si="41"/>
        <v>#DIV/0!</v>
      </c>
      <c r="Q44" s="185" t="e">
        <f t="shared" si="41"/>
        <v>#DIV/0!</v>
      </c>
      <c r="R44" s="185" t="e">
        <f t="shared" si="41"/>
        <v>#DIV/0!</v>
      </c>
      <c r="S44" s="185" t="e">
        <f t="shared" si="41"/>
        <v>#DIV/0!</v>
      </c>
      <c r="T44" s="185" t="e">
        <f t="shared" si="41"/>
        <v>#DIV/0!</v>
      </c>
      <c r="U44" s="185" t="e">
        <f t="shared" si="41"/>
        <v>#DIV/0!</v>
      </c>
    </row>
    <row r="45" spans="3:21" hidden="1" outlineLevel="1">
      <c r="C45" s="183"/>
      <c r="D45" s="361" t="s">
        <v>1495</v>
      </c>
      <c r="E45" s="227">
        <f>'IS Holdco'!E32</f>
        <v>0</v>
      </c>
      <c r="F45" s="227">
        <f>'IS Holdco'!F32</f>
        <v>0</v>
      </c>
      <c r="G45" s="227">
        <f>'IS Holdco'!G32</f>
        <v>0</v>
      </c>
      <c r="H45" s="227">
        <f>'IS Holdco'!H32</f>
        <v>0</v>
      </c>
      <c r="I45" s="227">
        <f>'IS Holdco'!I32</f>
        <v>0</v>
      </c>
      <c r="J45" s="227">
        <f>'IS Holdco'!J32</f>
        <v>0</v>
      </c>
      <c r="K45" s="227">
        <f>'IS Holdco'!K32</f>
        <v>0</v>
      </c>
      <c r="L45" s="227">
        <f>'IS Holdco'!L32</f>
        <v>0</v>
      </c>
      <c r="M45" s="227">
        <f>'IS Holdco'!M32</f>
        <v>0</v>
      </c>
      <c r="N45" s="227">
        <f>'IS Holdco'!N32</f>
        <v>0</v>
      </c>
      <c r="O45" s="227">
        <f>'IS Holdco'!O32</f>
        <v>0</v>
      </c>
      <c r="P45" s="227">
        <f>'IS Holdco'!P32</f>
        <v>0</v>
      </c>
      <c r="Q45" s="227">
        <f>'IS Holdco'!Q32</f>
        <v>0</v>
      </c>
      <c r="R45" s="227">
        <f>'IS Holdco'!R32</f>
        <v>0</v>
      </c>
      <c r="S45" s="227">
        <f>'IS Holdco'!S32</f>
        <v>0</v>
      </c>
      <c r="T45" s="227">
        <f>'IS Holdco'!T32</f>
        <v>0</v>
      </c>
      <c r="U45" s="227">
        <f>'IS Holdco'!U32</f>
        <v>0</v>
      </c>
    </row>
    <row r="46" spans="3:21" hidden="1" outlineLevel="1">
      <c r="C46" s="225"/>
      <c r="D46" s="361" t="str">
        <f>D37</f>
        <v>Offshore</v>
      </c>
      <c r="E46" s="228">
        <f>'IS offshore'!E35*Stake_Bu1</f>
        <v>0</v>
      </c>
      <c r="F46" s="228">
        <f>'IS offshore'!F35*Stake_Bu1</f>
        <v>0</v>
      </c>
      <c r="G46" s="228">
        <f>'IS offshore'!G35*Stake_Bu1</f>
        <v>0</v>
      </c>
      <c r="H46" s="228">
        <f>'IS offshore'!H35*Stake_Bu1</f>
        <v>0</v>
      </c>
      <c r="I46" s="228">
        <f>'IS offshore'!I35*Stake_Bu1</f>
        <v>0</v>
      </c>
      <c r="J46" s="228">
        <f>'IS offshore'!J35*Stake_Bu1</f>
        <v>0</v>
      </c>
      <c r="K46" s="228">
        <f>'IS offshore'!K35*Stake_Bu1</f>
        <v>0</v>
      </c>
      <c r="L46" s="228">
        <f>'IS offshore'!L35*Stake_Bu1</f>
        <v>0</v>
      </c>
      <c r="M46" s="228">
        <f>'IS offshore'!M35*Stake_Bu1</f>
        <v>0</v>
      </c>
      <c r="N46" s="228">
        <f>'IS offshore'!N35*Stake_Bu1</f>
        <v>0</v>
      </c>
      <c r="O46" s="228">
        <f>'IS offshore'!O35*Stake_Bu1</f>
        <v>0</v>
      </c>
      <c r="P46" s="228">
        <f>'IS offshore'!P35*Stake_Bu1</f>
        <v>0</v>
      </c>
      <c r="Q46" s="228">
        <f>'IS offshore'!Q35*Stake_Bu1</f>
        <v>0</v>
      </c>
      <c r="R46" s="228">
        <f>'IS offshore'!R35*Stake_Bu1</f>
        <v>0</v>
      </c>
      <c r="S46" s="228">
        <f>'IS offshore'!S35*Stake_Bu1</f>
        <v>0</v>
      </c>
      <c r="T46" s="228">
        <f>'IS offshore'!T35*Stake_Bu1</f>
        <v>0</v>
      </c>
      <c r="U46" s="228">
        <f>'IS offshore'!U35*Stake_Bu1</f>
        <v>0</v>
      </c>
    </row>
    <row r="47" spans="3:21" hidden="1" outlineLevel="1">
      <c r="C47" s="183"/>
      <c r="D47" s="660" t="s">
        <v>877</v>
      </c>
      <c r="E47" s="185" t="e">
        <f>-E46/E$28</f>
        <v>#DIV/0!</v>
      </c>
      <c r="F47" s="185" t="e">
        <f t="shared" ref="F47:L47" si="42">-F46/F$28</f>
        <v>#DIV/0!</v>
      </c>
      <c r="G47" s="185" t="e">
        <f t="shared" si="42"/>
        <v>#DIV/0!</v>
      </c>
      <c r="H47" s="185" t="e">
        <f t="shared" si="42"/>
        <v>#DIV/0!</v>
      </c>
      <c r="I47" s="185" t="e">
        <f t="shared" si="42"/>
        <v>#DIV/0!</v>
      </c>
      <c r="J47" s="185" t="e">
        <f t="shared" si="42"/>
        <v>#DIV/0!</v>
      </c>
      <c r="K47" s="185" t="e">
        <f t="shared" si="42"/>
        <v>#DIV/0!</v>
      </c>
      <c r="L47" s="185" t="e">
        <f t="shared" si="42"/>
        <v>#DIV/0!</v>
      </c>
      <c r="M47" s="185" t="e">
        <f t="shared" ref="M47:U47" si="43">-M46/M$28</f>
        <v>#DIV/0!</v>
      </c>
      <c r="N47" s="185" t="e">
        <f t="shared" si="43"/>
        <v>#DIV/0!</v>
      </c>
      <c r="O47" s="185" t="e">
        <f t="shared" si="43"/>
        <v>#DIV/0!</v>
      </c>
      <c r="P47" s="185" t="e">
        <f t="shared" si="43"/>
        <v>#DIV/0!</v>
      </c>
      <c r="Q47" s="185" t="e">
        <f t="shared" si="43"/>
        <v>#DIV/0!</v>
      </c>
      <c r="R47" s="185" t="e">
        <f t="shared" si="43"/>
        <v>#DIV/0!</v>
      </c>
      <c r="S47" s="185" t="e">
        <f t="shared" si="43"/>
        <v>#DIV/0!</v>
      </c>
      <c r="T47" s="185" t="e">
        <f t="shared" si="43"/>
        <v>#DIV/0!</v>
      </c>
      <c r="U47" s="185" t="e">
        <f t="shared" si="43"/>
        <v>#DIV/0!</v>
      </c>
    </row>
    <row r="48" spans="3:21" hidden="1" outlineLevel="1">
      <c r="C48" s="225"/>
      <c r="D48" s="361" t="str">
        <f>D39</f>
        <v>Onshore</v>
      </c>
      <c r="E48" s="228">
        <f>'IS onshore'!E35*Stake_Bu2</f>
        <v>0</v>
      </c>
      <c r="F48" s="228">
        <f>'IS onshore'!F35*Stake_Bu2</f>
        <v>0</v>
      </c>
      <c r="G48" s="228">
        <f>'IS onshore'!G35*Stake_Bu2</f>
        <v>0</v>
      </c>
      <c r="H48" s="228">
        <f>'IS onshore'!H35*Stake_Bu2</f>
        <v>0</v>
      </c>
      <c r="I48" s="228">
        <f>'IS onshore'!I35*Stake_Bu2</f>
        <v>0</v>
      </c>
      <c r="J48" s="228">
        <f>'IS onshore'!J35*Stake_Bu2</f>
        <v>0</v>
      </c>
      <c r="K48" s="228">
        <f>'IS onshore'!K35*Stake_Bu2</f>
        <v>0</v>
      </c>
      <c r="L48" s="228">
        <f>'IS onshore'!L35*Stake_Bu2</f>
        <v>0</v>
      </c>
      <c r="M48" s="228">
        <f>'IS onshore'!M35*Stake_Bu2</f>
        <v>0</v>
      </c>
      <c r="N48" s="228">
        <f>'IS onshore'!N35*Stake_Bu2</f>
        <v>0</v>
      </c>
      <c r="O48" s="228">
        <f>'IS onshore'!O35*Stake_Bu2</f>
        <v>0</v>
      </c>
      <c r="P48" s="228">
        <f>'IS onshore'!P35*Stake_Bu2</f>
        <v>0</v>
      </c>
      <c r="Q48" s="228">
        <f>'IS onshore'!Q35*Stake_Bu2</f>
        <v>0</v>
      </c>
      <c r="R48" s="228">
        <f>'IS onshore'!R35*Stake_Bu2</f>
        <v>0</v>
      </c>
      <c r="S48" s="228">
        <f>'IS onshore'!S35*Stake_Bu2</f>
        <v>0</v>
      </c>
      <c r="T48" s="228">
        <f>'IS onshore'!T35*Stake_Bu2</f>
        <v>0</v>
      </c>
      <c r="U48" s="228">
        <f>'IS onshore'!U35*Stake_Bu2</f>
        <v>0</v>
      </c>
    </row>
    <row r="49" spans="3:21" hidden="1" outlineLevel="1">
      <c r="C49" s="183"/>
      <c r="D49" s="660" t="s">
        <v>877</v>
      </c>
      <c r="E49" s="185"/>
      <c r="F49" s="185"/>
      <c r="G49" s="185"/>
      <c r="H49" s="185"/>
      <c r="I49" s="185"/>
      <c r="J49" s="185"/>
      <c r="K49" s="185"/>
      <c r="L49" s="185"/>
      <c r="M49" s="185"/>
      <c r="N49" s="185"/>
      <c r="O49" s="185"/>
      <c r="P49" s="185"/>
      <c r="Q49" s="185"/>
      <c r="R49" s="185"/>
      <c r="S49" s="185"/>
      <c r="T49" s="185"/>
      <c r="U49" s="185"/>
    </row>
    <row r="50" spans="3:21" hidden="1" outlineLevel="1">
      <c r="C50" s="225"/>
      <c r="D50" s="361" t="str">
        <f>D41</f>
        <v>Consolidation adjustment</v>
      </c>
      <c r="E50" s="229"/>
      <c r="F50" s="229"/>
      <c r="G50" s="229"/>
      <c r="H50" s="229"/>
      <c r="I50" s="229"/>
      <c r="J50" s="229"/>
      <c r="K50" s="229"/>
      <c r="L50" s="229"/>
      <c r="M50" s="229"/>
      <c r="N50" s="229"/>
      <c r="O50" s="229"/>
      <c r="P50" s="229"/>
      <c r="Q50" s="229"/>
      <c r="R50" s="229"/>
      <c r="S50" s="229"/>
      <c r="T50" s="229"/>
      <c r="U50" s="229"/>
    </row>
    <row r="51" spans="3:21" hidden="1" outlineLevel="1">
      <c r="C51" s="183"/>
      <c r="D51" s="660" t="s">
        <v>877</v>
      </c>
      <c r="E51" s="185"/>
      <c r="F51" s="185"/>
      <c r="G51" s="185"/>
      <c r="H51" s="185"/>
      <c r="I51" s="185"/>
      <c r="J51" s="185"/>
      <c r="K51" s="185"/>
      <c r="L51" s="185"/>
      <c r="M51" s="185"/>
      <c r="N51" s="185"/>
      <c r="O51" s="185"/>
      <c r="P51" s="185"/>
      <c r="Q51" s="185"/>
      <c r="R51" s="185"/>
      <c r="S51" s="185"/>
      <c r="T51" s="185"/>
      <c r="U51" s="185"/>
    </row>
    <row r="52" spans="3:21" hidden="1" outlineLevel="1">
      <c r="C52" s="225"/>
      <c r="D52" s="361" t="s">
        <v>708</v>
      </c>
      <c r="E52" s="228">
        <f>-(IFERROR(INDEX('Scenarios offshore'!#REF!,MATCH('IS consol'!E$5,'Scenarios offshore'!$4:$4,0)),0)+IFERROR(D$8*C52,0))</f>
        <v>0</v>
      </c>
      <c r="F52" s="228">
        <f>-(IFERROR(INDEX('Scenarios offshore'!#REF!,MATCH('IS consol'!F$5,'Scenarios offshore'!$4:$4,0)),0)+IFERROR(E$8*D52,0))</f>
        <v>0</v>
      </c>
      <c r="G52" s="228">
        <f>-(IFERROR(INDEX('Scenarios offshore'!#REF!,MATCH('IS consol'!G$5,'Scenarios offshore'!$4:$4,0)),0)+IFERROR(F$8*E52,0))</f>
        <v>0</v>
      </c>
      <c r="H52" s="228">
        <f>-(IFERROR(INDEX('Scenarios offshore'!#REF!,MATCH('IS consol'!H$5,'Scenarios offshore'!$4:$4,0)),0)+IFERROR(G$8*F52,0))</f>
        <v>0</v>
      </c>
      <c r="I52" s="228">
        <f>-(IFERROR(INDEX('Scenarios offshore'!#REF!,MATCH('IS consol'!I$5,'Scenarios offshore'!$4:$4,0)),0)+IFERROR(H$8*G52,0))</f>
        <v>0</v>
      </c>
      <c r="J52" s="228">
        <f>-(IFERROR(INDEX('Scenarios offshore'!#REF!,MATCH('IS consol'!J$5,'Scenarios offshore'!$4:$4,0)),0)+IFERROR(I$8*H52,0))</f>
        <v>0</v>
      </c>
      <c r="K52" s="228">
        <f>-(IFERROR(INDEX('Scenarios offshore'!#REF!,MATCH('IS consol'!K$5,'Scenarios offshore'!$4:$4,0)),0)+IFERROR(J$8*I52,0))</f>
        <v>0</v>
      </c>
      <c r="L52" s="228">
        <f>-(IFERROR(INDEX('Scenarios offshore'!#REF!,MATCH('IS consol'!L$5,'Scenarios offshore'!$4:$4,0)),0)+IFERROR(K$8*J52,0))</f>
        <v>0</v>
      </c>
      <c r="M52" s="228">
        <f>-(IFERROR(INDEX('Scenarios offshore'!#REF!,MATCH('IS consol'!M$5,'Scenarios offshore'!$4:$4,0)),0)+IFERROR(L$8*K52,0))</f>
        <v>0</v>
      </c>
      <c r="N52" s="228">
        <f>-(IFERROR(INDEX('Scenarios offshore'!#REF!,MATCH('IS consol'!N$5,'Scenarios offshore'!$4:$4,0)),0)+IFERROR(M$8*L52,0))</f>
        <v>0</v>
      </c>
      <c r="O52" s="228">
        <f>-(IFERROR(INDEX('Scenarios offshore'!#REF!,MATCH('IS consol'!O$5,'Scenarios offshore'!$4:$4,0)),0)+IFERROR(N$8*M52,0))</f>
        <v>0</v>
      </c>
      <c r="P52" s="228">
        <f>-(IFERROR(INDEX('Scenarios offshore'!#REF!,MATCH('IS consol'!P$5,'Scenarios offshore'!$4:$4,0)),0)+IFERROR(O$8*N52,0))</f>
        <v>0</v>
      </c>
      <c r="Q52" s="228">
        <f>-(IFERROR(INDEX('Scenarios offshore'!#REF!,MATCH('IS consol'!Q$5,'Scenarios offshore'!$4:$4,0)),0)+IFERROR(P$8*O52,0))</f>
        <v>0</v>
      </c>
      <c r="R52" s="228">
        <f>-(IFERROR(INDEX('Scenarios offshore'!#REF!,MATCH('IS consol'!R$5,'Scenarios offshore'!$4:$4,0)),0)+IFERROR(Q$8*P52,0))</f>
        <v>0</v>
      </c>
      <c r="S52" s="228">
        <f>-(IFERROR(INDEX('Scenarios offshore'!#REF!,MATCH('IS consol'!S$5,'Scenarios offshore'!$4:$4,0)),0)+IFERROR(R$8*Q52,0))</f>
        <v>0</v>
      </c>
      <c r="T52" s="228">
        <f>-(IFERROR(INDEX('Scenarios offshore'!#REF!,MATCH('IS consol'!T$5,'Scenarios offshore'!$4:$4,0)),0)+IFERROR(S$8*R52,0))</f>
        <v>0</v>
      </c>
      <c r="U52" s="228">
        <f>-(IFERROR(INDEX('Scenarios offshore'!#REF!,MATCH('IS consol'!U$5,'Scenarios offshore'!$4:$4,0)),0)+IFERROR(T$8*S52,0))</f>
        <v>0</v>
      </c>
    </row>
    <row r="53" spans="3:21" hidden="1" outlineLevel="1">
      <c r="C53" s="183"/>
      <c r="D53" s="660" t="s">
        <v>877</v>
      </c>
      <c r="E53" s="185" t="e">
        <f t="shared" ref="E53:U53" si="44">-E52/E26</f>
        <v>#DIV/0!</v>
      </c>
      <c r="F53" s="185" t="e">
        <f t="shared" si="44"/>
        <v>#DIV/0!</v>
      </c>
      <c r="G53" s="185" t="e">
        <f t="shared" si="44"/>
        <v>#DIV/0!</v>
      </c>
      <c r="H53" s="185" t="e">
        <f t="shared" si="44"/>
        <v>#DIV/0!</v>
      </c>
      <c r="I53" s="185" t="e">
        <f t="shared" si="44"/>
        <v>#DIV/0!</v>
      </c>
      <c r="J53" s="185" t="e">
        <f t="shared" si="44"/>
        <v>#DIV/0!</v>
      </c>
      <c r="K53" s="185" t="e">
        <f t="shared" si="44"/>
        <v>#DIV/0!</v>
      </c>
      <c r="L53" s="185" t="e">
        <f t="shared" si="44"/>
        <v>#DIV/0!</v>
      </c>
      <c r="M53" s="185" t="e">
        <f t="shared" si="44"/>
        <v>#DIV/0!</v>
      </c>
      <c r="N53" s="185" t="e">
        <f t="shared" si="44"/>
        <v>#DIV/0!</v>
      </c>
      <c r="O53" s="185" t="e">
        <f t="shared" si="44"/>
        <v>#DIV/0!</v>
      </c>
      <c r="P53" s="185" t="e">
        <f t="shared" si="44"/>
        <v>#DIV/0!</v>
      </c>
      <c r="Q53" s="185" t="e">
        <f t="shared" si="44"/>
        <v>#DIV/0!</v>
      </c>
      <c r="R53" s="185" t="e">
        <f t="shared" si="44"/>
        <v>#DIV/0!</v>
      </c>
      <c r="S53" s="185" t="e">
        <f t="shared" si="44"/>
        <v>#DIV/0!</v>
      </c>
      <c r="T53" s="185" t="e">
        <f t="shared" si="44"/>
        <v>#DIV/0!</v>
      </c>
      <c r="U53" s="185" t="e">
        <f t="shared" si="44"/>
        <v>#DIV/0!</v>
      </c>
    </row>
    <row r="54" spans="3:21" hidden="1" outlineLevel="1" collapsed="1">
      <c r="C54" s="109"/>
      <c r="D54" s="365"/>
      <c r="E54" s="230"/>
      <c r="F54" s="230"/>
      <c r="G54" s="36"/>
      <c r="H54" s="233"/>
      <c r="I54" s="233"/>
      <c r="J54" s="233"/>
      <c r="K54" s="233"/>
      <c r="L54" s="233"/>
      <c r="M54" s="233"/>
      <c r="N54" s="233"/>
      <c r="O54" s="233"/>
      <c r="P54" s="233"/>
      <c r="Q54" s="233"/>
      <c r="R54" s="233"/>
      <c r="S54" s="233"/>
      <c r="T54" s="233"/>
      <c r="U54" s="233"/>
    </row>
    <row r="55" spans="3:21" collapsed="1">
      <c r="C55" s="180" t="s">
        <v>878</v>
      </c>
      <c r="D55" s="661"/>
      <c r="E55" s="227">
        <f>+E57+E59+E61</f>
        <v>0</v>
      </c>
      <c r="F55" s="227">
        <f t="shared" ref="F55:L55" si="45">+F57+F59+F61</f>
        <v>0</v>
      </c>
      <c r="G55" s="227">
        <f t="shared" si="45"/>
        <v>0</v>
      </c>
      <c r="H55" s="227">
        <f t="shared" si="45"/>
        <v>0</v>
      </c>
      <c r="I55" s="227">
        <f t="shared" si="45"/>
        <v>0</v>
      </c>
      <c r="J55" s="227">
        <f t="shared" si="45"/>
        <v>0</v>
      </c>
      <c r="K55" s="227">
        <f t="shared" si="45"/>
        <v>0</v>
      </c>
      <c r="L55" s="227">
        <f t="shared" si="45"/>
        <v>0</v>
      </c>
      <c r="M55" s="227">
        <f t="shared" ref="M55:U55" si="46">+M57+M59+M61</f>
        <v>0</v>
      </c>
      <c r="N55" s="227">
        <f t="shared" si="46"/>
        <v>0</v>
      </c>
      <c r="O55" s="227">
        <f t="shared" si="46"/>
        <v>0</v>
      </c>
      <c r="P55" s="227">
        <f t="shared" si="46"/>
        <v>0</v>
      </c>
      <c r="Q55" s="227">
        <f t="shared" si="46"/>
        <v>0</v>
      </c>
      <c r="R55" s="227">
        <f t="shared" si="46"/>
        <v>0</v>
      </c>
      <c r="S55" s="227">
        <f t="shared" si="46"/>
        <v>0</v>
      </c>
      <c r="T55" s="227">
        <f t="shared" si="46"/>
        <v>0</v>
      </c>
      <c r="U55" s="227">
        <f t="shared" si="46"/>
        <v>0</v>
      </c>
    </row>
    <row r="56" spans="3:21">
      <c r="C56" s="183"/>
      <c r="D56" s="660" t="s">
        <v>877</v>
      </c>
      <c r="E56" s="185" t="e">
        <f>-E55/E$26</f>
        <v>#DIV/0!</v>
      </c>
      <c r="F56" s="185" t="e">
        <f t="shared" ref="F56:L56" si="47">-F55/F$26</f>
        <v>#DIV/0!</v>
      </c>
      <c r="G56" s="185" t="e">
        <f t="shared" si="47"/>
        <v>#DIV/0!</v>
      </c>
      <c r="H56" s="185" t="e">
        <f t="shared" si="47"/>
        <v>#DIV/0!</v>
      </c>
      <c r="I56" s="185" t="e">
        <f t="shared" si="47"/>
        <v>#DIV/0!</v>
      </c>
      <c r="J56" s="185" t="e">
        <f t="shared" si="47"/>
        <v>#DIV/0!</v>
      </c>
      <c r="K56" s="185" t="e">
        <f t="shared" si="47"/>
        <v>#DIV/0!</v>
      </c>
      <c r="L56" s="185" t="e">
        <f t="shared" si="47"/>
        <v>#DIV/0!</v>
      </c>
      <c r="M56" s="185" t="e">
        <f t="shared" ref="M56:U56" si="48">-M55/M$26</f>
        <v>#DIV/0!</v>
      </c>
      <c r="N56" s="185" t="e">
        <f t="shared" si="48"/>
        <v>#DIV/0!</v>
      </c>
      <c r="O56" s="185" t="e">
        <f t="shared" si="48"/>
        <v>#DIV/0!</v>
      </c>
      <c r="P56" s="185" t="e">
        <f t="shared" si="48"/>
        <v>#DIV/0!</v>
      </c>
      <c r="Q56" s="185" t="e">
        <f t="shared" si="48"/>
        <v>#DIV/0!</v>
      </c>
      <c r="R56" s="185" t="e">
        <f t="shared" si="48"/>
        <v>#DIV/0!</v>
      </c>
      <c r="S56" s="185" t="e">
        <f t="shared" si="48"/>
        <v>#DIV/0!</v>
      </c>
      <c r="T56" s="185" t="e">
        <f t="shared" si="48"/>
        <v>#DIV/0!</v>
      </c>
      <c r="U56" s="185" t="e">
        <f t="shared" si="48"/>
        <v>#DIV/0!</v>
      </c>
    </row>
    <row r="57" spans="3:21" hidden="1" outlineLevel="1">
      <c r="C57" s="225"/>
      <c r="D57" s="361" t="str">
        <f>D46</f>
        <v>Offshore</v>
      </c>
      <c r="E57" s="228">
        <f>'IS offshore'!E39*Stake_Bu1</f>
        <v>0</v>
      </c>
      <c r="F57" s="228">
        <f>'IS offshore'!F39*Stake_Bu1</f>
        <v>0</v>
      </c>
      <c r="G57" s="228">
        <f>'IS offshore'!G39*Stake_Bu1</f>
        <v>0</v>
      </c>
      <c r="H57" s="228">
        <f>'IS offshore'!H39*Stake_Bu1</f>
        <v>0</v>
      </c>
      <c r="I57" s="228">
        <f>'IS offshore'!I39*Stake_Bu1</f>
        <v>0</v>
      </c>
      <c r="J57" s="228">
        <f>'IS offshore'!J39*Stake_Bu1</f>
        <v>0</v>
      </c>
      <c r="K57" s="228">
        <f>'IS offshore'!K39*Stake_Bu1</f>
        <v>0</v>
      </c>
      <c r="L57" s="228">
        <f>'IS offshore'!L39*Stake_Bu1</f>
        <v>0</v>
      </c>
      <c r="M57" s="228">
        <f>'IS offshore'!M39*Stake_Bu1</f>
        <v>0</v>
      </c>
      <c r="N57" s="228">
        <f>'IS offshore'!N39*Stake_Bu1</f>
        <v>0</v>
      </c>
      <c r="O57" s="228">
        <f>'IS offshore'!O39*Stake_Bu1</f>
        <v>0</v>
      </c>
      <c r="P57" s="228">
        <f>'IS offshore'!P39*Stake_Bu1</f>
        <v>0</v>
      </c>
      <c r="Q57" s="228">
        <f>'IS offshore'!Q39*Stake_Bu1</f>
        <v>0</v>
      </c>
      <c r="R57" s="228">
        <f>'IS offshore'!R39*Stake_Bu1</f>
        <v>0</v>
      </c>
      <c r="S57" s="228">
        <f>'IS offshore'!S39*Stake_Bu1</f>
        <v>0</v>
      </c>
      <c r="T57" s="228">
        <f>'IS offshore'!T39*Stake_Bu1</f>
        <v>0</v>
      </c>
      <c r="U57" s="228">
        <f>'IS offshore'!U39*Stake_Bu1</f>
        <v>0</v>
      </c>
    </row>
    <row r="58" spans="3:21" hidden="1" outlineLevel="1">
      <c r="C58" s="183"/>
      <c r="D58" s="660" t="s">
        <v>877</v>
      </c>
      <c r="E58" s="185" t="e">
        <f>-E57/E$28</f>
        <v>#DIV/0!</v>
      </c>
      <c r="F58" s="185" t="e">
        <f t="shared" ref="F58:L58" si="49">-F57/F$28</f>
        <v>#DIV/0!</v>
      </c>
      <c r="G58" s="185" t="e">
        <f t="shared" si="49"/>
        <v>#DIV/0!</v>
      </c>
      <c r="H58" s="185" t="e">
        <f t="shared" si="49"/>
        <v>#DIV/0!</v>
      </c>
      <c r="I58" s="185" t="e">
        <f t="shared" si="49"/>
        <v>#DIV/0!</v>
      </c>
      <c r="J58" s="185" t="e">
        <f t="shared" si="49"/>
        <v>#DIV/0!</v>
      </c>
      <c r="K58" s="185" t="e">
        <f t="shared" si="49"/>
        <v>#DIV/0!</v>
      </c>
      <c r="L58" s="185" t="e">
        <f t="shared" si="49"/>
        <v>#DIV/0!</v>
      </c>
      <c r="M58" s="185" t="e">
        <f t="shared" ref="M58:U58" si="50">-M57/M$28</f>
        <v>#DIV/0!</v>
      </c>
      <c r="N58" s="185" t="e">
        <f t="shared" si="50"/>
        <v>#DIV/0!</v>
      </c>
      <c r="O58" s="185" t="e">
        <f t="shared" si="50"/>
        <v>#DIV/0!</v>
      </c>
      <c r="P58" s="185" t="e">
        <f t="shared" si="50"/>
        <v>#DIV/0!</v>
      </c>
      <c r="Q58" s="185" t="e">
        <f t="shared" si="50"/>
        <v>#DIV/0!</v>
      </c>
      <c r="R58" s="185" t="e">
        <f t="shared" si="50"/>
        <v>#DIV/0!</v>
      </c>
      <c r="S58" s="185" t="e">
        <f t="shared" si="50"/>
        <v>#DIV/0!</v>
      </c>
      <c r="T58" s="185" t="e">
        <f t="shared" si="50"/>
        <v>#DIV/0!</v>
      </c>
      <c r="U58" s="185" t="e">
        <f t="shared" si="50"/>
        <v>#DIV/0!</v>
      </c>
    </row>
    <row r="59" spans="3:21" hidden="1" outlineLevel="1">
      <c r="C59" s="225"/>
      <c r="D59" s="361" t="str">
        <f>D48</f>
        <v>Onshore</v>
      </c>
      <c r="E59" s="228">
        <f>'IS onshore'!E41*Stake_Bu2</f>
        <v>0</v>
      </c>
      <c r="F59" s="228">
        <f>'IS onshore'!F41*Stake_Bu2</f>
        <v>0</v>
      </c>
      <c r="G59" s="228">
        <f>'IS onshore'!G41*Stake_Bu2</f>
        <v>0</v>
      </c>
      <c r="H59" s="228">
        <f>'IS onshore'!H41*Stake_Bu2</f>
        <v>0</v>
      </c>
      <c r="I59" s="228">
        <f>'IS onshore'!I41*Stake_Bu2</f>
        <v>0</v>
      </c>
      <c r="J59" s="228">
        <f>'IS onshore'!J41*Stake_Bu2</f>
        <v>0</v>
      </c>
      <c r="K59" s="228">
        <f>'IS onshore'!K41*Stake_Bu2</f>
        <v>0</v>
      </c>
      <c r="L59" s="228">
        <f>'IS onshore'!L41*Stake_Bu2</f>
        <v>0</v>
      </c>
      <c r="M59" s="228">
        <f>'IS onshore'!M41*Stake_Bu2</f>
        <v>0</v>
      </c>
      <c r="N59" s="228">
        <f>'IS onshore'!N41*Stake_Bu2</f>
        <v>0</v>
      </c>
      <c r="O59" s="228">
        <f>'IS onshore'!O41*Stake_Bu2</f>
        <v>0</v>
      </c>
      <c r="P59" s="228">
        <f>'IS onshore'!P41*Stake_Bu2</f>
        <v>0</v>
      </c>
      <c r="Q59" s="228">
        <f>'IS onshore'!Q41*Stake_Bu2</f>
        <v>0</v>
      </c>
      <c r="R59" s="228">
        <f>'IS onshore'!R41*Stake_Bu2</f>
        <v>0</v>
      </c>
      <c r="S59" s="228">
        <f>'IS onshore'!S41*Stake_Bu2</f>
        <v>0</v>
      </c>
      <c r="T59" s="228">
        <f>'IS onshore'!T41*Stake_Bu2</f>
        <v>0</v>
      </c>
      <c r="U59" s="228">
        <f>'IS onshore'!U41*Stake_Bu2</f>
        <v>0</v>
      </c>
    </row>
    <row r="60" spans="3:21" hidden="1" outlineLevel="1">
      <c r="C60" s="183"/>
      <c r="D60" s="660" t="s">
        <v>877</v>
      </c>
      <c r="E60" s="185"/>
      <c r="F60" s="185"/>
      <c r="G60" s="185"/>
      <c r="H60" s="185"/>
      <c r="I60" s="185"/>
      <c r="J60" s="185"/>
      <c r="K60" s="185"/>
      <c r="L60" s="185"/>
      <c r="M60" s="185"/>
      <c r="N60" s="185"/>
      <c r="O60" s="185"/>
      <c r="P60" s="185"/>
      <c r="Q60" s="185"/>
      <c r="R60" s="185"/>
      <c r="S60" s="185"/>
      <c r="T60" s="185"/>
      <c r="U60" s="185"/>
    </row>
    <row r="61" spans="3:21" hidden="1" outlineLevel="1">
      <c r="C61" s="225"/>
      <c r="D61" s="361" t="str">
        <f>D50</f>
        <v>Consolidation adjustment</v>
      </c>
      <c r="E61" s="229"/>
      <c r="F61" s="229"/>
      <c r="G61" s="229"/>
      <c r="H61" s="229"/>
      <c r="I61" s="229"/>
      <c r="J61" s="229"/>
      <c r="K61" s="229"/>
      <c r="L61" s="229"/>
      <c r="M61" s="229"/>
      <c r="N61" s="229"/>
      <c r="O61" s="229"/>
      <c r="P61" s="229"/>
      <c r="Q61" s="229"/>
      <c r="R61" s="229"/>
      <c r="S61" s="229"/>
      <c r="T61" s="229"/>
      <c r="U61" s="229"/>
    </row>
    <row r="62" spans="3:21" hidden="1" outlineLevel="1">
      <c r="C62" s="183"/>
      <c r="D62" s="660" t="s">
        <v>877</v>
      </c>
      <c r="E62" s="185"/>
      <c r="F62" s="185"/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</row>
    <row r="63" spans="3:21" hidden="1" outlineLevel="1" collapsed="1">
      <c r="C63" s="109"/>
      <c r="D63" s="365"/>
      <c r="E63" s="230"/>
      <c r="F63" s="230"/>
      <c r="G63" s="36"/>
      <c r="H63" s="233"/>
      <c r="I63" s="233"/>
      <c r="J63" s="233"/>
      <c r="K63" s="233"/>
      <c r="L63" s="233"/>
      <c r="M63" s="233"/>
      <c r="N63" s="233"/>
      <c r="O63" s="233"/>
      <c r="P63" s="233"/>
      <c r="Q63" s="233"/>
      <c r="R63" s="233"/>
      <c r="S63" s="233"/>
      <c r="T63" s="233"/>
      <c r="U63" s="233"/>
    </row>
    <row r="64" spans="3:21" collapsed="1">
      <c r="C64" s="180" t="s">
        <v>879</v>
      </c>
      <c r="D64" s="661"/>
      <c r="E64" s="227">
        <f>+E66+E68+E70</f>
        <v>0</v>
      </c>
      <c r="F64" s="227">
        <f t="shared" ref="F64:L64" si="51">+F66+F68+F70</f>
        <v>0</v>
      </c>
      <c r="G64" s="227">
        <f t="shared" si="51"/>
        <v>0</v>
      </c>
      <c r="H64" s="227">
        <f t="shared" si="51"/>
        <v>0</v>
      </c>
      <c r="I64" s="227">
        <f t="shared" si="51"/>
        <v>0</v>
      </c>
      <c r="J64" s="227">
        <f t="shared" si="51"/>
        <v>0</v>
      </c>
      <c r="K64" s="227">
        <f t="shared" si="51"/>
        <v>0</v>
      </c>
      <c r="L64" s="227">
        <f t="shared" si="51"/>
        <v>0</v>
      </c>
      <c r="M64" s="227">
        <f t="shared" ref="M64:U64" si="52">+M66+M68+M70</f>
        <v>0</v>
      </c>
      <c r="N64" s="227">
        <f t="shared" si="52"/>
        <v>0</v>
      </c>
      <c r="O64" s="227">
        <f t="shared" si="52"/>
        <v>0</v>
      </c>
      <c r="P64" s="227">
        <f t="shared" si="52"/>
        <v>0</v>
      </c>
      <c r="Q64" s="227">
        <f t="shared" si="52"/>
        <v>0</v>
      </c>
      <c r="R64" s="227">
        <f t="shared" si="52"/>
        <v>0</v>
      </c>
      <c r="S64" s="227">
        <f t="shared" si="52"/>
        <v>0</v>
      </c>
      <c r="T64" s="227">
        <f t="shared" si="52"/>
        <v>0</v>
      </c>
      <c r="U64" s="227">
        <f t="shared" si="52"/>
        <v>0</v>
      </c>
    </row>
    <row r="65" spans="3:21">
      <c r="C65" s="183"/>
      <c r="D65" s="660" t="s">
        <v>877</v>
      </c>
      <c r="E65" s="185" t="e">
        <f>-E64/E$26</f>
        <v>#DIV/0!</v>
      </c>
      <c r="F65" s="185" t="e">
        <f t="shared" ref="F65:L65" si="53">-F64/F$26</f>
        <v>#DIV/0!</v>
      </c>
      <c r="G65" s="185" t="e">
        <f t="shared" si="53"/>
        <v>#DIV/0!</v>
      </c>
      <c r="H65" s="185" t="e">
        <f t="shared" si="53"/>
        <v>#DIV/0!</v>
      </c>
      <c r="I65" s="185" t="e">
        <f t="shared" si="53"/>
        <v>#DIV/0!</v>
      </c>
      <c r="J65" s="185" t="e">
        <f t="shared" si="53"/>
        <v>#DIV/0!</v>
      </c>
      <c r="K65" s="185" t="e">
        <f t="shared" si="53"/>
        <v>#DIV/0!</v>
      </c>
      <c r="L65" s="185" t="e">
        <f t="shared" si="53"/>
        <v>#DIV/0!</v>
      </c>
      <c r="M65" s="185" t="e">
        <f t="shared" ref="M65:U65" si="54">-M64/M$26</f>
        <v>#DIV/0!</v>
      </c>
      <c r="N65" s="185" t="e">
        <f t="shared" si="54"/>
        <v>#DIV/0!</v>
      </c>
      <c r="O65" s="185" t="e">
        <f t="shared" si="54"/>
        <v>#DIV/0!</v>
      </c>
      <c r="P65" s="185" t="e">
        <f t="shared" si="54"/>
        <v>#DIV/0!</v>
      </c>
      <c r="Q65" s="185" t="e">
        <f t="shared" si="54"/>
        <v>#DIV/0!</v>
      </c>
      <c r="R65" s="185" t="e">
        <f t="shared" si="54"/>
        <v>#DIV/0!</v>
      </c>
      <c r="S65" s="185" t="e">
        <f t="shared" si="54"/>
        <v>#DIV/0!</v>
      </c>
      <c r="T65" s="185" t="e">
        <f t="shared" si="54"/>
        <v>#DIV/0!</v>
      </c>
      <c r="U65" s="185" t="e">
        <f t="shared" si="54"/>
        <v>#DIV/0!</v>
      </c>
    </row>
    <row r="66" spans="3:21" outlineLevel="1">
      <c r="C66" s="225"/>
      <c r="D66" s="361" t="str">
        <f>D57</f>
        <v>Offshore</v>
      </c>
      <c r="E66" s="228">
        <f>'IS offshore'!E44*Stake_Bu1</f>
        <v>0</v>
      </c>
      <c r="F66" s="228">
        <f>'IS offshore'!F44*Stake_Bu1</f>
        <v>0</v>
      </c>
      <c r="G66" s="228">
        <f>'IS offshore'!G44*Stake_Bu1</f>
        <v>0</v>
      </c>
      <c r="H66" s="228">
        <f>'IS offshore'!H44*Stake_Bu1</f>
        <v>0</v>
      </c>
      <c r="I66" s="228">
        <f>'IS offshore'!I44*Stake_Bu1</f>
        <v>0</v>
      </c>
      <c r="J66" s="228">
        <f>'IS offshore'!J44*Stake_Bu1</f>
        <v>0</v>
      </c>
      <c r="K66" s="228">
        <f>'IS offshore'!K44*Stake_Bu1</f>
        <v>0</v>
      </c>
      <c r="L66" s="228">
        <f>'IS offshore'!L44*Stake_Bu1</f>
        <v>0</v>
      </c>
      <c r="M66" s="228">
        <f>'IS offshore'!M44*Stake_Bu1</f>
        <v>0</v>
      </c>
      <c r="N66" s="228">
        <f>'IS offshore'!N44*Stake_Bu1</f>
        <v>0</v>
      </c>
      <c r="O66" s="228">
        <f>'IS offshore'!O44*Stake_Bu1</f>
        <v>0</v>
      </c>
      <c r="P66" s="228">
        <f>'IS offshore'!P44*Stake_Bu1</f>
        <v>0</v>
      </c>
      <c r="Q66" s="228">
        <f>'IS offshore'!Q44*Stake_Bu1</f>
        <v>0</v>
      </c>
      <c r="R66" s="228">
        <f>'IS offshore'!R44*Stake_Bu1</f>
        <v>0</v>
      </c>
      <c r="S66" s="228">
        <f>'IS offshore'!S44*Stake_Bu1</f>
        <v>0</v>
      </c>
      <c r="T66" s="228">
        <f>'IS offshore'!T44*Stake_Bu1</f>
        <v>0</v>
      </c>
      <c r="U66" s="228">
        <f>'IS offshore'!U44*Stake_Bu1</f>
        <v>0</v>
      </c>
    </row>
    <row r="67" spans="3:21" outlineLevel="1">
      <c r="C67" s="183"/>
      <c r="D67" s="660" t="s">
        <v>877</v>
      </c>
      <c r="E67" s="185" t="e">
        <f>-E66/E$28</f>
        <v>#DIV/0!</v>
      </c>
      <c r="F67" s="185" t="e">
        <f t="shared" ref="F67:L67" si="55">-F66/F$28</f>
        <v>#DIV/0!</v>
      </c>
      <c r="G67" s="185" t="e">
        <f t="shared" si="55"/>
        <v>#DIV/0!</v>
      </c>
      <c r="H67" s="185" t="e">
        <f t="shared" si="55"/>
        <v>#DIV/0!</v>
      </c>
      <c r="I67" s="185" t="e">
        <f t="shared" si="55"/>
        <v>#DIV/0!</v>
      </c>
      <c r="J67" s="185" t="e">
        <f t="shared" si="55"/>
        <v>#DIV/0!</v>
      </c>
      <c r="K67" s="185" t="e">
        <f t="shared" si="55"/>
        <v>#DIV/0!</v>
      </c>
      <c r="L67" s="185" t="e">
        <f t="shared" si="55"/>
        <v>#DIV/0!</v>
      </c>
      <c r="M67" s="185" t="e">
        <f t="shared" ref="M67:U67" si="56">-M66/M$28</f>
        <v>#DIV/0!</v>
      </c>
      <c r="N67" s="185" t="e">
        <f t="shared" si="56"/>
        <v>#DIV/0!</v>
      </c>
      <c r="O67" s="185" t="e">
        <f t="shared" si="56"/>
        <v>#DIV/0!</v>
      </c>
      <c r="P67" s="185" t="e">
        <f t="shared" si="56"/>
        <v>#DIV/0!</v>
      </c>
      <c r="Q67" s="185" t="e">
        <f t="shared" si="56"/>
        <v>#DIV/0!</v>
      </c>
      <c r="R67" s="185" t="e">
        <f t="shared" si="56"/>
        <v>#DIV/0!</v>
      </c>
      <c r="S67" s="185" t="e">
        <f t="shared" si="56"/>
        <v>#DIV/0!</v>
      </c>
      <c r="T67" s="185" t="e">
        <f t="shared" si="56"/>
        <v>#DIV/0!</v>
      </c>
      <c r="U67" s="185" t="e">
        <f t="shared" si="56"/>
        <v>#DIV/0!</v>
      </c>
    </row>
    <row r="68" spans="3:21" outlineLevel="1">
      <c r="C68" s="225"/>
      <c r="D68" s="361" t="str">
        <f>D59</f>
        <v>Onshore</v>
      </c>
      <c r="E68" s="228">
        <f>'IS onshore'!E44*Stake_Bu2</f>
        <v>0</v>
      </c>
      <c r="F68" s="228">
        <f>'IS onshore'!F44*Stake_Bu2</f>
        <v>0</v>
      </c>
      <c r="G68" s="228">
        <f>'IS onshore'!G44*Stake_Bu2</f>
        <v>0</v>
      </c>
      <c r="H68" s="228">
        <f>'IS onshore'!H44*Stake_Bu2</f>
        <v>0</v>
      </c>
      <c r="I68" s="228">
        <f>'IS onshore'!I44*Stake_Bu2</f>
        <v>0</v>
      </c>
      <c r="J68" s="228">
        <f>'IS onshore'!J44*Stake_Bu2</f>
        <v>0</v>
      </c>
      <c r="K68" s="228">
        <f>'IS onshore'!K44*Stake_Bu2</f>
        <v>0</v>
      </c>
      <c r="L68" s="228">
        <f>'IS onshore'!L44*Stake_Bu2</f>
        <v>0</v>
      </c>
      <c r="M68" s="228">
        <f>'IS onshore'!M44*Stake_Bu2</f>
        <v>0</v>
      </c>
      <c r="N68" s="228">
        <f>'IS onshore'!N44*Stake_Bu2</f>
        <v>0</v>
      </c>
      <c r="O68" s="228">
        <f>'IS onshore'!O44*Stake_Bu2</f>
        <v>0</v>
      </c>
      <c r="P68" s="228">
        <f>'IS onshore'!P44*Stake_Bu2</f>
        <v>0</v>
      </c>
      <c r="Q68" s="228">
        <f>'IS onshore'!Q44*Stake_Bu2</f>
        <v>0</v>
      </c>
      <c r="R68" s="228">
        <f>'IS onshore'!R44*Stake_Bu2</f>
        <v>0</v>
      </c>
      <c r="S68" s="228">
        <f>'IS onshore'!S44*Stake_Bu2</f>
        <v>0</v>
      </c>
      <c r="T68" s="228">
        <f>'IS onshore'!T44*Stake_Bu2</f>
        <v>0</v>
      </c>
      <c r="U68" s="228">
        <f>'IS onshore'!U44*Stake_Bu2</f>
        <v>0</v>
      </c>
    </row>
    <row r="69" spans="3:21" outlineLevel="1">
      <c r="C69" s="183"/>
      <c r="D69" s="660" t="s">
        <v>877</v>
      </c>
      <c r="E69" s="185"/>
      <c r="F69" s="185"/>
      <c r="G69" s="185"/>
      <c r="H69" s="185"/>
      <c r="I69" s="185"/>
      <c r="J69" s="185"/>
      <c r="K69" s="185"/>
      <c r="L69" s="185"/>
      <c r="M69" s="185"/>
      <c r="N69" s="185"/>
      <c r="O69" s="185"/>
      <c r="P69" s="185"/>
      <c r="Q69" s="185"/>
      <c r="R69" s="185"/>
      <c r="S69" s="185"/>
      <c r="T69" s="185"/>
      <c r="U69" s="185"/>
    </row>
    <row r="70" spans="3:21" outlineLevel="1">
      <c r="C70" s="225"/>
      <c r="D70" s="361" t="str">
        <f>D61</f>
        <v>Consolidation adjustment</v>
      </c>
      <c r="E70" s="229"/>
      <c r="F70" s="229"/>
      <c r="G70" s="229"/>
      <c r="H70" s="229"/>
      <c r="I70" s="229"/>
      <c r="J70" s="229"/>
      <c r="K70" s="229"/>
      <c r="L70" s="229"/>
      <c r="M70" s="229"/>
      <c r="N70" s="229"/>
      <c r="O70" s="229"/>
      <c r="P70" s="229"/>
      <c r="Q70" s="229"/>
      <c r="R70" s="229"/>
      <c r="S70" s="229"/>
      <c r="T70" s="229"/>
      <c r="U70" s="229"/>
    </row>
    <row r="71" spans="3:21" outlineLevel="1">
      <c r="C71" s="183"/>
      <c r="D71" s="660" t="s">
        <v>877</v>
      </c>
      <c r="E71" s="185"/>
      <c r="F71" s="185"/>
      <c r="G71" s="185"/>
      <c r="H71" s="185"/>
      <c r="I71" s="185"/>
      <c r="J71" s="185"/>
      <c r="K71" s="185"/>
      <c r="L71" s="185"/>
      <c r="M71" s="185"/>
      <c r="N71" s="185"/>
      <c r="O71" s="185"/>
      <c r="P71" s="185"/>
      <c r="Q71" s="185"/>
      <c r="R71" s="185"/>
      <c r="S71" s="185"/>
      <c r="T71" s="185"/>
      <c r="U71" s="185"/>
    </row>
    <row r="72" spans="3:21" outlineLevel="1" collapsed="1">
      <c r="C72" s="109"/>
      <c r="D72" s="365"/>
      <c r="E72" s="230"/>
      <c r="F72" s="230"/>
      <c r="G72" s="36"/>
      <c r="H72" s="233"/>
      <c r="I72" s="233"/>
      <c r="J72" s="233"/>
      <c r="K72" s="233"/>
      <c r="L72" s="233"/>
      <c r="M72" s="233"/>
      <c r="N72" s="233"/>
      <c r="O72" s="233"/>
      <c r="P72" s="233"/>
      <c r="Q72" s="233"/>
      <c r="R72" s="233"/>
      <c r="S72" s="233"/>
      <c r="T72" s="233"/>
      <c r="U72" s="233"/>
    </row>
    <row r="73" spans="3:21">
      <c r="C73" s="180" t="s">
        <v>880</v>
      </c>
      <c r="D73" s="661"/>
      <c r="E73" s="227">
        <f>+E75+E77+E79</f>
        <v>0</v>
      </c>
      <c r="F73" s="227">
        <f t="shared" ref="F73:L73" si="57">+F75+F77+F79</f>
        <v>0</v>
      </c>
      <c r="G73" s="227">
        <f t="shared" si="57"/>
        <v>0</v>
      </c>
      <c r="H73" s="227">
        <f t="shared" si="57"/>
        <v>0</v>
      </c>
      <c r="I73" s="227">
        <f t="shared" si="57"/>
        <v>0</v>
      </c>
      <c r="J73" s="227">
        <f t="shared" si="57"/>
        <v>0</v>
      </c>
      <c r="K73" s="227">
        <f t="shared" si="57"/>
        <v>0</v>
      </c>
      <c r="L73" s="227">
        <f t="shared" si="57"/>
        <v>0</v>
      </c>
      <c r="M73" s="227">
        <f t="shared" ref="M73:U73" si="58">+M75+M77+M79</f>
        <v>0</v>
      </c>
      <c r="N73" s="227">
        <f t="shared" si="58"/>
        <v>0</v>
      </c>
      <c r="O73" s="227">
        <f t="shared" si="58"/>
        <v>0</v>
      </c>
      <c r="P73" s="227">
        <f t="shared" si="58"/>
        <v>0</v>
      </c>
      <c r="Q73" s="227">
        <f t="shared" si="58"/>
        <v>0</v>
      </c>
      <c r="R73" s="227">
        <f t="shared" si="58"/>
        <v>0</v>
      </c>
      <c r="S73" s="227">
        <f t="shared" si="58"/>
        <v>0</v>
      </c>
      <c r="T73" s="227">
        <f t="shared" si="58"/>
        <v>0</v>
      </c>
      <c r="U73" s="227">
        <f t="shared" si="58"/>
        <v>0</v>
      </c>
    </row>
    <row r="74" spans="3:21">
      <c r="C74" s="183"/>
      <c r="D74" s="660" t="s">
        <v>877</v>
      </c>
      <c r="E74" s="185" t="e">
        <f>-E73/E$26</f>
        <v>#DIV/0!</v>
      </c>
      <c r="F74" s="185" t="e">
        <f t="shared" ref="F74" si="59">-F73/F$26</f>
        <v>#DIV/0!</v>
      </c>
      <c r="G74" s="185" t="e">
        <f t="shared" ref="G74" si="60">-G73/G$26</f>
        <v>#DIV/0!</v>
      </c>
      <c r="H74" s="185" t="e">
        <f t="shared" ref="H74" si="61">-H73/H$26</f>
        <v>#DIV/0!</v>
      </c>
      <c r="I74" s="185" t="e">
        <f t="shared" ref="I74" si="62">-I73/I$26</f>
        <v>#DIV/0!</v>
      </c>
      <c r="J74" s="185" t="e">
        <f t="shared" ref="J74" si="63">-J73/J$26</f>
        <v>#DIV/0!</v>
      </c>
      <c r="K74" s="185" t="e">
        <f t="shared" ref="K74" si="64">-K73/K$26</f>
        <v>#DIV/0!</v>
      </c>
      <c r="L74" s="185" t="e">
        <f t="shared" ref="L74:U74" si="65">-L73/L$26</f>
        <v>#DIV/0!</v>
      </c>
      <c r="M74" s="185" t="e">
        <f t="shared" si="65"/>
        <v>#DIV/0!</v>
      </c>
      <c r="N74" s="185" t="e">
        <f t="shared" si="65"/>
        <v>#DIV/0!</v>
      </c>
      <c r="O74" s="185" t="e">
        <f t="shared" si="65"/>
        <v>#DIV/0!</v>
      </c>
      <c r="P74" s="185" t="e">
        <f t="shared" si="65"/>
        <v>#DIV/0!</v>
      </c>
      <c r="Q74" s="185" t="e">
        <f t="shared" si="65"/>
        <v>#DIV/0!</v>
      </c>
      <c r="R74" s="185" t="e">
        <f t="shared" si="65"/>
        <v>#DIV/0!</v>
      </c>
      <c r="S74" s="185" t="e">
        <f t="shared" si="65"/>
        <v>#DIV/0!</v>
      </c>
      <c r="T74" s="185" t="e">
        <f t="shared" si="65"/>
        <v>#DIV/0!</v>
      </c>
      <c r="U74" s="185" t="e">
        <f t="shared" si="65"/>
        <v>#DIV/0!</v>
      </c>
    </row>
    <row r="75" spans="3:21" outlineLevel="1">
      <c r="C75" s="225"/>
      <c r="D75" s="361" t="str">
        <f>D66</f>
        <v>Offshore</v>
      </c>
      <c r="E75" s="228">
        <f>'IS offshore'!E49*Stake_Bu1</f>
        <v>0</v>
      </c>
      <c r="F75" s="228">
        <f>'IS offshore'!F49*Stake_Bu1</f>
        <v>0</v>
      </c>
      <c r="G75" s="228">
        <f>'IS offshore'!G49*Stake_Bu1</f>
        <v>0</v>
      </c>
      <c r="H75" s="228">
        <f>'IS offshore'!H49*Stake_Bu1</f>
        <v>0</v>
      </c>
      <c r="I75" s="228">
        <f>'IS offshore'!I49*Stake_Bu1</f>
        <v>0</v>
      </c>
      <c r="J75" s="228">
        <f>'IS offshore'!J49*Stake_Bu1</f>
        <v>0</v>
      </c>
      <c r="K75" s="228">
        <f>'IS offshore'!K49*Stake_Bu1</f>
        <v>0</v>
      </c>
      <c r="L75" s="228">
        <f>'IS offshore'!L49*Stake_Bu1</f>
        <v>0</v>
      </c>
      <c r="M75" s="228">
        <f>'IS offshore'!M49*Stake_Bu1</f>
        <v>0</v>
      </c>
      <c r="N75" s="228">
        <f>'IS offshore'!N49*Stake_Bu1</f>
        <v>0</v>
      </c>
      <c r="O75" s="228">
        <f>'IS offshore'!O49*Stake_Bu1</f>
        <v>0</v>
      </c>
      <c r="P75" s="228">
        <f>'IS offshore'!P49*Stake_Bu1</f>
        <v>0</v>
      </c>
      <c r="Q75" s="228">
        <f>'IS offshore'!Q49*Stake_Bu1</f>
        <v>0</v>
      </c>
      <c r="R75" s="228">
        <f>'IS offshore'!R49*Stake_Bu1</f>
        <v>0</v>
      </c>
      <c r="S75" s="228">
        <f>'IS offshore'!S49*Stake_Bu1</f>
        <v>0</v>
      </c>
      <c r="T75" s="228">
        <f>'IS offshore'!T49*Stake_Bu1</f>
        <v>0</v>
      </c>
      <c r="U75" s="228">
        <f>'IS offshore'!U49*Stake_Bu1</f>
        <v>0</v>
      </c>
    </row>
    <row r="76" spans="3:21" outlineLevel="1">
      <c r="C76" s="183"/>
      <c r="D76" s="660" t="s">
        <v>877</v>
      </c>
      <c r="E76" s="185" t="e">
        <f>-E75/E$28</f>
        <v>#DIV/0!</v>
      </c>
      <c r="F76" s="185" t="e">
        <f t="shared" ref="F76" si="66">-F75/F$28</f>
        <v>#DIV/0!</v>
      </c>
      <c r="G76" s="185" t="e">
        <f t="shared" ref="G76" si="67">-G75/G$28</f>
        <v>#DIV/0!</v>
      </c>
      <c r="H76" s="185" t="e">
        <f t="shared" ref="H76" si="68">-H75/H$28</f>
        <v>#DIV/0!</v>
      </c>
      <c r="I76" s="185" t="e">
        <f t="shared" ref="I76" si="69">-I75/I$28</f>
        <v>#DIV/0!</v>
      </c>
      <c r="J76" s="185" t="e">
        <f t="shared" ref="J76" si="70">-J75/J$28</f>
        <v>#DIV/0!</v>
      </c>
      <c r="K76" s="185" t="e">
        <f t="shared" ref="K76" si="71">-K75/K$28</f>
        <v>#DIV/0!</v>
      </c>
      <c r="L76" s="185" t="e">
        <f t="shared" ref="L76:U76" si="72">-L75/L$28</f>
        <v>#DIV/0!</v>
      </c>
      <c r="M76" s="185" t="e">
        <f t="shared" si="72"/>
        <v>#DIV/0!</v>
      </c>
      <c r="N76" s="185" t="e">
        <f t="shared" si="72"/>
        <v>#DIV/0!</v>
      </c>
      <c r="O76" s="185" t="e">
        <f t="shared" si="72"/>
        <v>#DIV/0!</v>
      </c>
      <c r="P76" s="185" t="e">
        <f t="shared" si="72"/>
        <v>#DIV/0!</v>
      </c>
      <c r="Q76" s="185" t="e">
        <f t="shared" si="72"/>
        <v>#DIV/0!</v>
      </c>
      <c r="R76" s="185" t="e">
        <f t="shared" si="72"/>
        <v>#DIV/0!</v>
      </c>
      <c r="S76" s="185" t="e">
        <f t="shared" si="72"/>
        <v>#DIV/0!</v>
      </c>
      <c r="T76" s="185" t="e">
        <f t="shared" si="72"/>
        <v>#DIV/0!</v>
      </c>
      <c r="U76" s="185" t="e">
        <f t="shared" si="72"/>
        <v>#DIV/0!</v>
      </c>
    </row>
    <row r="77" spans="3:21" outlineLevel="1">
      <c r="C77" s="225"/>
      <c r="D77" s="361" t="str">
        <f>D68</f>
        <v>Onshore</v>
      </c>
      <c r="E77" s="228">
        <f>'IS onshore'!E49*Stake_Bu2</f>
        <v>0</v>
      </c>
      <c r="F77" s="228">
        <f>'IS onshore'!F49*Stake_Bu2</f>
        <v>0</v>
      </c>
      <c r="G77" s="228">
        <f>'IS onshore'!G49*Stake_Bu2</f>
        <v>0</v>
      </c>
      <c r="H77" s="228">
        <f>'IS onshore'!H49*Stake_Bu2</f>
        <v>0</v>
      </c>
      <c r="I77" s="228">
        <f>'IS onshore'!I49*Stake_Bu2</f>
        <v>0</v>
      </c>
      <c r="J77" s="228">
        <f>'IS onshore'!J49*Stake_Bu2</f>
        <v>0</v>
      </c>
      <c r="K77" s="228">
        <f>'IS onshore'!K49*Stake_Bu2</f>
        <v>0</v>
      </c>
      <c r="L77" s="228">
        <f>'IS onshore'!L49*Stake_Bu2</f>
        <v>0</v>
      </c>
      <c r="M77" s="228">
        <f>'IS onshore'!M49*Stake_Bu2</f>
        <v>0</v>
      </c>
      <c r="N77" s="228">
        <f>'IS onshore'!N49*Stake_Bu2</f>
        <v>0</v>
      </c>
      <c r="O77" s="228">
        <f>'IS onshore'!O49*Stake_Bu2</f>
        <v>0</v>
      </c>
      <c r="P77" s="228">
        <f>'IS onshore'!P49*Stake_Bu2</f>
        <v>0</v>
      </c>
      <c r="Q77" s="228">
        <f>'IS onshore'!Q49*Stake_Bu2</f>
        <v>0</v>
      </c>
      <c r="R77" s="228">
        <f>'IS onshore'!R49*Stake_Bu2</f>
        <v>0</v>
      </c>
      <c r="S77" s="228">
        <f>'IS onshore'!S49*Stake_Bu2</f>
        <v>0</v>
      </c>
      <c r="T77" s="228">
        <f>'IS onshore'!T49*Stake_Bu2</f>
        <v>0</v>
      </c>
      <c r="U77" s="228">
        <f>'IS onshore'!U49*Stake_Bu2</f>
        <v>0</v>
      </c>
    </row>
    <row r="78" spans="3:21" outlineLevel="1">
      <c r="C78" s="183"/>
      <c r="D78" s="660" t="s">
        <v>877</v>
      </c>
      <c r="E78" s="185"/>
      <c r="F78" s="185"/>
      <c r="G78" s="185"/>
      <c r="H78" s="185"/>
      <c r="I78" s="185"/>
      <c r="J78" s="185"/>
      <c r="K78" s="185"/>
      <c r="L78" s="185"/>
      <c r="M78" s="185"/>
      <c r="N78" s="185"/>
      <c r="O78" s="185"/>
      <c r="P78" s="185"/>
      <c r="Q78" s="185"/>
      <c r="R78" s="185"/>
      <c r="S78" s="185"/>
      <c r="T78" s="185"/>
      <c r="U78" s="185"/>
    </row>
    <row r="79" spans="3:21" outlineLevel="1">
      <c r="C79" s="225"/>
      <c r="D79" s="361" t="str">
        <f>D70</f>
        <v>Consolidation adjustment</v>
      </c>
      <c r="E79" s="229"/>
      <c r="F79" s="229"/>
      <c r="G79" s="229"/>
      <c r="H79" s="229"/>
      <c r="I79" s="229"/>
      <c r="J79" s="229"/>
      <c r="K79" s="229"/>
      <c r="L79" s="229"/>
      <c r="M79" s="229"/>
      <c r="N79" s="229"/>
      <c r="O79" s="229"/>
      <c r="P79" s="229"/>
      <c r="Q79" s="229"/>
      <c r="R79" s="229"/>
      <c r="S79" s="229"/>
      <c r="T79" s="229"/>
      <c r="U79" s="229"/>
    </row>
    <row r="80" spans="3:21" outlineLevel="1">
      <c r="C80" s="183"/>
      <c r="D80" s="660" t="s">
        <v>877</v>
      </c>
      <c r="E80" s="185"/>
      <c r="F80" s="185"/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</row>
    <row r="81" spans="3:21" outlineLevel="1" collapsed="1">
      <c r="C81" s="109"/>
      <c r="D81" s="365"/>
      <c r="E81" s="230"/>
      <c r="F81" s="230"/>
      <c r="G81" s="36"/>
      <c r="H81" s="233"/>
      <c r="I81" s="233"/>
      <c r="J81" s="233"/>
      <c r="K81" s="233"/>
      <c r="L81" s="233"/>
      <c r="M81" s="233"/>
      <c r="N81" s="233"/>
      <c r="O81" s="233"/>
      <c r="P81" s="233"/>
      <c r="Q81" s="233"/>
      <c r="R81" s="233"/>
      <c r="S81" s="233"/>
      <c r="T81" s="233"/>
      <c r="U81" s="233"/>
    </row>
    <row r="82" spans="3:21">
      <c r="C82" s="180" t="s">
        <v>881</v>
      </c>
      <c r="D82" s="661"/>
      <c r="E82" s="227">
        <f t="shared" ref="E82:L82" si="73">-depr_inc*E97</f>
        <v>0</v>
      </c>
      <c r="F82" s="227">
        <f t="shared" si="73"/>
        <v>0</v>
      </c>
      <c r="G82" s="227">
        <f t="shared" si="73"/>
        <v>0</v>
      </c>
      <c r="H82" s="227">
        <f t="shared" si="73"/>
        <v>0</v>
      </c>
      <c r="I82" s="227">
        <f t="shared" si="73"/>
        <v>0</v>
      </c>
      <c r="J82" s="227">
        <f t="shared" si="73"/>
        <v>0</v>
      </c>
      <c r="K82" s="227">
        <f t="shared" si="73"/>
        <v>0</v>
      </c>
      <c r="L82" s="227">
        <f t="shared" si="73"/>
        <v>0</v>
      </c>
      <c r="M82" s="227">
        <f t="shared" ref="M82:U82" si="74">-depr_inc*M97</f>
        <v>0</v>
      </c>
      <c r="N82" s="227">
        <f t="shared" si="74"/>
        <v>0</v>
      </c>
      <c r="O82" s="227">
        <f t="shared" si="74"/>
        <v>0</v>
      </c>
      <c r="P82" s="227">
        <f t="shared" si="74"/>
        <v>0</v>
      </c>
      <c r="Q82" s="227">
        <f t="shared" si="74"/>
        <v>0</v>
      </c>
      <c r="R82" s="227">
        <f t="shared" si="74"/>
        <v>0</v>
      </c>
      <c r="S82" s="227">
        <f t="shared" si="74"/>
        <v>0</v>
      </c>
      <c r="T82" s="227">
        <f t="shared" si="74"/>
        <v>0</v>
      </c>
      <c r="U82" s="227">
        <f t="shared" si="74"/>
        <v>0</v>
      </c>
    </row>
    <row r="83" spans="3:21" hidden="1" outlineLevel="1">
      <c r="C83" s="226"/>
      <c r="D83" s="361" t="str">
        <f>BU1_name</f>
        <v>Offshore</v>
      </c>
      <c r="E83" s="228">
        <f t="shared" ref="E83:U83" si="75">-E99*depr_inc</f>
        <v>0</v>
      </c>
      <c r="F83" s="228">
        <f t="shared" si="75"/>
        <v>0</v>
      </c>
      <c r="G83" s="228">
        <f t="shared" si="75"/>
        <v>0</v>
      </c>
      <c r="H83" s="228">
        <f t="shared" si="75"/>
        <v>0</v>
      </c>
      <c r="I83" s="228">
        <f t="shared" si="75"/>
        <v>0</v>
      </c>
      <c r="J83" s="228">
        <f t="shared" si="75"/>
        <v>0</v>
      </c>
      <c r="K83" s="228">
        <f t="shared" si="75"/>
        <v>0</v>
      </c>
      <c r="L83" s="228">
        <f t="shared" si="75"/>
        <v>0</v>
      </c>
      <c r="M83" s="228">
        <f t="shared" si="75"/>
        <v>0</v>
      </c>
      <c r="N83" s="228">
        <f t="shared" si="75"/>
        <v>0</v>
      </c>
      <c r="O83" s="228">
        <f t="shared" si="75"/>
        <v>0</v>
      </c>
      <c r="P83" s="228">
        <f t="shared" si="75"/>
        <v>0</v>
      </c>
      <c r="Q83" s="228">
        <f t="shared" si="75"/>
        <v>0</v>
      </c>
      <c r="R83" s="228">
        <f t="shared" si="75"/>
        <v>0</v>
      </c>
      <c r="S83" s="228">
        <f t="shared" si="75"/>
        <v>0</v>
      </c>
      <c r="T83" s="228">
        <f t="shared" si="75"/>
        <v>0</v>
      </c>
      <c r="U83" s="228">
        <f t="shared" si="75"/>
        <v>0</v>
      </c>
    </row>
    <row r="84" spans="3:21" hidden="1" outlineLevel="1">
      <c r="C84" s="226"/>
      <c r="D84" s="361" t="str">
        <f>BU2_name</f>
        <v>Onshore</v>
      </c>
      <c r="E84" s="228">
        <f t="shared" ref="E84:U84" si="76">-E101*depr_inc</f>
        <v>0</v>
      </c>
      <c r="F84" s="228">
        <f t="shared" si="76"/>
        <v>0</v>
      </c>
      <c r="G84" s="228">
        <f t="shared" si="76"/>
        <v>0</v>
      </c>
      <c r="H84" s="228">
        <f t="shared" si="76"/>
        <v>0</v>
      </c>
      <c r="I84" s="228">
        <f t="shared" si="76"/>
        <v>0</v>
      </c>
      <c r="J84" s="228">
        <f t="shared" si="76"/>
        <v>0</v>
      </c>
      <c r="K84" s="228">
        <f t="shared" si="76"/>
        <v>0</v>
      </c>
      <c r="L84" s="228">
        <f t="shared" si="76"/>
        <v>0</v>
      </c>
      <c r="M84" s="228">
        <f t="shared" si="76"/>
        <v>0</v>
      </c>
      <c r="N84" s="228">
        <f t="shared" si="76"/>
        <v>0</v>
      </c>
      <c r="O84" s="228">
        <f t="shared" si="76"/>
        <v>0</v>
      </c>
      <c r="P84" s="228">
        <f t="shared" si="76"/>
        <v>0</v>
      </c>
      <c r="Q84" s="228">
        <f t="shared" si="76"/>
        <v>0</v>
      </c>
      <c r="R84" s="228">
        <f t="shared" si="76"/>
        <v>0</v>
      </c>
      <c r="S84" s="228">
        <f t="shared" si="76"/>
        <v>0</v>
      </c>
      <c r="T84" s="228">
        <f t="shared" si="76"/>
        <v>0</v>
      </c>
      <c r="U84" s="228">
        <f t="shared" si="76"/>
        <v>0</v>
      </c>
    </row>
    <row r="85" spans="3:21" hidden="1" outlineLevel="1">
      <c r="C85" s="226"/>
      <c r="D85" s="361" t="s">
        <v>37</v>
      </c>
      <c r="E85" s="228">
        <f t="shared" ref="E85:U85" si="77">-E103*depr_inc</f>
        <v>0</v>
      </c>
      <c r="F85" s="228">
        <f t="shared" si="77"/>
        <v>0</v>
      </c>
      <c r="G85" s="228">
        <f t="shared" si="77"/>
        <v>0</v>
      </c>
      <c r="H85" s="228">
        <f t="shared" si="77"/>
        <v>0</v>
      </c>
      <c r="I85" s="228">
        <f t="shared" si="77"/>
        <v>0</v>
      </c>
      <c r="J85" s="228">
        <f t="shared" si="77"/>
        <v>0</v>
      </c>
      <c r="K85" s="228">
        <f t="shared" si="77"/>
        <v>0</v>
      </c>
      <c r="L85" s="228">
        <f t="shared" si="77"/>
        <v>0</v>
      </c>
      <c r="M85" s="228">
        <f t="shared" si="77"/>
        <v>0</v>
      </c>
      <c r="N85" s="228">
        <f t="shared" si="77"/>
        <v>0</v>
      </c>
      <c r="O85" s="228">
        <f t="shared" si="77"/>
        <v>0</v>
      </c>
      <c r="P85" s="228">
        <f t="shared" si="77"/>
        <v>0</v>
      </c>
      <c r="Q85" s="228">
        <f t="shared" si="77"/>
        <v>0</v>
      </c>
      <c r="R85" s="228">
        <f t="shared" si="77"/>
        <v>0</v>
      </c>
      <c r="S85" s="228">
        <f t="shared" si="77"/>
        <v>0</v>
      </c>
      <c r="T85" s="228">
        <f t="shared" si="77"/>
        <v>0</v>
      </c>
      <c r="U85" s="228">
        <f t="shared" si="77"/>
        <v>0</v>
      </c>
    </row>
    <row r="86" spans="3:21" hidden="1" outlineLevel="1" collapsed="1">
      <c r="C86" s="225"/>
      <c r="D86" s="361"/>
      <c r="E86" s="234"/>
      <c r="F86" s="234"/>
      <c r="G86" s="235"/>
      <c r="H86" s="236"/>
      <c r="I86" s="236"/>
      <c r="J86" s="236"/>
      <c r="K86" s="236"/>
      <c r="L86" s="236"/>
      <c r="M86" s="236"/>
      <c r="N86" s="236"/>
      <c r="O86" s="236"/>
      <c r="P86" s="236"/>
      <c r="Q86" s="236"/>
      <c r="R86" s="236"/>
      <c r="S86" s="236"/>
      <c r="T86" s="236"/>
      <c r="U86" s="236"/>
    </row>
    <row r="87" spans="3:21" collapsed="1">
      <c r="C87" s="199" t="s">
        <v>868</v>
      </c>
      <c r="D87" s="662"/>
      <c r="E87" s="259">
        <f t="shared" ref="E87:U87" si="78">+E35+E43+E55+E64+E73+E82</f>
        <v>0</v>
      </c>
      <c r="F87" s="259">
        <f t="shared" si="78"/>
        <v>0</v>
      </c>
      <c r="G87" s="259">
        <f t="shared" si="78"/>
        <v>0</v>
      </c>
      <c r="H87" s="259">
        <f t="shared" si="78"/>
        <v>0</v>
      </c>
      <c r="I87" s="259">
        <f>+I35+I43+I55+I64+I73+I82</f>
        <v>0</v>
      </c>
      <c r="J87" s="259">
        <f t="shared" si="78"/>
        <v>0</v>
      </c>
      <c r="K87" s="259">
        <f t="shared" si="78"/>
        <v>0</v>
      </c>
      <c r="L87" s="259">
        <f t="shared" si="78"/>
        <v>0</v>
      </c>
      <c r="M87" s="259">
        <f t="shared" si="78"/>
        <v>0</v>
      </c>
      <c r="N87" s="259">
        <f t="shared" si="78"/>
        <v>0</v>
      </c>
      <c r="O87" s="259">
        <f t="shared" si="78"/>
        <v>0</v>
      </c>
      <c r="P87" s="259">
        <f t="shared" si="78"/>
        <v>0</v>
      </c>
      <c r="Q87" s="259">
        <f t="shared" si="78"/>
        <v>0</v>
      </c>
      <c r="R87" s="259">
        <f t="shared" si="78"/>
        <v>0</v>
      </c>
      <c r="S87" s="259">
        <f t="shared" si="78"/>
        <v>0</v>
      </c>
      <c r="T87" s="259">
        <f t="shared" si="78"/>
        <v>0</v>
      </c>
      <c r="U87" s="259">
        <f t="shared" si="78"/>
        <v>0</v>
      </c>
    </row>
    <row r="88" spans="3:21">
      <c r="C88" s="183"/>
      <c r="D88" s="660" t="s">
        <v>876</v>
      </c>
      <c r="E88" s="185" t="str">
        <f t="shared" ref="E88:U88" si="79">IFERROR(E87/INDEX(87:87,MATCH(DATE(YEAR(E$18)-1,MONTH(E$18),DAY(E$18)),$18:$18,0))-1,"n.a.")</f>
        <v>n.a.</v>
      </c>
      <c r="F88" s="185" t="str">
        <f t="shared" si="79"/>
        <v>n.a.</v>
      </c>
      <c r="G88" s="185" t="str">
        <f t="shared" si="79"/>
        <v>n.a.</v>
      </c>
      <c r="H88" s="185" t="str">
        <f t="shared" si="79"/>
        <v>n.a.</v>
      </c>
      <c r="I88" s="185" t="str">
        <f t="shared" si="79"/>
        <v>n.a.</v>
      </c>
      <c r="J88" s="185" t="str">
        <f t="shared" si="79"/>
        <v>n.a.</v>
      </c>
      <c r="K88" s="185" t="str">
        <f t="shared" si="79"/>
        <v>n.a.</v>
      </c>
      <c r="L88" s="185" t="str">
        <f t="shared" si="79"/>
        <v>n.a.</v>
      </c>
      <c r="M88" s="185" t="str">
        <f t="shared" si="79"/>
        <v>n.a.</v>
      </c>
      <c r="N88" s="185" t="str">
        <f t="shared" si="79"/>
        <v>n.a.</v>
      </c>
      <c r="O88" s="185" t="str">
        <f t="shared" si="79"/>
        <v>n.a.</v>
      </c>
      <c r="P88" s="185" t="str">
        <f t="shared" si="79"/>
        <v>n.a.</v>
      </c>
      <c r="Q88" s="185" t="str">
        <f t="shared" si="79"/>
        <v>n.a.</v>
      </c>
      <c r="R88" s="185" t="str">
        <f t="shared" si="79"/>
        <v>n.a.</v>
      </c>
      <c r="S88" s="185" t="str">
        <f t="shared" si="79"/>
        <v>n.a.</v>
      </c>
      <c r="T88" s="185" t="str">
        <f t="shared" si="79"/>
        <v>n.a.</v>
      </c>
      <c r="U88" s="185" t="str">
        <f t="shared" si="79"/>
        <v>n.a.</v>
      </c>
    </row>
    <row r="89" spans="3:21">
      <c r="C89" s="183"/>
      <c r="D89" s="660" t="s">
        <v>882</v>
      </c>
      <c r="E89" s="185" t="e">
        <f t="shared" ref="E89" si="80">E87/E$26</f>
        <v>#DIV/0!</v>
      </c>
      <c r="F89" s="185" t="e">
        <f t="shared" ref="F89:L89" si="81">F87/F$26</f>
        <v>#DIV/0!</v>
      </c>
      <c r="G89" s="185" t="e">
        <f t="shared" si="81"/>
        <v>#DIV/0!</v>
      </c>
      <c r="H89" s="185" t="e">
        <f t="shared" si="81"/>
        <v>#DIV/0!</v>
      </c>
      <c r="I89" s="185" t="e">
        <f t="shared" si="81"/>
        <v>#DIV/0!</v>
      </c>
      <c r="J89" s="185" t="e">
        <f t="shared" si="81"/>
        <v>#DIV/0!</v>
      </c>
      <c r="K89" s="185" t="e">
        <f t="shared" si="81"/>
        <v>#DIV/0!</v>
      </c>
      <c r="L89" s="185" t="e">
        <f t="shared" si="81"/>
        <v>#DIV/0!</v>
      </c>
      <c r="M89" s="185" t="e">
        <f t="shared" ref="M89:U89" si="82">M87/M$26</f>
        <v>#DIV/0!</v>
      </c>
      <c r="N89" s="185" t="e">
        <f t="shared" si="82"/>
        <v>#DIV/0!</v>
      </c>
      <c r="O89" s="185" t="e">
        <f t="shared" si="82"/>
        <v>#DIV/0!</v>
      </c>
      <c r="P89" s="185" t="e">
        <f t="shared" si="82"/>
        <v>#DIV/0!</v>
      </c>
      <c r="Q89" s="185" t="e">
        <f t="shared" si="82"/>
        <v>#DIV/0!</v>
      </c>
      <c r="R89" s="185" t="e">
        <f t="shared" si="82"/>
        <v>#DIV/0!</v>
      </c>
      <c r="S89" s="185" t="e">
        <f t="shared" si="82"/>
        <v>#DIV/0!</v>
      </c>
      <c r="T89" s="185" t="e">
        <f t="shared" si="82"/>
        <v>#DIV/0!</v>
      </c>
      <c r="U89" s="185" t="e">
        <f t="shared" si="82"/>
        <v>#DIV/0!</v>
      </c>
    </row>
    <row r="90" spans="3:21" hidden="1" outlineLevel="1">
      <c r="C90" s="225"/>
      <c r="D90" s="361" t="str">
        <f>D75</f>
        <v>Offshore</v>
      </c>
      <c r="E90" s="228">
        <f t="shared" ref="E90:U90" si="83">E37+E46+E57+E66+E75+E83</f>
        <v>0</v>
      </c>
      <c r="F90" s="228">
        <f t="shared" si="83"/>
        <v>0</v>
      </c>
      <c r="G90" s="228">
        <f t="shared" si="83"/>
        <v>0</v>
      </c>
      <c r="H90" s="228">
        <f t="shared" si="83"/>
        <v>0</v>
      </c>
      <c r="I90" s="228">
        <f t="shared" si="83"/>
        <v>0</v>
      </c>
      <c r="J90" s="228">
        <f t="shared" si="83"/>
        <v>0</v>
      </c>
      <c r="K90" s="228">
        <f t="shared" si="83"/>
        <v>0</v>
      </c>
      <c r="L90" s="228">
        <f t="shared" si="83"/>
        <v>0</v>
      </c>
      <c r="M90" s="228">
        <f t="shared" si="83"/>
        <v>0</v>
      </c>
      <c r="N90" s="228">
        <f t="shared" si="83"/>
        <v>0</v>
      </c>
      <c r="O90" s="228">
        <f t="shared" si="83"/>
        <v>0</v>
      </c>
      <c r="P90" s="228">
        <f t="shared" si="83"/>
        <v>0</v>
      </c>
      <c r="Q90" s="228">
        <f t="shared" si="83"/>
        <v>0</v>
      </c>
      <c r="R90" s="228">
        <f t="shared" si="83"/>
        <v>0</v>
      </c>
      <c r="S90" s="228">
        <f t="shared" si="83"/>
        <v>0</v>
      </c>
      <c r="T90" s="228">
        <f t="shared" si="83"/>
        <v>0</v>
      </c>
      <c r="U90" s="228">
        <f t="shared" si="83"/>
        <v>0</v>
      </c>
    </row>
    <row r="91" spans="3:21" hidden="1" outlineLevel="1">
      <c r="C91" s="183"/>
      <c r="D91" s="660" t="str">
        <f t="shared" ref="D91:D95" si="84">D76</f>
        <v>As % of Revenue</v>
      </c>
      <c r="E91" s="185" t="e">
        <f>E90/E$28</f>
        <v>#DIV/0!</v>
      </c>
      <c r="F91" s="185" t="e">
        <f t="shared" ref="F91:L91" si="85">F90/F$28</f>
        <v>#DIV/0!</v>
      </c>
      <c r="G91" s="185" t="e">
        <f t="shared" si="85"/>
        <v>#DIV/0!</v>
      </c>
      <c r="H91" s="185" t="e">
        <f t="shared" si="85"/>
        <v>#DIV/0!</v>
      </c>
      <c r="I91" s="185" t="e">
        <f t="shared" si="85"/>
        <v>#DIV/0!</v>
      </c>
      <c r="J91" s="185" t="e">
        <f t="shared" si="85"/>
        <v>#DIV/0!</v>
      </c>
      <c r="K91" s="185" t="e">
        <f t="shared" si="85"/>
        <v>#DIV/0!</v>
      </c>
      <c r="L91" s="185" t="e">
        <f t="shared" si="85"/>
        <v>#DIV/0!</v>
      </c>
      <c r="M91" s="185" t="e">
        <f t="shared" ref="M91:U91" si="86">M90/M$28</f>
        <v>#DIV/0!</v>
      </c>
      <c r="N91" s="185" t="e">
        <f t="shared" si="86"/>
        <v>#DIV/0!</v>
      </c>
      <c r="O91" s="185" t="e">
        <f t="shared" si="86"/>
        <v>#DIV/0!</v>
      </c>
      <c r="P91" s="185" t="e">
        <f t="shared" si="86"/>
        <v>#DIV/0!</v>
      </c>
      <c r="Q91" s="185" t="e">
        <f t="shared" si="86"/>
        <v>#DIV/0!</v>
      </c>
      <c r="R91" s="185" t="e">
        <f t="shared" si="86"/>
        <v>#DIV/0!</v>
      </c>
      <c r="S91" s="185" t="e">
        <f t="shared" si="86"/>
        <v>#DIV/0!</v>
      </c>
      <c r="T91" s="185" t="e">
        <f t="shared" si="86"/>
        <v>#DIV/0!</v>
      </c>
      <c r="U91" s="185" t="e">
        <f t="shared" si="86"/>
        <v>#DIV/0!</v>
      </c>
    </row>
    <row r="92" spans="3:21" hidden="1" outlineLevel="1">
      <c r="C92" s="225"/>
      <c r="D92" s="361" t="str">
        <f t="shared" si="84"/>
        <v>Onshore</v>
      </c>
      <c r="E92" s="228">
        <f>E39+E48+E59+E68+E77+E84</f>
        <v>0</v>
      </c>
      <c r="F92" s="228">
        <f t="shared" ref="F92:U92" si="87">F39+F48+F59+F68+F77+F84</f>
        <v>0</v>
      </c>
      <c r="G92" s="228">
        <f t="shared" si="87"/>
        <v>0</v>
      </c>
      <c r="H92" s="228">
        <f t="shared" si="87"/>
        <v>0</v>
      </c>
      <c r="I92" s="228">
        <f t="shared" si="87"/>
        <v>0</v>
      </c>
      <c r="J92" s="228">
        <f t="shared" si="87"/>
        <v>0</v>
      </c>
      <c r="K92" s="228">
        <f t="shared" si="87"/>
        <v>0</v>
      </c>
      <c r="L92" s="228">
        <f t="shared" si="87"/>
        <v>0</v>
      </c>
      <c r="M92" s="228">
        <f t="shared" si="87"/>
        <v>0</v>
      </c>
      <c r="N92" s="228">
        <f t="shared" si="87"/>
        <v>0</v>
      </c>
      <c r="O92" s="228">
        <f t="shared" si="87"/>
        <v>0</v>
      </c>
      <c r="P92" s="228">
        <f t="shared" si="87"/>
        <v>0</v>
      </c>
      <c r="Q92" s="228">
        <f t="shared" si="87"/>
        <v>0</v>
      </c>
      <c r="R92" s="228">
        <f t="shared" si="87"/>
        <v>0</v>
      </c>
      <c r="S92" s="228">
        <f t="shared" si="87"/>
        <v>0</v>
      </c>
      <c r="T92" s="228">
        <f t="shared" si="87"/>
        <v>0</v>
      </c>
      <c r="U92" s="228">
        <f t="shared" si="87"/>
        <v>0</v>
      </c>
    </row>
    <row r="93" spans="3:21" hidden="1" outlineLevel="1">
      <c r="C93" s="183"/>
      <c r="D93" s="660" t="str">
        <f t="shared" si="84"/>
        <v>As % of Revenue</v>
      </c>
      <c r="E93" s="185" t="str">
        <f>IFERROR(E92/E$30,"n.a.")</f>
        <v>n.a.</v>
      </c>
      <c r="F93" s="185" t="str">
        <f t="shared" ref="F93:L93" si="88">IFERROR(F92/F$30,"n.a.")</f>
        <v>n.a.</v>
      </c>
      <c r="G93" s="185" t="str">
        <f t="shared" si="88"/>
        <v>n.a.</v>
      </c>
      <c r="H93" s="185" t="str">
        <f t="shared" si="88"/>
        <v>n.a.</v>
      </c>
      <c r="I93" s="185" t="str">
        <f t="shared" si="88"/>
        <v>n.a.</v>
      </c>
      <c r="J93" s="185" t="str">
        <f t="shared" si="88"/>
        <v>n.a.</v>
      </c>
      <c r="K93" s="185" t="str">
        <f t="shared" si="88"/>
        <v>n.a.</v>
      </c>
      <c r="L93" s="185" t="str">
        <f t="shared" si="88"/>
        <v>n.a.</v>
      </c>
      <c r="M93" s="185" t="str">
        <f t="shared" ref="M93:U93" si="89">IFERROR(M92/M$30,"n.a.")</f>
        <v>n.a.</v>
      </c>
      <c r="N93" s="185" t="str">
        <f t="shared" si="89"/>
        <v>n.a.</v>
      </c>
      <c r="O93" s="185" t="str">
        <f t="shared" si="89"/>
        <v>n.a.</v>
      </c>
      <c r="P93" s="185" t="str">
        <f t="shared" si="89"/>
        <v>n.a.</v>
      </c>
      <c r="Q93" s="185" t="str">
        <f t="shared" si="89"/>
        <v>n.a.</v>
      </c>
      <c r="R93" s="185" t="str">
        <f t="shared" si="89"/>
        <v>n.a.</v>
      </c>
      <c r="S93" s="185" t="str">
        <f t="shared" si="89"/>
        <v>n.a.</v>
      </c>
      <c r="T93" s="185" t="str">
        <f t="shared" si="89"/>
        <v>n.a.</v>
      </c>
      <c r="U93" s="185" t="str">
        <f t="shared" si="89"/>
        <v>n.a.</v>
      </c>
    </row>
    <row r="94" spans="3:21" hidden="1" outlineLevel="1">
      <c r="C94" s="225"/>
      <c r="D94" s="361" t="str">
        <f t="shared" si="84"/>
        <v>Consolidation adjustment</v>
      </c>
      <c r="E94" s="228">
        <f>E41+E50+E61+E70+E79+E85</f>
        <v>0</v>
      </c>
      <c r="F94" s="228">
        <f t="shared" ref="F94:U94" si="90">F41+F50+F61+F70+F79+F85</f>
        <v>0</v>
      </c>
      <c r="G94" s="228">
        <f t="shared" si="90"/>
        <v>0</v>
      </c>
      <c r="H94" s="228">
        <f t="shared" si="90"/>
        <v>0</v>
      </c>
      <c r="I94" s="228">
        <f t="shared" si="90"/>
        <v>0</v>
      </c>
      <c r="J94" s="228">
        <f t="shared" si="90"/>
        <v>0</v>
      </c>
      <c r="K94" s="228">
        <f t="shared" si="90"/>
        <v>0</v>
      </c>
      <c r="L94" s="228">
        <f t="shared" si="90"/>
        <v>0</v>
      </c>
      <c r="M94" s="228">
        <f t="shared" si="90"/>
        <v>0</v>
      </c>
      <c r="N94" s="228">
        <f t="shared" si="90"/>
        <v>0</v>
      </c>
      <c r="O94" s="228">
        <f t="shared" si="90"/>
        <v>0</v>
      </c>
      <c r="P94" s="228">
        <f t="shared" si="90"/>
        <v>0</v>
      </c>
      <c r="Q94" s="228">
        <f t="shared" si="90"/>
        <v>0</v>
      </c>
      <c r="R94" s="228">
        <f t="shared" si="90"/>
        <v>0</v>
      </c>
      <c r="S94" s="228">
        <f t="shared" si="90"/>
        <v>0</v>
      </c>
      <c r="T94" s="228">
        <f t="shared" si="90"/>
        <v>0</v>
      </c>
      <c r="U94" s="228">
        <f t="shared" si="90"/>
        <v>0</v>
      </c>
    </row>
    <row r="95" spans="3:21" hidden="1" outlineLevel="1">
      <c r="C95" s="183"/>
      <c r="D95" s="660" t="str">
        <f t="shared" si="84"/>
        <v>As % of Revenue</v>
      </c>
      <c r="E95" s="185" t="str">
        <f>IFERROR(E94/E$32,"n.a.")</f>
        <v>n.a.</v>
      </c>
      <c r="F95" s="185" t="str">
        <f t="shared" ref="F95:L95" si="91">IFERROR(F94/F$32,"n.a.")</f>
        <v>n.a.</v>
      </c>
      <c r="G95" s="185" t="str">
        <f t="shared" si="91"/>
        <v>n.a.</v>
      </c>
      <c r="H95" s="185" t="str">
        <f t="shared" si="91"/>
        <v>n.a.</v>
      </c>
      <c r="I95" s="185" t="str">
        <f t="shared" si="91"/>
        <v>n.a.</v>
      </c>
      <c r="J95" s="185" t="str">
        <f t="shared" si="91"/>
        <v>n.a.</v>
      </c>
      <c r="K95" s="185" t="str">
        <f t="shared" si="91"/>
        <v>n.a.</v>
      </c>
      <c r="L95" s="185" t="str">
        <f t="shared" si="91"/>
        <v>n.a.</v>
      </c>
      <c r="M95" s="185" t="str">
        <f t="shared" ref="M95:U95" si="92">IFERROR(M94/M$32,"n.a.")</f>
        <v>n.a.</v>
      </c>
      <c r="N95" s="185" t="str">
        <f t="shared" si="92"/>
        <v>n.a.</v>
      </c>
      <c r="O95" s="185" t="str">
        <f t="shared" si="92"/>
        <v>n.a.</v>
      </c>
      <c r="P95" s="185" t="str">
        <f t="shared" si="92"/>
        <v>n.a.</v>
      </c>
      <c r="Q95" s="185" t="str">
        <f t="shared" si="92"/>
        <v>n.a.</v>
      </c>
      <c r="R95" s="185" t="str">
        <f t="shared" si="92"/>
        <v>n.a.</v>
      </c>
      <c r="S95" s="185" t="str">
        <f t="shared" si="92"/>
        <v>n.a.</v>
      </c>
      <c r="T95" s="185" t="str">
        <f t="shared" si="92"/>
        <v>n.a.</v>
      </c>
      <c r="U95" s="185" t="str">
        <f t="shared" si="92"/>
        <v>n.a.</v>
      </c>
    </row>
    <row r="96" spans="3:21" hidden="1" outlineLevel="1" collapsed="1">
      <c r="C96" s="11"/>
      <c r="D96" s="368"/>
      <c r="E96" s="237"/>
      <c r="F96" s="237"/>
      <c r="G96" s="237"/>
      <c r="H96" s="237"/>
      <c r="I96" s="237"/>
      <c r="J96" s="237"/>
      <c r="K96" s="238"/>
      <c r="L96" s="237"/>
      <c r="M96" s="237"/>
      <c r="N96" s="237"/>
      <c r="O96" s="237"/>
      <c r="P96" s="237"/>
      <c r="Q96" s="237"/>
      <c r="R96" s="237"/>
      <c r="S96" s="237"/>
      <c r="T96" s="237"/>
      <c r="U96" s="237"/>
    </row>
    <row r="97" spans="3:21" collapsed="1">
      <c r="C97" s="180" t="s">
        <v>883</v>
      </c>
      <c r="D97" s="661"/>
      <c r="E97" s="227">
        <f>E99+E101+E103</f>
        <v>0</v>
      </c>
      <c r="F97" s="227">
        <f t="shared" ref="F97:L97" si="93">F99+F101+F103</f>
        <v>0</v>
      </c>
      <c r="G97" s="227">
        <f t="shared" si="93"/>
        <v>0</v>
      </c>
      <c r="H97" s="227">
        <f t="shared" si="93"/>
        <v>0</v>
      </c>
      <c r="I97" s="227">
        <f>I99+I101+I103</f>
        <v>0</v>
      </c>
      <c r="J97" s="227">
        <f t="shared" si="93"/>
        <v>0</v>
      </c>
      <c r="K97" s="227">
        <f>K99+K101+K103</f>
        <v>0</v>
      </c>
      <c r="L97" s="227">
        <f t="shared" si="93"/>
        <v>0</v>
      </c>
      <c r="M97" s="227">
        <f t="shared" ref="M97:U97" si="94">M99+M101+M103</f>
        <v>0</v>
      </c>
      <c r="N97" s="227">
        <f t="shared" si="94"/>
        <v>0</v>
      </c>
      <c r="O97" s="227">
        <f t="shared" si="94"/>
        <v>0</v>
      </c>
      <c r="P97" s="227">
        <f t="shared" si="94"/>
        <v>0</v>
      </c>
      <c r="Q97" s="227">
        <f t="shared" si="94"/>
        <v>0</v>
      </c>
      <c r="R97" s="227">
        <f t="shared" si="94"/>
        <v>0</v>
      </c>
      <c r="S97" s="227">
        <f t="shared" si="94"/>
        <v>0</v>
      </c>
      <c r="T97" s="227">
        <f t="shared" si="94"/>
        <v>0</v>
      </c>
      <c r="U97" s="227">
        <f t="shared" si="94"/>
        <v>0</v>
      </c>
    </row>
    <row r="98" spans="3:21">
      <c r="C98" s="183"/>
      <c r="D98" s="660" t="s">
        <v>876</v>
      </c>
      <c r="E98" s="185" t="str">
        <f t="shared" ref="E98:U98" si="95">IFERROR(E97/INDEX(97:97,MATCH(DATE(YEAR(E$18)-1,MONTH(E$18),DAY(E$18)),$18:$18,0))-1,"n.a.")</f>
        <v>n.a.</v>
      </c>
      <c r="F98" s="185" t="str">
        <f t="shared" si="95"/>
        <v>n.a.</v>
      </c>
      <c r="G98" s="185" t="str">
        <f t="shared" si="95"/>
        <v>n.a.</v>
      </c>
      <c r="H98" s="185" t="str">
        <f t="shared" si="95"/>
        <v>n.a.</v>
      </c>
      <c r="I98" s="185" t="str">
        <f t="shared" si="95"/>
        <v>n.a.</v>
      </c>
      <c r="J98" s="185" t="str">
        <f t="shared" si="95"/>
        <v>n.a.</v>
      </c>
      <c r="K98" s="185" t="str">
        <f t="shared" si="95"/>
        <v>n.a.</v>
      </c>
      <c r="L98" s="185" t="str">
        <f t="shared" si="95"/>
        <v>n.a.</v>
      </c>
      <c r="M98" s="185" t="str">
        <f t="shared" si="95"/>
        <v>n.a.</v>
      </c>
      <c r="N98" s="185" t="str">
        <f t="shared" si="95"/>
        <v>n.a.</v>
      </c>
      <c r="O98" s="185" t="str">
        <f t="shared" si="95"/>
        <v>n.a.</v>
      </c>
      <c r="P98" s="185" t="str">
        <f t="shared" si="95"/>
        <v>n.a.</v>
      </c>
      <c r="Q98" s="185" t="str">
        <f t="shared" si="95"/>
        <v>n.a.</v>
      </c>
      <c r="R98" s="185" t="str">
        <f t="shared" si="95"/>
        <v>n.a.</v>
      </c>
      <c r="S98" s="185" t="str">
        <f t="shared" si="95"/>
        <v>n.a.</v>
      </c>
      <c r="T98" s="185" t="str">
        <f t="shared" si="95"/>
        <v>n.a.</v>
      </c>
      <c r="U98" s="185" t="str">
        <f t="shared" si="95"/>
        <v>n.a.</v>
      </c>
    </row>
    <row r="99" spans="3:21" outlineLevel="1">
      <c r="C99" s="225"/>
      <c r="D99" s="361" t="str">
        <f>D$66</f>
        <v>Offshore</v>
      </c>
      <c r="E99" s="228">
        <f>'IS offshore'!E63*Stake_Bu1</f>
        <v>0</v>
      </c>
      <c r="F99" s="228">
        <f>'IS offshore'!F63*Stake_Bu1</f>
        <v>0</v>
      </c>
      <c r="G99" s="228">
        <f>'IS offshore'!G63*Stake_Bu1</f>
        <v>0</v>
      </c>
      <c r="H99" s="228">
        <f>'IS offshore'!H63*Stake_Bu1</f>
        <v>0</v>
      </c>
      <c r="I99" s="228">
        <f>'IS offshore'!I63*Stake_Bu1</f>
        <v>0</v>
      </c>
      <c r="J99" s="228">
        <f>'IS offshore'!J63*Stake_Bu1</f>
        <v>0</v>
      </c>
      <c r="K99" s="228">
        <f>'IS offshore'!K63*Stake_Bu1</f>
        <v>0</v>
      </c>
      <c r="L99" s="228">
        <f>'IS offshore'!L63*Stake_Bu1</f>
        <v>0</v>
      </c>
      <c r="M99" s="228">
        <f>'IS offshore'!M63*Stake_Bu1</f>
        <v>0</v>
      </c>
      <c r="N99" s="228">
        <f>'IS offshore'!N63*Stake_Bu1</f>
        <v>0</v>
      </c>
      <c r="O99" s="228">
        <f>'IS offshore'!O63*Stake_Bu1</f>
        <v>0</v>
      </c>
      <c r="P99" s="228">
        <f>'IS offshore'!P63*Stake_Bu1</f>
        <v>0</v>
      </c>
      <c r="Q99" s="228">
        <f>'IS offshore'!Q63*Stake_Bu1</f>
        <v>0</v>
      </c>
      <c r="R99" s="228">
        <f>'IS offshore'!R63*Stake_Bu1</f>
        <v>0</v>
      </c>
      <c r="S99" s="228">
        <f>'IS offshore'!S63*Stake_Bu1</f>
        <v>0</v>
      </c>
      <c r="T99" s="228">
        <f>'IS offshore'!T63*Stake_Bu1</f>
        <v>0</v>
      </c>
      <c r="U99" s="228">
        <f>'IS offshore'!U63*Stake_Bu1</f>
        <v>0</v>
      </c>
    </row>
    <row r="100" spans="3:21" outlineLevel="1">
      <c r="C100" s="183"/>
      <c r="D100" s="660" t="s">
        <v>876</v>
      </c>
      <c r="E100" s="185" t="str">
        <f t="shared" ref="E100:U100" si="96">IFERROR(E99/INDEX(99:99,MATCH(DATE(YEAR(E$18)-1,MONTH(E$18),DAY(E$18)),$18:$18,0))-1,"n.a.")</f>
        <v>n.a.</v>
      </c>
      <c r="F100" s="185" t="str">
        <f t="shared" si="96"/>
        <v>n.a.</v>
      </c>
      <c r="G100" s="185" t="str">
        <f t="shared" si="96"/>
        <v>n.a.</v>
      </c>
      <c r="H100" s="185" t="str">
        <f t="shared" si="96"/>
        <v>n.a.</v>
      </c>
      <c r="I100" s="185" t="str">
        <f t="shared" si="96"/>
        <v>n.a.</v>
      </c>
      <c r="J100" s="185" t="str">
        <f t="shared" si="96"/>
        <v>n.a.</v>
      </c>
      <c r="K100" s="185" t="str">
        <f t="shared" si="96"/>
        <v>n.a.</v>
      </c>
      <c r="L100" s="185" t="str">
        <f t="shared" si="96"/>
        <v>n.a.</v>
      </c>
      <c r="M100" s="185" t="str">
        <f t="shared" si="96"/>
        <v>n.a.</v>
      </c>
      <c r="N100" s="185" t="str">
        <f t="shared" si="96"/>
        <v>n.a.</v>
      </c>
      <c r="O100" s="185" t="str">
        <f t="shared" si="96"/>
        <v>n.a.</v>
      </c>
      <c r="P100" s="185" t="str">
        <f t="shared" si="96"/>
        <v>n.a.</v>
      </c>
      <c r="Q100" s="185" t="str">
        <f t="shared" si="96"/>
        <v>n.a.</v>
      </c>
      <c r="R100" s="185" t="str">
        <f t="shared" si="96"/>
        <v>n.a.</v>
      </c>
      <c r="S100" s="185" t="str">
        <f t="shared" si="96"/>
        <v>n.a.</v>
      </c>
      <c r="T100" s="185" t="str">
        <f t="shared" si="96"/>
        <v>n.a.</v>
      </c>
      <c r="U100" s="185" t="str">
        <f t="shared" si="96"/>
        <v>n.a.</v>
      </c>
    </row>
    <row r="101" spans="3:21" outlineLevel="1">
      <c r="C101" s="225"/>
      <c r="D101" s="361" t="str">
        <f>D$68</f>
        <v>Onshore</v>
      </c>
      <c r="E101" s="228">
        <f>'IS onshore'!E63*Stake_Bu2</f>
        <v>0</v>
      </c>
      <c r="F101" s="228">
        <f>'IS onshore'!F63*Stake_Bu2</f>
        <v>0</v>
      </c>
      <c r="G101" s="228">
        <f>'IS onshore'!G63*Stake_Bu2</f>
        <v>0</v>
      </c>
      <c r="H101" s="228">
        <f>'IS onshore'!H63*Stake_Bu2</f>
        <v>0</v>
      </c>
      <c r="I101" s="228">
        <f>'IS onshore'!I63*Stake_Bu2</f>
        <v>0</v>
      </c>
      <c r="J101" s="228">
        <f>'IS onshore'!J63*Stake_Bu2</f>
        <v>0</v>
      </c>
      <c r="K101" s="228">
        <f>'IS onshore'!K63*Stake_Bu2</f>
        <v>0</v>
      </c>
      <c r="L101" s="228">
        <f>'IS onshore'!L63*Stake_Bu2</f>
        <v>0</v>
      </c>
      <c r="M101" s="228">
        <f>'IS onshore'!M63*Stake_Bu2</f>
        <v>0</v>
      </c>
      <c r="N101" s="228">
        <f>'IS onshore'!N63*Stake_Bu2</f>
        <v>0</v>
      </c>
      <c r="O101" s="228">
        <f>'IS onshore'!O63*Stake_Bu2</f>
        <v>0</v>
      </c>
      <c r="P101" s="228">
        <f>'IS onshore'!P63*Stake_Bu2</f>
        <v>0</v>
      </c>
      <c r="Q101" s="228">
        <f>'IS onshore'!Q63*Stake_Bu2</f>
        <v>0</v>
      </c>
      <c r="R101" s="228">
        <f>'IS onshore'!R63*Stake_Bu2</f>
        <v>0</v>
      </c>
      <c r="S101" s="228">
        <f>'IS onshore'!S63*Stake_Bu2</f>
        <v>0</v>
      </c>
      <c r="T101" s="228">
        <f>'IS onshore'!T63*Stake_Bu2</f>
        <v>0</v>
      </c>
      <c r="U101" s="228">
        <f>'IS onshore'!U63*Stake_Bu2</f>
        <v>0</v>
      </c>
    </row>
    <row r="102" spans="3:21" outlineLevel="1">
      <c r="C102" s="183"/>
      <c r="D102" s="660" t="s">
        <v>876</v>
      </c>
      <c r="E102" s="185" t="str">
        <f t="shared" ref="E102:U102" si="97">IFERROR(E101/INDEX(101:101,MATCH(DATE(YEAR(E$18)-1,MONTH(E$18),DAY(E$18)),$18:$18,0))-1,"n.a.")</f>
        <v>n.a.</v>
      </c>
      <c r="F102" s="185" t="str">
        <f t="shared" si="97"/>
        <v>n.a.</v>
      </c>
      <c r="G102" s="185" t="str">
        <f t="shared" si="97"/>
        <v>n.a.</v>
      </c>
      <c r="H102" s="185" t="str">
        <f t="shared" si="97"/>
        <v>n.a.</v>
      </c>
      <c r="I102" s="185" t="str">
        <f t="shared" si="97"/>
        <v>n.a.</v>
      </c>
      <c r="J102" s="185" t="str">
        <f t="shared" si="97"/>
        <v>n.a.</v>
      </c>
      <c r="K102" s="185" t="str">
        <f t="shared" si="97"/>
        <v>n.a.</v>
      </c>
      <c r="L102" s="185" t="str">
        <f t="shared" si="97"/>
        <v>n.a.</v>
      </c>
      <c r="M102" s="185" t="str">
        <f t="shared" si="97"/>
        <v>n.a.</v>
      </c>
      <c r="N102" s="185" t="str">
        <f t="shared" si="97"/>
        <v>n.a.</v>
      </c>
      <c r="O102" s="185" t="str">
        <f t="shared" si="97"/>
        <v>n.a.</v>
      </c>
      <c r="P102" s="185" t="str">
        <f t="shared" si="97"/>
        <v>n.a.</v>
      </c>
      <c r="Q102" s="185" t="str">
        <f t="shared" si="97"/>
        <v>n.a.</v>
      </c>
      <c r="R102" s="185" t="str">
        <f t="shared" si="97"/>
        <v>n.a.</v>
      </c>
      <c r="S102" s="185" t="str">
        <f t="shared" si="97"/>
        <v>n.a.</v>
      </c>
      <c r="T102" s="185" t="str">
        <f t="shared" si="97"/>
        <v>n.a.</v>
      </c>
      <c r="U102" s="185" t="str">
        <f t="shared" si="97"/>
        <v>n.a.</v>
      </c>
    </row>
    <row r="103" spans="3:21" outlineLevel="1">
      <c r="C103" s="225"/>
      <c r="D103" s="361" t="str">
        <f>D$70</f>
        <v>Consolidation adjustment</v>
      </c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197"/>
      <c r="S103" s="197"/>
      <c r="T103" s="197"/>
      <c r="U103" s="197"/>
    </row>
    <row r="104" spans="3:21" outlineLevel="1">
      <c r="C104" s="183"/>
      <c r="D104" s="660" t="s">
        <v>876</v>
      </c>
      <c r="E104" s="185" t="str">
        <f t="shared" ref="E104:U104" si="98">IFERROR(E103/INDEX(103:103,MATCH(DATE(YEAR(E$18)-1,MONTH(E$18),DAY(E$18)),$18:$18,0))-1,"n.a.")</f>
        <v>n.a.</v>
      </c>
      <c r="F104" s="185" t="str">
        <f t="shared" si="98"/>
        <v>n.a.</v>
      </c>
      <c r="G104" s="185" t="str">
        <f t="shared" si="98"/>
        <v>n.a.</v>
      </c>
      <c r="H104" s="185" t="str">
        <f t="shared" si="98"/>
        <v>n.a.</v>
      </c>
      <c r="I104" s="185" t="str">
        <f t="shared" si="98"/>
        <v>n.a.</v>
      </c>
      <c r="J104" s="185" t="str">
        <f t="shared" si="98"/>
        <v>n.a.</v>
      </c>
      <c r="K104" s="185" t="str">
        <f t="shared" si="98"/>
        <v>n.a.</v>
      </c>
      <c r="L104" s="185" t="str">
        <f t="shared" si="98"/>
        <v>n.a.</v>
      </c>
      <c r="M104" s="185" t="str">
        <f t="shared" si="98"/>
        <v>n.a.</v>
      </c>
      <c r="N104" s="185" t="str">
        <f t="shared" si="98"/>
        <v>n.a.</v>
      </c>
      <c r="O104" s="185" t="str">
        <f t="shared" si="98"/>
        <v>n.a.</v>
      </c>
      <c r="P104" s="185" t="str">
        <f t="shared" si="98"/>
        <v>n.a.</v>
      </c>
      <c r="Q104" s="185" t="str">
        <f t="shared" si="98"/>
        <v>n.a.</v>
      </c>
      <c r="R104" s="185" t="str">
        <f t="shared" si="98"/>
        <v>n.a.</v>
      </c>
      <c r="S104" s="185" t="str">
        <f t="shared" si="98"/>
        <v>n.a.</v>
      </c>
      <c r="T104" s="185" t="str">
        <f t="shared" si="98"/>
        <v>n.a.</v>
      </c>
      <c r="U104" s="185" t="str">
        <f t="shared" si="98"/>
        <v>n.a.</v>
      </c>
    </row>
    <row r="105" spans="3:21" s="38" customFormat="1" outlineLevel="1" collapsed="1">
      <c r="C105" s="218"/>
      <c r="D105" s="368"/>
      <c r="E105" s="237"/>
      <c r="F105" s="239"/>
      <c r="G105" s="239"/>
      <c r="H105" s="239"/>
      <c r="I105" s="239"/>
      <c r="J105" s="239"/>
      <c r="K105" s="239"/>
      <c r="L105" s="239"/>
      <c r="M105" s="239"/>
      <c r="N105" s="239"/>
      <c r="O105" s="239"/>
      <c r="P105" s="239"/>
      <c r="Q105" s="239"/>
      <c r="R105" s="239"/>
      <c r="S105" s="239"/>
      <c r="T105" s="239"/>
      <c r="U105" s="239"/>
    </row>
    <row r="106" spans="3:21">
      <c r="C106" s="180" t="s">
        <v>884</v>
      </c>
      <c r="D106" s="661"/>
      <c r="E106" s="227">
        <f>E108+E110+E112</f>
        <v>0</v>
      </c>
      <c r="F106" s="227">
        <f t="shared" ref="F106:L106" si="99">F108+F110+F112</f>
        <v>0</v>
      </c>
      <c r="G106" s="227">
        <f t="shared" si="99"/>
        <v>0</v>
      </c>
      <c r="H106" s="227">
        <f t="shared" si="99"/>
        <v>0</v>
      </c>
      <c r="I106" s="227">
        <f t="shared" si="99"/>
        <v>0</v>
      </c>
      <c r="J106" s="227">
        <f t="shared" si="99"/>
        <v>0</v>
      </c>
      <c r="K106" s="227">
        <f t="shared" si="99"/>
        <v>0</v>
      </c>
      <c r="L106" s="227">
        <f t="shared" si="99"/>
        <v>0</v>
      </c>
      <c r="M106" s="227">
        <f t="shared" ref="M106:U106" si="100">M108+M110+M112</f>
        <v>0</v>
      </c>
      <c r="N106" s="227">
        <f t="shared" si="100"/>
        <v>0</v>
      </c>
      <c r="O106" s="227">
        <f t="shared" si="100"/>
        <v>0</v>
      </c>
      <c r="P106" s="227">
        <f t="shared" si="100"/>
        <v>0</v>
      </c>
      <c r="Q106" s="227">
        <f t="shared" si="100"/>
        <v>0</v>
      </c>
      <c r="R106" s="227">
        <f t="shared" si="100"/>
        <v>0</v>
      </c>
      <c r="S106" s="227">
        <f t="shared" si="100"/>
        <v>0</v>
      </c>
      <c r="T106" s="227">
        <f t="shared" si="100"/>
        <v>0</v>
      </c>
      <c r="U106" s="227">
        <f t="shared" si="100"/>
        <v>0</v>
      </c>
    </row>
    <row r="107" spans="3:21">
      <c r="C107" s="183"/>
      <c r="D107" s="660" t="s">
        <v>876</v>
      </c>
      <c r="E107" s="185" t="str">
        <f t="shared" ref="E107:U107" si="101">IFERROR(E106/INDEX(106:106,MATCH(DATE(YEAR(E$18)-1,MONTH(E$18),DAY(E$18)),$18:$18,0))-1,"n.a.")</f>
        <v>n.a.</v>
      </c>
      <c r="F107" s="185" t="str">
        <f t="shared" si="101"/>
        <v>n.a.</v>
      </c>
      <c r="G107" s="185" t="str">
        <f t="shared" si="101"/>
        <v>n.a.</v>
      </c>
      <c r="H107" s="185" t="str">
        <f t="shared" si="101"/>
        <v>n.a.</v>
      </c>
      <c r="I107" s="185" t="str">
        <f t="shared" si="101"/>
        <v>n.a.</v>
      </c>
      <c r="J107" s="185" t="str">
        <f t="shared" si="101"/>
        <v>n.a.</v>
      </c>
      <c r="K107" s="185" t="str">
        <f t="shared" si="101"/>
        <v>n.a.</v>
      </c>
      <c r="L107" s="185" t="str">
        <f t="shared" si="101"/>
        <v>n.a.</v>
      </c>
      <c r="M107" s="185" t="str">
        <f t="shared" si="101"/>
        <v>n.a.</v>
      </c>
      <c r="N107" s="185" t="str">
        <f t="shared" si="101"/>
        <v>n.a.</v>
      </c>
      <c r="O107" s="185" t="str">
        <f t="shared" si="101"/>
        <v>n.a.</v>
      </c>
      <c r="P107" s="185" t="str">
        <f t="shared" si="101"/>
        <v>n.a.</v>
      </c>
      <c r="Q107" s="185" t="str">
        <f t="shared" si="101"/>
        <v>n.a.</v>
      </c>
      <c r="R107" s="185" t="str">
        <f t="shared" si="101"/>
        <v>n.a.</v>
      </c>
      <c r="S107" s="185" t="str">
        <f t="shared" si="101"/>
        <v>n.a.</v>
      </c>
      <c r="T107" s="185" t="str">
        <f t="shared" si="101"/>
        <v>n.a.</v>
      </c>
      <c r="U107" s="185" t="str">
        <f t="shared" si="101"/>
        <v>n.a.</v>
      </c>
    </row>
    <row r="108" spans="3:21" hidden="1" outlineLevel="1">
      <c r="C108" s="225"/>
      <c r="D108" s="361" t="str">
        <f>D$66</f>
        <v>Offshore</v>
      </c>
      <c r="E108" s="228">
        <f>'IS offshore'!E68*Stake_Bu1</f>
        <v>0</v>
      </c>
      <c r="F108" s="228">
        <f>'IS offshore'!F68*Stake_Bu1</f>
        <v>0</v>
      </c>
      <c r="G108" s="228">
        <f>'IS offshore'!G68*Stake_Bu1</f>
        <v>0</v>
      </c>
      <c r="H108" s="228">
        <f>'IS offshore'!H68*Stake_Bu1</f>
        <v>0</v>
      </c>
      <c r="I108" s="228">
        <f>'IS offshore'!I68*Stake_Bu1</f>
        <v>0</v>
      </c>
      <c r="J108" s="228">
        <f>'IS offshore'!J68*Stake_Bu1</f>
        <v>0</v>
      </c>
      <c r="K108" s="228">
        <f>'IS offshore'!K68*Stake_Bu1</f>
        <v>0</v>
      </c>
      <c r="L108" s="228">
        <f>'IS offshore'!L68*Stake_Bu1</f>
        <v>0</v>
      </c>
      <c r="M108" s="228">
        <f>'IS offshore'!M68*Stake_Bu1</f>
        <v>0</v>
      </c>
      <c r="N108" s="228">
        <f>'IS offshore'!N68*Stake_Bu1</f>
        <v>0</v>
      </c>
      <c r="O108" s="228">
        <f>'IS offshore'!O68*Stake_Bu1</f>
        <v>0</v>
      </c>
      <c r="P108" s="228">
        <f>'IS offshore'!P68*Stake_Bu1</f>
        <v>0</v>
      </c>
      <c r="Q108" s="228">
        <f>'IS offshore'!Q68*Stake_Bu1</f>
        <v>0</v>
      </c>
      <c r="R108" s="228">
        <f>'IS offshore'!R68*Stake_Bu1</f>
        <v>0</v>
      </c>
      <c r="S108" s="228">
        <f>'IS offshore'!S68*Stake_Bu1</f>
        <v>0</v>
      </c>
      <c r="T108" s="228">
        <f>'IS offshore'!T68*Stake_Bu1</f>
        <v>0</v>
      </c>
      <c r="U108" s="228">
        <f>'IS offshore'!U68*Stake_Bu1</f>
        <v>0</v>
      </c>
    </row>
    <row r="109" spans="3:21" hidden="1" outlineLevel="1">
      <c r="C109" s="183"/>
      <c r="D109" s="660" t="s">
        <v>876</v>
      </c>
      <c r="E109" s="185" t="str">
        <f t="shared" ref="E109:U109" si="102">IFERROR(E108/INDEX(108:108,MATCH(DATE(YEAR(E$18)-1,MONTH(E$18),DAY(E$18)),$18:$18,0))-1,"n.a.")</f>
        <v>n.a.</v>
      </c>
      <c r="F109" s="185" t="str">
        <f t="shared" si="102"/>
        <v>n.a.</v>
      </c>
      <c r="G109" s="185" t="str">
        <f t="shared" si="102"/>
        <v>n.a.</v>
      </c>
      <c r="H109" s="185" t="str">
        <f t="shared" si="102"/>
        <v>n.a.</v>
      </c>
      <c r="I109" s="185" t="str">
        <f t="shared" si="102"/>
        <v>n.a.</v>
      </c>
      <c r="J109" s="185" t="str">
        <f t="shared" si="102"/>
        <v>n.a.</v>
      </c>
      <c r="K109" s="185" t="str">
        <f t="shared" si="102"/>
        <v>n.a.</v>
      </c>
      <c r="L109" s="185" t="str">
        <f t="shared" si="102"/>
        <v>n.a.</v>
      </c>
      <c r="M109" s="185" t="str">
        <f t="shared" si="102"/>
        <v>n.a.</v>
      </c>
      <c r="N109" s="185" t="str">
        <f t="shared" si="102"/>
        <v>n.a.</v>
      </c>
      <c r="O109" s="185" t="str">
        <f t="shared" si="102"/>
        <v>n.a.</v>
      </c>
      <c r="P109" s="185" t="str">
        <f t="shared" si="102"/>
        <v>n.a.</v>
      </c>
      <c r="Q109" s="185" t="str">
        <f t="shared" si="102"/>
        <v>n.a.</v>
      </c>
      <c r="R109" s="185" t="str">
        <f t="shared" si="102"/>
        <v>n.a.</v>
      </c>
      <c r="S109" s="185" t="str">
        <f t="shared" si="102"/>
        <v>n.a.</v>
      </c>
      <c r="T109" s="185" t="str">
        <f t="shared" si="102"/>
        <v>n.a.</v>
      </c>
      <c r="U109" s="185" t="str">
        <f t="shared" si="102"/>
        <v>n.a.</v>
      </c>
    </row>
    <row r="110" spans="3:21" hidden="1" outlineLevel="1">
      <c r="C110" s="225"/>
      <c r="D110" s="361" t="str">
        <f>D$68</f>
        <v>Onshore</v>
      </c>
      <c r="E110" s="228">
        <f>'IS onshore'!E68*Stake_Bu2</f>
        <v>0</v>
      </c>
      <c r="F110" s="228">
        <f>'IS onshore'!F68*Stake_Bu2</f>
        <v>0</v>
      </c>
      <c r="G110" s="228">
        <f>'IS onshore'!G68*Stake_Bu2</f>
        <v>0</v>
      </c>
      <c r="H110" s="228">
        <f>'IS onshore'!H68*Stake_Bu2</f>
        <v>0</v>
      </c>
      <c r="I110" s="228">
        <f>'IS onshore'!I68*Stake_Bu2</f>
        <v>0</v>
      </c>
      <c r="J110" s="228">
        <f>'IS onshore'!J68*Stake_Bu2</f>
        <v>0</v>
      </c>
      <c r="K110" s="228">
        <f>'IS onshore'!K68*Stake_Bu2</f>
        <v>0</v>
      </c>
      <c r="L110" s="228">
        <f>'IS onshore'!L68*Stake_Bu2</f>
        <v>0</v>
      </c>
      <c r="M110" s="228">
        <f>'IS onshore'!M68*Stake_Bu2</f>
        <v>0</v>
      </c>
      <c r="N110" s="228">
        <f>'IS onshore'!N68*Stake_Bu2</f>
        <v>0</v>
      </c>
      <c r="O110" s="228">
        <f>'IS onshore'!O68*Stake_Bu2</f>
        <v>0</v>
      </c>
      <c r="P110" s="228">
        <f>'IS onshore'!P68*Stake_Bu2</f>
        <v>0</v>
      </c>
      <c r="Q110" s="228">
        <f>'IS onshore'!Q68*Stake_Bu2</f>
        <v>0</v>
      </c>
      <c r="R110" s="228">
        <f>'IS onshore'!R68*Stake_Bu2</f>
        <v>0</v>
      </c>
      <c r="S110" s="228">
        <f>'IS onshore'!S68*Stake_Bu2</f>
        <v>0</v>
      </c>
      <c r="T110" s="228">
        <f>'IS onshore'!T68*Stake_Bu2</f>
        <v>0</v>
      </c>
      <c r="U110" s="228">
        <f>'IS onshore'!U68*Stake_Bu2</f>
        <v>0</v>
      </c>
    </row>
    <row r="111" spans="3:21" hidden="1" outlineLevel="1">
      <c r="C111" s="183"/>
      <c r="D111" s="660" t="s">
        <v>876</v>
      </c>
      <c r="E111" s="185" t="str">
        <f t="shared" ref="E111:U111" si="103">IFERROR(E110/INDEX(110:110,MATCH(DATE(YEAR(E$18)-1,MONTH(E$18),DAY(E$18)),$18:$18,0))-1,"n.a.")</f>
        <v>n.a.</v>
      </c>
      <c r="F111" s="185" t="str">
        <f t="shared" si="103"/>
        <v>n.a.</v>
      </c>
      <c r="G111" s="185" t="str">
        <f t="shared" si="103"/>
        <v>n.a.</v>
      </c>
      <c r="H111" s="185" t="str">
        <f t="shared" si="103"/>
        <v>n.a.</v>
      </c>
      <c r="I111" s="185" t="str">
        <f t="shared" si="103"/>
        <v>n.a.</v>
      </c>
      <c r="J111" s="185" t="str">
        <f t="shared" si="103"/>
        <v>n.a.</v>
      </c>
      <c r="K111" s="185" t="str">
        <f t="shared" si="103"/>
        <v>n.a.</v>
      </c>
      <c r="L111" s="185" t="str">
        <f t="shared" si="103"/>
        <v>n.a.</v>
      </c>
      <c r="M111" s="185" t="str">
        <f t="shared" si="103"/>
        <v>n.a.</v>
      </c>
      <c r="N111" s="185" t="str">
        <f t="shared" si="103"/>
        <v>n.a.</v>
      </c>
      <c r="O111" s="185" t="str">
        <f t="shared" si="103"/>
        <v>n.a.</v>
      </c>
      <c r="P111" s="185" t="str">
        <f t="shared" si="103"/>
        <v>n.a.</v>
      </c>
      <c r="Q111" s="185" t="str">
        <f t="shared" si="103"/>
        <v>n.a.</v>
      </c>
      <c r="R111" s="185" t="str">
        <f t="shared" si="103"/>
        <v>n.a.</v>
      </c>
      <c r="S111" s="185" t="str">
        <f t="shared" si="103"/>
        <v>n.a.</v>
      </c>
      <c r="T111" s="185" t="str">
        <f t="shared" si="103"/>
        <v>n.a.</v>
      </c>
      <c r="U111" s="185" t="str">
        <f t="shared" si="103"/>
        <v>n.a.</v>
      </c>
    </row>
    <row r="112" spans="3:21" hidden="1" outlineLevel="1">
      <c r="C112" s="225"/>
      <c r="D112" s="361" t="str">
        <f>D$70</f>
        <v>Consolidation adjustment</v>
      </c>
      <c r="E112" s="229"/>
      <c r="F112" s="229"/>
      <c r="G112" s="229"/>
      <c r="H112" s="229"/>
      <c r="I112" s="229"/>
      <c r="J112" s="229"/>
      <c r="K112" s="229"/>
      <c r="L112" s="229"/>
      <c r="M112" s="229"/>
      <c r="N112" s="229"/>
      <c r="O112" s="229"/>
      <c r="P112" s="229"/>
      <c r="Q112" s="229"/>
      <c r="R112" s="229"/>
      <c r="S112" s="229"/>
      <c r="T112" s="229"/>
      <c r="U112" s="229"/>
    </row>
    <row r="113" spans="3:21" hidden="1" outlineLevel="1">
      <c r="C113" s="183"/>
      <c r="D113" s="660" t="s">
        <v>876</v>
      </c>
      <c r="E113" s="185" t="str">
        <f t="shared" ref="E113:U113" si="104">IFERROR(E112/INDEX(112:112,MATCH(DATE(YEAR(E$18)-1,MONTH(E$18),DAY(E$18)),$18:$18,0))-1,"n.a.")</f>
        <v>n.a.</v>
      </c>
      <c r="F113" s="185" t="str">
        <f t="shared" si="104"/>
        <v>n.a.</v>
      </c>
      <c r="G113" s="185" t="str">
        <f t="shared" si="104"/>
        <v>n.a.</v>
      </c>
      <c r="H113" s="185" t="str">
        <f t="shared" si="104"/>
        <v>n.a.</v>
      </c>
      <c r="I113" s="185" t="str">
        <f t="shared" si="104"/>
        <v>n.a.</v>
      </c>
      <c r="J113" s="185" t="str">
        <f t="shared" si="104"/>
        <v>n.a.</v>
      </c>
      <c r="K113" s="185" t="str">
        <f t="shared" si="104"/>
        <v>n.a.</v>
      </c>
      <c r="L113" s="185" t="str">
        <f t="shared" si="104"/>
        <v>n.a.</v>
      </c>
      <c r="M113" s="185" t="str">
        <f t="shared" si="104"/>
        <v>n.a.</v>
      </c>
      <c r="N113" s="185" t="str">
        <f t="shared" si="104"/>
        <v>n.a.</v>
      </c>
      <c r="O113" s="185" t="str">
        <f t="shared" si="104"/>
        <v>n.a.</v>
      </c>
      <c r="P113" s="185" t="str">
        <f t="shared" si="104"/>
        <v>n.a.</v>
      </c>
      <c r="Q113" s="185" t="str">
        <f t="shared" si="104"/>
        <v>n.a.</v>
      </c>
      <c r="R113" s="185" t="str">
        <f t="shared" si="104"/>
        <v>n.a.</v>
      </c>
      <c r="S113" s="185" t="str">
        <f t="shared" si="104"/>
        <v>n.a.</v>
      </c>
      <c r="T113" s="185" t="str">
        <f t="shared" si="104"/>
        <v>n.a.</v>
      </c>
      <c r="U113" s="185" t="str">
        <f t="shared" si="104"/>
        <v>n.a.</v>
      </c>
    </row>
    <row r="114" spans="3:21" hidden="1" outlineLevel="1">
      <c r="C114" s="109"/>
      <c r="D114" s="365"/>
      <c r="E114" s="230"/>
      <c r="F114" s="230"/>
      <c r="G114" s="240"/>
      <c r="H114" s="240"/>
      <c r="I114" s="240"/>
      <c r="J114" s="240"/>
      <c r="K114" s="232"/>
      <c r="L114" s="241"/>
      <c r="M114" s="241"/>
      <c r="N114" s="241"/>
      <c r="O114" s="241"/>
      <c r="P114" s="241"/>
      <c r="Q114" s="241"/>
      <c r="R114" s="241"/>
      <c r="S114" s="241"/>
      <c r="T114" s="241"/>
      <c r="U114" s="241"/>
    </row>
    <row r="115" spans="3:21" collapsed="1">
      <c r="C115" s="199" t="s">
        <v>3</v>
      </c>
      <c r="D115" s="662"/>
      <c r="E115" s="259">
        <f>E87+E97+E106</f>
        <v>0</v>
      </c>
      <c r="F115" s="259">
        <f t="shared" ref="F115:L115" si="105">F87+F97+F106</f>
        <v>0</v>
      </c>
      <c r="G115" s="259">
        <f t="shared" si="105"/>
        <v>0</v>
      </c>
      <c r="H115" s="259">
        <f t="shared" si="105"/>
        <v>0</v>
      </c>
      <c r="I115" s="259">
        <f t="shared" si="105"/>
        <v>0</v>
      </c>
      <c r="J115" s="259">
        <f t="shared" si="105"/>
        <v>0</v>
      </c>
      <c r="K115" s="259">
        <f>K87+K97+K106</f>
        <v>0</v>
      </c>
      <c r="L115" s="259">
        <f t="shared" si="105"/>
        <v>0</v>
      </c>
      <c r="M115" s="259">
        <f t="shared" ref="M115:U115" si="106">M87+M97+M106</f>
        <v>0</v>
      </c>
      <c r="N115" s="259">
        <f t="shared" si="106"/>
        <v>0</v>
      </c>
      <c r="O115" s="259">
        <f t="shared" si="106"/>
        <v>0</v>
      </c>
      <c r="P115" s="259">
        <f t="shared" si="106"/>
        <v>0</v>
      </c>
      <c r="Q115" s="259">
        <f t="shared" si="106"/>
        <v>0</v>
      </c>
      <c r="R115" s="259">
        <f t="shared" si="106"/>
        <v>0</v>
      </c>
      <c r="S115" s="259">
        <f t="shared" si="106"/>
        <v>0</v>
      </c>
      <c r="T115" s="259">
        <f t="shared" si="106"/>
        <v>0</v>
      </c>
      <c r="U115" s="259">
        <f t="shared" si="106"/>
        <v>0</v>
      </c>
    </row>
    <row r="116" spans="3:21">
      <c r="C116" s="183"/>
      <c r="D116" s="660" t="s">
        <v>876</v>
      </c>
      <c r="E116" s="185" t="str">
        <f t="shared" ref="E116:U116" si="107">IFERROR(E115/INDEX(115:115,MATCH(DATE(YEAR(E$18)-1,MONTH(E$18),DAY(E$18)),$18:$18,0))-1,"n.a.")</f>
        <v>n.a.</v>
      </c>
      <c r="F116" s="185" t="str">
        <f t="shared" si="107"/>
        <v>n.a.</v>
      </c>
      <c r="G116" s="185" t="str">
        <f t="shared" si="107"/>
        <v>n.a.</v>
      </c>
      <c r="H116" s="185" t="str">
        <f t="shared" si="107"/>
        <v>n.a.</v>
      </c>
      <c r="I116" s="185" t="str">
        <f t="shared" si="107"/>
        <v>n.a.</v>
      </c>
      <c r="J116" s="185" t="str">
        <f t="shared" si="107"/>
        <v>n.a.</v>
      </c>
      <c r="K116" s="185" t="str">
        <f t="shared" si="107"/>
        <v>n.a.</v>
      </c>
      <c r="L116" s="185" t="str">
        <f t="shared" si="107"/>
        <v>n.a.</v>
      </c>
      <c r="M116" s="185" t="str">
        <f t="shared" si="107"/>
        <v>n.a.</v>
      </c>
      <c r="N116" s="185" t="str">
        <f t="shared" si="107"/>
        <v>n.a.</v>
      </c>
      <c r="O116" s="185" t="str">
        <f t="shared" si="107"/>
        <v>n.a.</v>
      </c>
      <c r="P116" s="185" t="str">
        <f t="shared" si="107"/>
        <v>n.a.</v>
      </c>
      <c r="Q116" s="185" t="str">
        <f t="shared" si="107"/>
        <v>n.a.</v>
      </c>
      <c r="R116" s="185" t="str">
        <f t="shared" si="107"/>
        <v>n.a.</v>
      </c>
      <c r="S116" s="185" t="str">
        <f t="shared" si="107"/>
        <v>n.a.</v>
      </c>
      <c r="T116" s="185" t="str">
        <f t="shared" si="107"/>
        <v>n.a.</v>
      </c>
      <c r="U116" s="185" t="str">
        <f t="shared" si="107"/>
        <v>n.a.</v>
      </c>
    </row>
    <row r="117" spans="3:21">
      <c r="C117" s="183"/>
      <c r="D117" s="660" t="s">
        <v>882</v>
      </c>
      <c r="E117" s="185" t="e">
        <f t="shared" ref="E117:L117" si="108">E115/E$26</f>
        <v>#DIV/0!</v>
      </c>
      <c r="F117" s="185" t="e">
        <f t="shared" si="108"/>
        <v>#DIV/0!</v>
      </c>
      <c r="G117" s="185" t="e">
        <f t="shared" si="108"/>
        <v>#DIV/0!</v>
      </c>
      <c r="H117" s="185" t="e">
        <f t="shared" si="108"/>
        <v>#DIV/0!</v>
      </c>
      <c r="I117" s="185" t="e">
        <f t="shared" si="108"/>
        <v>#DIV/0!</v>
      </c>
      <c r="J117" s="185" t="e">
        <f t="shared" si="108"/>
        <v>#DIV/0!</v>
      </c>
      <c r="K117" s="185" t="e">
        <f t="shared" si="108"/>
        <v>#DIV/0!</v>
      </c>
      <c r="L117" s="185" t="e">
        <f t="shared" si="108"/>
        <v>#DIV/0!</v>
      </c>
      <c r="M117" s="185" t="e">
        <f t="shared" ref="M117:U117" si="109">M115/M$26</f>
        <v>#DIV/0!</v>
      </c>
      <c r="N117" s="185" t="e">
        <f t="shared" si="109"/>
        <v>#DIV/0!</v>
      </c>
      <c r="O117" s="185" t="e">
        <f t="shared" si="109"/>
        <v>#DIV/0!</v>
      </c>
      <c r="P117" s="185" t="e">
        <f t="shared" si="109"/>
        <v>#DIV/0!</v>
      </c>
      <c r="Q117" s="185" t="e">
        <f t="shared" si="109"/>
        <v>#DIV/0!</v>
      </c>
      <c r="R117" s="185" t="e">
        <f t="shared" si="109"/>
        <v>#DIV/0!</v>
      </c>
      <c r="S117" s="185" t="e">
        <f t="shared" si="109"/>
        <v>#DIV/0!</v>
      </c>
      <c r="T117" s="185" t="e">
        <f t="shared" si="109"/>
        <v>#DIV/0!</v>
      </c>
      <c r="U117" s="185" t="e">
        <f t="shared" si="109"/>
        <v>#DIV/0!</v>
      </c>
    </row>
    <row r="118" spans="3:21" outlineLevel="1">
      <c r="C118" s="11"/>
      <c r="D118" s="368"/>
      <c r="E118" s="36"/>
      <c r="F118" s="36"/>
      <c r="G118" s="36"/>
      <c r="H118" s="36"/>
      <c r="I118" s="36"/>
      <c r="J118" s="36"/>
      <c r="K118" s="242"/>
      <c r="L118" s="242"/>
      <c r="M118" s="242"/>
      <c r="N118" s="242"/>
      <c r="O118" s="242"/>
      <c r="P118" s="242"/>
      <c r="Q118" s="242"/>
      <c r="R118" s="242"/>
      <c r="S118" s="242"/>
      <c r="T118" s="242"/>
      <c r="U118" s="242"/>
    </row>
    <row r="119" spans="3:21">
      <c r="C119" s="180" t="s">
        <v>885</v>
      </c>
      <c r="D119" s="661"/>
      <c r="E119" s="227">
        <f>SUM(E120:E122)</f>
        <v>0</v>
      </c>
      <c r="F119" s="227">
        <f t="shared" ref="F119:U119" si="110">SUM(F120:F122)</f>
        <v>0</v>
      </c>
      <c r="G119" s="227">
        <f t="shared" si="110"/>
        <v>0</v>
      </c>
      <c r="H119" s="227">
        <f t="shared" si="110"/>
        <v>0</v>
      </c>
      <c r="I119" s="227">
        <f t="shared" si="110"/>
        <v>0</v>
      </c>
      <c r="J119" s="227">
        <f t="shared" ca="1" si="110"/>
        <v>0</v>
      </c>
      <c r="K119" s="227">
        <f ca="1">SUM(K120:K122)</f>
        <v>0</v>
      </c>
      <c r="L119" s="227">
        <f t="shared" ca="1" si="110"/>
        <v>0</v>
      </c>
      <c r="M119" s="227">
        <f t="shared" ca="1" si="110"/>
        <v>0</v>
      </c>
      <c r="N119" s="227">
        <f t="shared" ca="1" si="110"/>
        <v>0</v>
      </c>
      <c r="O119" s="227">
        <f t="shared" ca="1" si="110"/>
        <v>0</v>
      </c>
      <c r="P119" s="227">
        <f t="shared" ca="1" si="110"/>
        <v>0</v>
      </c>
      <c r="Q119" s="227">
        <f t="shared" si="110"/>
        <v>0</v>
      </c>
      <c r="R119" s="227">
        <f t="shared" si="110"/>
        <v>0</v>
      </c>
      <c r="S119" s="227">
        <f t="shared" si="110"/>
        <v>0</v>
      </c>
      <c r="T119" s="227">
        <f t="shared" si="110"/>
        <v>0</v>
      </c>
      <c r="U119" s="227">
        <f t="shared" si="110"/>
        <v>0</v>
      </c>
    </row>
    <row r="120" spans="3:21" outlineLevel="1">
      <c r="C120" s="180"/>
      <c r="D120" s="663" t="s">
        <v>1495</v>
      </c>
      <c r="E120" s="393">
        <f>'IS Holdco'!E52</f>
        <v>0</v>
      </c>
      <c r="F120" s="393">
        <f>'IS Holdco'!F52</f>
        <v>0</v>
      </c>
      <c r="G120" s="393">
        <f>'IS Holdco'!G52</f>
        <v>0</v>
      </c>
      <c r="H120" s="393">
        <f>'IS Holdco'!H52</f>
        <v>0</v>
      </c>
      <c r="I120" s="393">
        <f>'IS Holdco'!I52</f>
        <v>0</v>
      </c>
      <c r="J120" s="393">
        <f ca="1">'IS Holdco'!J52</f>
        <v>0</v>
      </c>
      <c r="K120" s="393">
        <f ca="1">'IS Holdco'!K52</f>
        <v>0</v>
      </c>
      <c r="L120" s="393">
        <f ca="1">'IS Holdco'!L52</f>
        <v>0</v>
      </c>
      <c r="M120" s="393">
        <f ca="1">'IS Holdco'!M52</f>
        <v>0</v>
      </c>
      <c r="N120" s="393">
        <f ca="1">'IS Holdco'!N52</f>
        <v>0</v>
      </c>
      <c r="O120" s="393">
        <f ca="1">'IS Holdco'!O52</f>
        <v>0</v>
      </c>
      <c r="P120" s="393">
        <f ca="1">'IS Holdco'!P52</f>
        <v>0</v>
      </c>
      <c r="Q120" s="393">
        <f>'IS Holdco'!Q52</f>
        <v>0</v>
      </c>
      <c r="R120" s="393">
        <f>'IS Holdco'!R52</f>
        <v>0</v>
      </c>
      <c r="S120" s="393">
        <f>'IS Holdco'!S52</f>
        <v>0</v>
      </c>
      <c r="T120" s="393">
        <f>'IS Holdco'!T52</f>
        <v>0</v>
      </c>
      <c r="U120" s="393">
        <f>'IS Holdco'!U52</f>
        <v>0</v>
      </c>
    </row>
    <row r="121" spans="3:21" outlineLevel="1">
      <c r="C121" s="180"/>
      <c r="D121" s="663" t="str">
        <f>D99</f>
        <v>Offshore</v>
      </c>
      <c r="E121" s="393">
        <f>'IS offshore'!E77*Stake_Bu1</f>
        <v>0</v>
      </c>
      <c r="F121" s="393">
        <f>'IS offshore'!F77*Stake_Bu1</f>
        <v>0</v>
      </c>
      <c r="G121" s="393">
        <f>'IS offshore'!G77*Stake_Bu1</f>
        <v>0</v>
      </c>
      <c r="H121" s="393">
        <f>'IS offshore'!H77*Stake_Bu1</f>
        <v>0</v>
      </c>
      <c r="I121" s="393">
        <f>'IS offshore'!I77*Stake_Bu1</f>
        <v>0</v>
      </c>
      <c r="J121" s="393">
        <f ca="1">'IS offshore'!J77*Stake_Bu1</f>
        <v>0</v>
      </c>
      <c r="K121" s="393">
        <f ca="1">'IS offshore'!K77*Stake_Bu1</f>
        <v>0</v>
      </c>
      <c r="L121" s="393">
        <f ca="1">'IS offshore'!L77*Stake_Bu1</f>
        <v>0</v>
      </c>
      <c r="M121" s="393">
        <f ca="1">'IS offshore'!M77*Stake_Bu1</f>
        <v>0</v>
      </c>
      <c r="N121" s="393">
        <f ca="1">'IS offshore'!N77*Stake_Bu1</f>
        <v>0</v>
      </c>
      <c r="O121" s="393">
        <f ca="1">'IS offshore'!O77*Stake_Bu1</f>
        <v>0</v>
      </c>
      <c r="P121" s="393">
        <f ca="1">'IS offshore'!P77*Stake_Bu1</f>
        <v>0</v>
      </c>
      <c r="Q121" s="393">
        <f>'IS offshore'!Q77*Stake_Bu1</f>
        <v>0</v>
      </c>
      <c r="R121" s="393">
        <f>'IS offshore'!R77*Stake_Bu1</f>
        <v>0</v>
      </c>
      <c r="S121" s="393">
        <f>'IS offshore'!S77*Stake_Bu1</f>
        <v>0</v>
      </c>
      <c r="T121" s="393">
        <f>'IS offshore'!T77*Stake_Bu1</f>
        <v>0</v>
      </c>
      <c r="U121" s="393">
        <f>'IS offshore'!U77*Stake_Bu1</f>
        <v>0</v>
      </c>
    </row>
    <row r="122" spans="3:21" outlineLevel="1">
      <c r="C122" s="180"/>
      <c r="D122" s="663" t="str">
        <f>D101</f>
        <v>Onshore</v>
      </c>
      <c r="E122" s="393">
        <f>'IS onshore'!E77*Stake_Bu2</f>
        <v>0</v>
      </c>
      <c r="F122" s="393">
        <f>'IS onshore'!F77*Stake_Bu2</f>
        <v>0</v>
      </c>
      <c r="G122" s="393">
        <f>'IS onshore'!G77*Stake_Bu2</f>
        <v>0</v>
      </c>
      <c r="H122" s="393">
        <f>'IS onshore'!H77*Stake_Bu2</f>
        <v>0</v>
      </c>
      <c r="I122" s="393">
        <f>'IS onshore'!I77*Stake_Bu2</f>
        <v>0</v>
      </c>
      <c r="J122" s="393">
        <f ca="1">'IS onshore'!J77*Stake_Bu2</f>
        <v>0</v>
      </c>
      <c r="K122" s="393">
        <f ca="1">'IS onshore'!K77*Stake_Bu2</f>
        <v>0</v>
      </c>
      <c r="L122" s="393">
        <f ca="1">'IS onshore'!L77*Stake_Bu2</f>
        <v>0</v>
      </c>
      <c r="M122" s="393">
        <f ca="1">'IS onshore'!M77*Stake_Bu2</f>
        <v>0</v>
      </c>
      <c r="N122" s="393">
        <f ca="1">'IS onshore'!N77*Stake_Bu2</f>
        <v>0</v>
      </c>
      <c r="O122" s="393">
        <f ca="1">'IS onshore'!O77*Stake_Bu2</f>
        <v>0</v>
      </c>
      <c r="P122" s="393">
        <f ca="1">'IS onshore'!P77*Stake_Bu2</f>
        <v>0</v>
      </c>
      <c r="Q122" s="393">
        <f>'IS onshore'!Q77*Stake_Bu2</f>
        <v>0</v>
      </c>
      <c r="R122" s="393">
        <f>'IS onshore'!R77*Stake_Bu2</f>
        <v>0</v>
      </c>
      <c r="S122" s="393">
        <f>'IS onshore'!S77*Stake_Bu2</f>
        <v>0</v>
      </c>
      <c r="T122" s="393">
        <f>'IS onshore'!T77*Stake_Bu2</f>
        <v>0</v>
      </c>
      <c r="U122" s="393">
        <f>'IS onshore'!U77*Stake_Bu2</f>
        <v>0</v>
      </c>
    </row>
    <row r="123" spans="3:21" outlineLevel="1">
      <c r="C123" s="218"/>
      <c r="D123" s="365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  <c r="O123" s="243"/>
      <c r="P123" s="243"/>
      <c r="Q123" s="243"/>
      <c r="R123" s="243"/>
      <c r="S123" s="243"/>
      <c r="T123" s="243"/>
      <c r="U123" s="243"/>
    </row>
    <row r="124" spans="3:21">
      <c r="C124" s="199" t="s">
        <v>886</v>
      </c>
      <c r="D124" s="662"/>
      <c r="E124" s="259">
        <f>E115+E119</f>
        <v>0</v>
      </c>
      <c r="F124" s="259">
        <f t="shared" ref="F124:L124" si="111">F115+F119</f>
        <v>0</v>
      </c>
      <c r="G124" s="259">
        <f t="shared" si="111"/>
        <v>0</v>
      </c>
      <c r="H124" s="259">
        <f t="shared" si="111"/>
        <v>0</v>
      </c>
      <c r="I124" s="259">
        <f t="shared" si="111"/>
        <v>0</v>
      </c>
      <c r="J124" s="259">
        <f t="shared" ca="1" si="111"/>
        <v>0</v>
      </c>
      <c r="K124" s="259">
        <f ca="1">K115+K119</f>
        <v>0</v>
      </c>
      <c r="L124" s="259">
        <f t="shared" ca="1" si="111"/>
        <v>0</v>
      </c>
      <c r="M124" s="259">
        <f t="shared" ref="M124:U124" ca="1" si="112">M115+M119</f>
        <v>0</v>
      </c>
      <c r="N124" s="259">
        <f t="shared" ca="1" si="112"/>
        <v>0</v>
      </c>
      <c r="O124" s="259">
        <f t="shared" ca="1" si="112"/>
        <v>0</v>
      </c>
      <c r="P124" s="259">
        <f t="shared" ca="1" si="112"/>
        <v>0</v>
      </c>
      <c r="Q124" s="259">
        <f t="shared" si="112"/>
        <v>0</v>
      </c>
      <c r="R124" s="259">
        <f t="shared" si="112"/>
        <v>0</v>
      </c>
      <c r="S124" s="259">
        <f t="shared" si="112"/>
        <v>0</v>
      </c>
      <c r="T124" s="259">
        <f t="shared" si="112"/>
        <v>0</v>
      </c>
      <c r="U124" s="259">
        <f t="shared" si="112"/>
        <v>0</v>
      </c>
    </row>
    <row r="125" spans="3:21">
      <c r="C125" s="183"/>
      <c r="D125" s="660" t="s">
        <v>876</v>
      </c>
      <c r="E125" s="185" t="str">
        <f t="shared" ref="E125:U125" si="113">IFERROR(E124/INDEX(124:124,MATCH(DATE(YEAR(E$18)-1,MONTH(E$18),DAY(E$18)),$18:$18,0))-1,"n.a.")</f>
        <v>n.a.</v>
      </c>
      <c r="F125" s="185" t="str">
        <f t="shared" si="113"/>
        <v>n.a.</v>
      </c>
      <c r="G125" s="185" t="str">
        <f t="shared" si="113"/>
        <v>n.a.</v>
      </c>
      <c r="H125" s="185" t="str">
        <f t="shared" si="113"/>
        <v>n.a.</v>
      </c>
      <c r="I125" s="185" t="str">
        <f t="shared" si="113"/>
        <v>n.a.</v>
      </c>
      <c r="J125" s="185" t="str">
        <f t="shared" ca="1" si="113"/>
        <v>n.a.</v>
      </c>
      <c r="K125" s="185" t="str">
        <f ca="1">IFERROR(K124/INDEX(124:124,MATCH(DATE(YEAR(K$18)-1,MONTH(K$18),DAY(K$18)),$18:$18,0))-1,"n.a.")</f>
        <v>n.a.</v>
      </c>
      <c r="L125" s="185" t="str">
        <f t="shared" ca="1" si="113"/>
        <v>n.a.</v>
      </c>
      <c r="M125" s="185" t="str">
        <f t="shared" ca="1" si="113"/>
        <v>n.a.</v>
      </c>
      <c r="N125" s="185" t="str">
        <f t="shared" ca="1" si="113"/>
        <v>n.a.</v>
      </c>
      <c r="O125" s="185" t="str">
        <f t="shared" ca="1" si="113"/>
        <v>n.a.</v>
      </c>
      <c r="P125" s="185" t="str">
        <f t="shared" ca="1" si="113"/>
        <v>n.a.</v>
      </c>
      <c r="Q125" s="185" t="str">
        <f t="shared" si="113"/>
        <v>n.a.</v>
      </c>
      <c r="R125" s="185" t="str">
        <f t="shared" si="113"/>
        <v>n.a.</v>
      </c>
      <c r="S125" s="185" t="str">
        <f t="shared" si="113"/>
        <v>n.a.</v>
      </c>
      <c r="T125" s="185" t="str">
        <f t="shared" si="113"/>
        <v>n.a.</v>
      </c>
      <c r="U125" s="185" t="str">
        <f t="shared" si="113"/>
        <v>n.a.</v>
      </c>
    </row>
    <row r="126" spans="3:21">
      <c r="C126" s="183"/>
      <c r="D126" s="660" t="s">
        <v>882</v>
      </c>
      <c r="E126" s="185" t="e">
        <f t="shared" ref="E126:L126" si="114">E124/E$26</f>
        <v>#DIV/0!</v>
      </c>
      <c r="F126" s="185" t="e">
        <f t="shared" si="114"/>
        <v>#DIV/0!</v>
      </c>
      <c r="G126" s="185" t="e">
        <f t="shared" si="114"/>
        <v>#DIV/0!</v>
      </c>
      <c r="H126" s="185" t="e">
        <f t="shared" si="114"/>
        <v>#DIV/0!</v>
      </c>
      <c r="I126" s="185" t="e">
        <f t="shared" si="114"/>
        <v>#DIV/0!</v>
      </c>
      <c r="J126" s="185" t="e">
        <f t="shared" ca="1" si="114"/>
        <v>#DIV/0!</v>
      </c>
      <c r="K126" s="185" t="e">
        <f ca="1">K124/K$26</f>
        <v>#DIV/0!</v>
      </c>
      <c r="L126" s="185" t="e">
        <f t="shared" ca="1" si="114"/>
        <v>#DIV/0!</v>
      </c>
      <c r="M126" s="185" t="e">
        <f t="shared" ref="M126:U126" ca="1" si="115">M124/M$26</f>
        <v>#DIV/0!</v>
      </c>
      <c r="N126" s="185" t="e">
        <f t="shared" ca="1" si="115"/>
        <v>#DIV/0!</v>
      </c>
      <c r="O126" s="185" t="e">
        <f t="shared" ca="1" si="115"/>
        <v>#DIV/0!</v>
      </c>
      <c r="P126" s="185" t="e">
        <f t="shared" ca="1" si="115"/>
        <v>#DIV/0!</v>
      </c>
      <c r="Q126" s="185" t="e">
        <f t="shared" si="115"/>
        <v>#DIV/0!</v>
      </c>
      <c r="R126" s="185" t="e">
        <f t="shared" si="115"/>
        <v>#DIV/0!</v>
      </c>
      <c r="S126" s="185" t="e">
        <f t="shared" si="115"/>
        <v>#DIV/0!</v>
      </c>
      <c r="T126" s="185" t="e">
        <f t="shared" si="115"/>
        <v>#DIV/0!</v>
      </c>
      <c r="U126" s="185" t="e">
        <f t="shared" si="115"/>
        <v>#DIV/0!</v>
      </c>
    </row>
    <row r="127" spans="3:21" s="38" customFormat="1" hidden="1" outlineLevel="1">
      <c r="C127" s="33"/>
      <c r="D127" s="368"/>
      <c r="E127" s="238"/>
      <c r="F127" s="238"/>
      <c r="G127" s="238"/>
      <c r="H127" s="238"/>
      <c r="I127" s="238"/>
      <c r="J127" s="238"/>
      <c r="K127" s="238"/>
      <c r="L127" s="244"/>
      <c r="M127" s="244"/>
      <c r="N127" s="244"/>
      <c r="O127" s="244"/>
      <c r="P127" s="244"/>
      <c r="Q127" s="244"/>
      <c r="R127" s="244"/>
      <c r="S127" s="244"/>
      <c r="T127" s="244"/>
      <c r="U127" s="244"/>
    </row>
    <row r="128" spans="3:21" collapsed="1">
      <c r="C128" s="180" t="s">
        <v>887</v>
      </c>
      <c r="D128" s="661"/>
      <c r="E128" s="227">
        <f>SUM(E130:E134)</f>
        <v>0</v>
      </c>
      <c r="F128" s="227">
        <f t="shared" ref="F128:L128" si="116">SUM(F130:F134)</f>
        <v>0</v>
      </c>
      <c r="G128" s="227">
        <f t="shared" si="116"/>
        <v>0</v>
      </c>
      <c r="H128" s="227">
        <f t="shared" si="116"/>
        <v>0</v>
      </c>
      <c r="I128" s="227">
        <f t="shared" si="116"/>
        <v>0</v>
      </c>
      <c r="J128" s="227">
        <f t="shared" ca="1" si="116"/>
        <v>0</v>
      </c>
      <c r="K128" s="227">
        <f ca="1">SUM(K130:K134)</f>
        <v>0</v>
      </c>
      <c r="L128" s="227">
        <f t="shared" ca="1" si="116"/>
        <v>0</v>
      </c>
      <c r="M128" s="227">
        <f t="shared" ref="M128:U128" ca="1" si="117">SUM(M130:M134)</f>
        <v>0</v>
      </c>
      <c r="N128" s="227">
        <f t="shared" ca="1" si="117"/>
        <v>0</v>
      </c>
      <c r="O128" s="227">
        <f t="shared" ca="1" si="117"/>
        <v>0</v>
      </c>
      <c r="P128" s="227">
        <f t="shared" ca="1" si="117"/>
        <v>0</v>
      </c>
      <c r="Q128" s="227">
        <f t="shared" si="117"/>
        <v>0</v>
      </c>
      <c r="R128" s="227">
        <f t="shared" si="117"/>
        <v>0</v>
      </c>
      <c r="S128" s="227">
        <f t="shared" si="117"/>
        <v>0</v>
      </c>
      <c r="T128" s="227">
        <f t="shared" si="117"/>
        <v>0</v>
      </c>
      <c r="U128" s="227">
        <f t="shared" si="117"/>
        <v>0</v>
      </c>
    </row>
    <row r="129" spans="3:21">
      <c r="C129" s="183"/>
      <c r="D129" s="660" t="s">
        <v>888</v>
      </c>
      <c r="E129" s="185" t="e">
        <f t="shared" ref="E129:F129" si="118">-E128/E124</f>
        <v>#DIV/0!</v>
      </c>
      <c r="F129" s="185" t="e">
        <f t="shared" si="118"/>
        <v>#DIV/0!</v>
      </c>
      <c r="G129" s="185" t="e">
        <f>-G128/G124</f>
        <v>#DIV/0!</v>
      </c>
      <c r="H129" s="185" t="e">
        <f>-H128/H124</f>
        <v>#DIV/0!</v>
      </c>
      <c r="I129" s="185" t="e">
        <f>-I128/I124</f>
        <v>#DIV/0!</v>
      </c>
      <c r="J129" s="185" t="e">
        <f ca="1">-J128/J124</f>
        <v>#DIV/0!</v>
      </c>
      <c r="K129" s="185" t="e">
        <f ca="1">-K128/K124</f>
        <v>#DIV/0!</v>
      </c>
      <c r="L129" s="185" t="e">
        <f t="shared" ref="L129" ca="1" si="119">-L128/L124</f>
        <v>#DIV/0!</v>
      </c>
      <c r="M129" s="185" t="e">
        <f t="shared" ref="M129:U129" ca="1" si="120">-M128/M124</f>
        <v>#DIV/0!</v>
      </c>
      <c r="N129" s="185" t="e">
        <f t="shared" ca="1" si="120"/>
        <v>#DIV/0!</v>
      </c>
      <c r="O129" s="185" t="e">
        <f t="shared" ca="1" si="120"/>
        <v>#DIV/0!</v>
      </c>
      <c r="P129" s="185" t="e">
        <f t="shared" ca="1" si="120"/>
        <v>#DIV/0!</v>
      </c>
      <c r="Q129" s="185" t="e">
        <f t="shared" si="120"/>
        <v>#DIV/0!</v>
      </c>
      <c r="R129" s="185" t="e">
        <f t="shared" si="120"/>
        <v>#DIV/0!</v>
      </c>
      <c r="S129" s="185" t="e">
        <f t="shared" si="120"/>
        <v>#DIV/0!</v>
      </c>
      <c r="T129" s="185" t="e">
        <f t="shared" si="120"/>
        <v>#DIV/0!</v>
      </c>
      <c r="U129" s="185" t="e">
        <f t="shared" si="120"/>
        <v>#DIV/0!</v>
      </c>
    </row>
    <row r="130" spans="3:21" s="186" customFormat="1" outlineLevel="1">
      <c r="D130" s="663" t="str">
        <f>BU1_name</f>
        <v>Offshore</v>
      </c>
      <c r="E130" s="393">
        <f>'IS offshore'!E83*Stake_Bu1</f>
        <v>0</v>
      </c>
      <c r="F130" s="393">
        <f>'IS offshore'!F83*Stake_Bu1</f>
        <v>0</v>
      </c>
      <c r="G130" s="393">
        <f>'IS offshore'!G83*Stake_Bu1</f>
        <v>0</v>
      </c>
      <c r="H130" s="393">
        <f>'IS offshore'!H83*Stake_Bu1</f>
        <v>0</v>
      </c>
      <c r="I130" s="393">
        <f>'IS offshore'!I83*Stake_Bu1</f>
        <v>0</v>
      </c>
      <c r="J130" s="393">
        <f ca="1">'IS offshore'!J83*Stake_Bu1</f>
        <v>0</v>
      </c>
      <c r="K130" s="393">
        <f ca="1">'IS offshore'!K83*Stake_Bu1</f>
        <v>0</v>
      </c>
      <c r="L130" s="393">
        <f ca="1">'IS offshore'!L83*Stake_Bu1</f>
        <v>0</v>
      </c>
      <c r="M130" s="393">
        <f ca="1">'IS offshore'!M83*Stake_Bu1</f>
        <v>0</v>
      </c>
      <c r="N130" s="393">
        <f ca="1">'IS offshore'!N83*Stake_Bu1</f>
        <v>0</v>
      </c>
      <c r="O130" s="393">
        <f ca="1">'IS offshore'!O83*Stake_Bu1</f>
        <v>0</v>
      </c>
      <c r="P130" s="245">
        <f ca="1">'IS offshore'!P83*Stake_Bu1</f>
        <v>0</v>
      </c>
      <c r="Q130" s="245">
        <f>'IS offshore'!Q83*Stake_Bu1</f>
        <v>0</v>
      </c>
      <c r="R130" s="245">
        <f>'IS offshore'!R83*Stake_Bu1</f>
        <v>0</v>
      </c>
      <c r="S130" s="245">
        <f>'IS offshore'!S83*Stake_Bu1</f>
        <v>0</v>
      </c>
      <c r="T130" s="245">
        <f>'IS offshore'!T83*Stake_Bu1</f>
        <v>0</v>
      </c>
      <c r="U130" s="245">
        <f>'IS offshore'!U83*Stake_Bu1</f>
        <v>0</v>
      </c>
    </row>
    <row r="131" spans="3:21" s="186" customFormat="1" outlineLevel="1">
      <c r="D131" s="663" t="str">
        <f>BU2_name</f>
        <v>Onshore</v>
      </c>
      <c r="E131" s="393">
        <f>'IS onshore'!E83*Stake_Bu2</f>
        <v>0</v>
      </c>
      <c r="F131" s="393">
        <f>'IS onshore'!F83*Stake_Bu2</f>
        <v>0</v>
      </c>
      <c r="G131" s="393">
        <f>'IS onshore'!G83*Stake_Bu2</f>
        <v>0</v>
      </c>
      <c r="H131" s="393">
        <f>'IS onshore'!H83*Stake_Bu2</f>
        <v>0</v>
      </c>
      <c r="I131" s="393">
        <f>'IS onshore'!I83*Stake_Bu2</f>
        <v>0</v>
      </c>
      <c r="J131" s="393">
        <f ca="1">'IS onshore'!J83*Stake_Bu2</f>
        <v>0</v>
      </c>
      <c r="K131" s="393">
        <f ca="1">'IS onshore'!K83*Stake_Bu2</f>
        <v>0</v>
      </c>
      <c r="L131" s="393">
        <f ca="1">'IS onshore'!L83*Stake_Bu2</f>
        <v>0</v>
      </c>
      <c r="M131" s="393">
        <f ca="1">'IS onshore'!M83*Stake_Bu2</f>
        <v>0</v>
      </c>
      <c r="N131" s="393">
        <f ca="1">'IS onshore'!N83*Stake_Bu2</f>
        <v>0</v>
      </c>
      <c r="O131" s="393">
        <f ca="1">'IS onshore'!O83*Stake_Bu2</f>
        <v>0</v>
      </c>
      <c r="P131" s="393">
        <f ca="1">'IS onshore'!P83*Stake_Bu2</f>
        <v>0</v>
      </c>
      <c r="Q131" s="393">
        <f>'IS onshore'!Q83*Stake_Bu2</f>
        <v>0</v>
      </c>
      <c r="R131" s="393">
        <f>'IS onshore'!R83*Stake_Bu2</f>
        <v>0</v>
      </c>
      <c r="S131" s="393">
        <f>'IS onshore'!S83*Stake_Bu2</f>
        <v>0</v>
      </c>
      <c r="T131" s="393">
        <f>'IS onshore'!T83*Stake_Bu2</f>
        <v>0</v>
      </c>
      <c r="U131" s="393">
        <f>'IS onshore'!U83*Stake_Bu2</f>
        <v>0</v>
      </c>
    </row>
    <row r="132" spans="3:21" s="186" customFormat="1" outlineLevel="1">
      <c r="D132" s="663" t="s">
        <v>37</v>
      </c>
      <c r="E132" s="393"/>
      <c r="F132" s="393"/>
      <c r="G132" s="393"/>
      <c r="H132" s="393"/>
      <c r="I132" s="393"/>
      <c r="J132" s="393"/>
      <c r="K132" s="393"/>
      <c r="L132" s="393"/>
      <c r="M132" s="393"/>
      <c r="N132" s="393"/>
      <c r="O132" s="393"/>
      <c r="P132" s="246"/>
      <c r="Q132" s="246"/>
      <c r="R132" s="246"/>
      <c r="S132" s="246"/>
      <c r="T132" s="246"/>
      <c r="U132" s="246"/>
    </row>
    <row r="133" spans="3:21" s="186" customFormat="1" outlineLevel="1" collapsed="1">
      <c r="D133" s="663" t="s">
        <v>708</v>
      </c>
      <c r="E133" s="393">
        <f>'IS Holdco'!E58</f>
        <v>0</v>
      </c>
      <c r="F133" s="393">
        <f>'IS Holdco'!F58</f>
        <v>0</v>
      </c>
      <c r="G133" s="393">
        <f>'IS Holdco'!G58</f>
        <v>0</v>
      </c>
      <c r="H133" s="393">
        <f>'IS Holdco'!H58</f>
        <v>0</v>
      </c>
      <c r="I133" s="393">
        <f>'IS Holdco'!I58</f>
        <v>0</v>
      </c>
      <c r="J133" s="393">
        <f ca="1">'IS Holdco'!J58</f>
        <v>0</v>
      </c>
      <c r="K133" s="393">
        <f ca="1">'IS Holdco'!K58</f>
        <v>0</v>
      </c>
      <c r="L133" s="393">
        <f ca="1">'IS Holdco'!L58</f>
        <v>0</v>
      </c>
      <c r="M133" s="393">
        <f ca="1">'IS Holdco'!M58</f>
        <v>0</v>
      </c>
      <c r="N133" s="393">
        <f ca="1">'IS Holdco'!N58</f>
        <v>0</v>
      </c>
      <c r="O133" s="393">
        <f ca="1">'IS Holdco'!O58</f>
        <v>0</v>
      </c>
      <c r="P133" s="393">
        <f ca="1">'IS Holdco'!P58</f>
        <v>0</v>
      </c>
      <c r="Q133" s="393">
        <f>'IS Holdco'!Q58</f>
        <v>0</v>
      </c>
      <c r="R133" s="393">
        <f>'IS Holdco'!R58</f>
        <v>0</v>
      </c>
      <c r="S133" s="393">
        <f>'IS Holdco'!S58</f>
        <v>0</v>
      </c>
      <c r="T133" s="393">
        <f>'IS Holdco'!T58</f>
        <v>0</v>
      </c>
      <c r="U133" s="393">
        <f>'IS Holdco'!U58</f>
        <v>0</v>
      </c>
    </row>
    <row r="134" spans="3:21" s="186" customFormat="1" outlineLevel="1">
      <c r="D134" s="663" t="s">
        <v>889</v>
      </c>
      <c r="E134" s="393"/>
      <c r="F134" s="393"/>
      <c r="G134" s="393"/>
      <c r="H134" s="393"/>
      <c r="I134" s="393"/>
      <c r="J134" s="393"/>
      <c r="K134" s="393"/>
      <c r="L134" s="393"/>
      <c r="M134" s="393"/>
      <c r="N134" s="393"/>
      <c r="O134" s="393"/>
      <c r="P134" s="247">
        <f ca="1">P9*SUMIF('Financial Quarterly offshore'!7:7,'IS consol'!P10,'Financial Quarterly offshore'!91:91)</f>
        <v>0</v>
      </c>
      <c r="Q134" s="247">
        <f>Q9*SUMIF('Financial Quarterly offshore'!7:7,'IS consol'!Q10,'Financial Quarterly offshore'!91:91)</f>
        <v>0</v>
      </c>
      <c r="R134" s="247">
        <f>R9*SUMIF('Financial Quarterly offshore'!7:7,'IS consol'!R10,'Financial Quarterly offshore'!91:91)</f>
        <v>0</v>
      </c>
      <c r="S134" s="247">
        <f>S9*SUMIF('Financial Quarterly offshore'!7:7,'IS consol'!S10,'Financial Quarterly offshore'!91:91)</f>
        <v>0</v>
      </c>
      <c r="T134" s="247">
        <f>T9*SUMIF('Financial Quarterly offshore'!7:7,'IS consol'!T10,'Financial Quarterly offshore'!91:91)</f>
        <v>0</v>
      </c>
      <c r="U134" s="247">
        <f>U9*SUMIF('Financial Quarterly offshore'!7:7,'IS consol'!U10,'Financial Quarterly offshore'!91:91)</f>
        <v>0</v>
      </c>
    </row>
    <row r="135" spans="3:21" s="38" customFormat="1" outlineLevel="1" collapsed="1">
      <c r="D135" s="365"/>
      <c r="E135" s="248"/>
      <c r="F135" s="248"/>
      <c r="G135" s="248"/>
      <c r="H135" s="248"/>
      <c r="I135" s="248"/>
      <c r="J135" s="248"/>
      <c r="K135" s="249"/>
      <c r="L135" s="250"/>
      <c r="M135" s="250"/>
      <c r="N135" s="250"/>
      <c r="O135" s="250"/>
      <c r="P135" s="250"/>
      <c r="Q135" s="250"/>
      <c r="R135" s="250"/>
      <c r="S135" s="250"/>
      <c r="T135" s="250"/>
      <c r="U135" s="250"/>
    </row>
    <row r="136" spans="3:21" s="38" customFormat="1" outlineLevel="1">
      <c r="D136" s="365"/>
      <c r="E136" s="248"/>
      <c r="F136" s="248"/>
      <c r="G136" s="248"/>
      <c r="H136" s="248"/>
      <c r="I136" s="248"/>
      <c r="J136" s="248"/>
      <c r="K136" s="249"/>
      <c r="L136" s="251"/>
      <c r="M136" s="251"/>
      <c r="N136" s="251"/>
      <c r="O136" s="251"/>
      <c r="P136" s="251"/>
      <c r="Q136" s="251"/>
      <c r="R136" s="251"/>
      <c r="S136" s="251"/>
      <c r="T136" s="251"/>
      <c r="U136" s="251"/>
    </row>
    <row r="137" spans="3:21" s="38" customFormat="1" outlineLevel="1">
      <c r="D137" s="365"/>
      <c r="E137" s="248"/>
      <c r="F137" s="248"/>
      <c r="G137" s="248"/>
      <c r="H137" s="248"/>
      <c r="I137" s="248"/>
      <c r="J137" s="248"/>
      <c r="K137" s="249"/>
      <c r="L137" s="251"/>
      <c r="M137" s="251"/>
      <c r="N137" s="251"/>
      <c r="O137" s="251"/>
      <c r="P137" s="251"/>
      <c r="Q137" s="251"/>
      <c r="R137" s="251"/>
      <c r="S137" s="251"/>
      <c r="T137" s="251"/>
      <c r="U137" s="251"/>
    </row>
    <row r="138" spans="3:21" outlineLevel="1">
      <c r="C138" s="217" t="s">
        <v>21</v>
      </c>
      <c r="D138" s="365"/>
      <c r="E138" s="252">
        <v>0</v>
      </c>
      <c r="F138" s="252">
        <v>0</v>
      </c>
      <c r="G138" s="252">
        <v>0</v>
      </c>
      <c r="H138" s="252">
        <v>0</v>
      </c>
      <c r="I138" s="252">
        <v>0</v>
      </c>
      <c r="J138" s="252">
        <v>0</v>
      </c>
      <c r="K138" s="252">
        <v>0</v>
      </c>
      <c r="L138" s="252">
        <v>0</v>
      </c>
      <c r="M138" s="252">
        <v>0</v>
      </c>
      <c r="N138" s="252">
        <v>0</v>
      </c>
      <c r="O138" s="252">
        <v>0</v>
      </c>
      <c r="P138" s="252">
        <v>0</v>
      </c>
      <c r="Q138" s="252">
        <v>0</v>
      </c>
      <c r="R138" s="252">
        <v>0</v>
      </c>
      <c r="S138" s="252">
        <v>0</v>
      </c>
      <c r="T138" s="252">
        <v>0</v>
      </c>
      <c r="U138" s="252">
        <v>0</v>
      </c>
    </row>
    <row r="139" spans="3:21" outlineLevel="1">
      <c r="C139" s="109"/>
      <c r="D139" s="365"/>
      <c r="E139" s="230"/>
      <c r="F139" s="230"/>
      <c r="G139" s="240"/>
      <c r="H139" s="240"/>
      <c r="I139" s="240"/>
      <c r="J139" s="240"/>
      <c r="K139" s="253"/>
      <c r="L139" s="230"/>
      <c r="M139" s="230"/>
      <c r="N139" s="230"/>
      <c r="O139" s="230"/>
      <c r="P139" s="230"/>
      <c r="Q139" s="230"/>
      <c r="R139" s="230"/>
      <c r="S139" s="230"/>
      <c r="T139" s="230"/>
      <c r="U139" s="230"/>
    </row>
    <row r="140" spans="3:21">
      <c r="C140" s="195" t="s">
        <v>1008</v>
      </c>
      <c r="D140" s="664"/>
      <c r="E140" s="260">
        <f t="shared" ref="E140:L140" si="121">E124+E128+E138</f>
        <v>0</v>
      </c>
      <c r="F140" s="260">
        <f t="shared" si="121"/>
        <v>0</v>
      </c>
      <c r="G140" s="260">
        <f t="shared" si="121"/>
        <v>0</v>
      </c>
      <c r="H140" s="260">
        <f t="shared" si="121"/>
        <v>0</v>
      </c>
      <c r="I140" s="260">
        <f t="shared" si="121"/>
        <v>0</v>
      </c>
      <c r="J140" s="260">
        <f t="shared" ca="1" si="121"/>
        <v>0</v>
      </c>
      <c r="K140" s="260">
        <f t="shared" ca="1" si="121"/>
        <v>0</v>
      </c>
      <c r="L140" s="260">
        <f t="shared" ca="1" si="121"/>
        <v>0</v>
      </c>
      <c r="M140" s="260">
        <f t="shared" ref="M140:U140" ca="1" si="122">M124+M128+M138</f>
        <v>0</v>
      </c>
      <c r="N140" s="260">
        <f t="shared" ca="1" si="122"/>
        <v>0</v>
      </c>
      <c r="O140" s="260">
        <f t="shared" ca="1" si="122"/>
        <v>0</v>
      </c>
      <c r="P140" s="260">
        <f t="shared" ca="1" si="122"/>
        <v>0</v>
      </c>
      <c r="Q140" s="260">
        <f t="shared" si="122"/>
        <v>0</v>
      </c>
      <c r="R140" s="260">
        <f t="shared" si="122"/>
        <v>0</v>
      </c>
      <c r="S140" s="260">
        <f t="shared" si="122"/>
        <v>0</v>
      </c>
      <c r="T140" s="260">
        <f t="shared" si="122"/>
        <v>0</v>
      </c>
      <c r="U140" s="260">
        <f t="shared" si="122"/>
        <v>0</v>
      </c>
    </row>
    <row r="141" spans="3:21">
      <c r="C141" s="183"/>
      <c r="D141" s="660" t="s">
        <v>876</v>
      </c>
      <c r="E141" s="185" t="str">
        <f t="shared" ref="E141:U141" si="123">IFERROR(E140/INDEX(140:140,MATCH(DATE(YEAR(E$18)-1,MONTH(E$18),DAY(E$18)),$18:$18,0))-1,"n.a.")</f>
        <v>n.a.</v>
      </c>
      <c r="F141" s="185" t="str">
        <f t="shared" si="123"/>
        <v>n.a.</v>
      </c>
      <c r="G141" s="185" t="str">
        <f t="shared" si="123"/>
        <v>n.a.</v>
      </c>
      <c r="H141" s="185" t="str">
        <f t="shared" si="123"/>
        <v>n.a.</v>
      </c>
      <c r="I141" s="185" t="str">
        <f t="shared" si="123"/>
        <v>n.a.</v>
      </c>
      <c r="J141" s="185" t="str">
        <f t="shared" ca="1" si="123"/>
        <v>n.a.</v>
      </c>
      <c r="K141" s="185" t="str">
        <f t="shared" ca="1" si="123"/>
        <v>n.a.</v>
      </c>
      <c r="L141" s="185" t="str">
        <f t="shared" ca="1" si="123"/>
        <v>n.a.</v>
      </c>
      <c r="M141" s="185" t="str">
        <f t="shared" ca="1" si="123"/>
        <v>n.a.</v>
      </c>
      <c r="N141" s="185" t="str">
        <f t="shared" ca="1" si="123"/>
        <v>n.a.</v>
      </c>
      <c r="O141" s="185" t="str">
        <f t="shared" ca="1" si="123"/>
        <v>n.a.</v>
      </c>
      <c r="P141" s="185" t="str">
        <f t="shared" ca="1" si="123"/>
        <v>n.a.</v>
      </c>
      <c r="Q141" s="185" t="str">
        <f t="shared" si="123"/>
        <v>n.a.</v>
      </c>
      <c r="R141" s="185" t="str">
        <f t="shared" si="123"/>
        <v>n.a.</v>
      </c>
      <c r="S141" s="185" t="str">
        <f t="shared" si="123"/>
        <v>n.a.</v>
      </c>
      <c r="T141" s="185" t="str">
        <f t="shared" si="123"/>
        <v>n.a.</v>
      </c>
      <c r="U141" s="185" t="str">
        <f t="shared" si="123"/>
        <v>n.a.</v>
      </c>
    </row>
    <row r="142" spans="3:21">
      <c r="C142" s="183"/>
      <c r="D142" s="660" t="s">
        <v>882</v>
      </c>
      <c r="E142" s="185" t="e">
        <f t="shared" ref="E142:L142" si="124">E140/E$26</f>
        <v>#DIV/0!</v>
      </c>
      <c r="F142" s="185" t="e">
        <f t="shared" si="124"/>
        <v>#DIV/0!</v>
      </c>
      <c r="G142" s="185" t="e">
        <f t="shared" si="124"/>
        <v>#DIV/0!</v>
      </c>
      <c r="H142" s="185" t="e">
        <f t="shared" si="124"/>
        <v>#DIV/0!</v>
      </c>
      <c r="I142" s="185" t="e">
        <f t="shared" si="124"/>
        <v>#DIV/0!</v>
      </c>
      <c r="J142" s="185" t="e">
        <f t="shared" ca="1" si="124"/>
        <v>#DIV/0!</v>
      </c>
      <c r="K142" s="185" t="e">
        <f t="shared" ca="1" si="124"/>
        <v>#DIV/0!</v>
      </c>
      <c r="L142" s="185" t="e">
        <f t="shared" ca="1" si="124"/>
        <v>#DIV/0!</v>
      </c>
      <c r="M142" s="185" t="e">
        <f t="shared" ref="M142:U142" ca="1" si="125">M140/M$26</f>
        <v>#DIV/0!</v>
      </c>
      <c r="N142" s="185" t="e">
        <f t="shared" ca="1" si="125"/>
        <v>#DIV/0!</v>
      </c>
      <c r="O142" s="185" t="e">
        <f t="shared" ca="1" si="125"/>
        <v>#DIV/0!</v>
      </c>
      <c r="P142" s="185" t="e">
        <f t="shared" ca="1" si="125"/>
        <v>#DIV/0!</v>
      </c>
      <c r="Q142" s="185" t="e">
        <f t="shared" si="125"/>
        <v>#DIV/0!</v>
      </c>
      <c r="R142" s="185" t="e">
        <f t="shared" si="125"/>
        <v>#DIV/0!</v>
      </c>
      <c r="S142" s="185" t="e">
        <f t="shared" si="125"/>
        <v>#DIV/0!</v>
      </c>
      <c r="T142" s="185" t="e">
        <f t="shared" si="125"/>
        <v>#DIV/0!</v>
      </c>
      <c r="U142" s="185" t="e">
        <f t="shared" si="125"/>
        <v>#DIV/0!</v>
      </c>
    </row>
    <row r="143" spans="3:21" hidden="1" outlineLevel="1">
      <c r="C143" s="109"/>
      <c r="D143" s="368"/>
      <c r="E143" s="36"/>
      <c r="F143" s="36"/>
      <c r="G143" s="36"/>
      <c r="H143" s="36"/>
      <c r="I143" s="36"/>
      <c r="J143" s="36"/>
      <c r="K143" s="242"/>
      <c r="L143" s="242"/>
      <c r="M143" s="242"/>
      <c r="N143" s="242"/>
      <c r="O143" s="242"/>
      <c r="P143" s="242"/>
      <c r="Q143" s="242"/>
      <c r="R143" s="242"/>
      <c r="S143" s="242"/>
      <c r="T143" s="242"/>
      <c r="U143" s="242"/>
    </row>
    <row r="144" spans="3:21" collapsed="1">
      <c r="C144" s="195" t="s">
        <v>1063</v>
      </c>
      <c r="D144" s="664"/>
      <c r="E144" s="260"/>
      <c r="F144" s="260">
        <f ca="1">NOT(F8)*(F140-('BS consol'!F161-'BS consol'!E161))</f>
        <v>0</v>
      </c>
      <c r="G144" s="260">
        <f ca="1">NOT(G8)*(G140-('BS consol'!G161-'BS consol'!F161))</f>
        <v>0</v>
      </c>
      <c r="H144" s="260">
        <f ca="1">NOT(H8)*(H140-('BS consol'!H161-'BS consol'!G161))</f>
        <v>0</v>
      </c>
      <c r="I144" s="260">
        <f ca="1">NOT(I8)*(I140-('BS consol'!I161-'BS consol'!H161))</f>
        <v>0</v>
      </c>
      <c r="J144" s="260">
        <f ca="1">NOT(J8)*(J140-('BS consol'!J161-'BS consol'!I161))</f>
        <v>0</v>
      </c>
      <c r="K144" s="260">
        <f ca="1">NOT(K8)*(K140-('BS consol'!K161-'BS consol'!J161))</f>
        <v>0</v>
      </c>
      <c r="L144" s="260">
        <f ca="1">NOT(L8)*(L140-('BS consol'!L161-'BS consol'!K161))</f>
        <v>0</v>
      </c>
      <c r="M144" s="260">
        <f ca="1">NOT(M8)*(M140-('BS consol'!M161-'BS consol'!L161))</f>
        <v>0</v>
      </c>
      <c r="N144" s="260">
        <f ca="1">NOT(N8)*(N140-('BS consol'!N161-'BS consol'!M161))</f>
        <v>0</v>
      </c>
      <c r="O144" s="260">
        <f ca="1">NOT(O8)*(O140-('BS consol'!O161-'BS consol'!N161))</f>
        <v>0</v>
      </c>
      <c r="P144" s="260">
        <f ca="1">NOT(P8)*(P140-('BS consol'!P161-'BS consol'!O161))</f>
        <v>0</v>
      </c>
      <c r="Q144" s="260">
        <f ca="1">NOT(Q8)*(Q140-('BS consol'!Q161-'BS consol'!P161))</f>
        <v>372544000</v>
      </c>
      <c r="R144" s="260">
        <f ca="1">NOT(R8)*(R140-('BS consol'!R161-'BS consol'!Q161))</f>
        <v>0</v>
      </c>
      <c r="S144" s="260">
        <f>NOT(S8)*(S140-('BS consol'!S161-'BS consol'!R161))</f>
        <v>0</v>
      </c>
      <c r="T144" s="260">
        <f>NOT(T8)*(T140-('BS consol'!T161-'BS consol'!S161))</f>
        <v>0</v>
      </c>
      <c r="U144" s="260">
        <f>NOT(U8)*(U140-('BS consol'!U161-'BS consol'!T161))</f>
        <v>0</v>
      </c>
    </row>
    <row r="145" spans="3:21">
      <c r="C145" s="183"/>
      <c r="D145" s="221" t="s">
        <v>890</v>
      </c>
      <c r="E145" s="185" t="e">
        <f t="shared" ref="E145:K145" si="126">E144/E140</f>
        <v>#DIV/0!</v>
      </c>
      <c r="F145" s="185" t="e">
        <f t="shared" ca="1" si="126"/>
        <v>#DIV/0!</v>
      </c>
      <c r="G145" s="185" t="e">
        <f t="shared" ca="1" si="126"/>
        <v>#DIV/0!</v>
      </c>
      <c r="H145" s="185" t="e">
        <f t="shared" ca="1" si="126"/>
        <v>#DIV/0!</v>
      </c>
      <c r="I145" s="185" t="e">
        <f t="shared" ca="1" si="126"/>
        <v>#DIV/0!</v>
      </c>
      <c r="J145" s="185" t="e">
        <f t="shared" ca="1" si="126"/>
        <v>#DIV/0!</v>
      </c>
      <c r="K145" s="185" t="e">
        <f t="shared" ca="1" si="126"/>
        <v>#DIV/0!</v>
      </c>
      <c r="L145" s="185" t="e">
        <f ca="1">L144/L140</f>
        <v>#DIV/0!</v>
      </c>
      <c r="M145" s="185" t="e">
        <f t="shared" ref="M145:U145" ca="1" si="127">M144/M140</f>
        <v>#DIV/0!</v>
      </c>
      <c r="N145" s="185" t="e">
        <f t="shared" ca="1" si="127"/>
        <v>#DIV/0!</v>
      </c>
      <c r="O145" s="185" t="e">
        <f t="shared" ca="1" si="127"/>
        <v>#DIV/0!</v>
      </c>
      <c r="P145" s="185" t="e">
        <f t="shared" ca="1" si="127"/>
        <v>#DIV/0!</v>
      </c>
      <c r="Q145" s="185" t="e">
        <f t="shared" ca="1" si="127"/>
        <v>#DIV/0!</v>
      </c>
      <c r="R145" s="185" t="e">
        <f t="shared" ca="1" si="127"/>
        <v>#DIV/0!</v>
      </c>
      <c r="S145" s="185" t="e">
        <f t="shared" si="127"/>
        <v>#DIV/0!</v>
      </c>
      <c r="T145" s="185" t="e">
        <f t="shared" si="127"/>
        <v>#DIV/0!</v>
      </c>
      <c r="U145" s="185" t="e">
        <f t="shared" si="127"/>
        <v>#DIV/0!</v>
      </c>
    </row>
  </sheetData>
  <phoneticPr fontId="3" type="noConversion"/>
  <conditionalFormatting sqref="E5:AC9">
    <cfRule type="cellIs" dxfId="131" priority="3" operator="equal">
      <formula>TRUE</formula>
    </cfRule>
  </conditionalFormatting>
  <pageMargins left="0.7" right="0.7" top="0.75" bottom="0.75" header="0.3" footer="0.3"/>
  <pageSetup paperSize="9" scale="42" fitToHeight="0" orientation="portrait" r:id="rId1"/>
  <colBreaks count="1" manualBreakCount="1">
    <brk id="15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7042" r:id="rId4" name="Drop Down 2">
              <controlPr defaultSize="0" autoLine="0" autoPict="0">
                <anchor moveWithCells="1">
                  <from>
                    <xdr:col>4</xdr:col>
                    <xdr:colOff>73152</xdr:colOff>
                    <xdr:row>0</xdr:row>
                    <xdr:rowOff>173736</xdr:rowOff>
                  </from>
                  <to>
                    <xdr:col>5</xdr:col>
                    <xdr:colOff>338328</xdr:colOff>
                    <xdr:row>15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theme="0"/>
    <pageSetUpPr fitToPage="1"/>
  </sheetPr>
  <dimension ref="A1:AC179"/>
  <sheetViews>
    <sheetView view="pageBreakPreview" topLeftCell="A55" zoomScale="85" zoomScaleNormal="90" zoomScaleSheetLayoutView="85" workbookViewId="0">
      <selection activeCell="J51" sqref="J51"/>
    </sheetView>
  </sheetViews>
  <sheetFormatPr defaultColWidth="9.140625" defaultRowHeight="13" outlineLevelRow="1" outlineLevelCol="1"/>
  <cols>
    <col min="1" max="1" width="1.7109375" style="32" customWidth="1"/>
    <col min="2" max="2" width="2.5703125" style="32" customWidth="1"/>
    <col min="3" max="3" width="4.85546875" style="32" customWidth="1"/>
    <col min="4" max="4" width="27.42578125" style="32" customWidth="1"/>
    <col min="5" max="5" width="14.5703125" style="32" customWidth="1"/>
    <col min="6" max="8" width="14" style="32" customWidth="1"/>
    <col min="9" max="9" width="16.28515625" style="32" bestFit="1" customWidth="1"/>
    <col min="10" max="10" width="16.28515625" style="32" bestFit="1" customWidth="1" outlineLevel="1"/>
    <col min="11" max="11" width="22.85546875" style="32" bestFit="1" customWidth="1" outlineLevel="1"/>
    <col min="12" max="13" width="15.85546875" style="32" customWidth="1"/>
    <col min="14" max="15" width="15.85546875" style="32" customWidth="1" outlineLevel="1"/>
    <col min="16" max="16" width="14" style="32" customWidth="1" outlineLevel="1"/>
    <col min="17" max="17" width="15" style="32" customWidth="1" outlineLevel="1"/>
    <col min="18" max="18" width="10.42578125" style="32" customWidth="1" outlineLevel="1"/>
    <col min="19" max="19" width="11.5703125" style="32" customWidth="1" outlineLevel="1"/>
    <col min="20" max="22" width="10.42578125" style="32" customWidth="1" outlineLevel="1"/>
    <col min="23" max="23" width="23.5703125" style="32" customWidth="1" outlineLevel="1"/>
    <col min="24" max="24" width="10.42578125" style="32" customWidth="1" outlineLevel="1"/>
    <col min="25" max="25" width="12.5703125" style="32" customWidth="1" outlineLevel="1"/>
    <col min="26" max="26" width="10.42578125" style="32" customWidth="1" outlineLevel="1"/>
    <col min="27" max="27" width="11.5703125" style="32" customWidth="1" outlineLevel="1"/>
    <col min="28" max="28" width="18.85546875" style="32" customWidth="1" outlineLevel="1"/>
    <col min="29" max="29" width="9.5703125" style="32" customWidth="1" outlineLevel="1"/>
    <col min="30" max="16384" width="9.140625" style="32"/>
  </cols>
  <sheetData>
    <row r="1" spans="3:29" s="18" customFormat="1" ht="14.6" customHeight="1" outlineLevel="1">
      <c r="C1" s="24" t="s">
        <v>870</v>
      </c>
      <c r="D1" s="24">
        <f>'Control Panel'!B12</f>
        <v>2019</v>
      </c>
      <c r="E1" s="18" t="s">
        <v>689</v>
      </c>
      <c r="F1" s="5">
        <f>'Control Panel'!B11</f>
        <v>43466</v>
      </c>
      <c r="H1" s="18" t="s">
        <v>691</v>
      </c>
      <c r="I1" s="5">
        <f>'Control Panel'!B9</f>
        <v>43465</v>
      </c>
      <c r="K1" s="18" t="s">
        <v>705</v>
      </c>
      <c r="L1" s="18">
        <f>'Control Panel'!B13-'Control Panel'!B12+1</f>
        <v>6</v>
      </c>
    </row>
    <row r="2" spans="3:29" s="18" customFormat="1" ht="14.6" customHeight="1" outlineLevel="1">
      <c r="C2" s="24" t="s">
        <v>871</v>
      </c>
      <c r="D2" s="24">
        <f>'Financial summary'!E5</f>
        <v>1</v>
      </c>
      <c r="H2" s="18" t="s">
        <v>693</v>
      </c>
      <c r="I2" s="27">
        <f>'Control Panel'!B5</f>
        <v>5</v>
      </c>
      <c r="K2" s="18" t="s">
        <v>1555</v>
      </c>
      <c r="L2" s="18">
        <f>stub_quarter+1</f>
        <v>5</v>
      </c>
    </row>
    <row r="3" spans="3:29" s="1" customFormat="1" ht="14.6" customHeight="1" outlineLevel="1"/>
    <row r="4" spans="3:29" s="1" customFormat="1" ht="14.6" customHeight="1" outlineLevel="1">
      <c r="C4" s="1" t="s">
        <v>692</v>
      </c>
      <c r="E4" s="1">
        <v>1</v>
      </c>
      <c r="F4" s="1">
        <f>E4+1</f>
        <v>2</v>
      </c>
      <c r="G4" s="1">
        <f t="shared" ref="G4:AC4" si="0">F4+1</f>
        <v>3</v>
      </c>
      <c r="H4" s="1">
        <f t="shared" si="0"/>
        <v>4</v>
      </c>
      <c r="I4" s="1">
        <f t="shared" si="0"/>
        <v>5</v>
      </c>
      <c r="J4" s="1">
        <f t="shared" si="0"/>
        <v>6</v>
      </c>
      <c r="K4" s="1">
        <f t="shared" si="0"/>
        <v>7</v>
      </c>
      <c r="L4" s="1">
        <f t="shared" si="0"/>
        <v>8</v>
      </c>
      <c r="M4" s="1">
        <f t="shared" si="0"/>
        <v>9</v>
      </c>
      <c r="N4" s="1">
        <f t="shared" si="0"/>
        <v>10</v>
      </c>
      <c r="O4" s="1">
        <f t="shared" si="0"/>
        <v>11</v>
      </c>
      <c r="P4" s="1">
        <f t="shared" si="0"/>
        <v>12</v>
      </c>
      <c r="Q4" s="1">
        <f t="shared" si="0"/>
        <v>13</v>
      </c>
      <c r="R4" s="1">
        <f t="shared" si="0"/>
        <v>14</v>
      </c>
      <c r="S4" s="1">
        <f t="shared" si="0"/>
        <v>15</v>
      </c>
      <c r="T4" s="1">
        <f t="shared" si="0"/>
        <v>16</v>
      </c>
      <c r="U4" s="1">
        <f t="shared" si="0"/>
        <v>17</v>
      </c>
      <c r="V4" s="1">
        <f t="shared" si="0"/>
        <v>18</v>
      </c>
      <c r="W4" s="1">
        <f t="shared" si="0"/>
        <v>19</v>
      </c>
      <c r="X4" s="1">
        <f t="shared" si="0"/>
        <v>20</v>
      </c>
      <c r="Y4" s="1">
        <f t="shared" si="0"/>
        <v>21</v>
      </c>
      <c r="Z4" s="1">
        <f t="shared" si="0"/>
        <v>22</v>
      </c>
      <c r="AA4" s="1">
        <f t="shared" si="0"/>
        <v>23</v>
      </c>
      <c r="AB4" s="1">
        <f t="shared" si="0"/>
        <v>24</v>
      </c>
      <c r="AC4" s="1">
        <f t="shared" si="0"/>
        <v>25</v>
      </c>
    </row>
    <row r="5" spans="3:29" s="1" customFormat="1" ht="14.6" customHeight="1" outlineLevel="1">
      <c r="C5" s="1" t="s">
        <v>719</v>
      </c>
      <c r="E5" s="29">
        <f>DATE('Control Panel'!B4,'Control Panel'!B6,'Control Panel'!B7)</f>
        <v>42004</v>
      </c>
      <c r="F5" s="29">
        <f>F6*EOMONTH(E5,12)+F7*$I$1+F8*$F$1+IF(F9*E8,DATE($D$1,'Control Panel'!$B$6,'Control Panel'!$B$7),F9*EOMONTH(E5,12))</f>
        <v>42369</v>
      </c>
      <c r="G5" s="29">
        <f>G6*EOMONTH(F5,12)+G7*$I$1+G8*$F$1+IF(G9*F8,DATE($D$1,'Control Panel'!$B$6,'Control Panel'!$B$7),G9*EOMONTH(F5,12))</f>
        <v>42735</v>
      </c>
      <c r="H5" s="29">
        <f>H6*EOMONTH(G5,12)+H7*$I$1+H8*$F$1+IF(H9*G8,DATE($D$1,'Control Panel'!$B$6,'Control Panel'!$B$7),H9*EOMONTH(G5,12))</f>
        <v>43100</v>
      </c>
      <c r="I5" s="29">
        <f>I6*EOMONTH(H5,12)+I7*$I$1+I8*$F$1+IF(I9*H8,DATE($D$1,'Control Panel'!$B$6,'Control Panel'!$B$7),I9*EOMONTH(H5,12))</f>
        <v>43465</v>
      </c>
      <c r="J5" s="29">
        <f>J6*EOMONTH(I5,12)+J7*$I$1+J8*$F$1+IF(J9*I8,DATE($D$1,'Control Panel'!$B$6,'Control Panel'!$B$7),J9*EOMONTH(I5,12))</f>
        <v>43466</v>
      </c>
      <c r="K5" s="29">
        <f>K6*EOMONTH(J5,12)+K7*$I$1+K8*$F$1+IF(K9*J8,DATE(YEAR(J5),'Control Panel'!$B$6,'Control Panel'!$B$7),K9*EOMONTH(J5,12))</f>
        <v>43830</v>
      </c>
      <c r="L5" s="29">
        <f>L6*EOMONTH(K5,12)+L7*$I$1+L8*$F$1+IF(L9*K8,DATE(YEAR(K5),'Control Panel'!$B$6,'Control Panel'!$B$7),L9*EOMONTH(K5,12))</f>
        <v>44196</v>
      </c>
      <c r="M5" s="29">
        <f>M6*EOMONTH(L5,12)+M7*$I$1+M8*$F$1+IF(M9*L8,DATE(YEAR(L5),'Control Panel'!$B$6,'Control Panel'!$B$7),M9*EOMONTH(L5,12))</f>
        <v>44561</v>
      </c>
      <c r="N5" s="29">
        <f>N6*EOMONTH(M5,12)+N7*$I$1+N8*$F$1+IF(N9*M8,DATE(YEAR(M5),'Control Panel'!$B$6,'Control Panel'!$B$7),N9*EOMONTH(M5,12))</f>
        <v>44926</v>
      </c>
      <c r="O5" s="29">
        <f>O6*EOMONTH(N5,12)+O7*$I$1+O8*$F$1+IF(O9*N8,DATE(YEAR(N5),'Control Panel'!$B$6,'Control Panel'!$B$7),O9*EOMONTH(N5,12))</f>
        <v>45291</v>
      </c>
      <c r="P5" s="29">
        <f>P6*EOMONTH(O5,12)+P7*$I$1+P8*$F$1+IF(P9*O8,DATE(YEAR(O5),'Control Panel'!$B$6,'Control Panel'!$B$7),P9*EOMONTH(O5,12))</f>
        <v>45657</v>
      </c>
      <c r="Q5" s="29">
        <f>Q6*EOMONTH(P5,12)+Q7*$I$1+Q8*$F$1+IF(Q9*P8,DATE(YEAR(P5),'Control Panel'!$B$6,'Control Panel'!$B$7),Q9*EOMONTH(P5,12))</f>
        <v>0</v>
      </c>
      <c r="R5" s="29">
        <f>R6*EOMONTH(Q5,12)+R7*$I$1+R8*$F$1+IF(R9*Q8,DATE(YEAR(Q5),'Control Panel'!$B$6,'Control Panel'!$B$7),R9*EOMONTH(Q5,12))</f>
        <v>0</v>
      </c>
      <c r="S5" s="29">
        <f>S6*EOMONTH(R5,12)+S7*$I$1+S8*$F$1+IF(S9*R8,DATE(YEAR(R5),'Control Panel'!$B$6,'Control Panel'!$B$7),S9*EOMONTH(R5,12))</f>
        <v>0</v>
      </c>
      <c r="T5" s="29">
        <f>T6*EOMONTH(S5,12)+T7*$I$1+T8*$F$1+IF(T9*S8,DATE(YEAR(S5),'Control Panel'!$B$6,'Control Panel'!$B$7),T9*EOMONTH(S5,12))</f>
        <v>0</v>
      </c>
      <c r="U5" s="29">
        <f>U6*EOMONTH(T5,12)+U7*$I$1+U8*$F$1+IF(U9*T8,DATE(YEAR(T5),'Control Panel'!$B$6,'Control Panel'!$B$7),U9*EOMONTH(T5,12))</f>
        <v>0</v>
      </c>
      <c r="V5" s="29">
        <f>V6*EOMONTH(U5,12)+V7*$I$1+V8*$F$1+IF(V9*U8,DATE(YEAR(U5),'Control Panel'!$B$6,'Control Panel'!$B$7),V9*EOMONTH(U5,12))</f>
        <v>0</v>
      </c>
      <c r="W5" s="29">
        <f>W6*EOMONTH(V5,12)+W7*$I$1+W8*$F$1+IF(W9*V8,DATE(YEAR(V5),'Control Panel'!$B$6,'Control Panel'!$B$7),W9*EOMONTH(V5,12))</f>
        <v>0</v>
      </c>
      <c r="X5" s="29">
        <f>X6*EOMONTH(W5,12)+X7*$I$1+X8*$F$1+IF(X9*W8,DATE(YEAR(W5),'Control Panel'!$B$6,'Control Panel'!$B$7),X9*EOMONTH(W5,12))</f>
        <v>0</v>
      </c>
      <c r="Y5" s="29">
        <f>Y6*EOMONTH(X5,12)+Y7*$I$1+Y8*$F$1+IF(Y9*X8,DATE(YEAR(X5),'Control Panel'!$B$6,'Control Panel'!$B$7),Y9*EOMONTH(X5,12))</f>
        <v>0</v>
      </c>
      <c r="Z5" s="29">
        <f>Z6*EOMONTH(Y5,12)+Z7*$I$1+Z8*$F$1+IF(Z9*Y8,DATE(YEAR(Y5),'Control Panel'!$B$6,'Control Panel'!$B$7),Z9*EOMONTH(Y5,12))</f>
        <v>0</v>
      </c>
      <c r="AA5" s="29">
        <f>AA6*EOMONTH(Z5,12)+AA7*$I$1+AA8*$F$1+IF(AA9*Z8,DATE(YEAR(Z5),'Control Panel'!$B$6,'Control Panel'!$B$7),AA9*EOMONTH(Z5,12))</f>
        <v>0</v>
      </c>
      <c r="AB5" s="29">
        <f>AB6*EOMONTH(AA5,12)+AB7*$I$1+AB8*$F$1+IF(AB9*AA8,DATE(YEAR(AA5),'Control Panel'!$B$6,'Control Panel'!$B$7),AB9*EOMONTH(AA5,12))</f>
        <v>0</v>
      </c>
      <c r="AC5" s="29">
        <f>AC6*EOMONTH(AB5,12)+AC7*$I$1+AC8*$F$1+IF(AC9*AB8,DATE(YEAR(AB5),'Control Panel'!$B$6,'Control Panel'!$B$7),AC9*EOMONTH(AB5,12))</f>
        <v>0</v>
      </c>
    </row>
    <row r="6" spans="3:29" s="1" customFormat="1" ht="14.6" customHeight="1" outlineLevel="1">
      <c r="C6" s="1" t="s">
        <v>686</v>
      </c>
      <c r="E6" s="1" t="b">
        <f t="shared" ref="E6:F6" si="1">E4&lt;=$I$2</f>
        <v>1</v>
      </c>
      <c r="F6" s="1" t="b">
        <f t="shared" si="1"/>
        <v>1</v>
      </c>
      <c r="G6" s="1" t="b">
        <f t="shared" ref="G6:AC6" si="2">G4&lt;=$I$2</f>
        <v>1</v>
      </c>
      <c r="H6" s="1" t="b">
        <f t="shared" si="2"/>
        <v>1</v>
      </c>
      <c r="I6" s="1" t="b">
        <f t="shared" si="2"/>
        <v>1</v>
      </c>
      <c r="J6" s="1" t="b">
        <f t="shared" si="2"/>
        <v>0</v>
      </c>
      <c r="K6" s="1" t="b">
        <f t="shared" si="2"/>
        <v>0</v>
      </c>
      <c r="L6" s="1" t="b">
        <f t="shared" si="2"/>
        <v>0</v>
      </c>
      <c r="M6" s="1" t="b">
        <f t="shared" si="2"/>
        <v>0</v>
      </c>
      <c r="N6" s="1" t="b">
        <f t="shared" si="2"/>
        <v>0</v>
      </c>
      <c r="O6" s="1" t="b">
        <f t="shared" si="2"/>
        <v>0</v>
      </c>
      <c r="P6" s="1" t="b">
        <f t="shared" si="2"/>
        <v>0</v>
      </c>
      <c r="Q6" s="1" t="b">
        <f t="shared" si="2"/>
        <v>0</v>
      </c>
      <c r="R6" s="1" t="b">
        <f t="shared" si="2"/>
        <v>0</v>
      </c>
      <c r="S6" s="1" t="b">
        <f t="shared" si="2"/>
        <v>0</v>
      </c>
      <c r="T6" s="1" t="b">
        <f t="shared" si="2"/>
        <v>0</v>
      </c>
      <c r="U6" s="1" t="b">
        <f t="shared" si="2"/>
        <v>0</v>
      </c>
      <c r="V6" s="1" t="b">
        <f t="shared" si="2"/>
        <v>0</v>
      </c>
      <c r="W6" s="1" t="b">
        <f t="shared" si="2"/>
        <v>0</v>
      </c>
      <c r="X6" s="1" t="b">
        <f t="shared" si="2"/>
        <v>0</v>
      </c>
      <c r="Y6" s="1" t="b">
        <f t="shared" si="2"/>
        <v>0</v>
      </c>
      <c r="Z6" s="1" t="b">
        <f t="shared" si="2"/>
        <v>0</v>
      </c>
      <c r="AA6" s="1" t="b">
        <f t="shared" si="2"/>
        <v>0</v>
      </c>
      <c r="AB6" s="1" t="b">
        <f t="shared" si="2"/>
        <v>0</v>
      </c>
      <c r="AC6" s="1" t="b">
        <f t="shared" si="2"/>
        <v>0</v>
      </c>
    </row>
    <row r="7" spans="3:29" s="1" customFormat="1" ht="14.6" customHeight="1" outlineLevel="1">
      <c r="C7" s="1" t="s">
        <v>687</v>
      </c>
      <c r="E7" s="1" t="b">
        <f t="shared" ref="E7:AC7" si="3">(E4=$I$2+1)*stub_switch=1</f>
        <v>0</v>
      </c>
      <c r="F7" s="1" t="b">
        <f t="shared" si="3"/>
        <v>0</v>
      </c>
      <c r="G7" s="1" t="b">
        <f t="shared" si="3"/>
        <v>0</v>
      </c>
      <c r="H7" s="1" t="b">
        <f t="shared" si="3"/>
        <v>0</v>
      </c>
      <c r="I7" s="1" t="b">
        <f t="shared" si="3"/>
        <v>0</v>
      </c>
      <c r="J7" s="1" t="b">
        <f t="shared" si="3"/>
        <v>0</v>
      </c>
      <c r="K7" s="1" t="b">
        <f t="shared" si="3"/>
        <v>0</v>
      </c>
      <c r="L7" s="1" t="b">
        <f t="shared" si="3"/>
        <v>0</v>
      </c>
      <c r="M7" s="1" t="b">
        <f t="shared" si="3"/>
        <v>0</v>
      </c>
      <c r="N7" s="1" t="b">
        <f t="shared" si="3"/>
        <v>0</v>
      </c>
      <c r="O7" s="1" t="b">
        <f t="shared" si="3"/>
        <v>0</v>
      </c>
      <c r="P7" s="1" t="b">
        <f t="shared" si="3"/>
        <v>0</v>
      </c>
      <c r="Q7" s="1" t="b">
        <f t="shared" si="3"/>
        <v>0</v>
      </c>
      <c r="R7" s="1" t="b">
        <f t="shared" si="3"/>
        <v>0</v>
      </c>
      <c r="S7" s="1" t="b">
        <f t="shared" si="3"/>
        <v>0</v>
      </c>
      <c r="T7" s="1" t="b">
        <f t="shared" si="3"/>
        <v>0</v>
      </c>
      <c r="U7" s="1" t="b">
        <f t="shared" si="3"/>
        <v>0</v>
      </c>
      <c r="V7" s="1" t="b">
        <f t="shared" si="3"/>
        <v>0</v>
      </c>
      <c r="W7" s="1" t="b">
        <f t="shared" si="3"/>
        <v>0</v>
      </c>
      <c r="X7" s="1" t="b">
        <f t="shared" si="3"/>
        <v>0</v>
      </c>
      <c r="Y7" s="1" t="b">
        <f t="shared" si="3"/>
        <v>0</v>
      </c>
      <c r="Z7" s="1" t="b">
        <f t="shared" si="3"/>
        <v>0</v>
      </c>
      <c r="AA7" s="1" t="b">
        <f t="shared" si="3"/>
        <v>0</v>
      </c>
      <c r="AB7" s="1" t="b">
        <f t="shared" si="3"/>
        <v>0</v>
      </c>
      <c r="AC7" s="1" t="b">
        <f t="shared" si="3"/>
        <v>0</v>
      </c>
    </row>
    <row r="8" spans="3:29" s="1" customFormat="1" ht="14.6" customHeight="1" outlineLevel="1">
      <c r="C8" s="1" t="s">
        <v>688</v>
      </c>
      <c r="E8" s="1" t="b">
        <f t="shared" ref="E8:AC8" si="4">E4=$I$2+1+1*stub_switch</f>
        <v>0</v>
      </c>
      <c r="F8" s="1" t="b">
        <f t="shared" si="4"/>
        <v>0</v>
      </c>
      <c r="G8" s="1" t="b">
        <f t="shared" si="4"/>
        <v>0</v>
      </c>
      <c r="H8" s="1" t="b">
        <f t="shared" si="4"/>
        <v>0</v>
      </c>
      <c r="I8" s="1" t="b">
        <f t="shared" si="4"/>
        <v>0</v>
      </c>
      <c r="J8" s="1" t="b">
        <f t="shared" si="4"/>
        <v>1</v>
      </c>
      <c r="K8" s="1" t="b">
        <f t="shared" si="4"/>
        <v>0</v>
      </c>
      <c r="L8" s="1" t="b">
        <f t="shared" si="4"/>
        <v>0</v>
      </c>
      <c r="M8" s="1" t="b">
        <f t="shared" si="4"/>
        <v>0</v>
      </c>
      <c r="N8" s="1" t="b">
        <f t="shared" si="4"/>
        <v>0</v>
      </c>
      <c r="O8" s="1" t="b">
        <f t="shared" si="4"/>
        <v>0</v>
      </c>
      <c r="P8" s="1" t="b">
        <f t="shared" si="4"/>
        <v>0</v>
      </c>
      <c r="Q8" s="1" t="b">
        <f t="shared" si="4"/>
        <v>0</v>
      </c>
      <c r="R8" s="1" t="b">
        <f t="shared" si="4"/>
        <v>0</v>
      </c>
      <c r="S8" s="1" t="b">
        <f t="shared" si="4"/>
        <v>0</v>
      </c>
      <c r="T8" s="1" t="b">
        <f t="shared" si="4"/>
        <v>0</v>
      </c>
      <c r="U8" s="1" t="b">
        <f t="shared" si="4"/>
        <v>0</v>
      </c>
      <c r="V8" s="1" t="b">
        <f t="shared" si="4"/>
        <v>0</v>
      </c>
      <c r="W8" s="1" t="b">
        <f t="shared" si="4"/>
        <v>0</v>
      </c>
      <c r="X8" s="1" t="b">
        <f t="shared" si="4"/>
        <v>0</v>
      </c>
      <c r="Y8" s="1" t="b">
        <f t="shared" si="4"/>
        <v>0</v>
      </c>
      <c r="Z8" s="1" t="b">
        <f t="shared" si="4"/>
        <v>0</v>
      </c>
      <c r="AA8" s="1" t="b">
        <f t="shared" si="4"/>
        <v>0</v>
      </c>
      <c r="AB8" s="1" t="b">
        <f t="shared" si="4"/>
        <v>0</v>
      </c>
      <c r="AC8" s="1" t="b">
        <f t="shared" si="4"/>
        <v>0</v>
      </c>
    </row>
    <row r="9" spans="3:29" s="1" customFormat="1" ht="14.6" customHeight="1" outlineLevel="1">
      <c r="C9" s="1" t="s">
        <v>694</v>
      </c>
      <c r="E9" s="1" t="b">
        <f t="shared" ref="E9:AC9" si="5">AND(E4&gt;$I$2+1+1*stub_switch,E4&lt;=$L$1+$I$2+1+1*stub_switch)</f>
        <v>0</v>
      </c>
      <c r="F9" s="1" t="b">
        <f t="shared" si="5"/>
        <v>0</v>
      </c>
      <c r="G9" s="1" t="b">
        <f t="shared" si="5"/>
        <v>0</v>
      </c>
      <c r="H9" s="1" t="b">
        <f t="shared" si="5"/>
        <v>0</v>
      </c>
      <c r="I9" s="1" t="b">
        <f t="shared" si="5"/>
        <v>0</v>
      </c>
      <c r="J9" s="1" t="b">
        <f t="shared" si="5"/>
        <v>0</v>
      </c>
      <c r="K9" s="1" t="b">
        <f t="shared" si="5"/>
        <v>1</v>
      </c>
      <c r="L9" s="1" t="b">
        <f t="shared" si="5"/>
        <v>1</v>
      </c>
      <c r="M9" s="1" t="b">
        <f t="shared" si="5"/>
        <v>1</v>
      </c>
      <c r="N9" s="1" t="b">
        <f t="shared" si="5"/>
        <v>1</v>
      </c>
      <c r="O9" s="1" t="b">
        <f t="shared" si="5"/>
        <v>1</v>
      </c>
      <c r="P9" s="1" t="b">
        <f t="shared" si="5"/>
        <v>1</v>
      </c>
      <c r="Q9" s="1" t="b">
        <f t="shared" si="5"/>
        <v>0</v>
      </c>
      <c r="R9" s="1" t="b">
        <f t="shared" si="5"/>
        <v>0</v>
      </c>
      <c r="S9" s="1" t="b">
        <f t="shared" si="5"/>
        <v>0</v>
      </c>
      <c r="T9" s="1" t="b">
        <f t="shared" si="5"/>
        <v>0</v>
      </c>
      <c r="U9" s="1" t="b">
        <f t="shared" si="5"/>
        <v>0</v>
      </c>
      <c r="V9" s="1" t="b">
        <f t="shared" si="5"/>
        <v>0</v>
      </c>
      <c r="W9" s="1" t="b">
        <f t="shared" si="5"/>
        <v>0</v>
      </c>
      <c r="X9" s="1" t="b">
        <f t="shared" si="5"/>
        <v>0</v>
      </c>
      <c r="Y9" s="1" t="b">
        <f t="shared" si="5"/>
        <v>0</v>
      </c>
      <c r="Z9" s="1" t="b">
        <f t="shared" si="5"/>
        <v>0</v>
      </c>
      <c r="AA9" s="1" t="b">
        <f t="shared" si="5"/>
        <v>0</v>
      </c>
      <c r="AB9" s="1" t="b">
        <f t="shared" si="5"/>
        <v>0</v>
      </c>
      <c r="AC9" s="1" t="b">
        <f t="shared" si="5"/>
        <v>0</v>
      </c>
    </row>
    <row r="10" spans="3:29" s="1" customFormat="1" ht="14.6" customHeight="1" outlineLevel="1">
      <c r="E10" s="31">
        <f>YEAR(E5)</f>
        <v>2014</v>
      </c>
      <c r="F10" s="31">
        <f t="shared" ref="F10" si="6">YEAR(F5)</f>
        <v>2015</v>
      </c>
      <c r="G10" s="31">
        <f t="shared" ref="G10:AC10" si="7">YEAR(G5)</f>
        <v>2016</v>
      </c>
      <c r="H10" s="31">
        <f t="shared" si="7"/>
        <v>2017</v>
      </c>
      <c r="I10" s="31">
        <f t="shared" si="7"/>
        <v>2018</v>
      </c>
      <c r="J10" s="31">
        <f t="shared" si="7"/>
        <v>2019</v>
      </c>
      <c r="K10" s="31">
        <f t="shared" si="7"/>
        <v>2019</v>
      </c>
      <c r="L10" s="31">
        <f t="shared" si="7"/>
        <v>2020</v>
      </c>
      <c r="M10" s="31">
        <f t="shared" si="7"/>
        <v>2021</v>
      </c>
      <c r="N10" s="31">
        <f t="shared" si="7"/>
        <v>2022</v>
      </c>
      <c r="O10" s="31">
        <f t="shared" si="7"/>
        <v>2023</v>
      </c>
      <c r="P10" s="31">
        <f t="shared" si="7"/>
        <v>2024</v>
      </c>
      <c r="Q10" s="31">
        <f t="shared" si="7"/>
        <v>1900</v>
      </c>
      <c r="R10" s="31">
        <f t="shared" si="7"/>
        <v>1900</v>
      </c>
      <c r="S10" s="31">
        <f t="shared" si="7"/>
        <v>1900</v>
      </c>
      <c r="T10" s="31">
        <f t="shared" si="7"/>
        <v>1900</v>
      </c>
      <c r="U10" s="31">
        <f t="shared" si="7"/>
        <v>1900</v>
      </c>
      <c r="V10" s="31">
        <f t="shared" si="7"/>
        <v>1900</v>
      </c>
      <c r="W10" s="31">
        <f t="shared" si="7"/>
        <v>1900</v>
      </c>
      <c r="X10" s="31">
        <f t="shared" si="7"/>
        <v>1900</v>
      </c>
      <c r="Y10" s="31">
        <f t="shared" si="7"/>
        <v>1900</v>
      </c>
      <c r="Z10" s="31">
        <f t="shared" si="7"/>
        <v>1900</v>
      </c>
      <c r="AA10" s="31">
        <f t="shared" si="7"/>
        <v>1900</v>
      </c>
      <c r="AB10" s="31">
        <f t="shared" si="7"/>
        <v>1900</v>
      </c>
      <c r="AC10" s="31">
        <f t="shared" si="7"/>
        <v>1900</v>
      </c>
    </row>
    <row r="11" spans="3:29" s="1" customFormat="1" ht="14.6" customHeight="1"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3:29" s="1" customFormat="1" ht="14.6" customHeight="1"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3:29" s="1" customFormat="1" ht="14.6" customHeight="1"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3:29" s="1" customFormat="1" ht="14.6" customHeight="1"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3:29" ht="16.600000000000001">
      <c r="C15" s="196" t="str">
        <f>CONCATENATE("Project ",project_name," - Balance Sheet")</f>
        <v>Project  - Balance Sheet</v>
      </c>
    </row>
    <row r="16" spans="3:29">
      <c r="C16" s="194" t="str">
        <f>CONCATENATE("In ",model_curr," thousand unless otherwise stated")</f>
        <v>In USD thousand unless otherwise stated</v>
      </c>
    </row>
    <row r="17" spans="1:29" ht="13.7">
      <c r="C17" s="209"/>
      <c r="D17" s="209"/>
      <c r="E17" s="178" t="str">
        <f>CONCATENATE(YEAR(E5),LEFT(E19,1))</f>
        <v>2014A</v>
      </c>
      <c r="F17" s="178" t="str">
        <f t="shared" ref="F17:AC17" si="8">CONCATENATE(YEAR(F5),LEFT(F19,1))</f>
        <v>2015A</v>
      </c>
      <c r="G17" s="178" t="str">
        <f t="shared" si="8"/>
        <v>2016A</v>
      </c>
      <c r="H17" s="178" t="str">
        <f t="shared" si="8"/>
        <v>2017A</v>
      </c>
      <c r="I17" s="178" t="str">
        <f t="shared" si="8"/>
        <v>2018A</v>
      </c>
      <c r="J17" s="178" t="str">
        <f t="shared" si="8"/>
        <v>2019C</v>
      </c>
      <c r="K17" s="178" t="str">
        <f t="shared" si="8"/>
        <v>2019F</v>
      </c>
      <c r="L17" s="178" t="str">
        <f t="shared" si="8"/>
        <v>2020F</v>
      </c>
      <c r="M17" s="178" t="str">
        <f t="shared" si="8"/>
        <v>2021F</v>
      </c>
      <c r="N17" s="178" t="str">
        <f t="shared" si="8"/>
        <v>2022F</v>
      </c>
      <c r="O17" s="178" t="str">
        <f t="shared" si="8"/>
        <v>2023F</v>
      </c>
      <c r="P17" s="178" t="str">
        <f t="shared" si="8"/>
        <v>2024F</v>
      </c>
      <c r="Q17" s="178" t="e">
        <f t="shared" si="8"/>
        <v>#N/A</v>
      </c>
      <c r="R17" s="178" t="e">
        <f t="shared" si="8"/>
        <v>#N/A</v>
      </c>
      <c r="S17" s="178" t="e">
        <f t="shared" si="8"/>
        <v>#N/A</v>
      </c>
      <c r="T17" s="178" t="e">
        <f t="shared" si="8"/>
        <v>#N/A</v>
      </c>
      <c r="U17" s="178" t="e">
        <f t="shared" si="8"/>
        <v>#N/A</v>
      </c>
      <c r="V17" s="178" t="e">
        <f t="shared" si="8"/>
        <v>#N/A</v>
      </c>
      <c r="W17" s="178" t="e">
        <f t="shared" si="8"/>
        <v>#N/A</v>
      </c>
      <c r="X17" s="178" t="e">
        <f t="shared" si="8"/>
        <v>#N/A</v>
      </c>
      <c r="Y17" s="178" t="e">
        <f t="shared" si="8"/>
        <v>#N/A</v>
      </c>
      <c r="Z17" s="178" t="e">
        <f t="shared" si="8"/>
        <v>#N/A</v>
      </c>
      <c r="AA17" s="178" t="e">
        <f t="shared" si="8"/>
        <v>#N/A</v>
      </c>
      <c r="AB17" s="178" t="e">
        <f t="shared" si="8"/>
        <v>#N/A</v>
      </c>
      <c r="AC17" s="178" t="e">
        <f t="shared" si="8"/>
        <v>#N/A</v>
      </c>
    </row>
    <row r="18" spans="1:29" ht="13.7">
      <c r="C18" s="198"/>
      <c r="D18" s="198"/>
      <c r="E18" s="198">
        <f>E5</f>
        <v>42004</v>
      </c>
      <c r="F18" s="198">
        <f t="shared" ref="F18:AC18" si="9">F5</f>
        <v>42369</v>
      </c>
      <c r="G18" s="198">
        <f t="shared" si="9"/>
        <v>42735</v>
      </c>
      <c r="H18" s="198">
        <f t="shared" si="9"/>
        <v>43100</v>
      </c>
      <c r="I18" s="198">
        <f t="shared" si="9"/>
        <v>43465</v>
      </c>
      <c r="J18" s="198">
        <f t="shared" si="9"/>
        <v>43466</v>
      </c>
      <c r="K18" s="198">
        <f t="shared" si="9"/>
        <v>43830</v>
      </c>
      <c r="L18" s="198">
        <f t="shared" si="9"/>
        <v>44196</v>
      </c>
      <c r="M18" s="198">
        <f t="shared" si="9"/>
        <v>44561</v>
      </c>
      <c r="N18" s="198">
        <f t="shared" si="9"/>
        <v>44926</v>
      </c>
      <c r="O18" s="198">
        <f t="shared" si="9"/>
        <v>45291</v>
      </c>
      <c r="P18" s="198">
        <f t="shared" si="9"/>
        <v>45657</v>
      </c>
      <c r="Q18" s="198">
        <f t="shared" si="9"/>
        <v>0</v>
      </c>
      <c r="R18" s="198">
        <f t="shared" si="9"/>
        <v>0</v>
      </c>
      <c r="S18" s="198">
        <f t="shared" si="9"/>
        <v>0</v>
      </c>
      <c r="T18" s="198">
        <f t="shared" si="9"/>
        <v>0</v>
      </c>
      <c r="U18" s="198">
        <f t="shared" si="9"/>
        <v>0</v>
      </c>
      <c r="V18" s="198">
        <f t="shared" si="9"/>
        <v>0</v>
      </c>
      <c r="W18" s="198">
        <f t="shared" si="9"/>
        <v>0</v>
      </c>
      <c r="X18" s="198">
        <f t="shared" si="9"/>
        <v>0</v>
      </c>
      <c r="Y18" s="198">
        <f t="shared" si="9"/>
        <v>0</v>
      </c>
      <c r="Z18" s="198">
        <f t="shared" si="9"/>
        <v>0</v>
      </c>
      <c r="AA18" s="198">
        <f t="shared" si="9"/>
        <v>0</v>
      </c>
      <c r="AB18" s="198">
        <f t="shared" si="9"/>
        <v>0</v>
      </c>
      <c r="AC18" s="198">
        <f t="shared" si="9"/>
        <v>0</v>
      </c>
    </row>
    <row r="19" spans="1:29" ht="13.7">
      <c r="C19" s="209"/>
      <c r="D19" s="209"/>
      <c r="E19" s="178" t="str">
        <f>INDEX($E$11:$E$14,MATCH(TRUE,E6:E9,0))</f>
        <v>Actual</v>
      </c>
      <c r="F19" s="178" t="str">
        <f t="shared" ref="F19:AC19" si="10">INDEX($E$11:$E$14,MATCH(TRUE,F6:F9,0))</f>
        <v>Actual</v>
      </c>
      <c r="G19" s="178" t="str">
        <f t="shared" si="10"/>
        <v>Actual</v>
      </c>
      <c r="H19" s="178" t="str">
        <f t="shared" si="10"/>
        <v>Actual</v>
      </c>
      <c r="I19" s="178" t="str">
        <f t="shared" si="10"/>
        <v>Actual</v>
      </c>
      <c r="J19" s="178" t="str">
        <f t="shared" si="10"/>
        <v>Combination</v>
      </c>
      <c r="K19" s="178" t="str">
        <f t="shared" si="10"/>
        <v>Forecast</v>
      </c>
      <c r="L19" s="178" t="str">
        <f t="shared" si="10"/>
        <v>Forecast</v>
      </c>
      <c r="M19" s="178" t="str">
        <f t="shared" si="10"/>
        <v>Forecast</v>
      </c>
      <c r="N19" s="178" t="str">
        <f t="shared" si="10"/>
        <v>Forecast</v>
      </c>
      <c r="O19" s="178" t="str">
        <f t="shared" si="10"/>
        <v>Forecast</v>
      </c>
      <c r="P19" s="178" t="str">
        <f t="shared" si="10"/>
        <v>Forecast</v>
      </c>
      <c r="Q19" s="178" t="e">
        <f t="shared" si="10"/>
        <v>#N/A</v>
      </c>
      <c r="R19" s="178" t="e">
        <f t="shared" si="10"/>
        <v>#N/A</v>
      </c>
      <c r="S19" s="178" t="e">
        <f t="shared" si="10"/>
        <v>#N/A</v>
      </c>
      <c r="T19" s="178" t="e">
        <f t="shared" si="10"/>
        <v>#N/A</v>
      </c>
      <c r="U19" s="178" t="e">
        <f t="shared" si="10"/>
        <v>#N/A</v>
      </c>
      <c r="V19" s="178" t="e">
        <f t="shared" si="10"/>
        <v>#N/A</v>
      </c>
      <c r="W19" s="178" t="e">
        <f t="shared" si="10"/>
        <v>#N/A</v>
      </c>
      <c r="X19" s="178" t="e">
        <f t="shared" si="10"/>
        <v>#N/A</v>
      </c>
      <c r="Y19" s="178" t="e">
        <f t="shared" si="10"/>
        <v>#N/A</v>
      </c>
      <c r="Z19" s="178" t="e">
        <f t="shared" si="10"/>
        <v>#N/A</v>
      </c>
      <c r="AA19" s="178" t="e">
        <f t="shared" si="10"/>
        <v>#N/A</v>
      </c>
      <c r="AB19" s="178" t="e">
        <f t="shared" si="10"/>
        <v>#N/A</v>
      </c>
      <c r="AC19" s="178" t="e">
        <f t="shared" si="10"/>
        <v>#N/A</v>
      </c>
    </row>
    <row r="20" spans="1:29" ht="13.7"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</row>
    <row r="21" spans="1:29" ht="13.7">
      <c r="B21" s="32" t="s">
        <v>831</v>
      </c>
      <c r="C21" s="222" t="str">
        <f>CONCATENATE("Balance Sheet (",model_curr,")")</f>
        <v>Balance Sheet (USD)</v>
      </c>
      <c r="D21" s="209"/>
      <c r="E21" s="178" t="str">
        <f>E17</f>
        <v>2014A</v>
      </c>
      <c r="F21" s="178" t="str">
        <f t="shared" ref="F21:L21" si="11">F17</f>
        <v>2015A</v>
      </c>
      <c r="G21" s="178" t="str">
        <f t="shared" si="11"/>
        <v>2016A</v>
      </c>
      <c r="H21" s="178" t="str">
        <f t="shared" si="11"/>
        <v>2017A</v>
      </c>
      <c r="I21" s="178" t="str">
        <f t="shared" si="11"/>
        <v>2018A</v>
      </c>
      <c r="J21" s="178" t="str">
        <f t="shared" si="11"/>
        <v>2019C</v>
      </c>
      <c r="K21" s="178" t="str">
        <f t="shared" si="11"/>
        <v>2019F</v>
      </c>
      <c r="L21" s="178" t="str">
        <f t="shared" si="11"/>
        <v>2020F</v>
      </c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</row>
    <row r="23" spans="1:29" ht="13.7">
      <c r="A23" s="256"/>
      <c r="B23" s="256"/>
      <c r="C23" s="181" t="s">
        <v>4</v>
      </c>
      <c r="D23" s="180"/>
      <c r="E23" s="180">
        <f t="shared" ref="E23:Q23" si="12">+E24+E30+E35+E40+E45+E50+E55</f>
        <v>0</v>
      </c>
      <c r="F23" s="180">
        <f t="shared" si="12"/>
        <v>0</v>
      </c>
      <c r="G23" s="180">
        <f t="shared" si="12"/>
        <v>0</v>
      </c>
      <c r="H23" s="180">
        <f t="shared" si="12"/>
        <v>0</v>
      </c>
      <c r="I23" s="180">
        <f t="shared" si="12"/>
        <v>0</v>
      </c>
      <c r="J23" s="180">
        <f t="shared" si="12"/>
        <v>0</v>
      </c>
      <c r="K23" s="180">
        <f t="shared" ca="1" si="12"/>
        <v>0</v>
      </c>
      <c r="L23" s="180">
        <f t="shared" ca="1" si="12"/>
        <v>0</v>
      </c>
      <c r="M23" s="180">
        <f t="shared" ca="1" si="12"/>
        <v>0</v>
      </c>
      <c r="N23" s="180">
        <f t="shared" ca="1" si="12"/>
        <v>0</v>
      </c>
      <c r="O23" s="180">
        <f t="shared" ca="1" si="12"/>
        <v>0</v>
      </c>
      <c r="P23" s="180">
        <f t="shared" ca="1" si="12"/>
        <v>0</v>
      </c>
      <c r="Q23" s="180">
        <f t="shared" si="12"/>
        <v>0</v>
      </c>
      <c r="X23" s="39"/>
      <c r="Y23" s="39"/>
      <c r="Z23" s="40"/>
    </row>
    <row r="24" spans="1:29" ht="13.7">
      <c r="A24" s="256"/>
      <c r="B24" s="256"/>
      <c r="C24" s="254" t="s">
        <v>891</v>
      </c>
      <c r="D24" s="255"/>
      <c r="E24" s="255">
        <f t="shared" ref="E24:P24" si="13">SUM(E25:E29)</f>
        <v>0</v>
      </c>
      <c r="F24" s="255">
        <f t="shared" si="13"/>
        <v>0</v>
      </c>
      <c r="G24" s="255">
        <f t="shared" si="13"/>
        <v>0</v>
      </c>
      <c r="H24" s="255">
        <f t="shared" si="13"/>
        <v>0</v>
      </c>
      <c r="I24" s="255">
        <f t="shared" si="13"/>
        <v>0</v>
      </c>
      <c r="J24" s="255">
        <f t="shared" si="13"/>
        <v>0</v>
      </c>
      <c r="K24" s="255">
        <f t="shared" ca="1" si="13"/>
        <v>0</v>
      </c>
      <c r="L24" s="255">
        <f t="shared" ca="1" si="13"/>
        <v>0</v>
      </c>
      <c r="M24" s="255">
        <f t="shared" ca="1" si="13"/>
        <v>0</v>
      </c>
      <c r="N24" s="255">
        <f t="shared" ca="1" si="13"/>
        <v>0</v>
      </c>
      <c r="O24" s="255">
        <f t="shared" ca="1" si="13"/>
        <v>0</v>
      </c>
      <c r="P24" s="255">
        <f t="shared" ca="1" si="13"/>
        <v>0</v>
      </c>
      <c r="Q24" s="255">
        <f t="shared" ref="Q24" si="14">SUM(Q25:Q29)</f>
        <v>0</v>
      </c>
      <c r="X24" s="39"/>
      <c r="Y24" s="39"/>
      <c r="Z24" s="40"/>
    </row>
    <row r="25" spans="1:29" ht="13.7" outlineLevel="1">
      <c r="A25" s="256"/>
      <c r="B25" s="256"/>
      <c r="C25" s="254"/>
      <c r="D25" s="340" t="s">
        <v>1107</v>
      </c>
      <c r="E25" s="340">
        <f>'BS offshore'!E24*Stake_Bu1</f>
        <v>0</v>
      </c>
      <c r="F25" s="340">
        <f>'BS offshore'!F24*Stake_Bu1</f>
        <v>0</v>
      </c>
      <c r="G25" s="340">
        <f>'BS offshore'!G24*Stake_Bu1</f>
        <v>0</v>
      </c>
      <c r="H25" s="340">
        <f>'BS offshore'!H24*Stake_Bu1</f>
        <v>0</v>
      </c>
      <c r="I25" s="340">
        <f>'BS offshore'!I24*Stake_Bu1</f>
        <v>0</v>
      </c>
      <c r="J25" s="340">
        <f>'BS offshore'!J24*Stake_Bu1</f>
        <v>0</v>
      </c>
      <c r="K25" s="340">
        <f ca="1">'BS offshore'!K24*Stake_Bu1</f>
        <v>0</v>
      </c>
      <c r="L25" s="340">
        <f ca="1">'BS offshore'!L24*Stake_Bu1</f>
        <v>0</v>
      </c>
      <c r="M25" s="340">
        <f ca="1">'BS offshore'!M24*Stake_Bu1</f>
        <v>0</v>
      </c>
      <c r="N25" s="340">
        <f ca="1">'BS offshore'!N24*Stake_Bu1</f>
        <v>0</v>
      </c>
      <c r="O25" s="340">
        <f ca="1">'BS offshore'!O24*Stake_Bu1</f>
        <v>0</v>
      </c>
      <c r="P25" s="340">
        <f ca="1">'BS offshore'!P24*Stake_Bu1</f>
        <v>0</v>
      </c>
      <c r="Q25" s="340">
        <f>'BS offshore'!Q24*Stake_Bu1</f>
        <v>0</v>
      </c>
      <c r="X25" s="39"/>
      <c r="Y25" s="39"/>
      <c r="Z25" s="40"/>
    </row>
    <row r="26" spans="1:29" ht="13.7" outlineLevel="1">
      <c r="A26" s="256"/>
      <c r="B26" s="256"/>
      <c r="C26" s="254"/>
      <c r="D26" s="340" t="s">
        <v>1742</v>
      </c>
      <c r="E26" s="340">
        <f>'BS onshore'!E24*Stake_Bu2</f>
        <v>0</v>
      </c>
      <c r="F26" s="340">
        <f>'BS onshore'!F24*Stake_Bu2</f>
        <v>0</v>
      </c>
      <c r="G26" s="340">
        <f>'BS onshore'!G24*Stake_Bu2</f>
        <v>0</v>
      </c>
      <c r="H26" s="340">
        <f>'BS onshore'!H24*Stake_Bu2</f>
        <v>0</v>
      </c>
      <c r="I26" s="340">
        <f>'BS onshore'!I24*Stake_Bu2</f>
        <v>0</v>
      </c>
      <c r="J26" s="340">
        <f>'BS onshore'!J24*Stake_Bu2</f>
        <v>0</v>
      </c>
      <c r="K26" s="340">
        <f ca="1">'BS onshore'!K24*Stake_Bu2</f>
        <v>0</v>
      </c>
      <c r="L26" s="340">
        <f ca="1">'BS onshore'!L24*Stake_Bu2</f>
        <v>0</v>
      </c>
      <c r="M26" s="340">
        <f ca="1">'BS onshore'!M24*Stake_Bu2</f>
        <v>0</v>
      </c>
      <c r="N26" s="340">
        <f ca="1">'BS onshore'!N24*Stake_Bu2</f>
        <v>0</v>
      </c>
      <c r="O26" s="340">
        <f ca="1">'BS onshore'!O24*Stake_Bu2</f>
        <v>0</v>
      </c>
      <c r="P26" s="340">
        <f ca="1">'BS onshore'!P24*Stake_Bu2</f>
        <v>0</v>
      </c>
      <c r="Q26" s="340">
        <f>'BS onshore'!Q24*Stake_Bu2</f>
        <v>0</v>
      </c>
      <c r="X26" s="39"/>
      <c r="Y26" s="39"/>
      <c r="Z26" s="40"/>
    </row>
    <row r="27" spans="1:29" ht="13.7" outlineLevel="1">
      <c r="A27" s="256"/>
      <c r="B27" s="256"/>
      <c r="C27" s="254"/>
      <c r="D27" s="340" t="s">
        <v>1513</v>
      </c>
      <c r="E27" s="340">
        <f>'BS Holdco'!E24</f>
        <v>0</v>
      </c>
      <c r="F27" s="340">
        <f>'BS Holdco'!F24</f>
        <v>0</v>
      </c>
      <c r="G27" s="340">
        <f>'BS Holdco'!G24</f>
        <v>0</v>
      </c>
      <c r="H27" s="340">
        <f>'BS Holdco'!H24</f>
        <v>0</v>
      </c>
      <c r="I27" s="340">
        <f>'BS Holdco'!I24</f>
        <v>0</v>
      </c>
      <c r="J27" s="340">
        <f>'BS Holdco'!J24</f>
        <v>0</v>
      </c>
      <c r="K27" s="340">
        <f ca="1">'BS Holdco'!K24</f>
        <v>0</v>
      </c>
      <c r="L27" s="340">
        <f ca="1">'BS Holdco'!L24</f>
        <v>0</v>
      </c>
      <c r="M27" s="340">
        <f ca="1">'BS Holdco'!M24</f>
        <v>0</v>
      </c>
      <c r="N27" s="340">
        <f ca="1">'BS Holdco'!N24</f>
        <v>0</v>
      </c>
      <c r="O27" s="340">
        <f ca="1">'BS Holdco'!O24</f>
        <v>0</v>
      </c>
      <c r="P27" s="340">
        <f ca="1">'BS Holdco'!P24</f>
        <v>0</v>
      </c>
      <c r="Q27" s="340">
        <f>'BS Holdco'!Q24</f>
        <v>0</v>
      </c>
      <c r="X27" s="39"/>
      <c r="Y27" s="39"/>
      <c r="Z27" s="40"/>
    </row>
    <row r="28" spans="1:29" ht="13.7" outlineLevel="1">
      <c r="A28" s="256"/>
      <c r="B28" s="256"/>
      <c r="C28" s="254"/>
      <c r="D28" s="340" t="s">
        <v>1514</v>
      </c>
      <c r="E28" s="197"/>
      <c r="F28" s="197"/>
      <c r="G28" s="197"/>
      <c r="H28" s="197"/>
      <c r="I28" s="197"/>
      <c r="J28" s="197"/>
      <c r="K28" s="197"/>
      <c r="L28" s="197"/>
      <c r="M28" s="197"/>
      <c r="N28" s="197"/>
      <c r="O28" s="197"/>
      <c r="P28" s="197"/>
      <c r="Q28" s="197"/>
      <c r="X28" s="39"/>
      <c r="Y28" s="39"/>
      <c r="Z28" s="40"/>
    </row>
    <row r="29" spans="1:29" s="324" customFormat="1" ht="13.7" outlineLevel="1">
      <c r="A29" s="323"/>
      <c r="B29" s="323"/>
      <c r="D29" s="225" t="s">
        <v>1093</v>
      </c>
      <c r="E29" s="197"/>
      <c r="F29" s="197"/>
      <c r="G29" s="338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X29" s="325"/>
      <c r="Y29" s="325"/>
      <c r="Z29" s="326"/>
    </row>
    <row r="30" spans="1:29" ht="13.7">
      <c r="A30" s="256"/>
      <c r="B30" s="256"/>
      <c r="C30" s="342" t="s">
        <v>1099</v>
      </c>
      <c r="D30" s="255"/>
      <c r="E30" s="255">
        <f>SUM(E31:E34)</f>
        <v>0</v>
      </c>
      <c r="F30" s="255">
        <f t="shared" ref="F30:P30" si="15">SUM(F31:F34)</f>
        <v>0</v>
      </c>
      <c r="G30" s="255">
        <f t="shared" si="15"/>
        <v>0</v>
      </c>
      <c r="H30" s="255">
        <f t="shared" si="15"/>
        <v>0</v>
      </c>
      <c r="I30" s="255">
        <f t="shared" si="15"/>
        <v>0</v>
      </c>
      <c r="J30" s="255">
        <f t="shared" si="15"/>
        <v>0</v>
      </c>
      <c r="K30" s="255">
        <f t="shared" si="15"/>
        <v>0</v>
      </c>
      <c r="L30" s="255">
        <f t="shared" si="15"/>
        <v>0</v>
      </c>
      <c r="M30" s="255">
        <f t="shared" si="15"/>
        <v>0</v>
      </c>
      <c r="N30" s="255">
        <f t="shared" si="15"/>
        <v>0</v>
      </c>
      <c r="O30" s="255">
        <f t="shared" si="15"/>
        <v>0</v>
      </c>
      <c r="P30" s="255">
        <f t="shared" si="15"/>
        <v>0</v>
      </c>
      <c r="Q30" s="255">
        <f t="shared" ref="Q30" si="16">SUM(Q31:Q34)</f>
        <v>0</v>
      </c>
      <c r="X30" s="42"/>
      <c r="Y30" s="42"/>
      <c r="Z30" s="42"/>
    </row>
    <row r="31" spans="1:29" ht="13.7" outlineLevel="1">
      <c r="A31" s="256"/>
      <c r="B31" s="256"/>
      <c r="C31" s="254"/>
      <c r="D31" s="340" t="s">
        <v>1107</v>
      </c>
      <c r="E31" s="341">
        <f>'BS offshore'!E29*Stake_Bu1</f>
        <v>0</v>
      </c>
      <c r="F31" s="341">
        <f>'BS offshore'!F29*Stake_Bu1</f>
        <v>0</v>
      </c>
      <c r="G31" s="341">
        <f>'BS offshore'!G29*Stake_Bu1</f>
        <v>0</v>
      </c>
      <c r="H31" s="341">
        <f>'BS offshore'!H29*Stake_Bu1</f>
        <v>0</v>
      </c>
      <c r="I31" s="341">
        <f>'BS offshore'!I29*Stake_Bu1</f>
        <v>0</v>
      </c>
      <c r="J31" s="341">
        <f>'BS offshore'!J29*Stake_Bu1</f>
        <v>0</v>
      </c>
      <c r="K31" s="341">
        <f>'BS offshore'!K29*Stake_Bu1</f>
        <v>0</v>
      </c>
      <c r="L31" s="341">
        <f>'BS offshore'!L29*Stake_Bu1</f>
        <v>0</v>
      </c>
      <c r="M31" s="341">
        <f>'BS offshore'!M29*Stake_Bu1</f>
        <v>0</v>
      </c>
      <c r="N31" s="341">
        <f>'BS offshore'!N29*Stake_Bu1</f>
        <v>0</v>
      </c>
      <c r="O31" s="341">
        <f>'BS offshore'!O29*Stake_Bu1</f>
        <v>0</v>
      </c>
      <c r="P31" s="341">
        <f>'BS offshore'!P29*Stake_Bu1</f>
        <v>0</v>
      </c>
      <c r="Q31" s="341">
        <f>'BS offshore'!Q29*Stake_Bu1</f>
        <v>0</v>
      </c>
      <c r="X31" s="42"/>
      <c r="Y31" s="42"/>
      <c r="Z31" s="42"/>
    </row>
    <row r="32" spans="1:29" ht="13.7" outlineLevel="1">
      <c r="A32" s="256"/>
      <c r="B32" s="256"/>
      <c r="C32" s="254"/>
      <c r="D32" s="340" t="s">
        <v>1560</v>
      </c>
      <c r="E32" s="341">
        <f>'BS onshore'!E29*Stake_Bu2</f>
        <v>0</v>
      </c>
      <c r="F32" s="341">
        <f>'BS onshore'!F29*Stake_Bu2</f>
        <v>0</v>
      </c>
      <c r="G32" s="341">
        <f>'BS onshore'!G29*Stake_Bu2</f>
        <v>0</v>
      </c>
      <c r="H32" s="341">
        <f>'BS onshore'!H29*Stake_Bu2</f>
        <v>0</v>
      </c>
      <c r="I32" s="341">
        <f>'BS onshore'!I29*Stake_Bu2</f>
        <v>0</v>
      </c>
      <c r="J32" s="341">
        <f>'BS onshore'!J29*Stake_Bu2</f>
        <v>0</v>
      </c>
      <c r="K32" s="341">
        <f>'BS onshore'!K29*Stake_Bu2</f>
        <v>0</v>
      </c>
      <c r="L32" s="341">
        <f>'BS onshore'!L29*Stake_Bu2</f>
        <v>0</v>
      </c>
      <c r="M32" s="341">
        <f>'BS onshore'!M29*Stake_Bu2</f>
        <v>0</v>
      </c>
      <c r="N32" s="341">
        <f>'BS onshore'!N29*Stake_Bu2</f>
        <v>0</v>
      </c>
      <c r="O32" s="341">
        <f>'BS onshore'!O29*Stake_Bu2</f>
        <v>0</v>
      </c>
      <c r="P32" s="341">
        <f>'BS onshore'!P29*Stake_Bu2</f>
        <v>0</v>
      </c>
      <c r="Q32" s="341">
        <f>'BS onshore'!Q29*Stake_Bu2</f>
        <v>0</v>
      </c>
      <c r="X32" s="42"/>
      <c r="Y32" s="42"/>
      <c r="Z32" s="42"/>
    </row>
    <row r="33" spans="1:26" ht="13.7" outlineLevel="1">
      <c r="A33" s="256"/>
      <c r="B33" s="256"/>
      <c r="C33" s="254"/>
      <c r="D33" s="340" t="s">
        <v>1513</v>
      </c>
      <c r="E33" s="341">
        <f>'BS Holdco'!E29</f>
        <v>0</v>
      </c>
      <c r="F33" s="341">
        <f>'BS Holdco'!F29</f>
        <v>0</v>
      </c>
      <c r="G33" s="341">
        <f>'BS Holdco'!G29</f>
        <v>0</v>
      </c>
      <c r="H33" s="341">
        <f>'BS Holdco'!H29</f>
        <v>0</v>
      </c>
      <c r="I33" s="341">
        <f>'BS Holdco'!I29</f>
        <v>0</v>
      </c>
      <c r="J33" s="341">
        <f>'BS Holdco'!J29</f>
        <v>0</v>
      </c>
      <c r="K33" s="341">
        <f>'BS Holdco'!K29</f>
        <v>0</v>
      </c>
      <c r="L33" s="341">
        <f>'BS Holdco'!L29</f>
        <v>0</v>
      </c>
      <c r="M33" s="341">
        <f>'BS Holdco'!M29</f>
        <v>0</v>
      </c>
      <c r="N33" s="341">
        <f>'BS Holdco'!N29</f>
        <v>0</v>
      </c>
      <c r="O33" s="341">
        <f>'BS Holdco'!O29</f>
        <v>0</v>
      </c>
      <c r="P33" s="341">
        <f>'BS Holdco'!P29</f>
        <v>0</v>
      </c>
      <c r="Q33" s="341">
        <f>'BS Holdco'!Q29</f>
        <v>0</v>
      </c>
      <c r="X33" s="42"/>
      <c r="Y33" s="42"/>
      <c r="Z33" s="42"/>
    </row>
    <row r="34" spans="1:26" ht="13.7" outlineLevel="1">
      <c r="A34" s="256"/>
      <c r="B34" s="256"/>
      <c r="C34" s="254"/>
      <c r="D34" s="340" t="s">
        <v>1514</v>
      </c>
      <c r="E34" s="197"/>
      <c r="F34" s="197"/>
      <c r="G34" s="197"/>
      <c r="H34" s="197"/>
      <c r="I34" s="197"/>
      <c r="J34" s="197"/>
      <c r="K34" s="197"/>
      <c r="L34" s="197"/>
      <c r="M34" s="197"/>
      <c r="N34" s="197"/>
      <c r="O34" s="197"/>
      <c r="P34" s="197"/>
      <c r="Q34" s="197"/>
      <c r="X34" s="42"/>
      <c r="Y34" s="42"/>
      <c r="Z34" s="42"/>
    </row>
    <row r="35" spans="1:26" ht="13.7">
      <c r="A35" s="256"/>
      <c r="B35" s="256"/>
      <c r="C35" s="254" t="s">
        <v>215</v>
      </c>
      <c r="D35" s="255"/>
      <c r="E35" s="255">
        <f>SUM(E36:E39)</f>
        <v>0</v>
      </c>
      <c r="F35" s="255">
        <f t="shared" ref="F35:P35" si="17">SUM(F36:F39)</f>
        <v>0</v>
      </c>
      <c r="G35" s="255">
        <f t="shared" si="17"/>
        <v>0</v>
      </c>
      <c r="H35" s="255">
        <f t="shared" si="17"/>
        <v>0</v>
      </c>
      <c r="I35" s="255">
        <f t="shared" si="17"/>
        <v>0</v>
      </c>
      <c r="J35" s="255">
        <f t="shared" si="17"/>
        <v>0</v>
      </c>
      <c r="K35" s="255">
        <f t="shared" si="17"/>
        <v>0</v>
      </c>
      <c r="L35" s="255">
        <f t="shared" si="17"/>
        <v>0</v>
      </c>
      <c r="M35" s="255">
        <f t="shared" si="17"/>
        <v>0</v>
      </c>
      <c r="N35" s="255">
        <f t="shared" si="17"/>
        <v>0</v>
      </c>
      <c r="O35" s="255">
        <f t="shared" si="17"/>
        <v>0</v>
      </c>
      <c r="P35" s="255">
        <f t="shared" si="17"/>
        <v>0</v>
      </c>
      <c r="Q35" s="255">
        <f t="shared" ref="Q35" si="18">SUM(Q36:Q39)</f>
        <v>0</v>
      </c>
      <c r="X35" s="42"/>
      <c r="Y35" s="42"/>
      <c r="Z35" s="42"/>
    </row>
    <row r="36" spans="1:26" ht="13.7" outlineLevel="1">
      <c r="A36" s="256"/>
      <c r="B36" s="256"/>
      <c r="C36" s="254"/>
      <c r="D36" s="340" t="s">
        <v>1107</v>
      </c>
      <c r="E36" s="341">
        <f>'BS offshore'!E33*Stake_Bu1</f>
        <v>0</v>
      </c>
      <c r="F36" s="341">
        <f>'BS offshore'!F33*Stake_Bu1</f>
        <v>0</v>
      </c>
      <c r="G36" s="341">
        <f>'BS offshore'!G33*Stake_Bu1</f>
        <v>0</v>
      </c>
      <c r="H36" s="341">
        <f>'BS offshore'!H33*Stake_Bu1</f>
        <v>0</v>
      </c>
      <c r="I36" s="341">
        <f>'BS offshore'!I33*Stake_Bu1</f>
        <v>0</v>
      </c>
      <c r="J36" s="341">
        <f>'BS offshore'!J33*Stake_Bu1</f>
        <v>0</v>
      </c>
      <c r="K36" s="341">
        <f>'BS offshore'!K33*Stake_Bu1</f>
        <v>0</v>
      </c>
      <c r="L36" s="341">
        <f>'BS offshore'!L33*Stake_Bu1</f>
        <v>0</v>
      </c>
      <c r="M36" s="341">
        <f>'BS offshore'!M33*Stake_Bu1</f>
        <v>0</v>
      </c>
      <c r="N36" s="341">
        <f>'BS offshore'!N33*Stake_Bu1</f>
        <v>0</v>
      </c>
      <c r="O36" s="341">
        <f>'BS offshore'!O33*Stake_Bu1</f>
        <v>0</v>
      </c>
      <c r="P36" s="341">
        <f>'BS offshore'!P33*Stake_Bu1</f>
        <v>0</v>
      </c>
      <c r="Q36" s="341">
        <f>'BS offshore'!Q33*Stake_Bu1</f>
        <v>0</v>
      </c>
      <c r="X36" s="42"/>
      <c r="Y36" s="42"/>
      <c r="Z36" s="42"/>
    </row>
    <row r="37" spans="1:26" ht="13.7" outlineLevel="1">
      <c r="A37" s="256"/>
      <c r="B37" s="256"/>
      <c r="C37" s="254"/>
      <c r="D37" s="340" t="s">
        <v>1742</v>
      </c>
      <c r="E37" s="341">
        <f>'BS onshore'!E33*Stake_Bu2</f>
        <v>0</v>
      </c>
      <c r="F37" s="341">
        <f>'BS onshore'!F33*Stake_Bu2</f>
        <v>0</v>
      </c>
      <c r="G37" s="341">
        <f>'BS onshore'!G33*Stake_Bu2</f>
        <v>0</v>
      </c>
      <c r="H37" s="341">
        <f>'BS onshore'!H33*Stake_Bu2</f>
        <v>0</v>
      </c>
      <c r="I37" s="341">
        <f>'BS onshore'!I33*Stake_Bu2</f>
        <v>0</v>
      </c>
      <c r="J37" s="341">
        <f>'BS onshore'!J33*Stake_Bu2</f>
        <v>0</v>
      </c>
      <c r="K37" s="341">
        <f>'BS onshore'!K33*Stake_Bu2</f>
        <v>0</v>
      </c>
      <c r="L37" s="341">
        <f>'BS onshore'!L33*Stake_Bu2</f>
        <v>0</v>
      </c>
      <c r="M37" s="341">
        <f>'BS onshore'!M33*Stake_Bu2</f>
        <v>0</v>
      </c>
      <c r="N37" s="341">
        <f>'BS onshore'!N33*Stake_Bu2</f>
        <v>0</v>
      </c>
      <c r="O37" s="341">
        <f>'BS onshore'!O33*Stake_Bu2</f>
        <v>0</v>
      </c>
      <c r="P37" s="341">
        <f>'BS onshore'!P33*Stake_Bu2</f>
        <v>0</v>
      </c>
      <c r="Q37" s="341">
        <f>'BS onshore'!Q33*Stake_Bu2</f>
        <v>0</v>
      </c>
      <c r="X37" s="42"/>
      <c r="Y37" s="42"/>
      <c r="Z37" s="42"/>
    </row>
    <row r="38" spans="1:26" ht="13.7" outlineLevel="1">
      <c r="A38" s="256"/>
      <c r="B38" s="256"/>
      <c r="C38" s="254"/>
      <c r="D38" s="340" t="s">
        <v>1513</v>
      </c>
      <c r="E38" s="341">
        <f>'BS Holdco'!E33</f>
        <v>0</v>
      </c>
      <c r="F38" s="341">
        <f>'BS Holdco'!F33</f>
        <v>0</v>
      </c>
      <c r="G38" s="341">
        <f>'BS Holdco'!G33</f>
        <v>0</v>
      </c>
      <c r="H38" s="341">
        <f>'BS Holdco'!H33</f>
        <v>0</v>
      </c>
      <c r="I38" s="341">
        <f>'BS Holdco'!I33</f>
        <v>0</v>
      </c>
      <c r="J38" s="341">
        <f>'BS Holdco'!J33</f>
        <v>0</v>
      </c>
      <c r="K38" s="341">
        <f>'BS Holdco'!K33</f>
        <v>0</v>
      </c>
      <c r="L38" s="341">
        <f>'BS Holdco'!L33</f>
        <v>0</v>
      </c>
      <c r="M38" s="341">
        <f>'BS Holdco'!M33</f>
        <v>0</v>
      </c>
      <c r="N38" s="341">
        <f>'BS Holdco'!N33</f>
        <v>0</v>
      </c>
      <c r="O38" s="341">
        <f>'BS Holdco'!O33</f>
        <v>0</v>
      </c>
      <c r="P38" s="341">
        <f>'BS Holdco'!P33</f>
        <v>0</v>
      </c>
      <c r="Q38" s="341">
        <f>'BS Holdco'!Q33</f>
        <v>0</v>
      </c>
      <c r="X38" s="42"/>
      <c r="Y38" s="42"/>
      <c r="Z38" s="42"/>
    </row>
    <row r="39" spans="1:26" ht="13.7" outlineLevel="1">
      <c r="A39" s="256"/>
      <c r="B39" s="256"/>
      <c r="C39" s="254"/>
      <c r="D39" s="340" t="s">
        <v>1514</v>
      </c>
      <c r="E39" s="197"/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X39" s="42"/>
      <c r="Y39" s="42"/>
      <c r="Z39" s="42"/>
    </row>
    <row r="40" spans="1:26" ht="13.7">
      <c r="A40" s="256"/>
      <c r="B40" s="256"/>
      <c r="C40" s="254" t="s">
        <v>6</v>
      </c>
      <c r="D40" s="255"/>
      <c r="E40" s="255">
        <f>SUM(E41:E44)</f>
        <v>0</v>
      </c>
      <c r="F40" s="255">
        <f t="shared" ref="F40:P40" si="19">SUM(F41:F44)</f>
        <v>0</v>
      </c>
      <c r="G40" s="255">
        <f t="shared" si="19"/>
        <v>0</v>
      </c>
      <c r="H40" s="255">
        <f t="shared" si="19"/>
        <v>0</v>
      </c>
      <c r="I40" s="255">
        <f t="shared" si="19"/>
        <v>0</v>
      </c>
      <c r="J40" s="255">
        <f t="shared" si="19"/>
        <v>0</v>
      </c>
      <c r="K40" s="255">
        <f t="shared" si="19"/>
        <v>0</v>
      </c>
      <c r="L40" s="255">
        <f t="shared" si="19"/>
        <v>0</v>
      </c>
      <c r="M40" s="255">
        <f t="shared" si="19"/>
        <v>0</v>
      </c>
      <c r="N40" s="255">
        <f t="shared" si="19"/>
        <v>0</v>
      </c>
      <c r="O40" s="255">
        <f t="shared" si="19"/>
        <v>0</v>
      </c>
      <c r="P40" s="255">
        <f t="shared" si="19"/>
        <v>0</v>
      </c>
      <c r="Q40" s="255">
        <f t="shared" ref="Q40" si="20">SUM(Q41:Q44)</f>
        <v>0</v>
      </c>
      <c r="R40" s="43"/>
      <c r="S40" s="44"/>
      <c r="T40" s="44"/>
      <c r="X40" s="41"/>
      <c r="Y40" s="41"/>
      <c r="Z40" s="40"/>
    </row>
    <row r="41" spans="1:26" ht="13.7" outlineLevel="1">
      <c r="A41" s="256"/>
      <c r="B41" s="256"/>
      <c r="C41" s="254"/>
      <c r="D41" s="340" t="s">
        <v>1107</v>
      </c>
      <c r="E41" s="341">
        <f>'BS offshore'!E37*Stake_Bu1</f>
        <v>0</v>
      </c>
      <c r="F41" s="341">
        <f>'BS offshore'!F37*Stake_Bu1</f>
        <v>0</v>
      </c>
      <c r="G41" s="341">
        <f>'BS offshore'!G37*Stake_Bu1</f>
        <v>0</v>
      </c>
      <c r="H41" s="341">
        <f>'BS offshore'!H37*Stake_Bu1</f>
        <v>0</v>
      </c>
      <c r="I41" s="341">
        <f>'BS offshore'!I37*Stake_Bu1</f>
        <v>0</v>
      </c>
      <c r="J41" s="341">
        <f>'BS offshore'!J37*Stake_Bu1</f>
        <v>0</v>
      </c>
      <c r="K41" s="341">
        <f>'BS offshore'!K37*Stake_Bu1</f>
        <v>0</v>
      </c>
      <c r="L41" s="341">
        <f>'BS offshore'!L37*Stake_Bu1</f>
        <v>0</v>
      </c>
      <c r="M41" s="341">
        <f>'BS offshore'!M37*Stake_Bu1</f>
        <v>0</v>
      </c>
      <c r="N41" s="341">
        <f>'BS offshore'!N37*Stake_Bu1</f>
        <v>0</v>
      </c>
      <c r="O41" s="341">
        <f>'BS offshore'!O37*Stake_Bu1</f>
        <v>0</v>
      </c>
      <c r="P41" s="341">
        <f>'BS offshore'!P37*Stake_Bu1</f>
        <v>0</v>
      </c>
      <c r="Q41" s="341">
        <f>'BS offshore'!Q37*Stake_Bu1</f>
        <v>0</v>
      </c>
      <c r="R41" s="43"/>
      <c r="S41" s="44"/>
      <c r="T41" s="44"/>
      <c r="X41" s="41"/>
      <c r="Y41" s="41"/>
      <c r="Z41" s="40"/>
    </row>
    <row r="42" spans="1:26" ht="13.7" outlineLevel="1">
      <c r="A42" s="256"/>
      <c r="B42" s="256"/>
      <c r="C42" s="254"/>
      <c r="D42" s="340" t="s">
        <v>1742</v>
      </c>
      <c r="E42" s="341">
        <f>'BS onshore'!E37*Stake_Bu2</f>
        <v>0</v>
      </c>
      <c r="F42" s="341">
        <f>'BS onshore'!F37*Stake_Bu2</f>
        <v>0</v>
      </c>
      <c r="G42" s="341">
        <f>'BS onshore'!G37*Stake_Bu2</f>
        <v>0</v>
      </c>
      <c r="H42" s="341">
        <f>'BS onshore'!H37*Stake_Bu2</f>
        <v>0</v>
      </c>
      <c r="I42" s="341">
        <f>'BS onshore'!I37*Stake_Bu2</f>
        <v>0</v>
      </c>
      <c r="J42" s="341">
        <f>'BS onshore'!J37*Stake_Bu2</f>
        <v>0</v>
      </c>
      <c r="K42" s="341">
        <f>'BS onshore'!K37*Stake_Bu2</f>
        <v>0</v>
      </c>
      <c r="L42" s="341">
        <f>'BS onshore'!L37*Stake_Bu2</f>
        <v>0</v>
      </c>
      <c r="M42" s="341">
        <f>'BS onshore'!M37*Stake_Bu2</f>
        <v>0</v>
      </c>
      <c r="N42" s="341">
        <f>'BS onshore'!N37*Stake_Bu2</f>
        <v>0</v>
      </c>
      <c r="O42" s="341">
        <f>'BS onshore'!O37*Stake_Bu2</f>
        <v>0</v>
      </c>
      <c r="P42" s="341">
        <f>'BS onshore'!P37*Stake_Bu2</f>
        <v>0</v>
      </c>
      <c r="Q42" s="341">
        <f>'BS onshore'!Q37*Stake_Bu2</f>
        <v>0</v>
      </c>
      <c r="R42" s="43"/>
      <c r="S42" s="44"/>
      <c r="T42" s="44"/>
      <c r="X42" s="41"/>
      <c r="Y42" s="41"/>
      <c r="Z42" s="40"/>
    </row>
    <row r="43" spans="1:26" ht="13.7" outlineLevel="1">
      <c r="A43" s="256"/>
      <c r="B43" s="256"/>
      <c r="C43" s="254"/>
      <c r="D43" s="340" t="s">
        <v>1513</v>
      </c>
      <c r="E43" s="341">
        <f>'BS Holdco'!E37</f>
        <v>0</v>
      </c>
      <c r="F43" s="341">
        <f>'BS Holdco'!F37</f>
        <v>0</v>
      </c>
      <c r="G43" s="341">
        <f>'BS Holdco'!G37</f>
        <v>0</v>
      </c>
      <c r="H43" s="341">
        <f>'BS Holdco'!H37</f>
        <v>0</v>
      </c>
      <c r="I43" s="341">
        <f>'BS Holdco'!I37</f>
        <v>0</v>
      </c>
      <c r="J43" s="341">
        <f>'BS Holdco'!J37</f>
        <v>0</v>
      </c>
      <c r="K43" s="341">
        <f>'BS Holdco'!K37</f>
        <v>0</v>
      </c>
      <c r="L43" s="341">
        <f>'BS Holdco'!L37</f>
        <v>0</v>
      </c>
      <c r="M43" s="341">
        <f>'BS Holdco'!M37</f>
        <v>0</v>
      </c>
      <c r="N43" s="341">
        <f>'BS Holdco'!N37</f>
        <v>0</v>
      </c>
      <c r="O43" s="341">
        <f>'BS Holdco'!O37</f>
        <v>0</v>
      </c>
      <c r="P43" s="341">
        <f>'BS Holdco'!P37</f>
        <v>0</v>
      </c>
      <c r="Q43" s="341">
        <f>'BS Holdco'!Q37</f>
        <v>0</v>
      </c>
      <c r="R43" s="43"/>
      <c r="S43" s="44"/>
      <c r="T43" s="44"/>
      <c r="X43" s="41"/>
      <c r="Y43" s="41"/>
      <c r="Z43" s="40"/>
    </row>
    <row r="44" spans="1:26" ht="13.7" outlineLevel="1">
      <c r="A44" s="256"/>
      <c r="B44" s="256"/>
      <c r="C44" s="254"/>
      <c r="D44" s="340" t="s">
        <v>1514</v>
      </c>
      <c r="E44" s="197"/>
      <c r="F44" s="197"/>
      <c r="G44" s="197"/>
      <c r="H44" s="197"/>
      <c r="I44" s="197"/>
      <c r="J44" s="197"/>
      <c r="K44" s="197"/>
      <c r="L44" s="197"/>
      <c r="M44" s="197"/>
      <c r="N44" s="197"/>
      <c r="O44" s="197"/>
      <c r="P44" s="197"/>
      <c r="Q44" s="197"/>
      <c r="R44" s="43"/>
      <c r="S44" s="44"/>
      <c r="T44" s="44"/>
      <c r="X44" s="41"/>
      <c r="Y44" s="41"/>
      <c r="Z44" s="40"/>
    </row>
    <row r="45" spans="1:26" ht="13.7">
      <c r="A45" s="256"/>
      <c r="B45" s="256"/>
      <c r="C45" s="254" t="s">
        <v>582</v>
      </c>
      <c r="D45" s="255"/>
      <c r="E45" s="255">
        <f>SUM(E46:E49)</f>
        <v>0</v>
      </c>
      <c r="F45" s="255">
        <f t="shared" ref="F45:P45" si="21">SUM(F46:F49)</f>
        <v>0</v>
      </c>
      <c r="G45" s="255">
        <f t="shared" si="21"/>
        <v>0</v>
      </c>
      <c r="H45" s="255">
        <f t="shared" si="21"/>
        <v>0</v>
      </c>
      <c r="I45" s="255">
        <f t="shared" si="21"/>
        <v>0</v>
      </c>
      <c r="J45" s="255">
        <f t="shared" si="21"/>
        <v>0</v>
      </c>
      <c r="K45" s="255">
        <f t="shared" si="21"/>
        <v>0</v>
      </c>
      <c r="L45" s="255">
        <f t="shared" si="21"/>
        <v>0</v>
      </c>
      <c r="M45" s="255">
        <f t="shared" si="21"/>
        <v>0</v>
      </c>
      <c r="N45" s="255">
        <f t="shared" si="21"/>
        <v>0</v>
      </c>
      <c r="O45" s="255">
        <f t="shared" si="21"/>
        <v>0</v>
      </c>
      <c r="P45" s="255">
        <f t="shared" si="21"/>
        <v>0</v>
      </c>
      <c r="Q45" s="255">
        <f t="shared" ref="Q45" si="22">SUM(Q46:Q49)</f>
        <v>0</v>
      </c>
      <c r="R45" s="44"/>
      <c r="U45" s="41"/>
      <c r="V45" s="41"/>
      <c r="W45" s="40"/>
    </row>
    <row r="46" spans="1:26" ht="13.7" outlineLevel="1">
      <c r="A46" s="256"/>
      <c r="B46" s="256"/>
      <c r="C46" s="254"/>
      <c r="D46" s="340" t="s">
        <v>1107</v>
      </c>
      <c r="E46" s="341">
        <f>'BS offshore'!E41*Stake_Bu1</f>
        <v>0</v>
      </c>
      <c r="F46" s="341">
        <f>'BS offshore'!F41*Stake_Bu1</f>
        <v>0</v>
      </c>
      <c r="G46" s="341">
        <f>'BS offshore'!G41*Stake_Bu1</f>
        <v>0</v>
      </c>
      <c r="H46" s="341">
        <f>'BS offshore'!H41*Stake_Bu1</f>
        <v>0</v>
      </c>
      <c r="I46" s="341">
        <f>'BS offshore'!I41*Stake_Bu1</f>
        <v>0</v>
      </c>
      <c r="J46" s="341">
        <f>'BS offshore'!J41*Stake_Bu1</f>
        <v>0</v>
      </c>
      <c r="K46" s="341">
        <f>'BS offshore'!K41*Stake_Bu1</f>
        <v>0</v>
      </c>
      <c r="L46" s="341">
        <f>'BS offshore'!L41*Stake_Bu1</f>
        <v>0</v>
      </c>
      <c r="M46" s="341">
        <f>'BS offshore'!M41*Stake_Bu1</f>
        <v>0</v>
      </c>
      <c r="N46" s="341">
        <f>'BS offshore'!N41*Stake_Bu1</f>
        <v>0</v>
      </c>
      <c r="O46" s="341">
        <f>'BS offshore'!O41*Stake_Bu1</f>
        <v>0</v>
      </c>
      <c r="P46" s="341">
        <f>'BS offshore'!P41*Stake_Bu1</f>
        <v>0</v>
      </c>
      <c r="Q46" s="341">
        <f>'BS offshore'!Q41*Stake_Bu1</f>
        <v>0</v>
      </c>
      <c r="R46" s="44"/>
      <c r="U46" s="41"/>
      <c r="V46" s="41"/>
      <c r="W46" s="40"/>
    </row>
    <row r="47" spans="1:26" ht="13.7" outlineLevel="1">
      <c r="A47" s="256"/>
      <c r="B47" s="256"/>
      <c r="C47" s="254"/>
      <c r="D47" s="340" t="s">
        <v>1560</v>
      </c>
      <c r="E47" s="341">
        <f>'BS onshore'!E41*Stake_Bu2</f>
        <v>0</v>
      </c>
      <c r="F47" s="341">
        <f>'BS onshore'!F41*Stake_Bu2</f>
        <v>0</v>
      </c>
      <c r="G47" s="341">
        <f>'BS onshore'!G41*Stake_Bu2</f>
        <v>0</v>
      </c>
      <c r="H47" s="341">
        <f>'BS onshore'!H41*Stake_Bu2</f>
        <v>0</v>
      </c>
      <c r="I47" s="341">
        <f>'BS onshore'!I41*Stake_Bu2</f>
        <v>0</v>
      </c>
      <c r="J47" s="341">
        <f>'BS onshore'!J41*Stake_Bu2</f>
        <v>0</v>
      </c>
      <c r="K47" s="341">
        <f>'BS onshore'!K41*Stake_Bu2</f>
        <v>0</v>
      </c>
      <c r="L47" s="341">
        <f>'BS onshore'!L41*Stake_Bu2</f>
        <v>0</v>
      </c>
      <c r="M47" s="341">
        <f>'BS onshore'!M41*Stake_Bu2</f>
        <v>0</v>
      </c>
      <c r="N47" s="341">
        <f>'BS onshore'!N41*Stake_Bu2</f>
        <v>0</v>
      </c>
      <c r="O47" s="341">
        <f>'BS onshore'!O41*Stake_Bu2</f>
        <v>0</v>
      </c>
      <c r="P47" s="341">
        <f>'BS onshore'!P41*Stake_Bu2</f>
        <v>0</v>
      </c>
      <c r="Q47" s="341">
        <f>'BS onshore'!Q41*Stake_Bu2</f>
        <v>0</v>
      </c>
      <c r="R47" s="44"/>
      <c r="U47" s="41"/>
      <c r="V47" s="41"/>
      <c r="W47" s="40"/>
    </row>
    <row r="48" spans="1:26" ht="13.7" outlineLevel="1">
      <c r="A48" s="256"/>
      <c r="B48" s="256"/>
      <c r="C48" s="254"/>
      <c r="D48" s="340" t="s">
        <v>1513</v>
      </c>
      <c r="E48" s="341">
        <f>'BS Holdco'!E37</f>
        <v>0</v>
      </c>
      <c r="F48" s="341">
        <f>'BS Holdco'!F37</f>
        <v>0</v>
      </c>
      <c r="G48" s="341">
        <f>'BS Holdco'!G37</f>
        <v>0</v>
      </c>
      <c r="H48" s="341">
        <f>'BS Holdco'!H37</f>
        <v>0</v>
      </c>
      <c r="I48" s="341">
        <f>'BS Holdco'!I37</f>
        <v>0</v>
      </c>
      <c r="J48" s="341">
        <f>'BS Holdco'!J37</f>
        <v>0</v>
      </c>
      <c r="K48" s="341">
        <f>'BS Holdco'!K37</f>
        <v>0</v>
      </c>
      <c r="L48" s="341">
        <f>'BS Holdco'!L37</f>
        <v>0</v>
      </c>
      <c r="M48" s="341">
        <f>'BS Holdco'!M37</f>
        <v>0</v>
      </c>
      <c r="N48" s="341">
        <f>'BS Holdco'!N37</f>
        <v>0</v>
      </c>
      <c r="O48" s="341">
        <f>'BS Holdco'!O37</f>
        <v>0</v>
      </c>
      <c r="P48" s="341">
        <f>'BS Holdco'!P37</f>
        <v>0</v>
      </c>
      <c r="Q48" s="341">
        <f>'BS Holdco'!Q37</f>
        <v>0</v>
      </c>
      <c r="R48" s="44"/>
      <c r="U48" s="41"/>
      <c r="V48" s="41"/>
      <c r="W48" s="40"/>
    </row>
    <row r="49" spans="1:26" ht="13.7" outlineLevel="1">
      <c r="A49" s="256"/>
      <c r="B49" s="256"/>
      <c r="C49" s="254"/>
      <c r="D49" s="340" t="s">
        <v>1514</v>
      </c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  <c r="R49" s="44"/>
      <c r="U49" s="41"/>
      <c r="V49" s="41"/>
      <c r="W49" s="40"/>
    </row>
    <row r="50" spans="1:26" ht="13.7">
      <c r="A50" s="256"/>
      <c r="B50" s="256"/>
      <c r="C50" s="254" t="s">
        <v>216</v>
      </c>
      <c r="D50" s="255"/>
      <c r="E50" s="255">
        <f>SUM(E51:E54)</f>
        <v>0</v>
      </c>
      <c r="F50" s="255">
        <f t="shared" ref="F50:P50" si="23">SUM(F51:F54)</f>
        <v>0</v>
      </c>
      <c r="G50" s="255">
        <f t="shared" si="23"/>
        <v>0</v>
      </c>
      <c r="H50" s="255">
        <f t="shared" si="23"/>
        <v>0</v>
      </c>
      <c r="I50" s="255">
        <f t="shared" si="23"/>
        <v>0</v>
      </c>
      <c r="J50" s="255">
        <f t="shared" si="23"/>
        <v>0</v>
      </c>
      <c r="K50" s="255">
        <f t="shared" si="23"/>
        <v>0</v>
      </c>
      <c r="L50" s="255">
        <f t="shared" si="23"/>
        <v>0</v>
      </c>
      <c r="M50" s="255">
        <f t="shared" si="23"/>
        <v>0</v>
      </c>
      <c r="N50" s="255">
        <f t="shared" si="23"/>
        <v>0</v>
      </c>
      <c r="O50" s="255">
        <f t="shared" si="23"/>
        <v>0</v>
      </c>
      <c r="P50" s="255">
        <f t="shared" si="23"/>
        <v>0</v>
      </c>
      <c r="Q50" s="255">
        <f t="shared" ref="Q50" si="24">SUM(Q51:Q54)</f>
        <v>0</v>
      </c>
      <c r="R50" s="44"/>
      <c r="U50" s="45"/>
      <c r="V50" s="45"/>
      <c r="W50" s="40"/>
    </row>
    <row r="51" spans="1:26" ht="13.7" outlineLevel="1">
      <c r="A51" s="256"/>
      <c r="B51" s="256"/>
      <c r="C51" s="254"/>
      <c r="D51" s="340" t="s">
        <v>1107</v>
      </c>
      <c r="E51" s="341">
        <f>'BS offshore'!E44*Stake_Bu1</f>
        <v>0</v>
      </c>
      <c r="F51" s="341">
        <f>'BS offshore'!F44*Stake_Bu1</f>
        <v>0</v>
      </c>
      <c r="G51" s="341">
        <f>'BS offshore'!G44*Stake_Bu1</f>
        <v>0</v>
      </c>
      <c r="H51" s="341">
        <f>'BS offshore'!H44*Stake_Bu1</f>
        <v>0</v>
      </c>
      <c r="I51" s="341">
        <f>'BS offshore'!I44*Stake_Bu1</f>
        <v>0</v>
      </c>
      <c r="J51" s="341">
        <f>'BS offshore'!J44*Stake_Bu1</f>
        <v>0</v>
      </c>
      <c r="K51" s="341">
        <f>'BS offshore'!K44*Stake_Bu1</f>
        <v>0</v>
      </c>
      <c r="L51" s="341">
        <f>'BS offshore'!L44*Stake_Bu1</f>
        <v>0</v>
      </c>
      <c r="M51" s="341">
        <f>'BS offshore'!M44*Stake_Bu1</f>
        <v>0</v>
      </c>
      <c r="N51" s="341">
        <f>'BS offshore'!N44*Stake_Bu1</f>
        <v>0</v>
      </c>
      <c r="O51" s="341">
        <f>'BS offshore'!O44*Stake_Bu1</f>
        <v>0</v>
      </c>
      <c r="P51" s="341">
        <f>'BS offshore'!P44*Stake_Bu1</f>
        <v>0</v>
      </c>
      <c r="Q51" s="341">
        <f>'BS offshore'!Q44*Stake_Bu1</f>
        <v>0</v>
      </c>
      <c r="R51" s="43"/>
      <c r="S51" s="44"/>
      <c r="T51" s="44"/>
      <c r="X51" s="41"/>
      <c r="Y51" s="41"/>
      <c r="Z51" s="40"/>
    </row>
    <row r="52" spans="1:26" ht="13.7" outlineLevel="1">
      <c r="A52" s="256"/>
      <c r="B52" s="256"/>
      <c r="C52" s="254"/>
      <c r="D52" s="340" t="s">
        <v>1560</v>
      </c>
      <c r="E52" s="341">
        <f>'BS onshore'!E44*Stake_Bu2</f>
        <v>0</v>
      </c>
      <c r="F52" s="341">
        <f>'BS onshore'!F44*Stake_Bu2</f>
        <v>0</v>
      </c>
      <c r="G52" s="341">
        <f>'BS onshore'!G44*Stake_Bu2</f>
        <v>0</v>
      </c>
      <c r="H52" s="341">
        <f>'BS onshore'!H44*Stake_Bu2</f>
        <v>0</v>
      </c>
      <c r="I52" s="341">
        <f>'BS onshore'!I44*Stake_Bu2</f>
        <v>0</v>
      </c>
      <c r="J52" s="341">
        <f>'BS onshore'!J44*Stake_Bu2</f>
        <v>0</v>
      </c>
      <c r="K52" s="341">
        <f>'BS onshore'!K44*Stake_Bu2</f>
        <v>0</v>
      </c>
      <c r="L52" s="341">
        <f>'BS onshore'!L44*Stake_Bu2</f>
        <v>0</v>
      </c>
      <c r="M52" s="341">
        <f>'BS onshore'!M44*Stake_Bu2</f>
        <v>0</v>
      </c>
      <c r="N52" s="341">
        <f>'BS onshore'!N44*Stake_Bu2</f>
        <v>0</v>
      </c>
      <c r="O52" s="341">
        <f>'BS onshore'!O44*Stake_Bu2</f>
        <v>0</v>
      </c>
      <c r="P52" s="341">
        <f>'BS onshore'!P44*Stake_Bu2</f>
        <v>0</v>
      </c>
      <c r="Q52" s="341">
        <f>'BS onshore'!Q44*Stake_Bu2</f>
        <v>0</v>
      </c>
      <c r="R52" s="43"/>
      <c r="S52" s="44"/>
      <c r="T52" s="44"/>
      <c r="X52" s="41"/>
      <c r="Y52" s="41"/>
      <c r="Z52" s="40"/>
    </row>
    <row r="53" spans="1:26" ht="13.7" outlineLevel="1">
      <c r="A53" s="256"/>
      <c r="B53" s="256"/>
      <c r="C53" s="254"/>
      <c r="D53" s="340" t="s">
        <v>1513</v>
      </c>
      <c r="E53" s="341">
        <f>'BS Holdco'!E44</f>
        <v>0</v>
      </c>
      <c r="F53" s="341">
        <f>'BS Holdco'!F44</f>
        <v>0</v>
      </c>
      <c r="G53" s="341">
        <f>'BS Holdco'!G44</f>
        <v>0</v>
      </c>
      <c r="H53" s="341">
        <f>'BS Holdco'!H44</f>
        <v>0</v>
      </c>
      <c r="I53" s="341">
        <f>'BS Holdco'!I44</f>
        <v>0</v>
      </c>
      <c r="J53" s="341">
        <f>'BS Holdco'!J44</f>
        <v>0</v>
      </c>
      <c r="K53" s="341">
        <f>'BS Holdco'!K44</f>
        <v>0</v>
      </c>
      <c r="L53" s="341">
        <f>'BS Holdco'!L44</f>
        <v>0</v>
      </c>
      <c r="M53" s="341">
        <f>'BS Holdco'!M44</f>
        <v>0</v>
      </c>
      <c r="N53" s="341">
        <f>'BS Holdco'!N44</f>
        <v>0</v>
      </c>
      <c r="O53" s="341">
        <f>'BS Holdco'!O44</f>
        <v>0</v>
      </c>
      <c r="P53" s="341">
        <f>'BS Holdco'!P44</f>
        <v>0</v>
      </c>
      <c r="Q53" s="341">
        <f>'BS Holdco'!Q44</f>
        <v>0</v>
      </c>
      <c r="R53" s="43"/>
      <c r="S53" s="44"/>
      <c r="T53" s="44"/>
      <c r="X53" s="41"/>
      <c r="Y53" s="41"/>
      <c r="Z53" s="40"/>
    </row>
    <row r="54" spans="1:26" ht="13.7" outlineLevel="1">
      <c r="A54" s="256"/>
      <c r="B54" s="256"/>
      <c r="C54" s="254"/>
      <c r="D54" s="340" t="s">
        <v>1514</v>
      </c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197"/>
      <c r="P54" s="197"/>
      <c r="Q54" s="197"/>
      <c r="R54" s="43"/>
      <c r="S54" s="44"/>
      <c r="T54" s="44"/>
      <c r="X54" s="41"/>
      <c r="Y54" s="41"/>
      <c r="Z54" s="40"/>
    </row>
    <row r="55" spans="1:26" ht="13.7">
      <c r="C55" s="342" t="s">
        <v>1470</v>
      </c>
      <c r="D55" s="255"/>
      <c r="E55" s="255">
        <f>SUM(E56:E59)</f>
        <v>0</v>
      </c>
      <c r="F55" s="255">
        <f t="shared" ref="F55:P55" si="25">SUM(F56:F59)</f>
        <v>0</v>
      </c>
      <c r="G55" s="255">
        <f t="shared" si="25"/>
        <v>0</v>
      </c>
      <c r="H55" s="255">
        <f t="shared" si="25"/>
        <v>0</v>
      </c>
      <c r="I55" s="255">
        <f t="shared" si="25"/>
        <v>0</v>
      </c>
      <c r="J55" s="255">
        <f t="shared" si="25"/>
        <v>0</v>
      </c>
      <c r="K55" s="255">
        <f t="shared" ca="1" si="25"/>
        <v>0</v>
      </c>
      <c r="L55" s="255">
        <f t="shared" ca="1" si="25"/>
        <v>0</v>
      </c>
      <c r="M55" s="255">
        <f t="shared" ca="1" si="25"/>
        <v>0</v>
      </c>
      <c r="N55" s="255">
        <f t="shared" ca="1" si="25"/>
        <v>0</v>
      </c>
      <c r="O55" s="255">
        <f t="shared" ca="1" si="25"/>
        <v>0</v>
      </c>
      <c r="P55" s="255">
        <f t="shared" ca="1" si="25"/>
        <v>0</v>
      </c>
      <c r="Q55" s="255">
        <f t="shared" ref="Q55" si="26">SUM(Q56:Q59)</f>
        <v>0</v>
      </c>
      <c r="U55" s="39"/>
      <c r="V55" s="39"/>
      <c r="W55" s="40"/>
    </row>
    <row r="56" spans="1:26" ht="13.7" outlineLevel="1">
      <c r="A56" s="256"/>
      <c r="B56" s="256"/>
      <c r="C56" s="254"/>
      <c r="D56" s="340" t="s">
        <v>1107</v>
      </c>
      <c r="E56" s="341">
        <f>'BS offshore'!E48*Stake_Bu1</f>
        <v>0</v>
      </c>
      <c r="F56" s="341">
        <f>'BS offshore'!F48*Stake_Bu1</f>
        <v>0</v>
      </c>
      <c r="G56" s="341">
        <f>'BS offshore'!G48*Stake_Bu1</f>
        <v>0</v>
      </c>
      <c r="H56" s="341">
        <f>'BS offshore'!H48*Stake_Bu1</f>
        <v>0</v>
      </c>
      <c r="I56" s="341">
        <f>'BS offshore'!I48*Stake_Bu1</f>
        <v>0</v>
      </c>
      <c r="J56" s="341">
        <f>'BS offshore'!J48*Stake_Bu1</f>
        <v>0</v>
      </c>
      <c r="K56" s="341">
        <f>'BS offshore'!K48*Stake_Bu1</f>
        <v>0</v>
      </c>
      <c r="L56" s="341">
        <f>'BS offshore'!L48*Stake_Bu1</f>
        <v>0</v>
      </c>
      <c r="M56" s="341">
        <f>'BS offshore'!M48*Stake_Bu1</f>
        <v>0</v>
      </c>
      <c r="N56" s="341">
        <f>'BS offshore'!N48*Stake_Bu1</f>
        <v>0</v>
      </c>
      <c r="O56" s="341">
        <f>'BS offshore'!O48*Stake_Bu1</f>
        <v>0</v>
      </c>
      <c r="P56" s="341">
        <f>'BS offshore'!P48*Stake_Bu1</f>
        <v>0</v>
      </c>
      <c r="Q56" s="341">
        <f>'BS offshore'!Q48*Stake_Bu1</f>
        <v>0</v>
      </c>
      <c r="R56" s="43"/>
      <c r="S56" s="44"/>
      <c r="T56" s="44"/>
      <c r="X56" s="41"/>
      <c r="Y56" s="41"/>
      <c r="Z56" s="40"/>
    </row>
    <row r="57" spans="1:26" ht="13.7" outlineLevel="1">
      <c r="A57" s="256"/>
      <c r="B57" s="256"/>
      <c r="C57" s="254"/>
      <c r="D57" s="340" t="s">
        <v>1560</v>
      </c>
      <c r="E57" s="341">
        <f>'BS onshore'!E48*Stake_Bu2</f>
        <v>0</v>
      </c>
      <c r="F57" s="341">
        <f>'BS onshore'!F48*Stake_Bu2</f>
        <v>0</v>
      </c>
      <c r="G57" s="341">
        <f>'BS onshore'!G48*Stake_Bu2</f>
        <v>0</v>
      </c>
      <c r="H57" s="341">
        <f>'BS onshore'!H48*Stake_Bu2</f>
        <v>0</v>
      </c>
      <c r="I57" s="341">
        <f>'BS onshore'!I48*Stake_Bu2</f>
        <v>0</v>
      </c>
      <c r="J57" s="341">
        <f>'BS onshore'!J48*Stake_Bu2</f>
        <v>0</v>
      </c>
      <c r="K57" s="341">
        <f>'BS onshore'!K48*Stake_Bu2</f>
        <v>0</v>
      </c>
      <c r="L57" s="341">
        <f>'BS onshore'!L48*Stake_Bu2</f>
        <v>0</v>
      </c>
      <c r="M57" s="341">
        <f>'BS onshore'!M48*Stake_Bu2</f>
        <v>0</v>
      </c>
      <c r="N57" s="341">
        <f>'BS onshore'!N48*Stake_Bu2</f>
        <v>0</v>
      </c>
      <c r="O57" s="341">
        <f>'BS onshore'!O48*Stake_Bu2</f>
        <v>0</v>
      </c>
      <c r="P57" s="341">
        <f>'BS onshore'!P48*Stake_Bu2</f>
        <v>0</v>
      </c>
      <c r="Q57" s="341">
        <f>'BS onshore'!Q48*Stake_Bu2</f>
        <v>0</v>
      </c>
      <c r="R57" s="43"/>
      <c r="S57" s="44"/>
      <c r="T57" s="44"/>
      <c r="X57" s="41"/>
      <c r="Y57" s="41"/>
      <c r="Z57" s="40"/>
    </row>
    <row r="58" spans="1:26" ht="13.7" outlineLevel="1">
      <c r="A58" s="256"/>
      <c r="B58" s="256"/>
      <c r="C58" s="254"/>
      <c r="D58" s="340" t="s">
        <v>1513</v>
      </c>
      <c r="E58" s="341">
        <f>'BS Holdco'!E48</f>
        <v>0</v>
      </c>
      <c r="F58" s="341">
        <f>'BS Holdco'!F48</f>
        <v>0</v>
      </c>
      <c r="G58" s="341">
        <f>'BS Holdco'!G48</f>
        <v>0</v>
      </c>
      <c r="H58" s="341">
        <f>'BS Holdco'!H48</f>
        <v>0</v>
      </c>
      <c r="I58" s="341">
        <f>'BS Holdco'!I48</f>
        <v>0</v>
      </c>
      <c r="J58" s="341">
        <f>'BS Holdco'!J48</f>
        <v>0</v>
      </c>
      <c r="K58" s="341">
        <f ca="1">'BS Holdco'!K48</f>
        <v>0</v>
      </c>
      <c r="L58" s="341">
        <f ca="1">'BS Holdco'!L48</f>
        <v>0</v>
      </c>
      <c r="M58" s="341">
        <f ca="1">'BS Holdco'!M48</f>
        <v>0</v>
      </c>
      <c r="N58" s="341">
        <f ca="1">'BS Holdco'!N48</f>
        <v>0</v>
      </c>
      <c r="O58" s="341">
        <f ca="1">'BS Holdco'!O48</f>
        <v>0</v>
      </c>
      <c r="P58" s="341">
        <f ca="1">'BS Holdco'!P48</f>
        <v>0</v>
      </c>
      <c r="Q58" s="341">
        <f>'BS Holdco'!Q48</f>
        <v>0</v>
      </c>
      <c r="R58" s="43"/>
      <c r="S58" s="44"/>
      <c r="T58" s="44"/>
      <c r="X58" s="41"/>
      <c r="Y58" s="41"/>
      <c r="Z58" s="40"/>
    </row>
    <row r="59" spans="1:26" ht="13.7" outlineLevel="1">
      <c r="A59" s="256"/>
      <c r="B59" s="256"/>
      <c r="C59" s="254"/>
      <c r="D59" s="340" t="s">
        <v>1514</v>
      </c>
      <c r="E59" s="197"/>
      <c r="F59" s="197"/>
      <c r="G59" s="197"/>
      <c r="H59" s="197">
        <f>-H92</f>
        <v>0</v>
      </c>
      <c r="I59" s="197">
        <f>-I92</f>
        <v>0</v>
      </c>
      <c r="J59" s="197">
        <f>-J92</f>
        <v>0</v>
      </c>
      <c r="K59" s="197">
        <f t="shared" ref="K59:M59" ca="1" si="27">-K92</f>
        <v>0</v>
      </c>
      <c r="L59" s="197">
        <f t="shared" ca="1" si="27"/>
        <v>0</v>
      </c>
      <c r="M59" s="197">
        <f t="shared" ca="1" si="27"/>
        <v>0</v>
      </c>
      <c r="N59" s="197"/>
      <c r="O59" s="197"/>
      <c r="P59" s="197"/>
      <c r="Q59" s="197"/>
      <c r="R59" s="43"/>
      <c r="S59" s="44"/>
      <c r="T59" s="44"/>
      <c r="X59" s="41"/>
      <c r="Y59" s="41"/>
      <c r="Z59" s="40"/>
    </row>
    <row r="60" spans="1:26" ht="13.7">
      <c r="A60" s="256"/>
      <c r="B60" s="256"/>
      <c r="C60" s="46"/>
      <c r="R60" s="44"/>
      <c r="U60" s="45"/>
      <c r="V60" s="45"/>
      <c r="W60" s="40"/>
    </row>
    <row r="61" spans="1:26" ht="13.7">
      <c r="C61" s="181" t="s">
        <v>8</v>
      </c>
      <c r="D61" s="180"/>
      <c r="E61" s="180">
        <f>+E62+E67+E72+E77+E82</f>
        <v>0</v>
      </c>
      <c r="F61" s="180">
        <f t="shared" ref="F61:P61" ca="1" si="28">+F62+F67+F72+F77+F82</f>
        <v>0</v>
      </c>
      <c r="G61" s="180">
        <f t="shared" ca="1" si="28"/>
        <v>0</v>
      </c>
      <c r="H61" s="180">
        <f t="shared" ca="1" si="28"/>
        <v>0</v>
      </c>
      <c r="I61" s="180">
        <f t="shared" ca="1" si="28"/>
        <v>0</v>
      </c>
      <c r="J61" s="180">
        <f t="shared" ca="1" si="28"/>
        <v>0</v>
      </c>
      <c r="K61" s="180">
        <f t="shared" ca="1" si="28"/>
        <v>0</v>
      </c>
      <c r="L61" s="180">
        <f t="shared" ca="1" si="28"/>
        <v>0</v>
      </c>
      <c r="M61" s="180">
        <f t="shared" ca="1" si="28"/>
        <v>0</v>
      </c>
      <c r="N61" s="180">
        <f t="shared" ca="1" si="28"/>
        <v>0</v>
      </c>
      <c r="O61" s="180">
        <f t="shared" ca="1" si="28"/>
        <v>0</v>
      </c>
      <c r="P61" s="180">
        <f t="shared" ca="1" si="28"/>
        <v>0</v>
      </c>
      <c r="Q61" s="180">
        <f t="shared" ref="Q61" ca="1" si="29">+Q62+Q67+Q72+Q77+Q82</f>
        <v>0</v>
      </c>
      <c r="R61" s="44"/>
      <c r="U61" s="45"/>
      <c r="V61" s="45"/>
      <c r="W61" s="40"/>
    </row>
    <row r="62" spans="1:26" ht="13.7">
      <c r="C62" s="254" t="s">
        <v>218</v>
      </c>
      <c r="D62" s="255"/>
      <c r="E62" s="255">
        <f>SUM(E63:E66)</f>
        <v>0</v>
      </c>
      <c r="F62" s="255">
        <f t="shared" ref="F62:P62" si="30">SUM(F63:F66)</f>
        <v>0</v>
      </c>
      <c r="G62" s="255">
        <f t="shared" si="30"/>
        <v>0</v>
      </c>
      <c r="H62" s="255">
        <f t="shared" si="30"/>
        <v>0</v>
      </c>
      <c r="I62" s="255">
        <f t="shared" si="30"/>
        <v>0</v>
      </c>
      <c r="J62" s="255">
        <f t="shared" si="30"/>
        <v>0</v>
      </c>
      <c r="K62" s="255">
        <f t="shared" si="30"/>
        <v>0</v>
      </c>
      <c r="L62" s="255">
        <f t="shared" si="30"/>
        <v>0</v>
      </c>
      <c r="M62" s="255">
        <f t="shared" si="30"/>
        <v>0</v>
      </c>
      <c r="N62" s="255">
        <f t="shared" si="30"/>
        <v>0</v>
      </c>
      <c r="O62" s="255">
        <f t="shared" si="30"/>
        <v>0</v>
      </c>
      <c r="P62" s="255">
        <f t="shared" si="30"/>
        <v>0</v>
      </c>
      <c r="Q62" s="255">
        <f t="shared" ref="Q62" si="31">SUM(Q63:Q66)</f>
        <v>0</v>
      </c>
      <c r="R62" s="44"/>
      <c r="U62" s="45"/>
      <c r="V62" s="45"/>
      <c r="W62" s="40"/>
    </row>
    <row r="63" spans="1:26" ht="13.7" outlineLevel="1">
      <c r="A63" s="256"/>
      <c r="B63" s="256"/>
      <c r="C63" s="254"/>
      <c r="D63" s="340" t="s">
        <v>1107</v>
      </c>
      <c r="E63" s="341">
        <f>'BS offshore'!E51*Stake_Bu1</f>
        <v>0</v>
      </c>
      <c r="F63" s="341">
        <f>'BS offshore'!F51*Stake_Bu1</f>
        <v>0</v>
      </c>
      <c r="G63" s="341">
        <f>'BS offshore'!G51*Stake_Bu1</f>
        <v>0</v>
      </c>
      <c r="H63" s="341">
        <f>'BS offshore'!H51*Stake_Bu1</f>
        <v>0</v>
      </c>
      <c r="I63" s="341">
        <f>'BS offshore'!I51*Stake_Bu1</f>
        <v>0</v>
      </c>
      <c r="J63" s="341">
        <f>'BS offshore'!J51*Stake_Bu1</f>
        <v>0</v>
      </c>
      <c r="K63" s="341">
        <f>'BS offshore'!K51*Stake_Bu1</f>
        <v>0</v>
      </c>
      <c r="L63" s="341">
        <f>'BS offshore'!L51*Stake_Bu1</f>
        <v>0</v>
      </c>
      <c r="M63" s="341">
        <f>'BS offshore'!M51*Stake_Bu1</f>
        <v>0</v>
      </c>
      <c r="N63" s="341">
        <f>'BS offshore'!N51*Stake_Bu1</f>
        <v>0</v>
      </c>
      <c r="O63" s="341">
        <f>'BS offshore'!O51*Stake_Bu1</f>
        <v>0</v>
      </c>
      <c r="P63" s="341">
        <f>'BS offshore'!P51*Stake_Bu1</f>
        <v>0</v>
      </c>
      <c r="Q63" s="341">
        <f>'BS offshore'!Q51*Stake_Bu1</f>
        <v>0</v>
      </c>
      <c r="R63" s="43"/>
      <c r="S63" s="44"/>
      <c r="T63" s="44"/>
      <c r="X63" s="41"/>
      <c r="Y63" s="41"/>
      <c r="Z63" s="40"/>
    </row>
    <row r="64" spans="1:26" ht="13.7" outlineLevel="1">
      <c r="A64" s="256"/>
      <c r="B64" s="256"/>
      <c r="C64" s="254"/>
      <c r="D64" s="340" t="s">
        <v>1560</v>
      </c>
      <c r="E64" s="665">
        <f>'BS onshore'!E51*Stake_Bu2</f>
        <v>0</v>
      </c>
      <c r="F64" s="665">
        <f>'BS onshore'!F51*Stake_Bu2</f>
        <v>0</v>
      </c>
      <c r="G64" s="665">
        <f>'BS onshore'!G51*Stake_Bu2</f>
        <v>0</v>
      </c>
      <c r="H64" s="665">
        <f>'BS onshore'!H51*Stake_Bu2</f>
        <v>0</v>
      </c>
      <c r="I64" s="665">
        <f>'BS onshore'!I51*Stake_Bu2</f>
        <v>0</v>
      </c>
      <c r="J64" s="665">
        <f>'BS onshore'!J51*Stake_Bu2</f>
        <v>0</v>
      </c>
      <c r="K64" s="665">
        <f>'BS onshore'!K51*Stake_Bu2</f>
        <v>0</v>
      </c>
      <c r="L64" s="665">
        <f>'BS onshore'!L51*Stake_Bu2</f>
        <v>0</v>
      </c>
      <c r="M64" s="665">
        <f>'BS onshore'!M51*Stake_Bu2</f>
        <v>0</v>
      </c>
      <c r="N64" s="665">
        <f>'BS onshore'!N51*Stake_Bu2</f>
        <v>0</v>
      </c>
      <c r="O64" s="665">
        <f>'BS onshore'!O51*Stake_Bu2</f>
        <v>0</v>
      </c>
      <c r="P64" s="665">
        <f>'BS onshore'!P51*Stake_Bu2</f>
        <v>0</v>
      </c>
      <c r="Q64" s="665">
        <f>'BS onshore'!Q51*Stake_Bu2</f>
        <v>0</v>
      </c>
      <c r="R64" s="43"/>
      <c r="S64" s="44"/>
      <c r="T64" s="44"/>
      <c r="X64" s="41"/>
      <c r="Y64" s="41"/>
      <c r="Z64" s="40"/>
    </row>
    <row r="65" spans="1:26" ht="13.7" outlineLevel="1">
      <c r="A65" s="256"/>
      <c r="B65" s="256"/>
      <c r="C65" s="254"/>
      <c r="D65" s="340" t="s">
        <v>1513</v>
      </c>
      <c r="E65" s="341">
        <f>'BS Holdco'!E51</f>
        <v>0</v>
      </c>
      <c r="F65" s="341">
        <f>'BS Holdco'!F51</f>
        <v>0</v>
      </c>
      <c r="G65" s="341">
        <f>'BS Holdco'!G51</f>
        <v>0</v>
      </c>
      <c r="H65" s="341">
        <f>'BS Holdco'!H51</f>
        <v>0</v>
      </c>
      <c r="I65" s="341">
        <f>'BS Holdco'!I51</f>
        <v>0</v>
      </c>
      <c r="J65" s="341">
        <f>'BS Holdco'!J51</f>
        <v>0</v>
      </c>
      <c r="K65" s="341">
        <f>'BS Holdco'!K51</f>
        <v>0</v>
      </c>
      <c r="L65" s="341">
        <f>'BS Holdco'!L51</f>
        <v>0</v>
      </c>
      <c r="M65" s="341">
        <f>'BS Holdco'!M51</f>
        <v>0</v>
      </c>
      <c r="N65" s="341">
        <f>'BS Holdco'!N51</f>
        <v>0</v>
      </c>
      <c r="O65" s="341">
        <f>'BS Holdco'!O51</f>
        <v>0</v>
      </c>
      <c r="P65" s="341">
        <f>'BS Holdco'!P51</f>
        <v>0</v>
      </c>
      <c r="Q65" s="341">
        <f>'BS Holdco'!Q51</f>
        <v>0</v>
      </c>
      <c r="R65" s="43"/>
      <c r="S65" s="44"/>
      <c r="T65" s="44"/>
      <c r="X65" s="41"/>
      <c r="Y65" s="41"/>
      <c r="Z65" s="40"/>
    </row>
    <row r="66" spans="1:26" ht="13.7" outlineLevel="1">
      <c r="A66" s="256"/>
      <c r="B66" s="256"/>
      <c r="C66" s="254"/>
      <c r="D66" s="340" t="s">
        <v>1514</v>
      </c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43"/>
      <c r="S66" s="44"/>
      <c r="T66" s="44"/>
      <c r="X66" s="41"/>
      <c r="Y66" s="41"/>
      <c r="Z66" s="40"/>
    </row>
    <row r="67" spans="1:26" ht="13.7">
      <c r="C67" s="254" t="s">
        <v>219</v>
      </c>
      <c r="D67" s="255"/>
      <c r="E67" s="255">
        <f>SUM(E68:E71)</f>
        <v>0</v>
      </c>
      <c r="F67" s="255">
        <f t="shared" ref="F67:P67" si="32">SUM(F68:F71)</f>
        <v>0</v>
      </c>
      <c r="G67" s="255">
        <f t="shared" si="32"/>
        <v>0</v>
      </c>
      <c r="H67" s="255">
        <f t="shared" si="32"/>
        <v>0</v>
      </c>
      <c r="I67" s="255">
        <f t="shared" si="32"/>
        <v>0</v>
      </c>
      <c r="J67" s="255">
        <f t="shared" si="32"/>
        <v>0</v>
      </c>
      <c r="K67" s="255">
        <f t="shared" si="32"/>
        <v>0</v>
      </c>
      <c r="L67" s="255">
        <f t="shared" si="32"/>
        <v>0</v>
      </c>
      <c r="M67" s="255">
        <f t="shared" si="32"/>
        <v>0</v>
      </c>
      <c r="N67" s="255">
        <f t="shared" si="32"/>
        <v>0</v>
      </c>
      <c r="O67" s="255">
        <f t="shared" si="32"/>
        <v>0</v>
      </c>
      <c r="P67" s="255">
        <f t="shared" si="32"/>
        <v>0</v>
      </c>
      <c r="Q67" s="255">
        <f t="shared" ref="Q67" si="33">SUM(Q68:Q71)</f>
        <v>0</v>
      </c>
      <c r="R67" s="47"/>
      <c r="U67" s="45"/>
      <c r="V67" s="45"/>
      <c r="W67" s="40"/>
    </row>
    <row r="68" spans="1:26" ht="13.7" outlineLevel="1">
      <c r="C68" s="254"/>
      <c r="D68" s="340" t="s">
        <v>1107</v>
      </c>
      <c r="E68" s="341">
        <f>'BS offshore'!E55*Stake_Bu1</f>
        <v>0</v>
      </c>
      <c r="F68" s="341">
        <f>'BS offshore'!F55*Stake_Bu1</f>
        <v>0</v>
      </c>
      <c r="G68" s="341">
        <f>'BS offshore'!G55*Stake_Bu1</f>
        <v>0</v>
      </c>
      <c r="H68" s="341">
        <f>'BS offshore'!H55*Stake_Bu1</f>
        <v>0</v>
      </c>
      <c r="I68" s="341">
        <f>'BS offshore'!I55*Stake_Bu1</f>
        <v>0</v>
      </c>
      <c r="J68" s="341">
        <f>'BS offshore'!J55*Stake_Bu1</f>
        <v>0</v>
      </c>
      <c r="K68" s="341">
        <f>'BS offshore'!K55*Stake_Bu1</f>
        <v>0</v>
      </c>
      <c r="L68" s="341">
        <f>'BS offshore'!L55*Stake_Bu1</f>
        <v>0</v>
      </c>
      <c r="M68" s="341">
        <f>'BS offshore'!M55*Stake_Bu1</f>
        <v>0</v>
      </c>
      <c r="N68" s="341">
        <f>'BS offshore'!N55*Stake_Bu1</f>
        <v>0</v>
      </c>
      <c r="O68" s="341">
        <f>'BS offshore'!O55*Stake_Bu1</f>
        <v>0</v>
      </c>
      <c r="P68" s="341">
        <f>'BS offshore'!P55*Stake_Bu1</f>
        <v>0</v>
      </c>
      <c r="Q68" s="341">
        <f>'BS offshore'!Q55*Stake_Bu1</f>
        <v>0</v>
      </c>
      <c r="R68" s="47"/>
      <c r="U68" s="45"/>
      <c r="V68" s="45"/>
      <c r="W68" s="40"/>
    </row>
    <row r="69" spans="1:26" ht="13.7" outlineLevel="1">
      <c r="C69" s="254"/>
      <c r="D69" s="340" t="s">
        <v>1560</v>
      </c>
      <c r="E69" s="341">
        <f>'BS onshore'!E55*Stake_Bu2</f>
        <v>0</v>
      </c>
      <c r="F69" s="341">
        <f>'BS onshore'!F55*Stake_Bu2</f>
        <v>0</v>
      </c>
      <c r="G69" s="341">
        <f>'BS onshore'!G55*Stake_Bu2</f>
        <v>0</v>
      </c>
      <c r="H69" s="341">
        <f>'BS onshore'!H55*Stake_Bu2</f>
        <v>0</v>
      </c>
      <c r="I69" s="341">
        <f>'BS onshore'!I55*Stake_Bu2</f>
        <v>0</v>
      </c>
      <c r="J69" s="341">
        <f>'BS onshore'!J55*Stake_Bu2</f>
        <v>0</v>
      </c>
      <c r="K69" s="341">
        <f>'BS onshore'!K55*Stake_Bu2</f>
        <v>0</v>
      </c>
      <c r="L69" s="341">
        <f>'BS onshore'!L55*Stake_Bu2</f>
        <v>0</v>
      </c>
      <c r="M69" s="341">
        <f>'BS onshore'!M55*Stake_Bu2</f>
        <v>0</v>
      </c>
      <c r="N69" s="341">
        <f>'BS onshore'!N55*Stake_Bu2</f>
        <v>0</v>
      </c>
      <c r="O69" s="341">
        <f>'BS onshore'!O55*Stake_Bu2</f>
        <v>0</v>
      </c>
      <c r="P69" s="341">
        <f>'BS onshore'!P55*Stake_Bu2</f>
        <v>0</v>
      </c>
      <c r="Q69" s="341">
        <f>'BS onshore'!Q55*Stake_Bu2</f>
        <v>0</v>
      </c>
      <c r="R69" s="47"/>
      <c r="U69" s="45"/>
      <c r="V69" s="45"/>
      <c r="W69" s="40"/>
    </row>
    <row r="70" spans="1:26" ht="13.7" outlineLevel="1">
      <c r="C70" s="254"/>
      <c r="D70" s="340" t="s">
        <v>1513</v>
      </c>
      <c r="E70" s="341">
        <f>'BS Holdco'!E55</f>
        <v>0</v>
      </c>
      <c r="F70" s="341">
        <f>'BS Holdco'!F55</f>
        <v>0</v>
      </c>
      <c r="G70" s="341">
        <f>'BS Holdco'!G55</f>
        <v>0</v>
      </c>
      <c r="H70" s="341">
        <f>'BS Holdco'!H55</f>
        <v>0</v>
      </c>
      <c r="I70" s="341">
        <f>'BS Holdco'!I55</f>
        <v>0</v>
      </c>
      <c r="J70" s="341">
        <f>'BS Holdco'!J55</f>
        <v>0</v>
      </c>
      <c r="K70" s="341">
        <f>'BS Holdco'!K55</f>
        <v>0</v>
      </c>
      <c r="L70" s="341">
        <f>'BS Holdco'!L55</f>
        <v>0</v>
      </c>
      <c r="M70" s="341">
        <f>'BS Holdco'!M55</f>
        <v>0</v>
      </c>
      <c r="N70" s="341">
        <f>'BS Holdco'!N55</f>
        <v>0</v>
      </c>
      <c r="O70" s="341">
        <f>'BS Holdco'!O55</f>
        <v>0</v>
      </c>
      <c r="P70" s="341">
        <f>'BS Holdco'!P55</f>
        <v>0</v>
      </c>
      <c r="Q70" s="341">
        <f>'BS Holdco'!Q55</f>
        <v>0</v>
      </c>
      <c r="R70" s="47"/>
      <c r="U70" s="45"/>
      <c r="V70" s="45"/>
      <c r="W70" s="40"/>
    </row>
    <row r="71" spans="1:26" ht="13.7" outlineLevel="1">
      <c r="C71" s="254"/>
      <c r="D71" s="340" t="s">
        <v>1514</v>
      </c>
      <c r="E71" s="197"/>
      <c r="F71" s="197"/>
      <c r="G71" s="197"/>
      <c r="H71" s="197"/>
      <c r="I71" s="197"/>
      <c r="J71" s="197"/>
      <c r="K71" s="197"/>
      <c r="L71" s="197"/>
      <c r="M71" s="197"/>
      <c r="N71" s="197"/>
      <c r="O71" s="197"/>
      <c r="P71" s="197"/>
      <c r="Q71" s="197"/>
      <c r="R71" s="47"/>
      <c r="U71" s="45"/>
      <c r="V71" s="45"/>
      <c r="W71" s="40"/>
    </row>
    <row r="72" spans="1:26" ht="13.7">
      <c r="C72" s="254" t="s">
        <v>220</v>
      </c>
      <c r="D72" s="255"/>
      <c r="E72" s="255">
        <f>SUM(E73:E76)</f>
        <v>0</v>
      </c>
      <c r="F72" s="255">
        <f t="shared" ref="F72:P72" ca="1" si="34">SUM(F73:F76)</f>
        <v>0</v>
      </c>
      <c r="G72" s="255">
        <f t="shared" ca="1" si="34"/>
        <v>0</v>
      </c>
      <c r="H72" s="255">
        <f t="shared" ca="1" si="34"/>
        <v>0</v>
      </c>
      <c r="I72" s="255">
        <f t="shared" ca="1" si="34"/>
        <v>0</v>
      </c>
      <c r="J72" s="255">
        <f t="shared" ca="1" si="34"/>
        <v>0</v>
      </c>
      <c r="K72" s="255">
        <f t="shared" ca="1" si="34"/>
        <v>0</v>
      </c>
      <c r="L72" s="255">
        <f t="shared" ca="1" si="34"/>
        <v>0</v>
      </c>
      <c r="M72" s="255">
        <f t="shared" ca="1" si="34"/>
        <v>0</v>
      </c>
      <c r="N72" s="255">
        <f t="shared" ca="1" si="34"/>
        <v>0</v>
      </c>
      <c r="O72" s="255">
        <f t="shared" ca="1" si="34"/>
        <v>0</v>
      </c>
      <c r="P72" s="255">
        <f t="shared" ca="1" si="34"/>
        <v>0</v>
      </c>
      <c r="Q72" s="255">
        <f t="shared" ref="Q72" ca="1" si="35">SUM(Q73:Q76)</f>
        <v>0</v>
      </c>
      <c r="U72" s="41"/>
      <c r="V72" s="41"/>
      <c r="W72" s="40"/>
    </row>
    <row r="73" spans="1:26" ht="13.7" outlineLevel="1">
      <c r="C73" s="254"/>
      <c r="D73" s="340" t="s">
        <v>1107</v>
      </c>
      <c r="E73" s="341">
        <f>'BS offshore'!E59*Stake_Bu1</f>
        <v>0</v>
      </c>
      <c r="F73" s="341">
        <f>'BS offshore'!F59*Stake_Bu1</f>
        <v>0</v>
      </c>
      <c r="G73" s="341">
        <f>'BS offshore'!G59*Stake_Bu1</f>
        <v>0</v>
      </c>
      <c r="H73" s="341">
        <f>'BS offshore'!H59*Stake_Bu1</f>
        <v>0</v>
      </c>
      <c r="I73" s="341">
        <f>'BS offshore'!I59*Stake_Bu1</f>
        <v>0</v>
      </c>
      <c r="J73" s="341">
        <f>'BS offshore'!J59*Stake_Bu1</f>
        <v>0</v>
      </c>
      <c r="K73" s="341">
        <f>'BS offshore'!K59*Stake_Bu1</f>
        <v>0</v>
      </c>
      <c r="L73" s="341">
        <f>'BS offshore'!L59*Stake_Bu1</f>
        <v>0</v>
      </c>
      <c r="M73" s="341">
        <f>'BS offshore'!M59*Stake_Bu1</f>
        <v>0</v>
      </c>
      <c r="N73" s="341">
        <f>'BS offshore'!N59*Stake_Bu1</f>
        <v>0</v>
      </c>
      <c r="O73" s="341">
        <f>'BS offshore'!O59*Stake_Bu1</f>
        <v>0</v>
      </c>
      <c r="P73" s="341">
        <f>'BS offshore'!P59*Stake_Bu1</f>
        <v>0</v>
      </c>
      <c r="Q73" s="341">
        <f>'BS offshore'!Q59*Stake_Bu1</f>
        <v>0</v>
      </c>
      <c r="R73" s="47"/>
      <c r="U73" s="45"/>
      <c r="V73" s="45"/>
      <c r="W73" s="40"/>
    </row>
    <row r="74" spans="1:26" ht="13.7" outlineLevel="1">
      <c r="C74" s="254"/>
      <c r="D74" s="340" t="s">
        <v>1560</v>
      </c>
      <c r="E74" s="341">
        <f>'BS onshore'!E59*Stake_Bu2</f>
        <v>0</v>
      </c>
      <c r="F74" s="341">
        <f>'BS onshore'!F59*Stake_Bu2</f>
        <v>0</v>
      </c>
      <c r="G74" s="341">
        <f>'BS onshore'!G59*Stake_Bu2</f>
        <v>0</v>
      </c>
      <c r="H74" s="341">
        <f>'BS onshore'!H59*Stake_Bu2</f>
        <v>0</v>
      </c>
      <c r="I74" s="341">
        <f>'BS onshore'!I59*Stake_Bu2</f>
        <v>0</v>
      </c>
      <c r="J74" s="341">
        <f>'BS onshore'!J59*Stake_Bu2</f>
        <v>0</v>
      </c>
      <c r="K74" s="341">
        <f>'BS onshore'!K59*Stake_Bu2</f>
        <v>0</v>
      </c>
      <c r="L74" s="341">
        <f>'BS onshore'!L59*Stake_Bu2</f>
        <v>0</v>
      </c>
      <c r="M74" s="341">
        <f>'BS onshore'!M59*Stake_Bu2</f>
        <v>0</v>
      </c>
      <c r="N74" s="341">
        <f>'BS onshore'!N59*Stake_Bu2</f>
        <v>0</v>
      </c>
      <c r="O74" s="341">
        <f>'BS onshore'!O59*Stake_Bu2</f>
        <v>0</v>
      </c>
      <c r="P74" s="341">
        <f>'BS onshore'!P59*Stake_Bu2</f>
        <v>0</v>
      </c>
      <c r="Q74" s="341">
        <f>'BS onshore'!Q59*Stake_Bu2</f>
        <v>0</v>
      </c>
      <c r="R74" s="47"/>
      <c r="U74" s="45"/>
      <c r="V74" s="45"/>
      <c r="W74" s="40"/>
    </row>
    <row r="75" spans="1:26" ht="13.7" outlineLevel="1">
      <c r="C75" s="254"/>
      <c r="D75" s="340" t="s">
        <v>1513</v>
      </c>
      <c r="E75" s="341">
        <f>'BS Holdco'!E59</f>
        <v>0</v>
      </c>
      <c r="F75" s="341">
        <f ca="1">'BS Holdco'!F59</f>
        <v>0</v>
      </c>
      <c r="G75" s="341">
        <f ca="1">'BS Holdco'!G59</f>
        <v>0</v>
      </c>
      <c r="H75" s="341">
        <f ca="1">'BS Holdco'!H59</f>
        <v>0</v>
      </c>
      <c r="I75" s="341">
        <f ca="1">'BS Holdco'!I59</f>
        <v>0</v>
      </c>
      <c r="J75" s="341">
        <f ca="1">'BS Holdco'!J59</f>
        <v>372544000</v>
      </c>
      <c r="K75" s="341">
        <f ca="1">'BS Holdco'!K59</f>
        <v>372544000</v>
      </c>
      <c r="L75" s="341">
        <f ca="1">'BS Holdco'!L59</f>
        <v>372544000</v>
      </c>
      <c r="M75" s="341">
        <f ca="1">'BS Holdco'!M59</f>
        <v>372544000</v>
      </c>
      <c r="N75" s="341">
        <f ca="1">'BS Holdco'!N59</f>
        <v>372544000</v>
      </c>
      <c r="O75" s="341">
        <f ca="1">'BS Holdco'!O59</f>
        <v>372544000</v>
      </c>
      <c r="P75" s="341">
        <f ca="1">'BS Holdco'!P59</f>
        <v>372544000</v>
      </c>
      <c r="Q75" s="341">
        <f ca="1">'BS Holdco'!Q59</f>
        <v>0</v>
      </c>
      <c r="R75" s="47"/>
      <c r="U75" s="45"/>
      <c r="V75" s="45"/>
      <c r="W75" s="40"/>
    </row>
    <row r="76" spans="1:26" ht="13.7" outlineLevel="1">
      <c r="C76" s="254"/>
      <c r="D76" s="340" t="s">
        <v>1514</v>
      </c>
      <c r="E76" s="197">
        <f>-E75</f>
        <v>0</v>
      </c>
      <c r="F76" s="197">
        <f t="shared" ref="F76:P76" ca="1" si="36">-F75</f>
        <v>0</v>
      </c>
      <c r="G76" s="197">
        <f t="shared" ca="1" si="36"/>
        <v>0</v>
      </c>
      <c r="H76" s="197">
        <f t="shared" ca="1" si="36"/>
        <v>0</v>
      </c>
      <c r="I76" s="197">
        <f t="shared" ca="1" si="36"/>
        <v>0</v>
      </c>
      <c r="J76" s="197">
        <f ca="1">-J75</f>
        <v>-372544000</v>
      </c>
      <c r="K76" s="197">
        <f ca="1">-K75</f>
        <v>-372544000</v>
      </c>
      <c r="L76" s="197">
        <f ca="1">-L75</f>
        <v>-372544000</v>
      </c>
      <c r="M76" s="197">
        <f t="shared" ca="1" si="36"/>
        <v>-372544000</v>
      </c>
      <c r="N76" s="197">
        <f t="shared" ca="1" si="36"/>
        <v>-372544000</v>
      </c>
      <c r="O76" s="197">
        <f t="shared" ca="1" si="36"/>
        <v>-372544000</v>
      </c>
      <c r="P76" s="197">
        <f t="shared" ca="1" si="36"/>
        <v>-372544000</v>
      </c>
      <c r="Q76" s="197">
        <f t="shared" ref="Q76" ca="1" si="37">-Q75</f>
        <v>0</v>
      </c>
      <c r="R76" s="47"/>
      <c r="U76" s="45"/>
      <c r="V76" s="45"/>
      <c r="W76" s="40"/>
    </row>
    <row r="77" spans="1:26" ht="13.7">
      <c r="C77" s="254" t="s">
        <v>221</v>
      </c>
      <c r="D77" s="255"/>
      <c r="E77" s="255">
        <f>SUM(E78:E81)</f>
        <v>0</v>
      </c>
      <c r="F77" s="255">
        <f t="shared" ref="F77:P77" si="38">SUM(F78:F81)</f>
        <v>0</v>
      </c>
      <c r="G77" s="255">
        <f t="shared" si="38"/>
        <v>0</v>
      </c>
      <c r="H77" s="255">
        <f t="shared" si="38"/>
        <v>0</v>
      </c>
      <c r="I77" s="255">
        <f t="shared" si="38"/>
        <v>0</v>
      </c>
      <c r="J77" s="255">
        <f t="shared" si="38"/>
        <v>0</v>
      </c>
      <c r="K77" s="255">
        <f t="shared" si="38"/>
        <v>0</v>
      </c>
      <c r="L77" s="255">
        <f t="shared" si="38"/>
        <v>0</v>
      </c>
      <c r="M77" s="255">
        <f t="shared" si="38"/>
        <v>0</v>
      </c>
      <c r="N77" s="255">
        <f t="shared" si="38"/>
        <v>0</v>
      </c>
      <c r="O77" s="255">
        <f t="shared" si="38"/>
        <v>0</v>
      </c>
      <c r="P77" s="255">
        <f t="shared" si="38"/>
        <v>0</v>
      </c>
      <c r="Q77" s="255">
        <f t="shared" ref="Q77" si="39">SUM(Q78:Q81)</f>
        <v>0</v>
      </c>
      <c r="U77" s="40"/>
      <c r="V77" s="40"/>
    </row>
    <row r="78" spans="1:26" ht="13.7" outlineLevel="1">
      <c r="A78" s="256"/>
      <c r="B78" s="256"/>
      <c r="C78" s="254"/>
      <c r="D78" s="340" t="s">
        <v>1107</v>
      </c>
      <c r="E78" s="341">
        <f>'BS offshore'!E63*Stake_Bu1</f>
        <v>0</v>
      </c>
      <c r="F78" s="341">
        <f>'BS offshore'!F63*Stake_Bu1</f>
        <v>0</v>
      </c>
      <c r="G78" s="341">
        <f>'BS offshore'!G63*Stake_Bu1</f>
        <v>0</v>
      </c>
      <c r="H78" s="341">
        <f>'BS offshore'!H63*Stake_Bu1</f>
        <v>0</v>
      </c>
      <c r="I78" s="341">
        <f>'BS offshore'!I63*Stake_Bu1</f>
        <v>0</v>
      </c>
      <c r="J78" s="341">
        <f>'BS offshore'!J63*Stake_Bu1</f>
        <v>0</v>
      </c>
      <c r="K78" s="341">
        <f>'BS offshore'!K63*Stake_Bu1</f>
        <v>0</v>
      </c>
      <c r="L78" s="341">
        <f>'BS offshore'!L63*Stake_Bu1</f>
        <v>0</v>
      </c>
      <c r="M78" s="341">
        <f>'BS offshore'!M63*Stake_Bu1</f>
        <v>0</v>
      </c>
      <c r="N78" s="341">
        <f>'BS offshore'!N63*Stake_Bu1</f>
        <v>0</v>
      </c>
      <c r="O78" s="341">
        <f>'BS offshore'!O63*Stake_Bu1</f>
        <v>0</v>
      </c>
      <c r="P78" s="341">
        <f>'BS offshore'!P63*Stake_Bu1</f>
        <v>0</v>
      </c>
      <c r="Q78" s="341">
        <f>'BS offshore'!Q63*Stake_Bu1</f>
        <v>0</v>
      </c>
      <c r="R78" s="43"/>
      <c r="S78" s="44"/>
      <c r="T78" s="44"/>
      <c r="X78" s="41"/>
      <c r="Y78" s="41"/>
      <c r="Z78" s="40"/>
    </row>
    <row r="79" spans="1:26" ht="13.7" outlineLevel="1">
      <c r="A79" s="256"/>
      <c r="B79" s="256"/>
      <c r="C79" s="254"/>
      <c r="D79" s="340" t="s">
        <v>1560</v>
      </c>
      <c r="E79" s="341">
        <f>'BS onshore'!E63*Stake_Bu2</f>
        <v>0</v>
      </c>
      <c r="F79" s="341">
        <f>'BS onshore'!F63*Stake_Bu2</f>
        <v>0</v>
      </c>
      <c r="G79" s="341">
        <f>'BS onshore'!G63*Stake_Bu2</f>
        <v>0</v>
      </c>
      <c r="H79" s="341">
        <f>'BS onshore'!H63*Stake_Bu2</f>
        <v>0</v>
      </c>
      <c r="I79" s="341">
        <f>'BS onshore'!I63*Stake_Bu2</f>
        <v>0</v>
      </c>
      <c r="J79" s="341">
        <f>'BS onshore'!J63*Stake_Bu2</f>
        <v>0</v>
      </c>
      <c r="K79" s="341">
        <f>'BS onshore'!K63*Stake_Bu2</f>
        <v>0</v>
      </c>
      <c r="L79" s="341">
        <f>'BS onshore'!L63*Stake_Bu2</f>
        <v>0</v>
      </c>
      <c r="M79" s="341">
        <f>'BS onshore'!M63*Stake_Bu2</f>
        <v>0</v>
      </c>
      <c r="N79" s="341">
        <f>'BS onshore'!N63*Stake_Bu2</f>
        <v>0</v>
      </c>
      <c r="O79" s="341">
        <f>'BS onshore'!O63*Stake_Bu2</f>
        <v>0</v>
      </c>
      <c r="P79" s="341">
        <f>'BS onshore'!P63*Stake_Bu2</f>
        <v>0</v>
      </c>
      <c r="Q79" s="341">
        <f>'BS onshore'!Q63*Stake_Bu2</f>
        <v>0</v>
      </c>
      <c r="R79" s="43"/>
      <c r="S79" s="44"/>
      <c r="T79" s="44"/>
      <c r="X79" s="41"/>
      <c r="Y79" s="41"/>
      <c r="Z79" s="40"/>
    </row>
    <row r="80" spans="1:26" ht="13.7" outlineLevel="1">
      <c r="A80" s="256"/>
      <c r="B80" s="256"/>
      <c r="C80" s="254"/>
      <c r="D80" s="340" t="s">
        <v>1513</v>
      </c>
      <c r="E80" s="341">
        <f>'BS Holdco'!E64</f>
        <v>0</v>
      </c>
      <c r="F80" s="341">
        <f>'BS Holdco'!F64</f>
        <v>0</v>
      </c>
      <c r="G80" s="341">
        <f>'BS Holdco'!G64</f>
        <v>0</v>
      </c>
      <c r="H80" s="341">
        <f>'BS Holdco'!H64</f>
        <v>0</v>
      </c>
      <c r="I80" s="341">
        <f>'BS Holdco'!I64</f>
        <v>0</v>
      </c>
      <c r="J80" s="341">
        <f>'BS Holdco'!J64</f>
        <v>0</v>
      </c>
      <c r="K80" s="341">
        <f>'BS Holdco'!K64</f>
        <v>0</v>
      </c>
      <c r="L80" s="341">
        <f>'BS Holdco'!L64</f>
        <v>0</v>
      </c>
      <c r="M80" s="341">
        <f>'BS Holdco'!M64</f>
        <v>0</v>
      </c>
      <c r="N80" s="341">
        <f>'BS Holdco'!N64</f>
        <v>0</v>
      </c>
      <c r="O80" s="341">
        <f>'BS Holdco'!O64</f>
        <v>0</v>
      </c>
      <c r="P80" s="341">
        <f>'BS Holdco'!P64</f>
        <v>0</v>
      </c>
      <c r="Q80" s="341">
        <f>'BS Holdco'!Q64</f>
        <v>0</v>
      </c>
      <c r="R80" s="43"/>
      <c r="S80" s="44"/>
      <c r="T80" s="44"/>
      <c r="X80" s="41"/>
      <c r="Y80" s="41"/>
      <c r="Z80" s="40"/>
    </row>
    <row r="81" spans="1:26" ht="13.7" outlineLevel="1">
      <c r="A81" s="256"/>
      <c r="B81" s="256"/>
      <c r="C81" s="254"/>
      <c r="D81" s="340" t="s">
        <v>1514</v>
      </c>
      <c r="E81" s="197"/>
      <c r="F81" s="197"/>
      <c r="G81" s="197"/>
      <c r="H81" s="197"/>
      <c r="I81" s="197"/>
      <c r="J81" s="197">
        <f>I77</f>
        <v>0</v>
      </c>
      <c r="K81" s="197">
        <f>+I79</f>
        <v>0</v>
      </c>
      <c r="L81" s="197">
        <f>K81</f>
        <v>0</v>
      </c>
      <c r="M81" s="197">
        <f t="shared" ref="M81:P81" si="40">L81</f>
        <v>0</v>
      </c>
      <c r="N81" s="197">
        <f t="shared" si="40"/>
        <v>0</v>
      </c>
      <c r="O81" s="197">
        <f t="shared" si="40"/>
        <v>0</v>
      </c>
      <c r="P81" s="197">
        <f t="shared" si="40"/>
        <v>0</v>
      </c>
      <c r="Q81" s="197"/>
      <c r="R81" s="43"/>
      <c r="S81" s="44"/>
      <c r="T81" s="44"/>
      <c r="X81" s="41"/>
      <c r="Y81" s="41"/>
      <c r="Z81" s="40"/>
    </row>
    <row r="82" spans="1:26" ht="13.7">
      <c r="C82" s="254" t="s">
        <v>222</v>
      </c>
      <c r="D82" s="255"/>
      <c r="E82" s="255">
        <f>SUM(E83:E86)</f>
        <v>0</v>
      </c>
      <c r="F82" s="255">
        <f t="shared" ref="F82:P82" si="41">SUM(F83:F86)</f>
        <v>0</v>
      </c>
      <c r="G82" s="255">
        <f t="shared" si="41"/>
        <v>0</v>
      </c>
      <c r="H82" s="255">
        <f t="shared" si="41"/>
        <v>0</v>
      </c>
      <c r="I82" s="255">
        <f t="shared" si="41"/>
        <v>0</v>
      </c>
      <c r="J82" s="255">
        <f t="shared" si="41"/>
        <v>0</v>
      </c>
      <c r="K82" s="255">
        <f t="shared" si="41"/>
        <v>0</v>
      </c>
      <c r="L82" s="255">
        <f t="shared" si="41"/>
        <v>0</v>
      </c>
      <c r="M82" s="255">
        <f t="shared" si="41"/>
        <v>0</v>
      </c>
      <c r="N82" s="255">
        <f t="shared" si="41"/>
        <v>0</v>
      </c>
      <c r="O82" s="255">
        <f t="shared" si="41"/>
        <v>0</v>
      </c>
      <c r="P82" s="255">
        <f t="shared" si="41"/>
        <v>0</v>
      </c>
      <c r="Q82" s="255">
        <f t="shared" ref="Q82" si="42">SUM(Q83:Q86)</f>
        <v>0</v>
      </c>
      <c r="U82" s="39"/>
      <c r="V82" s="39"/>
      <c r="W82" s="40"/>
    </row>
    <row r="83" spans="1:26" ht="13.7" outlineLevel="1">
      <c r="C83" s="254"/>
      <c r="D83" s="340" t="s">
        <v>1107</v>
      </c>
      <c r="E83" s="341">
        <f>'BS offshore'!E67*Stake_Bu1</f>
        <v>0</v>
      </c>
      <c r="F83" s="341">
        <f>'BS offshore'!F67*Stake_Bu1</f>
        <v>0</v>
      </c>
      <c r="G83" s="341">
        <f>'BS offshore'!G67*Stake_Bu1</f>
        <v>0</v>
      </c>
      <c r="H83" s="341">
        <f>'BS offshore'!H67*Stake_Bu1</f>
        <v>0</v>
      </c>
      <c r="I83" s="341">
        <f>'BS offshore'!I67*Stake_Bu1</f>
        <v>0</v>
      </c>
      <c r="J83" s="341">
        <f>'BS offshore'!J67*Stake_Bu1</f>
        <v>0</v>
      </c>
      <c r="K83" s="341">
        <f>'BS offshore'!K67*Stake_Bu1</f>
        <v>0</v>
      </c>
      <c r="L83" s="341">
        <f>'BS offshore'!L67*Stake_Bu1</f>
        <v>0</v>
      </c>
      <c r="M83" s="341">
        <f>'BS offshore'!M67*Stake_Bu1</f>
        <v>0</v>
      </c>
      <c r="N83" s="341">
        <f>'BS offshore'!N67*Stake_Bu1</f>
        <v>0</v>
      </c>
      <c r="O83" s="341">
        <f>'BS offshore'!O67*Stake_Bu1</f>
        <v>0</v>
      </c>
      <c r="P83" s="341">
        <f>'BS offshore'!P67*Stake_Bu1</f>
        <v>0</v>
      </c>
      <c r="Q83" s="341">
        <f>'BS offshore'!Q67*Stake_Bu1</f>
        <v>0</v>
      </c>
      <c r="U83" s="39"/>
      <c r="V83" s="39"/>
      <c r="W83" s="40"/>
    </row>
    <row r="84" spans="1:26" ht="13.7" outlineLevel="1">
      <c r="C84" s="254"/>
      <c r="D84" s="340" t="s">
        <v>1560</v>
      </c>
      <c r="E84" s="341">
        <f>'BS onshore'!E67*Stake_Bu2</f>
        <v>0</v>
      </c>
      <c r="F84" s="341">
        <f>'BS onshore'!F67*Stake_Bu2</f>
        <v>0</v>
      </c>
      <c r="G84" s="341">
        <f>'BS onshore'!G67*Stake_Bu2</f>
        <v>0</v>
      </c>
      <c r="H84" s="341">
        <f>'BS onshore'!H67*Stake_Bu2</f>
        <v>0</v>
      </c>
      <c r="I84" s="341">
        <f>'BS onshore'!I67*Stake_Bu2</f>
        <v>0</v>
      </c>
      <c r="J84" s="341">
        <f>'BS onshore'!J67*Stake_Bu2</f>
        <v>0</v>
      </c>
      <c r="K84" s="341">
        <f>'BS onshore'!K67*Stake_Bu2</f>
        <v>0</v>
      </c>
      <c r="L84" s="341">
        <f>'BS onshore'!L67*Stake_Bu2</f>
        <v>0</v>
      </c>
      <c r="M84" s="341">
        <f>'BS onshore'!M67*Stake_Bu2</f>
        <v>0</v>
      </c>
      <c r="N84" s="341">
        <f>'BS onshore'!N67*Stake_Bu2</f>
        <v>0</v>
      </c>
      <c r="O84" s="341">
        <f>'BS onshore'!O67*Stake_Bu2</f>
        <v>0</v>
      </c>
      <c r="P84" s="341">
        <f>'BS onshore'!P67*Stake_Bu2</f>
        <v>0</v>
      </c>
      <c r="Q84" s="341">
        <f>'BS onshore'!Q67*Stake_Bu2</f>
        <v>0</v>
      </c>
      <c r="U84" s="39"/>
      <c r="V84" s="39"/>
      <c r="W84" s="40"/>
    </row>
    <row r="85" spans="1:26" ht="13.7" outlineLevel="1">
      <c r="C85" s="254"/>
      <c r="D85" s="340" t="s">
        <v>1513</v>
      </c>
      <c r="E85" s="341">
        <f>'BS Holdco'!E68</f>
        <v>0</v>
      </c>
      <c r="F85" s="341">
        <f>'BS Holdco'!F68</f>
        <v>0</v>
      </c>
      <c r="G85" s="341">
        <f>'BS Holdco'!G68</f>
        <v>0</v>
      </c>
      <c r="H85" s="341">
        <f>'BS Holdco'!H68</f>
        <v>0</v>
      </c>
      <c r="I85" s="341">
        <f>'BS Holdco'!I68</f>
        <v>0</v>
      </c>
      <c r="J85" s="341">
        <f>'BS Holdco'!J68</f>
        <v>0</v>
      </c>
      <c r="K85" s="341">
        <f>'BS Holdco'!K68</f>
        <v>0</v>
      </c>
      <c r="L85" s="341">
        <f>'BS Holdco'!L68</f>
        <v>0</v>
      </c>
      <c r="M85" s="341">
        <f>'BS Holdco'!M68</f>
        <v>0</v>
      </c>
      <c r="N85" s="341">
        <f>'BS Holdco'!N68</f>
        <v>0</v>
      </c>
      <c r="O85" s="341">
        <f>'BS Holdco'!O68</f>
        <v>0</v>
      </c>
      <c r="P85" s="341">
        <f>'BS Holdco'!P68</f>
        <v>0</v>
      </c>
      <c r="Q85" s="341">
        <f>'BS Holdco'!Q68</f>
        <v>0</v>
      </c>
      <c r="U85" s="39"/>
      <c r="V85" s="39"/>
      <c r="W85" s="40"/>
    </row>
    <row r="86" spans="1:26" ht="13.7" outlineLevel="1">
      <c r="C86" s="254"/>
      <c r="D86" s="340" t="s">
        <v>1514</v>
      </c>
      <c r="E86" s="197"/>
      <c r="F86" s="197"/>
      <c r="G86" s="197"/>
      <c r="H86" s="197"/>
      <c r="I86" s="197"/>
      <c r="J86" s="197"/>
      <c r="K86" s="197"/>
      <c r="L86" s="197"/>
      <c r="M86" s="197"/>
      <c r="N86" s="197"/>
      <c r="O86" s="197"/>
      <c r="P86" s="197"/>
      <c r="Q86" s="197"/>
      <c r="U86" s="39"/>
      <c r="V86" s="39"/>
      <c r="W86" s="40"/>
    </row>
    <row r="87" spans="1:26" ht="13.7">
      <c r="C87" s="48"/>
      <c r="U87" s="39"/>
      <c r="V87" s="39"/>
      <c r="W87" s="40"/>
    </row>
    <row r="88" spans="1:26" ht="13.7">
      <c r="C88" s="195" t="s">
        <v>10</v>
      </c>
      <c r="D88" s="195"/>
      <c r="E88" s="195">
        <f t="shared" ref="E88:Q88" si="43">E23+E61</f>
        <v>0</v>
      </c>
      <c r="F88" s="195">
        <f t="shared" ca="1" si="43"/>
        <v>0</v>
      </c>
      <c r="G88" s="195">
        <f t="shared" ca="1" si="43"/>
        <v>0</v>
      </c>
      <c r="H88" s="195">
        <f t="shared" ca="1" si="43"/>
        <v>0</v>
      </c>
      <c r="I88" s="195">
        <f t="shared" ca="1" si="43"/>
        <v>0</v>
      </c>
      <c r="J88" s="195">
        <f t="shared" ca="1" si="43"/>
        <v>0</v>
      </c>
      <c r="K88" s="195">
        <f ca="1">K23+K61</f>
        <v>0</v>
      </c>
      <c r="L88" s="195">
        <f ca="1">L23+L61</f>
        <v>0</v>
      </c>
      <c r="M88" s="195">
        <f t="shared" ca="1" si="43"/>
        <v>0</v>
      </c>
      <c r="N88" s="195">
        <f t="shared" ca="1" si="43"/>
        <v>0</v>
      </c>
      <c r="O88" s="195">
        <f t="shared" ca="1" si="43"/>
        <v>0</v>
      </c>
      <c r="P88" s="195">
        <f t="shared" ca="1" si="43"/>
        <v>0</v>
      </c>
      <c r="Q88" s="195">
        <f t="shared" ca="1" si="43"/>
        <v>0</v>
      </c>
      <c r="X88" s="41"/>
      <c r="Y88" s="41"/>
      <c r="Z88" s="40"/>
    </row>
    <row r="89" spans="1:26">
      <c r="X89" s="41"/>
      <c r="Y89" s="41"/>
      <c r="Z89" s="40"/>
    </row>
    <row r="90" spans="1:26" ht="13.7">
      <c r="A90" s="256"/>
      <c r="B90" s="256"/>
      <c r="C90" s="181" t="s">
        <v>11</v>
      </c>
      <c r="D90" s="180"/>
      <c r="E90" s="180">
        <f>+E91+E96+E101+E106+E111+E116+E121+E126+E131</f>
        <v>0</v>
      </c>
      <c r="F90" s="180">
        <f t="shared" ref="F90:P90" si="44">+F91+F96+F101+F106+F111+F116+F121+F126+F131</f>
        <v>0</v>
      </c>
      <c r="G90" s="180">
        <f t="shared" si="44"/>
        <v>0</v>
      </c>
      <c r="H90" s="180">
        <f t="shared" si="44"/>
        <v>0</v>
      </c>
      <c r="I90" s="180">
        <f t="shared" si="44"/>
        <v>0</v>
      </c>
      <c r="J90" s="180">
        <f t="shared" si="44"/>
        <v>0</v>
      </c>
      <c r="K90" s="180">
        <f t="shared" ca="1" si="44"/>
        <v>0</v>
      </c>
      <c r="L90" s="180">
        <f t="shared" ca="1" si="44"/>
        <v>0</v>
      </c>
      <c r="M90" s="180">
        <f t="shared" ca="1" si="44"/>
        <v>0</v>
      </c>
      <c r="N90" s="180">
        <f t="shared" ca="1" si="44"/>
        <v>0</v>
      </c>
      <c r="O90" s="180">
        <f t="shared" ca="1" si="44"/>
        <v>0</v>
      </c>
      <c r="P90" s="180">
        <f t="shared" ca="1" si="44"/>
        <v>0</v>
      </c>
      <c r="Q90" s="180">
        <f t="shared" ref="Q90" si="45">+Q91+Q96+Q101+Q106+Q111+Q116+Q121+Q126+Q131</f>
        <v>0</v>
      </c>
      <c r="T90" s="44"/>
      <c r="U90" s="44"/>
      <c r="X90" s="41"/>
      <c r="Y90" s="41"/>
      <c r="Z90" s="40"/>
    </row>
    <row r="91" spans="1:26" ht="13.7">
      <c r="A91" s="256"/>
      <c r="B91" s="256"/>
      <c r="C91" s="254" t="s">
        <v>1468</v>
      </c>
      <c r="D91" s="180"/>
      <c r="E91" s="255">
        <f>SUM(E92:E95)</f>
        <v>0</v>
      </c>
      <c r="F91" s="255">
        <f t="shared" ref="F91:P91" si="46">SUM(F92:F95)</f>
        <v>0</v>
      </c>
      <c r="G91" s="255">
        <f t="shared" si="46"/>
        <v>0</v>
      </c>
      <c r="H91" s="255">
        <f t="shared" si="46"/>
        <v>0</v>
      </c>
      <c r="I91" s="255">
        <f t="shared" si="46"/>
        <v>0</v>
      </c>
      <c r="J91" s="255">
        <f t="shared" si="46"/>
        <v>0</v>
      </c>
      <c r="K91" s="255">
        <f t="shared" ca="1" si="46"/>
        <v>0</v>
      </c>
      <c r="L91" s="255">
        <f t="shared" ca="1" si="46"/>
        <v>0</v>
      </c>
      <c r="M91" s="255">
        <f t="shared" ca="1" si="46"/>
        <v>0</v>
      </c>
      <c r="N91" s="255">
        <f t="shared" ca="1" si="46"/>
        <v>0</v>
      </c>
      <c r="O91" s="255">
        <f t="shared" ca="1" si="46"/>
        <v>0</v>
      </c>
      <c r="P91" s="255">
        <f t="shared" ca="1" si="46"/>
        <v>0</v>
      </c>
      <c r="Q91" s="255">
        <f t="shared" ref="Q91" si="47">SUM(Q92:Q95)</f>
        <v>0</v>
      </c>
      <c r="T91" s="44"/>
      <c r="U91" s="44"/>
      <c r="X91" s="41"/>
      <c r="Y91" s="41"/>
      <c r="Z91" s="40"/>
    </row>
    <row r="92" spans="1:26" ht="13.7" outlineLevel="1">
      <c r="A92" s="256"/>
      <c r="B92" s="256"/>
      <c r="C92" s="257"/>
      <c r="D92" s="340" t="s">
        <v>1107</v>
      </c>
      <c r="E92" s="341">
        <f>'BS offshore'!E74*Stake_Bu1</f>
        <v>0</v>
      </c>
      <c r="F92" s="341">
        <f>'BS offshore'!F74*Stake_Bu1</f>
        <v>0</v>
      </c>
      <c r="G92" s="341">
        <f>'BS offshore'!G74*Stake_Bu1</f>
        <v>0</v>
      </c>
      <c r="H92" s="341">
        <f>'BS offshore'!H74*Stake_Bu1</f>
        <v>0</v>
      </c>
      <c r="I92" s="341">
        <f>'BS offshore'!I74*Stake_Bu1</f>
        <v>0</v>
      </c>
      <c r="J92" s="341">
        <f>'BS offshore'!J74*Stake_Bu1</f>
        <v>0</v>
      </c>
      <c r="K92" s="341">
        <f ca="1">'BS offshore'!K74*Stake_Bu1</f>
        <v>0</v>
      </c>
      <c r="L92" s="341">
        <f ca="1">'BS offshore'!L74*Stake_Bu1</f>
        <v>0</v>
      </c>
      <c r="M92" s="341">
        <f ca="1">'BS offshore'!M74*Stake_Bu1</f>
        <v>0</v>
      </c>
      <c r="N92" s="341">
        <f ca="1">'BS offshore'!N74*Stake_Bu1</f>
        <v>0</v>
      </c>
      <c r="O92" s="341">
        <f ca="1">'BS offshore'!O74*Stake_Bu1</f>
        <v>0</v>
      </c>
      <c r="P92" s="341">
        <f ca="1">'BS offshore'!P74*Stake_Bu1</f>
        <v>0</v>
      </c>
      <c r="Q92" s="341">
        <f>'BS offshore'!Q74*Stake_Bu1</f>
        <v>0</v>
      </c>
      <c r="T92" s="44"/>
      <c r="U92" s="44"/>
      <c r="X92" s="41"/>
      <c r="Y92" s="41"/>
      <c r="Z92" s="40"/>
    </row>
    <row r="93" spans="1:26" ht="13.7" outlineLevel="1">
      <c r="A93" s="256"/>
      <c r="B93" s="256"/>
      <c r="C93" s="257"/>
      <c r="D93" s="340" t="s">
        <v>1560</v>
      </c>
      <c r="E93" s="341">
        <f>'BS onshore'!E74*Stake_Bu2</f>
        <v>0</v>
      </c>
      <c r="F93" s="341">
        <f>'BS onshore'!F74*Stake_Bu2</f>
        <v>0</v>
      </c>
      <c r="G93" s="341">
        <f>'BS onshore'!G74*Stake_Bu2</f>
        <v>0</v>
      </c>
      <c r="H93" s="341">
        <f>'BS onshore'!H74*Stake_Bu2</f>
        <v>0</v>
      </c>
      <c r="I93" s="341">
        <f>'BS onshore'!I74*Stake_Bu2</f>
        <v>0</v>
      </c>
      <c r="J93" s="341">
        <f>'BS onshore'!J74*Stake_Bu2</f>
        <v>0</v>
      </c>
      <c r="K93" s="341">
        <f ca="1">'BS onshore'!K74*Stake_Bu2</f>
        <v>0</v>
      </c>
      <c r="L93" s="341">
        <f ca="1">'BS onshore'!L74*Stake_Bu2</f>
        <v>0</v>
      </c>
      <c r="M93" s="341">
        <f ca="1">'BS onshore'!M74*Stake_Bu2</f>
        <v>0</v>
      </c>
      <c r="N93" s="341">
        <f ca="1">'BS onshore'!N74*Stake_Bu2</f>
        <v>0</v>
      </c>
      <c r="O93" s="341">
        <f ca="1">'BS onshore'!O74*Stake_Bu2</f>
        <v>0</v>
      </c>
      <c r="P93" s="341">
        <f ca="1">'BS onshore'!P74*Stake_Bu2</f>
        <v>0</v>
      </c>
      <c r="Q93" s="341">
        <f>'BS onshore'!Q74*Stake_Bu2</f>
        <v>0</v>
      </c>
      <c r="T93" s="44"/>
      <c r="U93" s="44"/>
      <c r="X93" s="41"/>
      <c r="Y93" s="41"/>
      <c r="Z93" s="40"/>
    </row>
    <row r="94" spans="1:26" ht="13.7" outlineLevel="1">
      <c r="A94" s="256"/>
      <c r="B94" s="256"/>
      <c r="C94" s="257"/>
      <c r="D94" s="340" t="s">
        <v>1513</v>
      </c>
      <c r="E94" s="341">
        <f>'BS Holdco'!E75</f>
        <v>0</v>
      </c>
      <c r="F94" s="341">
        <f>'BS Holdco'!F75</f>
        <v>0</v>
      </c>
      <c r="G94" s="341">
        <f>'BS Holdco'!G75</f>
        <v>0</v>
      </c>
      <c r="H94" s="341">
        <f>'BS Holdco'!H75</f>
        <v>0</v>
      </c>
      <c r="I94" s="341">
        <f>'BS Holdco'!I75</f>
        <v>0</v>
      </c>
      <c r="J94" s="341">
        <f>'BS Holdco'!J75</f>
        <v>0</v>
      </c>
      <c r="K94" s="341">
        <f>'BS Holdco'!K75</f>
        <v>0</v>
      </c>
      <c r="L94" s="341">
        <f>'BS Holdco'!L75</f>
        <v>0</v>
      </c>
      <c r="M94" s="341">
        <f>'BS Holdco'!M75</f>
        <v>0</v>
      </c>
      <c r="N94" s="341">
        <f>'BS Holdco'!N75</f>
        <v>0</v>
      </c>
      <c r="O94" s="341">
        <f>'BS Holdco'!O75</f>
        <v>0</v>
      </c>
      <c r="P94" s="341">
        <f>'BS Holdco'!P75</f>
        <v>0</v>
      </c>
      <c r="Q94" s="341">
        <f>'BS Holdco'!Q75</f>
        <v>0</v>
      </c>
      <c r="T94" s="44"/>
      <c r="U94" s="44"/>
      <c r="X94" s="41"/>
      <c r="Y94" s="41"/>
      <c r="Z94" s="40"/>
    </row>
    <row r="95" spans="1:26" ht="13.7" outlineLevel="1">
      <c r="A95" s="256"/>
      <c r="B95" s="256"/>
      <c r="C95" s="254"/>
      <c r="D95" s="340" t="s">
        <v>1514</v>
      </c>
      <c r="E95" s="197"/>
      <c r="F95" s="197"/>
      <c r="G95" s="197"/>
      <c r="H95" s="197">
        <f>-H92</f>
        <v>0</v>
      </c>
      <c r="I95" s="197">
        <f>-I58</f>
        <v>0</v>
      </c>
      <c r="J95" s="197">
        <f>-J58</f>
        <v>0</v>
      </c>
      <c r="K95" s="197">
        <f ca="1">-K58</f>
        <v>0</v>
      </c>
      <c r="L95" s="197">
        <f ca="1">-L58</f>
        <v>0</v>
      </c>
      <c r="M95" s="197">
        <f ca="1">-M92</f>
        <v>0</v>
      </c>
      <c r="N95" s="197"/>
      <c r="O95" s="197"/>
      <c r="P95" s="197"/>
      <c r="Q95" s="197"/>
      <c r="R95" s="43"/>
      <c r="S95" s="44"/>
      <c r="T95" s="44"/>
      <c r="X95" s="41"/>
      <c r="Y95" s="41"/>
      <c r="Z95" s="40"/>
    </row>
    <row r="96" spans="1:26" ht="13.7">
      <c r="A96" s="256"/>
      <c r="B96" s="256"/>
      <c r="C96" s="254" t="s">
        <v>225</v>
      </c>
      <c r="D96" s="255"/>
      <c r="E96" s="255">
        <f>SUM(E97:E100)</f>
        <v>0</v>
      </c>
      <c r="F96" s="255">
        <f t="shared" ref="F96:P96" si="48">SUM(F97:F100)</f>
        <v>0</v>
      </c>
      <c r="G96" s="255">
        <f t="shared" si="48"/>
        <v>0</v>
      </c>
      <c r="H96" s="255">
        <f t="shared" si="48"/>
        <v>0</v>
      </c>
      <c r="I96" s="255">
        <f t="shared" si="48"/>
        <v>0</v>
      </c>
      <c r="J96" s="255">
        <f t="shared" si="48"/>
        <v>0</v>
      </c>
      <c r="K96" s="255">
        <f t="shared" si="48"/>
        <v>0</v>
      </c>
      <c r="L96" s="255">
        <f t="shared" si="48"/>
        <v>0</v>
      </c>
      <c r="M96" s="255">
        <f t="shared" si="48"/>
        <v>0</v>
      </c>
      <c r="N96" s="255">
        <f t="shared" si="48"/>
        <v>0</v>
      </c>
      <c r="O96" s="255">
        <f t="shared" si="48"/>
        <v>0</v>
      </c>
      <c r="P96" s="255">
        <f t="shared" si="48"/>
        <v>0</v>
      </c>
      <c r="Q96" s="255">
        <f t="shared" ref="Q96" si="49">SUM(Q97:Q100)</f>
        <v>0</v>
      </c>
      <c r="T96" s="44"/>
      <c r="U96" s="44"/>
      <c r="X96" s="41"/>
      <c r="Y96" s="41"/>
      <c r="Z96" s="40"/>
    </row>
    <row r="97" spans="1:26" ht="13.7" outlineLevel="1">
      <c r="A97" s="256"/>
      <c r="B97" s="256"/>
      <c r="C97" s="254"/>
      <c r="D97" s="340" t="s">
        <v>1107</v>
      </c>
      <c r="E97" s="341">
        <f>'BS offshore'!E77*Stake_Bu1</f>
        <v>0</v>
      </c>
      <c r="F97" s="341">
        <f>'BS offshore'!F77*Stake_Bu1</f>
        <v>0</v>
      </c>
      <c r="G97" s="341">
        <f>'BS offshore'!G77*Stake_Bu1</f>
        <v>0</v>
      </c>
      <c r="H97" s="341">
        <f>'BS offshore'!H77*Stake_Bu1</f>
        <v>0</v>
      </c>
      <c r="I97" s="341">
        <f>'BS offshore'!I77*Stake_Bu1</f>
        <v>0</v>
      </c>
      <c r="J97" s="341">
        <f>'BS offshore'!J77*Stake_Bu1</f>
        <v>0</v>
      </c>
      <c r="K97" s="341">
        <f>'BS offshore'!K77*Stake_Bu1</f>
        <v>0</v>
      </c>
      <c r="L97" s="341">
        <f>'BS offshore'!L77*Stake_Bu1</f>
        <v>0</v>
      </c>
      <c r="M97" s="341">
        <f>'BS offshore'!M77*Stake_Bu1</f>
        <v>0</v>
      </c>
      <c r="N97" s="341">
        <f>'BS offshore'!N77*Stake_Bu1</f>
        <v>0</v>
      </c>
      <c r="O97" s="341">
        <f>'BS offshore'!O77*Stake_Bu1</f>
        <v>0</v>
      </c>
      <c r="P97" s="341">
        <f>'BS offshore'!P77*Stake_Bu1</f>
        <v>0</v>
      </c>
      <c r="Q97" s="341">
        <f>'BS offshore'!Q77*Stake_Bu1</f>
        <v>0</v>
      </c>
      <c r="R97" s="43"/>
      <c r="S97" s="44"/>
      <c r="T97" s="44"/>
      <c r="X97" s="41"/>
      <c r="Y97" s="41"/>
      <c r="Z97" s="40"/>
    </row>
    <row r="98" spans="1:26" ht="13.7" outlineLevel="1">
      <c r="A98" s="256"/>
      <c r="B98" s="256"/>
      <c r="C98" s="254"/>
      <c r="D98" s="340" t="s">
        <v>1560</v>
      </c>
      <c r="E98" s="341">
        <f>'BS onshore'!E77*Stake_Bu2</f>
        <v>0</v>
      </c>
      <c r="F98" s="341">
        <f>'BS onshore'!F77*Stake_Bu2</f>
        <v>0</v>
      </c>
      <c r="G98" s="341">
        <f>'BS onshore'!G77*Stake_Bu2</f>
        <v>0</v>
      </c>
      <c r="H98" s="341">
        <f>'BS onshore'!H77*Stake_Bu2</f>
        <v>0</v>
      </c>
      <c r="I98" s="341">
        <f>'BS onshore'!I77*Stake_Bu2</f>
        <v>0</v>
      </c>
      <c r="J98" s="341">
        <f>'BS onshore'!J77*Stake_Bu2</f>
        <v>0</v>
      </c>
      <c r="K98" s="341">
        <f>'BS onshore'!K77*Stake_Bu2</f>
        <v>0</v>
      </c>
      <c r="L98" s="341">
        <f>'BS onshore'!L77*Stake_Bu2</f>
        <v>0</v>
      </c>
      <c r="M98" s="341">
        <f>'BS onshore'!M77*Stake_Bu2</f>
        <v>0</v>
      </c>
      <c r="N98" s="341">
        <f>'BS onshore'!N77*Stake_Bu2</f>
        <v>0</v>
      </c>
      <c r="O98" s="341">
        <f>'BS onshore'!O77*Stake_Bu2</f>
        <v>0</v>
      </c>
      <c r="P98" s="341">
        <f>'BS onshore'!P77*Stake_Bu2</f>
        <v>0</v>
      </c>
      <c r="Q98" s="341">
        <f>'BS onshore'!Q77*Stake_Bu2</f>
        <v>0</v>
      </c>
      <c r="R98" s="43"/>
      <c r="S98" s="44"/>
      <c r="T98" s="44"/>
      <c r="X98" s="41"/>
      <c r="Y98" s="41"/>
      <c r="Z98" s="40"/>
    </row>
    <row r="99" spans="1:26" ht="13.7" outlineLevel="1">
      <c r="A99" s="256"/>
      <c r="B99" s="256"/>
      <c r="C99" s="254"/>
      <c r="D99" s="340" t="s">
        <v>1513</v>
      </c>
      <c r="E99" s="341">
        <f>'BS Holdco'!E78</f>
        <v>0</v>
      </c>
      <c r="F99" s="341">
        <f>'BS Holdco'!F78</f>
        <v>0</v>
      </c>
      <c r="G99" s="341">
        <f>'BS Holdco'!G78</f>
        <v>0</v>
      </c>
      <c r="H99" s="341">
        <f>'BS Holdco'!H78</f>
        <v>0</v>
      </c>
      <c r="I99" s="341">
        <f>'BS Holdco'!I78</f>
        <v>0</v>
      </c>
      <c r="J99" s="341">
        <f>'BS Holdco'!J78</f>
        <v>0</v>
      </c>
      <c r="K99" s="341">
        <f>'BS Holdco'!K78</f>
        <v>0</v>
      </c>
      <c r="L99" s="341">
        <f>'BS Holdco'!L78</f>
        <v>0</v>
      </c>
      <c r="M99" s="341">
        <f>'BS Holdco'!M78</f>
        <v>0</v>
      </c>
      <c r="N99" s="341">
        <f>'BS Holdco'!N78</f>
        <v>0</v>
      </c>
      <c r="O99" s="341">
        <f>'BS Holdco'!O78</f>
        <v>0</v>
      </c>
      <c r="P99" s="341">
        <f>'BS Holdco'!P78</f>
        <v>0</v>
      </c>
      <c r="Q99" s="341">
        <f>'BS Holdco'!Q78</f>
        <v>0</v>
      </c>
      <c r="R99" s="43"/>
      <c r="S99" s="44"/>
      <c r="T99" s="44"/>
      <c r="X99" s="41"/>
      <c r="Y99" s="41"/>
      <c r="Z99" s="40"/>
    </row>
    <row r="100" spans="1:26" ht="13.7" outlineLevel="1">
      <c r="A100" s="256"/>
      <c r="B100" s="256"/>
      <c r="C100" s="254"/>
      <c r="D100" s="340" t="s">
        <v>1514</v>
      </c>
      <c r="E100" s="197"/>
      <c r="F100" s="197"/>
      <c r="G100" s="197"/>
      <c r="H100" s="197"/>
      <c r="I100" s="197"/>
      <c r="J100" s="197"/>
      <c r="K100" s="197"/>
      <c r="L100" s="197"/>
      <c r="M100" s="197"/>
      <c r="N100" s="197"/>
      <c r="O100" s="197"/>
      <c r="P100" s="197"/>
      <c r="Q100" s="197"/>
      <c r="R100" s="43"/>
      <c r="S100" s="44"/>
      <c r="T100" s="44"/>
      <c r="X100" s="41"/>
      <c r="Y100" s="41"/>
      <c r="Z100" s="40"/>
    </row>
    <row r="101" spans="1:26" ht="13.7">
      <c r="A101" s="256"/>
      <c r="B101" s="256"/>
      <c r="C101" s="254" t="s">
        <v>226</v>
      </c>
      <c r="D101" s="255"/>
      <c r="E101" s="255">
        <f>SUM(E102:E105)</f>
        <v>0</v>
      </c>
      <c r="F101" s="255">
        <f t="shared" ref="F101:P101" si="50">SUM(F102:F105)</f>
        <v>0</v>
      </c>
      <c r="G101" s="255">
        <f t="shared" si="50"/>
        <v>0</v>
      </c>
      <c r="H101" s="255">
        <f t="shared" si="50"/>
        <v>0</v>
      </c>
      <c r="I101" s="255">
        <f t="shared" si="50"/>
        <v>0</v>
      </c>
      <c r="J101" s="255">
        <f t="shared" si="50"/>
        <v>0</v>
      </c>
      <c r="K101" s="255">
        <f t="shared" si="50"/>
        <v>0</v>
      </c>
      <c r="L101" s="255">
        <f t="shared" si="50"/>
        <v>0</v>
      </c>
      <c r="M101" s="255">
        <f t="shared" si="50"/>
        <v>0</v>
      </c>
      <c r="N101" s="255">
        <f t="shared" si="50"/>
        <v>0</v>
      </c>
      <c r="O101" s="255">
        <f t="shared" si="50"/>
        <v>0</v>
      </c>
      <c r="P101" s="255">
        <f t="shared" si="50"/>
        <v>0</v>
      </c>
      <c r="Q101" s="255">
        <f t="shared" ref="Q101" si="51">SUM(Q102:Q105)</f>
        <v>0</v>
      </c>
      <c r="T101" s="44"/>
      <c r="U101" s="44"/>
      <c r="X101" s="41"/>
      <c r="Y101" s="41"/>
      <c r="Z101" s="40"/>
    </row>
    <row r="102" spans="1:26" ht="13.7" outlineLevel="1">
      <c r="C102" s="254"/>
      <c r="D102" s="340" t="s">
        <v>1107</v>
      </c>
      <c r="E102" s="341">
        <f>'BS offshore'!E81*Stake_Bu1</f>
        <v>0</v>
      </c>
      <c r="F102" s="341">
        <f>'BS offshore'!F81*Stake_Bu1</f>
        <v>0</v>
      </c>
      <c r="G102" s="341">
        <f>'BS offshore'!G81*Stake_Bu1</f>
        <v>0</v>
      </c>
      <c r="H102" s="341">
        <f>'BS offshore'!H81*Stake_Bu1</f>
        <v>0</v>
      </c>
      <c r="I102" s="341">
        <f>'BS offshore'!I81*Stake_Bu1</f>
        <v>0</v>
      </c>
      <c r="J102" s="341">
        <f>'BS offshore'!J81*Stake_Bu1</f>
        <v>0</v>
      </c>
      <c r="K102" s="341">
        <f>'BS offshore'!K81*Stake_Bu1</f>
        <v>0</v>
      </c>
      <c r="L102" s="341">
        <f>'BS offshore'!L81*Stake_Bu1</f>
        <v>0</v>
      </c>
      <c r="M102" s="341">
        <f>'BS offshore'!M81*Stake_Bu1</f>
        <v>0</v>
      </c>
      <c r="N102" s="341">
        <f>'BS offshore'!N81*Stake_Bu1</f>
        <v>0</v>
      </c>
      <c r="O102" s="341">
        <f>'BS offshore'!O81*Stake_Bu1</f>
        <v>0</v>
      </c>
      <c r="P102" s="341">
        <f>'BS offshore'!P81*Stake_Bu1</f>
        <v>0</v>
      </c>
      <c r="Q102" s="341">
        <f>'BS offshore'!Q81*Stake_Bu1</f>
        <v>0</v>
      </c>
      <c r="R102" s="47"/>
      <c r="U102" s="45"/>
      <c r="V102" s="45"/>
      <c r="W102" s="40"/>
    </row>
    <row r="103" spans="1:26" ht="13.7" outlineLevel="1">
      <c r="C103" s="254"/>
      <c r="D103" s="340" t="s">
        <v>1560</v>
      </c>
      <c r="E103" s="341">
        <f>'BS onshore'!E81*Stake_Bu2</f>
        <v>0</v>
      </c>
      <c r="F103" s="341">
        <f>'BS onshore'!F81*Stake_Bu2</f>
        <v>0</v>
      </c>
      <c r="G103" s="341">
        <f>'BS onshore'!G81*Stake_Bu2</f>
        <v>0</v>
      </c>
      <c r="H103" s="341">
        <f>'BS onshore'!H81*Stake_Bu2</f>
        <v>0</v>
      </c>
      <c r="I103" s="341">
        <f>'BS onshore'!I81*Stake_Bu2</f>
        <v>0</v>
      </c>
      <c r="J103" s="341">
        <f>'BS onshore'!J81*Stake_Bu2</f>
        <v>0</v>
      </c>
      <c r="K103" s="341">
        <f>'BS onshore'!K81*Stake_Bu2</f>
        <v>0</v>
      </c>
      <c r="L103" s="341">
        <f>'BS onshore'!L81*Stake_Bu2</f>
        <v>0</v>
      </c>
      <c r="M103" s="341">
        <f>'BS onshore'!M81*Stake_Bu2</f>
        <v>0</v>
      </c>
      <c r="N103" s="341">
        <f>'BS onshore'!N81*Stake_Bu2</f>
        <v>0</v>
      </c>
      <c r="O103" s="341">
        <f>'BS onshore'!O81*Stake_Bu2</f>
        <v>0</v>
      </c>
      <c r="P103" s="341">
        <f>'BS onshore'!P81*Stake_Bu2</f>
        <v>0</v>
      </c>
      <c r="Q103" s="341">
        <f>'BS onshore'!Q81*Stake_Bu2</f>
        <v>0</v>
      </c>
      <c r="R103" s="47"/>
      <c r="U103" s="45"/>
      <c r="V103" s="45"/>
      <c r="W103" s="40"/>
    </row>
    <row r="104" spans="1:26" ht="13.7" outlineLevel="1">
      <c r="C104" s="254"/>
      <c r="D104" s="340" t="s">
        <v>1513</v>
      </c>
      <c r="E104" s="341">
        <f>'BS Holdco'!E82</f>
        <v>0</v>
      </c>
      <c r="F104" s="341">
        <f>'BS Holdco'!F82</f>
        <v>0</v>
      </c>
      <c r="G104" s="341">
        <f>'BS Holdco'!G82</f>
        <v>0</v>
      </c>
      <c r="H104" s="341">
        <f>'BS Holdco'!H82</f>
        <v>0</v>
      </c>
      <c r="I104" s="341">
        <f>'BS Holdco'!I82</f>
        <v>0</v>
      </c>
      <c r="J104" s="341">
        <f>'BS Holdco'!J82</f>
        <v>0</v>
      </c>
      <c r="K104" s="341">
        <f>'BS Holdco'!K82</f>
        <v>0</v>
      </c>
      <c r="L104" s="341">
        <f>'BS Holdco'!L82</f>
        <v>0</v>
      </c>
      <c r="M104" s="341">
        <f>'BS Holdco'!M82</f>
        <v>0</v>
      </c>
      <c r="N104" s="341">
        <f>'BS Holdco'!N82</f>
        <v>0</v>
      </c>
      <c r="O104" s="341">
        <f>'BS Holdco'!O82</f>
        <v>0</v>
      </c>
      <c r="P104" s="341">
        <f>'BS Holdco'!P82</f>
        <v>0</v>
      </c>
      <c r="Q104" s="341">
        <f>'BS Holdco'!Q82</f>
        <v>0</v>
      </c>
      <c r="R104" s="47"/>
      <c r="U104" s="45"/>
      <c r="V104" s="45"/>
      <c r="W104" s="40"/>
    </row>
    <row r="105" spans="1:26" ht="13.7" outlineLevel="1">
      <c r="A105" s="256"/>
      <c r="B105" s="256"/>
      <c r="C105" s="254"/>
      <c r="D105" s="340" t="s">
        <v>1514</v>
      </c>
      <c r="E105" s="197"/>
      <c r="F105" s="197"/>
      <c r="G105" s="197"/>
      <c r="H105" s="197"/>
      <c r="I105" s="197"/>
      <c r="J105" s="197"/>
      <c r="K105" s="197"/>
      <c r="L105" s="197"/>
      <c r="M105" s="197"/>
      <c r="N105" s="197"/>
      <c r="O105" s="197"/>
      <c r="P105" s="197"/>
      <c r="Q105" s="197"/>
      <c r="R105" s="43"/>
      <c r="S105" s="44"/>
      <c r="T105" s="44"/>
      <c r="X105" s="41"/>
      <c r="Y105" s="41"/>
      <c r="Z105" s="40"/>
    </row>
    <row r="106" spans="1:26" ht="13.7">
      <c r="A106" s="256"/>
      <c r="B106" s="256"/>
      <c r="C106" s="254" t="s">
        <v>227</v>
      </c>
      <c r="D106" s="255"/>
      <c r="E106" s="255">
        <f>SUM(E107:E110)</f>
        <v>0</v>
      </c>
      <c r="F106" s="255">
        <f t="shared" ref="F106:P106" si="52">SUM(F107:F110)</f>
        <v>0</v>
      </c>
      <c r="G106" s="255">
        <f t="shared" si="52"/>
        <v>0</v>
      </c>
      <c r="H106" s="255">
        <f t="shared" si="52"/>
        <v>0</v>
      </c>
      <c r="I106" s="255">
        <f t="shared" si="52"/>
        <v>0</v>
      </c>
      <c r="J106" s="255">
        <f t="shared" si="52"/>
        <v>0</v>
      </c>
      <c r="K106" s="255">
        <f t="shared" si="52"/>
        <v>0</v>
      </c>
      <c r="L106" s="255">
        <f t="shared" si="52"/>
        <v>0</v>
      </c>
      <c r="M106" s="255">
        <f t="shared" si="52"/>
        <v>0</v>
      </c>
      <c r="N106" s="255">
        <f t="shared" si="52"/>
        <v>0</v>
      </c>
      <c r="O106" s="255">
        <f t="shared" si="52"/>
        <v>0</v>
      </c>
      <c r="P106" s="255">
        <f t="shared" si="52"/>
        <v>0</v>
      </c>
      <c r="Q106" s="255">
        <f t="shared" ref="Q106" si="53">SUM(Q107:Q110)</f>
        <v>0</v>
      </c>
      <c r="T106" s="44"/>
      <c r="U106" s="44"/>
      <c r="X106" s="41"/>
      <c r="Y106" s="41"/>
      <c r="Z106" s="40"/>
    </row>
    <row r="107" spans="1:26" ht="13.7" outlineLevel="1">
      <c r="C107" s="254"/>
      <c r="D107" s="340" t="s">
        <v>1107</v>
      </c>
      <c r="E107" s="341">
        <f>'BS offshore'!E84*Stake_Bu1</f>
        <v>0</v>
      </c>
      <c r="F107" s="341">
        <f>'BS offshore'!F84*Stake_Bu1</f>
        <v>0</v>
      </c>
      <c r="G107" s="341">
        <f>'BS offshore'!G84*Stake_Bu1</f>
        <v>0</v>
      </c>
      <c r="H107" s="341">
        <f>'BS offshore'!H84*Stake_Bu1</f>
        <v>0</v>
      </c>
      <c r="I107" s="341">
        <f>'BS offshore'!I84*Stake_Bu1</f>
        <v>0</v>
      </c>
      <c r="J107" s="341">
        <f>'BS offshore'!J84*Stake_Bu1</f>
        <v>0</v>
      </c>
      <c r="K107" s="341">
        <f>'BS offshore'!K84*Stake_Bu1</f>
        <v>0</v>
      </c>
      <c r="L107" s="341">
        <f>'BS offshore'!L84*Stake_Bu1</f>
        <v>0</v>
      </c>
      <c r="M107" s="341">
        <f>'BS offshore'!M84*Stake_Bu1</f>
        <v>0</v>
      </c>
      <c r="N107" s="341">
        <f>'BS offshore'!N84*Stake_Bu1</f>
        <v>0</v>
      </c>
      <c r="O107" s="341">
        <f>'BS offshore'!O84*Stake_Bu1</f>
        <v>0</v>
      </c>
      <c r="P107" s="341">
        <f>'BS offshore'!P84*Stake_Bu1</f>
        <v>0</v>
      </c>
      <c r="Q107" s="341">
        <f>'BS offshore'!Q84*Stake_Bu1</f>
        <v>0</v>
      </c>
      <c r="R107" s="47"/>
      <c r="U107" s="45"/>
      <c r="V107" s="45"/>
      <c r="W107" s="40"/>
    </row>
    <row r="108" spans="1:26" ht="13.7" outlineLevel="1">
      <c r="C108" s="254"/>
      <c r="D108" s="340" t="s">
        <v>1560</v>
      </c>
      <c r="E108" s="341">
        <f>'BS onshore'!E84*Stake_Bu2</f>
        <v>0</v>
      </c>
      <c r="F108" s="341">
        <f>'BS onshore'!F84*Stake_Bu2</f>
        <v>0</v>
      </c>
      <c r="G108" s="341">
        <f>'BS onshore'!G84*Stake_Bu2</f>
        <v>0</v>
      </c>
      <c r="H108" s="341">
        <f>'BS onshore'!H84*Stake_Bu2</f>
        <v>0</v>
      </c>
      <c r="I108" s="341">
        <f>'BS onshore'!I84*Stake_Bu2</f>
        <v>0</v>
      </c>
      <c r="J108" s="341">
        <f>'BS onshore'!J84*Stake_Bu2</f>
        <v>0</v>
      </c>
      <c r="K108" s="341">
        <f>'BS onshore'!K84*Stake_Bu2</f>
        <v>0</v>
      </c>
      <c r="L108" s="341">
        <f>'BS onshore'!L84*Stake_Bu2</f>
        <v>0</v>
      </c>
      <c r="M108" s="341">
        <f>'BS onshore'!M84*Stake_Bu2</f>
        <v>0</v>
      </c>
      <c r="N108" s="341">
        <f>'BS onshore'!N84*Stake_Bu2</f>
        <v>0</v>
      </c>
      <c r="O108" s="341">
        <f>'BS onshore'!O84*Stake_Bu2</f>
        <v>0</v>
      </c>
      <c r="P108" s="341">
        <f>'BS onshore'!P84*Stake_Bu2</f>
        <v>0</v>
      </c>
      <c r="Q108" s="341">
        <f>'BS onshore'!Q84*Stake_Bu2</f>
        <v>0</v>
      </c>
      <c r="R108" s="47"/>
      <c r="U108" s="45"/>
      <c r="V108" s="45"/>
      <c r="W108" s="40"/>
    </row>
    <row r="109" spans="1:26" ht="13.7" outlineLevel="1">
      <c r="C109" s="254"/>
      <c r="D109" s="340" t="s">
        <v>1513</v>
      </c>
      <c r="E109" s="341">
        <f>'BS Holdco'!E85</f>
        <v>0</v>
      </c>
      <c r="F109" s="341">
        <f>'BS Holdco'!F85</f>
        <v>0</v>
      </c>
      <c r="G109" s="341">
        <f>'BS Holdco'!G85</f>
        <v>0</v>
      </c>
      <c r="H109" s="341">
        <f>'BS Holdco'!H85</f>
        <v>0</v>
      </c>
      <c r="I109" s="341">
        <f>'BS Holdco'!I85</f>
        <v>0</v>
      </c>
      <c r="J109" s="341">
        <f>'BS Holdco'!J85</f>
        <v>0</v>
      </c>
      <c r="K109" s="341">
        <f>'BS Holdco'!K85</f>
        <v>0</v>
      </c>
      <c r="L109" s="341">
        <f>'BS Holdco'!L85</f>
        <v>0</v>
      </c>
      <c r="M109" s="341">
        <f>'BS Holdco'!M85</f>
        <v>0</v>
      </c>
      <c r="N109" s="341">
        <f>'BS Holdco'!N85</f>
        <v>0</v>
      </c>
      <c r="O109" s="341">
        <f>'BS Holdco'!O85</f>
        <v>0</v>
      </c>
      <c r="P109" s="341">
        <f>'BS Holdco'!P85</f>
        <v>0</v>
      </c>
      <c r="Q109" s="341">
        <f>'BS Holdco'!Q85</f>
        <v>0</v>
      </c>
      <c r="R109" s="47"/>
      <c r="U109" s="45"/>
      <c r="V109" s="45"/>
      <c r="W109" s="40"/>
    </row>
    <row r="110" spans="1:26" ht="13.7" outlineLevel="1">
      <c r="A110" s="256"/>
      <c r="B110" s="256"/>
      <c r="C110" s="254"/>
      <c r="D110" s="340" t="s">
        <v>1514</v>
      </c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43"/>
      <c r="S110" s="44"/>
      <c r="T110" s="44"/>
      <c r="X110" s="41"/>
      <c r="Y110" s="41"/>
      <c r="Z110" s="40"/>
    </row>
    <row r="111" spans="1:26" ht="13.7">
      <c r="A111" s="256"/>
      <c r="B111" s="256"/>
      <c r="C111" s="254" t="s">
        <v>228</v>
      </c>
      <c r="D111" s="255"/>
      <c r="E111" s="255">
        <f>SUM(E112:E115)</f>
        <v>0</v>
      </c>
      <c r="F111" s="255">
        <f t="shared" ref="F111:P111" si="54">SUM(F112:F115)</f>
        <v>0</v>
      </c>
      <c r="G111" s="255">
        <f t="shared" si="54"/>
        <v>0</v>
      </c>
      <c r="H111" s="255">
        <f t="shared" si="54"/>
        <v>0</v>
      </c>
      <c r="I111" s="255">
        <f t="shared" si="54"/>
        <v>0</v>
      </c>
      <c r="J111" s="255">
        <f t="shared" si="54"/>
        <v>0</v>
      </c>
      <c r="K111" s="255">
        <f t="shared" si="54"/>
        <v>0</v>
      </c>
      <c r="L111" s="255">
        <f t="shared" si="54"/>
        <v>0</v>
      </c>
      <c r="M111" s="255">
        <f t="shared" si="54"/>
        <v>0</v>
      </c>
      <c r="N111" s="255">
        <f t="shared" si="54"/>
        <v>0</v>
      </c>
      <c r="O111" s="255">
        <f t="shared" si="54"/>
        <v>0</v>
      </c>
      <c r="P111" s="255">
        <f t="shared" si="54"/>
        <v>0</v>
      </c>
      <c r="Q111" s="255">
        <f t="shared" ref="Q111" si="55">SUM(Q112:Q115)</f>
        <v>0</v>
      </c>
      <c r="T111" s="44"/>
      <c r="U111" s="44"/>
      <c r="X111" s="41"/>
      <c r="Y111" s="41"/>
      <c r="Z111" s="40"/>
    </row>
    <row r="112" spans="1:26" ht="13.7" outlineLevel="1">
      <c r="C112" s="254"/>
      <c r="D112" s="340" t="s">
        <v>1107</v>
      </c>
      <c r="E112" s="341">
        <f>'BS offshore'!E87*Stake_Bu1</f>
        <v>0</v>
      </c>
      <c r="F112" s="341">
        <f>'BS offshore'!F87*Stake_Bu1</f>
        <v>0</v>
      </c>
      <c r="G112" s="341">
        <f>'BS offshore'!G87*Stake_Bu1</f>
        <v>0</v>
      </c>
      <c r="H112" s="341">
        <f>'BS offshore'!H87*Stake_Bu1</f>
        <v>0</v>
      </c>
      <c r="I112" s="341">
        <f>'BS offshore'!I87*Stake_Bu1</f>
        <v>0</v>
      </c>
      <c r="J112" s="341">
        <f>'BS offshore'!J87*Stake_Bu1</f>
        <v>0</v>
      </c>
      <c r="K112" s="341">
        <f>'BS offshore'!K87*Stake_Bu1</f>
        <v>0</v>
      </c>
      <c r="L112" s="341">
        <f>'BS offshore'!L87*Stake_Bu1</f>
        <v>0</v>
      </c>
      <c r="M112" s="341">
        <f>'BS offshore'!M87*Stake_Bu1</f>
        <v>0</v>
      </c>
      <c r="N112" s="341">
        <f>'BS offshore'!N87*Stake_Bu1</f>
        <v>0</v>
      </c>
      <c r="O112" s="341">
        <f>'BS offshore'!O87*Stake_Bu1</f>
        <v>0</v>
      </c>
      <c r="P112" s="341">
        <f>'BS offshore'!P87*Stake_Bu1</f>
        <v>0</v>
      </c>
      <c r="Q112" s="341">
        <f>'BS offshore'!Q87*Stake_Bu1</f>
        <v>0</v>
      </c>
      <c r="R112" s="47"/>
      <c r="U112" s="45"/>
      <c r="V112" s="45"/>
      <c r="W112" s="40"/>
    </row>
    <row r="113" spans="1:26" ht="13.7" outlineLevel="1">
      <c r="C113" s="254"/>
      <c r="D113" s="340" t="s">
        <v>1560</v>
      </c>
      <c r="E113" s="341">
        <f>'BS onshore'!E87*Stake_Bu2</f>
        <v>0</v>
      </c>
      <c r="F113" s="341">
        <f>'BS onshore'!F87*Stake_Bu2</f>
        <v>0</v>
      </c>
      <c r="G113" s="341">
        <f>'BS onshore'!G87*Stake_Bu2</f>
        <v>0</v>
      </c>
      <c r="H113" s="341">
        <f>'BS onshore'!H87*Stake_Bu2</f>
        <v>0</v>
      </c>
      <c r="I113" s="341">
        <f>'BS onshore'!I87*Stake_Bu2</f>
        <v>0</v>
      </c>
      <c r="J113" s="341">
        <f>'BS onshore'!J87*Stake_Bu2</f>
        <v>0</v>
      </c>
      <c r="K113" s="341">
        <f>'BS onshore'!K87*Stake_Bu2</f>
        <v>0</v>
      </c>
      <c r="L113" s="341">
        <f>'BS onshore'!L87*Stake_Bu2</f>
        <v>0</v>
      </c>
      <c r="M113" s="341">
        <f>'BS onshore'!M87*Stake_Bu2</f>
        <v>0</v>
      </c>
      <c r="N113" s="341">
        <f>'BS onshore'!N87*Stake_Bu2</f>
        <v>0</v>
      </c>
      <c r="O113" s="341">
        <f>'BS onshore'!O87*Stake_Bu2</f>
        <v>0</v>
      </c>
      <c r="P113" s="341">
        <f>'BS onshore'!P87*Stake_Bu2</f>
        <v>0</v>
      </c>
      <c r="Q113" s="341">
        <f>'BS onshore'!Q87*Stake_Bu2</f>
        <v>0</v>
      </c>
      <c r="R113" s="47"/>
      <c r="U113" s="45"/>
      <c r="V113" s="45"/>
      <c r="W113" s="40"/>
    </row>
    <row r="114" spans="1:26" ht="13.7" outlineLevel="1">
      <c r="C114" s="254"/>
      <c r="D114" s="340" t="s">
        <v>1513</v>
      </c>
      <c r="E114" s="341">
        <f>'BS Holdco'!E88</f>
        <v>0</v>
      </c>
      <c r="F114" s="341">
        <f>'BS Holdco'!F88</f>
        <v>0</v>
      </c>
      <c r="G114" s="341">
        <f>'BS Holdco'!G88</f>
        <v>0</v>
      </c>
      <c r="H114" s="341">
        <f>'BS Holdco'!H88</f>
        <v>0</v>
      </c>
      <c r="I114" s="341">
        <f>'BS Holdco'!I88</f>
        <v>0</v>
      </c>
      <c r="J114" s="341">
        <f>'BS Holdco'!J88</f>
        <v>0</v>
      </c>
      <c r="K114" s="341">
        <f>'BS Holdco'!K88</f>
        <v>0</v>
      </c>
      <c r="L114" s="341">
        <f>'BS Holdco'!L88</f>
        <v>0</v>
      </c>
      <c r="M114" s="341">
        <f>'BS Holdco'!M88</f>
        <v>0</v>
      </c>
      <c r="N114" s="341">
        <f>'BS Holdco'!N88</f>
        <v>0</v>
      </c>
      <c r="O114" s="341">
        <f>'BS Holdco'!O88</f>
        <v>0</v>
      </c>
      <c r="P114" s="341">
        <f>'BS Holdco'!P88</f>
        <v>0</v>
      </c>
      <c r="Q114" s="341">
        <f>'BS Holdco'!Q88</f>
        <v>0</v>
      </c>
      <c r="R114" s="47"/>
      <c r="U114" s="45"/>
      <c r="V114" s="45"/>
      <c r="W114" s="40"/>
    </row>
    <row r="115" spans="1:26" ht="13.7" outlineLevel="1">
      <c r="A115" s="256"/>
      <c r="B115" s="256"/>
      <c r="C115" s="254"/>
      <c r="D115" s="340" t="s">
        <v>1514</v>
      </c>
      <c r="E115" s="197"/>
      <c r="F115" s="197"/>
      <c r="G115" s="197"/>
      <c r="H115" s="197"/>
      <c r="I115" s="197"/>
      <c r="J115" s="197"/>
      <c r="K115" s="197"/>
      <c r="L115" s="197"/>
      <c r="M115" s="197"/>
      <c r="N115" s="197"/>
      <c r="O115" s="197"/>
      <c r="P115" s="197"/>
      <c r="Q115" s="197"/>
      <c r="R115" s="43"/>
      <c r="S115" s="44"/>
      <c r="T115" s="44"/>
      <c r="X115" s="41"/>
      <c r="Y115" s="41"/>
      <c r="Z115" s="40"/>
    </row>
    <row r="116" spans="1:26" ht="13.7">
      <c r="A116" s="256"/>
      <c r="B116" s="256"/>
      <c r="C116" s="254" t="s">
        <v>229</v>
      </c>
      <c r="D116" s="255"/>
      <c r="E116" s="255">
        <f>SUM(E117:E120)</f>
        <v>0</v>
      </c>
      <c r="F116" s="255">
        <f t="shared" ref="F116:P116" si="56">SUM(F117:F120)</f>
        <v>0</v>
      </c>
      <c r="G116" s="255">
        <f t="shared" si="56"/>
        <v>0</v>
      </c>
      <c r="H116" s="255">
        <f t="shared" si="56"/>
        <v>0</v>
      </c>
      <c r="I116" s="255">
        <f t="shared" si="56"/>
        <v>0</v>
      </c>
      <c r="J116" s="255">
        <f t="shared" si="56"/>
        <v>0</v>
      </c>
      <c r="K116" s="255">
        <f t="shared" si="56"/>
        <v>0</v>
      </c>
      <c r="L116" s="255">
        <f t="shared" si="56"/>
        <v>0</v>
      </c>
      <c r="M116" s="255">
        <f t="shared" si="56"/>
        <v>0</v>
      </c>
      <c r="N116" s="255">
        <f t="shared" si="56"/>
        <v>0</v>
      </c>
      <c r="O116" s="255">
        <f t="shared" si="56"/>
        <v>0</v>
      </c>
      <c r="P116" s="255">
        <f t="shared" si="56"/>
        <v>0</v>
      </c>
      <c r="Q116" s="255">
        <f t="shared" ref="Q116" si="57">SUM(Q117:Q120)</f>
        <v>0</v>
      </c>
      <c r="T116" s="44"/>
      <c r="U116" s="44"/>
      <c r="X116" s="41"/>
      <c r="Y116" s="41"/>
      <c r="Z116" s="40"/>
    </row>
    <row r="117" spans="1:26" ht="13.7" outlineLevel="1">
      <c r="A117" s="256"/>
      <c r="B117" s="256"/>
      <c r="C117" s="254"/>
      <c r="D117" s="340" t="s">
        <v>1107</v>
      </c>
      <c r="E117" s="341">
        <f>'BS offshore'!E90*Stake_Bu1</f>
        <v>0</v>
      </c>
      <c r="F117" s="341">
        <f>'BS offshore'!F90*Stake_Bu1</f>
        <v>0</v>
      </c>
      <c r="G117" s="341">
        <f>'BS offshore'!G90*Stake_Bu1</f>
        <v>0</v>
      </c>
      <c r="H117" s="341">
        <f>'BS offshore'!H90*Stake_Bu1</f>
        <v>0</v>
      </c>
      <c r="I117" s="341">
        <f>'BS offshore'!I90*Stake_Bu1</f>
        <v>0</v>
      </c>
      <c r="J117" s="341">
        <f>'BS offshore'!J90*Stake_Bu1</f>
        <v>0</v>
      </c>
      <c r="K117" s="341">
        <f>'BS offshore'!K90*Stake_Bu1</f>
        <v>0</v>
      </c>
      <c r="L117" s="341">
        <f>'BS offshore'!L90*Stake_Bu1</f>
        <v>0</v>
      </c>
      <c r="M117" s="341">
        <f>'BS offshore'!M90*Stake_Bu1</f>
        <v>0</v>
      </c>
      <c r="N117" s="341">
        <f>'BS offshore'!N90*Stake_Bu1</f>
        <v>0</v>
      </c>
      <c r="O117" s="341">
        <f>'BS offshore'!O90*Stake_Bu1</f>
        <v>0</v>
      </c>
      <c r="P117" s="341">
        <f>'BS offshore'!P90*Stake_Bu1</f>
        <v>0</v>
      </c>
      <c r="Q117" s="341">
        <f>'BS offshore'!Q90*Stake_Bu1</f>
        <v>0</v>
      </c>
      <c r="R117" s="43"/>
      <c r="S117" s="44"/>
      <c r="T117" s="44"/>
      <c r="X117" s="41"/>
      <c r="Y117" s="41"/>
      <c r="Z117" s="40"/>
    </row>
    <row r="118" spans="1:26" ht="13.7" outlineLevel="1">
      <c r="A118" s="256"/>
      <c r="B118" s="256"/>
      <c r="C118" s="254"/>
      <c r="D118" s="340" t="s">
        <v>1560</v>
      </c>
      <c r="E118" s="341">
        <f>'BS onshore'!E90*Stake_Bu2</f>
        <v>0</v>
      </c>
      <c r="F118" s="341">
        <f>'BS onshore'!F90*Stake_Bu2</f>
        <v>0</v>
      </c>
      <c r="G118" s="341">
        <f>'BS onshore'!G90*Stake_Bu2</f>
        <v>0</v>
      </c>
      <c r="H118" s="341">
        <f>'BS onshore'!H90*Stake_Bu2</f>
        <v>0</v>
      </c>
      <c r="I118" s="341">
        <f>'BS onshore'!I90*Stake_Bu2</f>
        <v>0</v>
      </c>
      <c r="J118" s="341">
        <f>'BS onshore'!J90*Stake_Bu2</f>
        <v>0</v>
      </c>
      <c r="K118" s="341">
        <f>'BS onshore'!K90*Stake_Bu2</f>
        <v>0</v>
      </c>
      <c r="L118" s="341">
        <f>'BS onshore'!L90*Stake_Bu2</f>
        <v>0</v>
      </c>
      <c r="M118" s="341">
        <f>'BS onshore'!M90*Stake_Bu2</f>
        <v>0</v>
      </c>
      <c r="N118" s="341">
        <f>'BS onshore'!N90*Stake_Bu2</f>
        <v>0</v>
      </c>
      <c r="O118" s="341">
        <f>'BS onshore'!O90*Stake_Bu2</f>
        <v>0</v>
      </c>
      <c r="P118" s="341">
        <f>'BS onshore'!P90*Stake_Bu2</f>
        <v>0</v>
      </c>
      <c r="Q118" s="341">
        <f>'BS onshore'!Q90*Stake_Bu2</f>
        <v>0</v>
      </c>
      <c r="R118" s="43"/>
      <c r="S118" s="44"/>
      <c r="T118" s="44"/>
      <c r="X118" s="41"/>
      <c r="Y118" s="41"/>
      <c r="Z118" s="40"/>
    </row>
    <row r="119" spans="1:26" ht="13.7" outlineLevel="1">
      <c r="A119" s="256"/>
      <c r="B119" s="256"/>
      <c r="C119" s="254"/>
      <c r="D119" s="340" t="s">
        <v>1513</v>
      </c>
      <c r="E119" s="341">
        <f>'BS Holdco'!E91</f>
        <v>0</v>
      </c>
      <c r="F119" s="341">
        <f>'BS Holdco'!F91</f>
        <v>0</v>
      </c>
      <c r="G119" s="341">
        <f>'BS Holdco'!G91</f>
        <v>0</v>
      </c>
      <c r="H119" s="341">
        <f>'BS Holdco'!H91</f>
        <v>0</v>
      </c>
      <c r="I119" s="341">
        <f>'BS Holdco'!I91</f>
        <v>0</v>
      </c>
      <c r="J119" s="341">
        <f>'BS Holdco'!J91</f>
        <v>0</v>
      </c>
      <c r="K119" s="341">
        <f>'BS Holdco'!K91</f>
        <v>0</v>
      </c>
      <c r="L119" s="341">
        <f>'BS Holdco'!L91</f>
        <v>0</v>
      </c>
      <c r="M119" s="341">
        <f>'BS Holdco'!M91</f>
        <v>0</v>
      </c>
      <c r="N119" s="341">
        <f>'BS Holdco'!N91</f>
        <v>0</v>
      </c>
      <c r="O119" s="341">
        <f>'BS Holdco'!O91</f>
        <v>0</v>
      </c>
      <c r="P119" s="341">
        <f>'BS Holdco'!P91</f>
        <v>0</v>
      </c>
      <c r="Q119" s="341">
        <f>'BS Holdco'!Q91</f>
        <v>0</v>
      </c>
      <c r="R119" s="43"/>
      <c r="S119" s="44"/>
      <c r="T119" s="44"/>
      <c r="X119" s="41"/>
      <c r="Y119" s="41"/>
      <c r="Z119" s="40"/>
    </row>
    <row r="120" spans="1:26" ht="13.7" outlineLevel="1">
      <c r="A120" s="256"/>
      <c r="B120" s="256"/>
      <c r="C120" s="254"/>
      <c r="D120" s="340" t="s">
        <v>1514</v>
      </c>
      <c r="E120" s="197"/>
      <c r="F120" s="197"/>
      <c r="G120" s="197"/>
      <c r="H120" s="197"/>
      <c r="I120" s="197"/>
      <c r="J120" s="197"/>
      <c r="K120" s="197"/>
      <c r="L120" s="197"/>
      <c r="M120" s="197"/>
      <c r="N120" s="197"/>
      <c r="O120" s="197"/>
      <c r="P120" s="197"/>
      <c r="Q120" s="197"/>
      <c r="R120" s="43"/>
      <c r="S120" s="44"/>
      <c r="T120" s="44"/>
      <c r="X120" s="41"/>
      <c r="Y120" s="41"/>
      <c r="Z120" s="40"/>
    </row>
    <row r="121" spans="1:26" ht="13.7">
      <c r="A121" s="256"/>
      <c r="B121" s="256"/>
      <c r="C121" s="254" t="s">
        <v>230</v>
      </c>
      <c r="D121" s="255"/>
      <c r="E121" s="255">
        <f>SUM(E122:E125)</f>
        <v>0</v>
      </c>
      <c r="F121" s="255">
        <f t="shared" ref="F121:P121" si="58">SUM(F122:F125)</f>
        <v>0</v>
      </c>
      <c r="G121" s="255">
        <f t="shared" si="58"/>
        <v>0</v>
      </c>
      <c r="H121" s="255">
        <f t="shared" si="58"/>
        <v>0</v>
      </c>
      <c r="I121" s="255">
        <f t="shared" si="58"/>
        <v>0</v>
      </c>
      <c r="J121" s="255">
        <f t="shared" si="58"/>
        <v>0</v>
      </c>
      <c r="K121" s="255">
        <f t="shared" si="58"/>
        <v>0</v>
      </c>
      <c r="L121" s="255">
        <f t="shared" si="58"/>
        <v>0</v>
      </c>
      <c r="M121" s="255">
        <f t="shared" si="58"/>
        <v>0</v>
      </c>
      <c r="N121" s="255">
        <f t="shared" si="58"/>
        <v>0</v>
      </c>
      <c r="O121" s="255">
        <f t="shared" si="58"/>
        <v>0</v>
      </c>
      <c r="P121" s="255">
        <f t="shared" si="58"/>
        <v>0</v>
      </c>
      <c r="Q121" s="255">
        <f t="shared" ref="Q121" si="59">SUM(Q122:Q125)</f>
        <v>0</v>
      </c>
      <c r="T121" s="44"/>
      <c r="U121" s="44"/>
      <c r="X121" s="41"/>
      <c r="Y121" s="41"/>
      <c r="Z121" s="40"/>
    </row>
    <row r="122" spans="1:26" ht="13.7" outlineLevel="1">
      <c r="C122" s="254"/>
      <c r="D122" s="340" t="s">
        <v>1107</v>
      </c>
      <c r="E122" s="341">
        <f>'BS offshore'!E94*Stake_Bu1</f>
        <v>0</v>
      </c>
      <c r="F122" s="341">
        <f>'BS offshore'!F94*Stake_Bu1</f>
        <v>0</v>
      </c>
      <c r="G122" s="341">
        <f>'BS offshore'!G94*Stake_Bu1</f>
        <v>0</v>
      </c>
      <c r="H122" s="341">
        <f>'BS offshore'!H94*Stake_Bu1</f>
        <v>0</v>
      </c>
      <c r="I122" s="341">
        <f>'BS offshore'!I94*Stake_Bu1</f>
        <v>0</v>
      </c>
      <c r="J122" s="341">
        <f>'BS offshore'!J94*Stake_Bu1</f>
        <v>0</v>
      </c>
      <c r="K122" s="341">
        <f>'BS offshore'!K94*Stake_Bu1</f>
        <v>0</v>
      </c>
      <c r="L122" s="341">
        <f>'BS offshore'!L94*Stake_Bu1</f>
        <v>0</v>
      </c>
      <c r="M122" s="341">
        <f>'BS offshore'!M94*Stake_Bu1</f>
        <v>0</v>
      </c>
      <c r="N122" s="341">
        <f>'BS offshore'!N94*Stake_Bu1</f>
        <v>0</v>
      </c>
      <c r="O122" s="341">
        <f>'BS offshore'!O94*Stake_Bu1</f>
        <v>0</v>
      </c>
      <c r="P122" s="341">
        <f>'BS offshore'!P94*Stake_Bu1</f>
        <v>0</v>
      </c>
      <c r="Q122" s="341">
        <f>'BS offshore'!Q94*Stake_Bu1</f>
        <v>0</v>
      </c>
      <c r="R122" s="47"/>
      <c r="U122" s="45"/>
      <c r="V122" s="45"/>
      <c r="W122" s="40"/>
    </row>
    <row r="123" spans="1:26" ht="13.7" outlineLevel="1">
      <c r="C123" s="254"/>
      <c r="D123" s="340" t="s">
        <v>1560</v>
      </c>
      <c r="E123" s="341">
        <f>'BS onshore'!E94*Stake_Bu2</f>
        <v>0</v>
      </c>
      <c r="F123" s="341">
        <f>'BS onshore'!F94*Stake_Bu2</f>
        <v>0</v>
      </c>
      <c r="G123" s="341">
        <f>'BS onshore'!G94*Stake_Bu2</f>
        <v>0</v>
      </c>
      <c r="H123" s="341">
        <f>'BS onshore'!H94*Stake_Bu2</f>
        <v>0</v>
      </c>
      <c r="I123" s="341">
        <f>'BS onshore'!I94*Stake_Bu2</f>
        <v>0</v>
      </c>
      <c r="J123" s="341">
        <f>'BS onshore'!J94*Stake_Bu2</f>
        <v>0</v>
      </c>
      <c r="K123" s="341">
        <f>'BS onshore'!K94*Stake_Bu2</f>
        <v>0</v>
      </c>
      <c r="L123" s="341">
        <f>'BS onshore'!L94*Stake_Bu2</f>
        <v>0</v>
      </c>
      <c r="M123" s="341">
        <f>'BS onshore'!M94*Stake_Bu2</f>
        <v>0</v>
      </c>
      <c r="N123" s="341">
        <f>'BS onshore'!N94*Stake_Bu2</f>
        <v>0</v>
      </c>
      <c r="O123" s="341">
        <f>'BS onshore'!O94*Stake_Bu2</f>
        <v>0</v>
      </c>
      <c r="P123" s="341">
        <f>'BS onshore'!P94*Stake_Bu2</f>
        <v>0</v>
      </c>
      <c r="Q123" s="341">
        <f>'BS onshore'!Q94*Stake_Bu2</f>
        <v>0</v>
      </c>
      <c r="R123" s="47"/>
      <c r="U123" s="45"/>
      <c r="V123" s="45"/>
      <c r="W123" s="40"/>
    </row>
    <row r="124" spans="1:26" ht="13.7" outlineLevel="1">
      <c r="C124" s="254"/>
      <c r="D124" s="340" t="s">
        <v>1513</v>
      </c>
      <c r="E124" s="341">
        <f>'BS Holdco'!E95</f>
        <v>0</v>
      </c>
      <c r="F124" s="341">
        <f>'BS Holdco'!F95</f>
        <v>0</v>
      </c>
      <c r="G124" s="341">
        <f>'BS Holdco'!G95</f>
        <v>0</v>
      </c>
      <c r="H124" s="341">
        <f>'BS Holdco'!H95</f>
        <v>0</v>
      </c>
      <c r="I124" s="341">
        <f>'BS Holdco'!I95</f>
        <v>0</v>
      </c>
      <c r="J124" s="341">
        <f>'BS Holdco'!J95</f>
        <v>0</v>
      </c>
      <c r="K124" s="341">
        <f>'BS Holdco'!K95</f>
        <v>0</v>
      </c>
      <c r="L124" s="341">
        <f>'BS Holdco'!L95</f>
        <v>0</v>
      </c>
      <c r="M124" s="341">
        <f>'BS Holdco'!M95</f>
        <v>0</v>
      </c>
      <c r="N124" s="341">
        <f>'BS Holdco'!N95</f>
        <v>0</v>
      </c>
      <c r="O124" s="341">
        <f>'BS Holdco'!O95</f>
        <v>0</v>
      </c>
      <c r="P124" s="341">
        <f>'BS Holdco'!P95</f>
        <v>0</v>
      </c>
      <c r="Q124" s="341">
        <f>'BS Holdco'!Q95</f>
        <v>0</v>
      </c>
      <c r="R124" s="47"/>
      <c r="U124" s="45"/>
      <c r="V124" s="45"/>
      <c r="W124" s="40"/>
    </row>
    <row r="125" spans="1:26" ht="13.7" outlineLevel="1">
      <c r="A125" s="256"/>
      <c r="B125" s="256"/>
      <c r="C125" s="254"/>
      <c r="D125" s="340" t="s">
        <v>1514</v>
      </c>
      <c r="E125" s="197"/>
      <c r="F125" s="197">
        <f t="shared" ref="F125:Q125" si="60">+IFERROR(F9*E121,0)</f>
        <v>0</v>
      </c>
      <c r="G125" s="197">
        <f t="shared" si="60"/>
        <v>0</v>
      </c>
      <c r="H125" s="197">
        <f t="shared" si="60"/>
        <v>0</v>
      </c>
      <c r="I125" s="197">
        <f t="shared" si="60"/>
        <v>0</v>
      </c>
      <c r="J125" s="197">
        <f t="shared" si="60"/>
        <v>0</v>
      </c>
      <c r="K125" s="197">
        <f t="shared" si="60"/>
        <v>0</v>
      </c>
      <c r="L125" s="197">
        <f t="shared" si="60"/>
        <v>0</v>
      </c>
      <c r="M125" s="197">
        <f t="shared" si="60"/>
        <v>0</v>
      </c>
      <c r="N125" s="197">
        <f t="shared" si="60"/>
        <v>0</v>
      </c>
      <c r="O125" s="197">
        <f t="shared" si="60"/>
        <v>0</v>
      </c>
      <c r="P125" s="197">
        <f t="shared" si="60"/>
        <v>0</v>
      </c>
      <c r="Q125" s="197">
        <f t="shared" si="60"/>
        <v>0</v>
      </c>
      <c r="R125" s="43"/>
      <c r="S125" s="44"/>
      <c r="T125" s="44"/>
      <c r="X125" s="41"/>
      <c r="Y125" s="41"/>
      <c r="Z125" s="40"/>
    </row>
    <row r="126" spans="1:26" ht="13.7">
      <c r="A126" s="256"/>
      <c r="B126" s="256"/>
      <c r="C126" s="254" t="s">
        <v>231</v>
      </c>
      <c r="D126" s="255"/>
      <c r="E126" s="255">
        <f>SUM(E127:E130)</f>
        <v>0</v>
      </c>
      <c r="F126" s="255">
        <f t="shared" ref="F126:P126" si="61">SUM(F127:F130)</f>
        <v>0</v>
      </c>
      <c r="G126" s="255">
        <f t="shared" si="61"/>
        <v>0</v>
      </c>
      <c r="H126" s="255">
        <f t="shared" si="61"/>
        <v>0</v>
      </c>
      <c r="I126" s="255">
        <f t="shared" si="61"/>
        <v>0</v>
      </c>
      <c r="J126" s="255">
        <f t="shared" si="61"/>
        <v>0</v>
      </c>
      <c r="K126" s="255">
        <f t="shared" ca="1" si="61"/>
        <v>0</v>
      </c>
      <c r="L126" s="255">
        <f t="shared" ca="1" si="61"/>
        <v>0</v>
      </c>
      <c r="M126" s="255">
        <f t="shared" ca="1" si="61"/>
        <v>0</v>
      </c>
      <c r="N126" s="255">
        <f t="shared" ca="1" si="61"/>
        <v>0</v>
      </c>
      <c r="O126" s="255">
        <f t="shared" ca="1" si="61"/>
        <v>0</v>
      </c>
      <c r="P126" s="255">
        <f t="shared" ca="1" si="61"/>
        <v>0</v>
      </c>
      <c r="Q126" s="255">
        <f t="shared" ref="Q126" si="62">SUM(Q127:Q130)</f>
        <v>0</v>
      </c>
      <c r="T126" s="44"/>
      <c r="U126" s="44"/>
      <c r="X126" s="41"/>
      <c r="Y126" s="41"/>
      <c r="Z126" s="40"/>
    </row>
    <row r="127" spans="1:26" ht="13.7" outlineLevel="1">
      <c r="A127" s="256"/>
      <c r="B127" s="256"/>
      <c r="C127" s="254"/>
      <c r="D127" s="340" t="s">
        <v>1107</v>
      </c>
      <c r="E127" s="340">
        <f>'BS offshore'!E98*Stake_Bu1</f>
        <v>0</v>
      </c>
      <c r="F127" s="340">
        <f>'BS offshore'!F98*Stake_Bu1</f>
        <v>0</v>
      </c>
      <c r="G127" s="340">
        <f>'BS offshore'!G98*Stake_Bu1</f>
        <v>0</v>
      </c>
      <c r="H127" s="340">
        <f>'BS offshore'!H98*Stake_Bu1</f>
        <v>0</v>
      </c>
      <c r="I127" s="340">
        <f>'BS offshore'!I98*Stake_Bu1</f>
        <v>0</v>
      </c>
      <c r="J127" s="340">
        <f>'BS offshore'!J98*Stake_Bu1</f>
        <v>0</v>
      </c>
      <c r="K127" s="340">
        <f ca="1">'BS offshore'!K98*Stake_Bu1</f>
        <v>0</v>
      </c>
      <c r="L127" s="340">
        <f ca="1">'BS offshore'!L98*Stake_Bu1</f>
        <v>0</v>
      </c>
      <c r="M127" s="340">
        <f ca="1">'BS offshore'!M98*Stake_Bu1</f>
        <v>0</v>
      </c>
      <c r="N127" s="340">
        <f ca="1">'BS offshore'!N98*Stake_Bu1</f>
        <v>0</v>
      </c>
      <c r="O127" s="340">
        <f ca="1">'BS offshore'!O98*Stake_Bu1</f>
        <v>0</v>
      </c>
      <c r="P127" s="340">
        <f ca="1">'BS offshore'!P98*Stake_Bu1</f>
        <v>0</v>
      </c>
      <c r="Q127" s="340">
        <f>'BS offshore'!Q98*Stake_Bu1</f>
        <v>0</v>
      </c>
      <c r="X127" s="39"/>
      <c r="Y127" s="39"/>
      <c r="Z127" s="40"/>
    </row>
    <row r="128" spans="1:26" ht="13.7" outlineLevel="1">
      <c r="A128" s="256"/>
      <c r="B128" s="256"/>
      <c r="C128" s="254"/>
      <c r="D128" s="340" t="s">
        <v>1560</v>
      </c>
      <c r="E128" s="340">
        <f>'BS onshore'!E98*Stake_Bu2</f>
        <v>0</v>
      </c>
      <c r="F128" s="340">
        <f>'BS onshore'!F98*Stake_Bu2</f>
        <v>0</v>
      </c>
      <c r="G128" s="340">
        <f>'BS onshore'!G98*Stake_Bu2</f>
        <v>0</v>
      </c>
      <c r="H128" s="340">
        <f>'BS onshore'!H98*Stake_Bu2</f>
        <v>0</v>
      </c>
      <c r="I128" s="340">
        <f>'BS onshore'!I98*Stake_Bu2</f>
        <v>0</v>
      </c>
      <c r="J128" s="340">
        <f>'BS onshore'!J98*Stake_Bu2</f>
        <v>0</v>
      </c>
      <c r="K128" s="340">
        <f ca="1">'BS onshore'!K98*Stake_Bu2</f>
        <v>0</v>
      </c>
      <c r="L128" s="340">
        <f ca="1">'BS onshore'!L98*Stake_Bu2</f>
        <v>0</v>
      </c>
      <c r="M128" s="340">
        <f ca="1">'BS onshore'!M98*Stake_Bu2</f>
        <v>0</v>
      </c>
      <c r="N128" s="340">
        <f ca="1">'BS onshore'!N98*Stake_Bu2</f>
        <v>0</v>
      </c>
      <c r="O128" s="340">
        <f ca="1">'BS onshore'!O98*Stake_Bu2</f>
        <v>0</v>
      </c>
      <c r="P128" s="340">
        <f ca="1">'BS onshore'!P98*Stake_Bu2</f>
        <v>0</v>
      </c>
      <c r="Q128" s="340">
        <f>'BS onshore'!Q98*Stake_Bu2</f>
        <v>0</v>
      </c>
      <c r="X128" s="39"/>
      <c r="Y128" s="39"/>
      <c r="Z128" s="40"/>
    </row>
    <row r="129" spans="1:26" ht="13.7" outlineLevel="1">
      <c r="A129" s="256"/>
      <c r="B129" s="256"/>
      <c r="C129" s="254"/>
      <c r="D129" s="340" t="s">
        <v>1513</v>
      </c>
      <c r="E129" s="340">
        <f>'BS Holdco'!E99</f>
        <v>0</v>
      </c>
      <c r="F129" s="340">
        <f>'BS Holdco'!F99</f>
        <v>0</v>
      </c>
      <c r="G129" s="340">
        <f>'BS Holdco'!G99</f>
        <v>0</v>
      </c>
      <c r="H129" s="340">
        <f>'BS Holdco'!H99</f>
        <v>0</v>
      </c>
      <c r="I129" s="340">
        <f>'BS Holdco'!I99</f>
        <v>0</v>
      </c>
      <c r="J129" s="340">
        <f>'BS Holdco'!J99</f>
        <v>0</v>
      </c>
      <c r="K129" s="340">
        <f ca="1">'BS Holdco'!K99</f>
        <v>0</v>
      </c>
      <c r="L129" s="340">
        <f ca="1">'BS Holdco'!L99</f>
        <v>0</v>
      </c>
      <c r="M129" s="340">
        <f ca="1">'BS Holdco'!M99</f>
        <v>0</v>
      </c>
      <c r="N129" s="340">
        <f ca="1">'BS Holdco'!N99</f>
        <v>0</v>
      </c>
      <c r="O129" s="340">
        <f ca="1">'BS Holdco'!O99</f>
        <v>0</v>
      </c>
      <c r="P129" s="340">
        <f ca="1">'BS Holdco'!P99</f>
        <v>0</v>
      </c>
      <c r="Q129" s="340">
        <f>'BS Holdco'!Q99</f>
        <v>0</v>
      </c>
      <c r="X129" s="39"/>
      <c r="Y129" s="39"/>
      <c r="Z129" s="40"/>
    </row>
    <row r="130" spans="1:26" ht="13.7" outlineLevel="1">
      <c r="A130" s="256"/>
      <c r="B130" s="256"/>
      <c r="C130" s="254"/>
      <c r="D130" s="340" t="s">
        <v>1514</v>
      </c>
      <c r="E130" s="197"/>
      <c r="F130" s="197"/>
      <c r="G130" s="197"/>
      <c r="H130" s="197"/>
      <c r="I130" s="197"/>
      <c r="J130" s="197"/>
      <c r="K130" s="197"/>
      <c r="L130" s="197"/>
      <c r="M130" s="197"/>
      <c r="N130" s="197"/>
      <c r="O130" s="197"/>
      <c r="P130" s="197"/>
      <c r="Q130" s="197"/>
      <c r="R130" s="43"/>
      <c r="S130" s="44"/>
      <c r="T130" s="44"/>
      <c r="X130" s="41"/>
      <c r="Y130" s="41"/>
      <c r="Z130" s="40"/>
    </row>
    <row r="131" spans="1:26" ht="13.7">
      <c r="A131" s="256"/>
      <c r="B131" s="256"/>
      <c r="C131" s="254" t="s">
        <v>232</v>
      </c>
      <c r="D131" s="255"/>
      <c r="E131" s="255">
        <f>SUM(E132:E135)</f>
        <v>0</v>
      </c>
      <c r="F131" s="255">
        <f t="shared" ref="F131:P131" si="63">SUM(F132:F135)</f>
        <v>0</v>
      </c>
      <c r="G131" s="255">
        <f t="shared" si="63"/>
        <v>0</v>
      </c>
      <c r="H131" s="255">
        <f t="shared" si="63"/>
        <v>0</v>
      </c>
      <c r="I131" s="255">
        <f t="shared" si="63"/>
        <v>0</v>
      </c>
      <c r="J131" s="255">
        <f t="shared" si="63"/>
        <v>0</v>
      </c>
      <c r="K131" s="255">
        <f t="shared" si="63"/>
        <v>0</v>
      </c>
      <c r="L131" s="255">
        <f t="shared" si="63"/>
        <v>0</v>
      </c>
      <c r="M131" s="255">
        <f t="shared" si="63"/>
        <v>0</v>
      </c>
      <c r="N131" s="255">
        <f t="shared" si="63"/>
        <v>0</v>
      </c>
      <c r="O131" s="255">
        <f t="shared" si="63"/>
        <v>0</v>
      </c>
      <c r="P131" s="255">
        <f t="shared" si="63"/>
        <v>0</v>
      </c>
      <c r="Q131" s="255">
        <f t="shared" ref="Q131" si="64">SUM(Q132:Q135)</f>
        <v>0</v>
      </c>
      <c r="T131" s="44"/>
      <c r="U131" s="44"/>
      <c r="X131" s="40"/>
      <c r="Y131" s="40"/>
    </row>
    <row r="132" spans="1:26" ht="13.7" outlineLevel="1">
      <c r="A132" s="256"/>
      <c r="B132" s="256"/>
      <c r="C132" s="254"/>
      <c r="D132" s="340" t="s">
        <v>1107</v>
      </c>
      <c r="E132" s="340">
        <f>'BS offshore'!E102*Stake_Bu1</f>
        <v>0</v>
      </c>
      <c r="F132" s="340">
        <f>'BS offshore'!F102*Stake_Bu1</f>
        <v>0</v>
      </c>
      <c r="G132" s="340">
        <f>'BS offshore'!G102*Stake_Bu1</f>
        <v>0</v>
      </c>
      <c r="H132" s="340">
        <f>'BS offshore'!H102*Stake_Bu1</f>
        <v>0</v>
      </c>
      <c r="I132" s="340">
        <f>'BS offshore'!I102*Stake_Bu1</f>
        <v>0</v>
      </c>
      <c r="J132" s="340">
        <f>'BS offshore'!J102*Stake_Bu1</f>
        <v>0</v>
      </c>
      <c r="K132" s="340">
        <f>'BS offshore'!K102*Stake_Bu1</f>
        <v>0</v>
      </c>
      <c r="L132" s="340">
        <f>'BS offshore'!L102*Stake_Bu1</f>
        <v>0</v>
      </c>
      <c r="M132" s="340">
        <f>'BS Holdco'!M103*Stake_Bu1</f>
        <v>0</v>
      </c>
      <c r="N132" s="340">
        <f>'BS Holdco'!N103*Stake_Bu1</f>
        <v>0</v>
      </c>
      <c r="O132" s="340">
        <f>'BS Holdco'!O103*Stake_Bu1</f>
        <v>0</v>
      </c>
      <c r="P132" s="340">
        <f>'BS Holdco'!P103*Stake_Bu1</f>
        <v>0</v>
      </c>
      <c r="Q132" s="340">
        <f>'BS Holdco'!Q103*Stake_Bu1</f>
        <v>0</v>
      </c>
      <c r="X132" s="39"/>
      <c r="Y132" s="39"/>
      <c r="Z132" s="40"/>
    </row>
    <row r="133" spans="1:26" ht="13.7" outlineLevel="1">
      <c r="A133" s="256"/>
      <c r="B133" s="256"/>
      <c r="C133" s="254"/>
      <c r="D133" s="340" t="s">
        <v>1560</v>
      </c>
      <c r="E133" s="340">
        <f>'BS onshore'!E102*Stake_Bu2</f>
        <v>0</v>
      </c>
      <c r="F133" s="340">
        <f>'BS onshore'!F102*Stake_Bu2</f>
        <v>0</v>
      </c>
      <c r="G133" s="340">
        <f>'BS onshore'!G102*Stake_Bu2</f>
        <v>0</v>
      </c>
      <c r="H133" s="340">
        <f>'BS onshore'!H102*Stake_Bu2</f>
        <v>0</v>
      </c>
      <c r="I133" s="340">
        <f>'BS onshore'!I102*Stake_Bu2</f>
        <v>0</v>
      </c>
      <c r="J133" s="340">
        <f>'BS onshore'!J102*Stake_Bu2</f>
        <v>0</v>
      </c>
      <c r="K133" s="340">
        <f>'BS onshore'!K102*Stake_Bu2</f>
        <v>0</v>
      </c>
      <c r="L133" s="340">
        <f>'BS onshore'!L102*Stake_Bu2</f>
        <v>0</v>
      </c>
      <c r="M133" s="340">
        <f>'BS onshore'!M102*Stake_Bu2</f>
        <v>0</v>
      </c>
      <c r="N133" s="340">
        <f>'BS onshore'!N102*Stake_Bu2</f>
        <v>0</v>
      </c>
      <c r="O133" s="340">
        <f>'BS onshore'!O102*Stake_Bu2</f>
        <v>0</v>
      </c>
      <c r="P133" s="340">
        <f>'BS onshore'!P102*Stake_Bu2</f>
        <v>0</v>
      </c>
      <c r="Q133" s="340">
        <f>'BS onshore'!Q102*Stake_Bu2</f>
        <v>0</v>
      </c>
      <c r="X133" s="39"/>
      <c r="Y133" s="39"/>
      <c r="Z133" s="40"/>
    </row>
    <row r="134" spans="1:26" ht="13.7" outlineLevel="1">
      <c r="A134" s="256"/>
      <c r="B134" s="256"/>
      <c r="C134" s="254"/>
      <c r="D134" s="340" t="s">
        <v>1513</v>
      </c>
      <c r="E134" s="340">
        <f>'BS Holdco'!E103</f>
        <v>0</v>
      </c>
      <c r="F134" s="340">
        <f>'BS Holdco'!F103</f>
        <v>0</v>
      </c>
      <c r="G134" s="340">
        <f>'BS Holdco'!G103</f>
        <v>0</v>
      </c>
      <c r="H134" s="340">
        <f>'BS Holdco'!H103</f>
        <v>0</v>
      </c>
      <c r="I134" s="340">
        <f>'BS Holdco'!I103</f>
        <v>0</v>
      </c>
      <c r="J134" s="340">
        <f>'BS Holdco'!J103</f>
        <v>0</v>
      </c>
      <c r="K134" s="340">
        <f>'BS Holdco'!K103</f>
        <v>0</v>
      </c>
      <c r="L134" s="340">
        <f>'BS Holdco'!L103</f>
        <v>0</v>
      </c>
      <c r="M134" s="340">
        <f>'BS Holdco'!M103</f>
        <v>0</v>
      </c>
      <c r="N134" s="340">
        <f>'BS Holdco'!N103</f>
        <v>0</v>
      </c>
      <c r="O134" s="340">
        <f>'BS Holdco'!O103</f>
        <v>0</v>
      </c>
      <c r="P134" s="340">
        <f>'BS Holdco'!P103</f>
        <v>0</v>
      </c>
      <c r="Q134" s="340">
        <f>'BS Holdco'!Q103</f>
        <v>0</v>
      </c>
      <c r="X134" s="39"/>
      <c r="Y134" s="39"/>
      <c r="Z134" s="40"/>
    </row>
    <row r="135" spans="1:26" ht="13.7" outlineLevel="1">
      <c r="A135" s="256"/>
      <c r="B135" s="256"/>
      <c r="C135" s="254"/>
      <c r="D135" s="340" t="s">
        <v>1514</v>
      </c>
      <c r="E135" s="197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43"/>
      <c r="S135" s="44"/>
      <c r="T135" s="44"/>
      <c r="X135" s="41"/>
      <c r="Y135" s="41"/>
      <c r="Z135" s="40"/>
    </row>
    <row r="136" spans="1:26" ht="13.7">
      <c r="C136" s="46"/>
      <c r="T136" s="44"/>
      <c r="U136" s="44"/>
      <c r="X136" s="40"/>
      <c r="Y136" s="40"/>
    </row>
    <row r="137" spans="1:26" ht="13.7">
      <c r="C137" s="181" t="s">
        <v>15</v>
      </c>
      <c r="D137" s="180"/>
      <c r="E137" s="180">
        <f>+E138+E143+E148+E153</f>
        <v>0</v>
      </c>
      <c r="F137" s="180">
        <f t="shared" ref="F137:P137" si="65">+F138+F143+F148+F153</f>
        <v>0</v>
      </c>
      <c r="G137" s="180">
        <f t="shared" si="65"/>
        <v>0</v>
      </c>
      <c r="H137" s="180">
        <f t="shared" si="65"/>
        <v>0</v>
      </c>
      <c r="I137" s="180">
        <f t="shared" si="65"/>
        <v>0</v>
      </c>
      <c r="J137" s="180">
        <f t="shared" si="65"/>
        <v>0</v>
      </c>
      <c r="K137" s="180">
        <f t="shared" ca="1" si="65"/>
        <v>0</v>
      </c>
      <c r="L137" s="180">
        <f t="shared" ca="1" si="65"/>
        <v>0</v>
      </c>
      <c r="M137" s="180">
        <f t="shared" ca="1" si="65"/>
        <v>0</v>
      </c>
      <c r="N137" s="180">
        <f t="shared" ca="1" si="65"/>
        <v>0</v>
      </c>
      <c r="O137" s="180">
        <f t="shared" ca="1" si="65"/>
        <v>0</v>
      </c>
      <c r="P137" s="180">
        <f t="shared" ca="1" si="65"/>
        <v>0</v>
      </c>
      <c r="Q137" s="180">
        <f t="shared" ref="Q137" si="66">+Q138+Q143+Q148+Q153</f>
        <v>0</v>
      </c>
      <c r="T137" s="44"/>
      <c r="U137" s="44"/>
      <c r="X137" s="39"/>
      <c r="Y137" s="39"/>
      <c r="Z137" s="40"/>
    </row>
    <row r="138" spans="1:26" ht="13.7">
      <c r="C138" s="254" t="s">
        <v>234</v>
      </c>
      <c r="D138" s="255"/>
      <c r="E138" s="255">
        <f>SUM(E139:E142)</f>
        <v>0</v>
      </c>
      <c r="F138" s="255">
        <f t="shared" ref="F138:P138" si="67">SUM(F139:F142)</f>
        <v>0</v>
      </c>
      <c r="G138" s="255">
        <f t="shared" si="67"/>
        <v>0</v>
      </c>
      <c r="H138" s="255">
        <f t="shared" si="67"/>
        <v>0</v>
      </c>
      <c r="I138" s="255">
        <f t="shared" si="67"/>
        <v>0</v>
      </c>
      <c r="J138" s="255">
        <f t="shared" si="67"/>
        <v>0</v>
      </c>
      <c r="K138" s="255">
        <f t="shared" si="67"/>
        <v>0</v>
      </c>
      <c r="L138" s="255">
        <f t="shared" si="67"/>
        <v>0</v>
      </c>
      <c r="M138" s="255">
        <f t="shared" si="67"/>
        <v>0</v>
      </c>
      <c r="N138" s="255">
        <f t="shared" si="67"/>
        <v>0</v>
      </c>
      <c r="O138" s="255">
        <f t="shared" si="67"/>
        <v>0</v>
      </c>
      <c r="P138" s="255">
        <f t="shared" si="67"/>
        <v>0</v>
      </c>
      <c r="Q138" s="255">
        <f t="shared" ref="Q138" si="68">SUM(Q139:Q142)</f>
        <v>0</v>
      </c>
      <c r="S138" s="44"/>
      <c r="T138" s="44"/>
      <c r="W138" s="39"/>
      <c r="X138" s="39"/>
      <c r="Y138" s="40"/>
    </row>
    <row r="139" spans="1:26" ht="13.7" outlineLevel="1">
      <c r="C139" s="254"/>
      <c r="D139" s="340" t="s">
        <v>1107</v>
      </c>
      <c r="E139" s="341">
        <f>'BS offshore'!E107*Stake_Bu1</f>
        <v>0</v>
      </c>
      <c r="F139" s="341">
        <f>'BS offshore'!F107*Stake_Bu1</f>
        <v>0</v>
      </c>
      <c r="G139" s="341">
        <f>'BS offshore'!G107*Stake_Bu1</f>
        <v>0</v>
      </c>
      <c r="H139" s="341">
        <f>'BS offshore'!H107*Stake_Bu1</f>
        <v>0</v>
      </c>
      <c r="I139" s="341">
        <f>'BS offshore'!I107*Stake_Bu1</f>
        <v>0</v>
      </c>
      <c r="J139" s="341">
        <f>'BS offshore'!J107*Stake_Bu1</f>
        <v>0</v>
      </c>
      <c r="K139" s="341">
        <f>'BS offshore'!K107*Stake_Bu1</f>
        <v>0</v>
      </c>
      <c r="L139" s="341">
        <f>'BS offshore'!L107*Stake_Bu1</f>
        <v>0</v>
      </c>
      <c r="M139" s="341">
        <f>'BS offshore'!M107*Stake_Bu1</f>
        <v>0</v>
      </c>
      <c r="N139" s="341">
        <f>'BS offshore'!N107*Stake_Bu1</f>
        <v>0</v>
      </c>
      <c r="O139" s="341">
        <f>'BS offshore'!O107*Stake_Bu1</f>
        <v>0</v>
      </c>
      <c r="P139" s="341">
        <f>'BS offshore'!P107*Stake_Bu1</f>
        <v>0</v>
      </c>
      <c r="Q139" s="341">
        <f>'BS offshore'!Q107*Stake_Bu1</f>
        <v>0</v>
      </c>
      <c r="R139" s="47"/>
      <c r="U139" s="45"/>
      <c r="V139" s="45"/>
      <c r="W139" s="40"/>
    </row>
    <row r="140" spans="1:26" ht="13.7" outlineLevel="1">
      <c r="C140" s="254"/>
      <c r="D140" s="340" t="s">
        <v>1560</v>
      </c>
      <c r="E140" s="341">
        <f>'BS onshore'!E107*Stake_Bu2</f>
        <v>0</v>
      </c>
      <c r="F140" s="341">
        <f>'BS onshore'!F107*Stake_Bu2</f>
        <v>0</v>
      </c>
      <c r="G140" s="341">
        <f>'BS onshore'!G107*Stake_Bu2</f>
        <v>0</v>
      </c>
      <c r="H140" s="341">
        <f>'BS onshore'!H107*Stake_Bu2</f>
        <v>0</v>
      </c>
      <c r="I140" s="341">
        <f>'BS onshore'!I107*Stake_Bu2</f>
        <v>0</v>
      </c>
      <c r="J140" s="341">
        <f>'BS onshore'!J107*Stake_Bu2</f>
        <v>0</v>
      </c>
      <c r="K140" s="341">
        <f>'BS onshore'!K107*Stake_Bu2</f>
        <v>0</v>
      </c>
      <c r="L140" s="341">
        <f>'BS onshore'!L107*Stake_Bu2</f>
        <v>0</v>
      </c>
      <c r="M140" s="341">
        <f>'BS onshore'!M107*Stake_Bu2</f>
        <v>0</v>
      </c>
      <c r="N140" s="341">
        <f>'BS onshore'!N107*Stake_Bu2</f>
        <v>0</v>
      </c>
      <c r="O140" s="341">
        <f>'BS onshore'!O107*Stake_Bu2</f>
        <v>0</v>
      </c>
      <c r="P140" s="341">
        <f>'BS onshore'!P107*Stake_Bu2</f>
        <v>0</v>
      </c>
      <c r="Q140" s="341">
        <f>'BS onshore'!Q107*Stake_Bu2</f>
        <v>0</v>
      </c>
      <c r="R140" s="47"/>
      <c r="U140" s="45"/>
      <c r="V140" s="45"/>
      <c r="W140" s="40"/>
    </row>
    <row r="141" spans="1:26" ht="13.7" outlineLevel="1">
      <c r="C141" s="254"/>
      <c r="D141" s="340" t="s">
        <v>1513</v>
      </c>
      <c r="E141" s="341">
        <f>'BS Holdco'!E108</f>
        <v>0</v>
      </c>
      <c r="F141" s="341">
        <f>'BS Holdco'!F108</f>
        <v>0</v>
      </c>
      <c r="G141" s="341">
        <f>'BS Holdco'!G108</f>
        <v>0</v>
      </c>
      <c r="H141" s="341">
        <f>'BS Holdco'!H108</f>
        <v>0</v>
      </c>
      <c r="I141" s="341">
        <f>'BS Holdco'!I108</f>
        <v>0</v>
      </c>
      <c r="J141" s="341">
        <f>'BS Holdco'!J108</f>
        <v>0</v>
      </c>
      <c r="K141" s="341">
        <f>'BS Holdco'!K108</f>
        <v>0</v>
      </c>
      <c r="L141" s="341">
        <f>'BS Holdco'!L108</f>
        <v>0</v>
      </c>
      <c r="M141" s="341">
        <f>'BS Holdco'!M108</f>
        <v>0</v>
      </c>
      <c r="N141" s="341">
        <f>'BS Holdco'!N108</f>
        <v>0</v>
      </c>
      <c r="O141" s="341">
        <f>'BS Holdco'!O108</f>
        <v>0</v>
      </c>
      <c r="P141" s="341">
        <f>'BS Holdco'!P108</f>
        <v>0</v>
      </c>
      <c r="Q141" s="341">
        <f>'BS Holdco'!Q108</f>
        <v>0</v>
      </c>
      <c r="R141" s="47"/>
      <c r="U141" s="45"/>
      <c r="V141" s="45"/>
      <c r="W141" s="40"/>
    </row>
    <row r="142" spans="1:26" ht="13.7" outlineLevel="1">
      <c r="A142" s="256"/>
      <c r="B142" s="256"/>
      <c r="C142" s="254"/>
      <c r="D142" s="340" t="s">
        <v>1514</v>
      </c>
      <c r="E142" s="197"/>
      <c r="F142" s="197"/>
      <c r="G142" s="197"/>
      <c r="H142" s="197"/>
      <c r="I142" s="197"/>
      <c r="J142" s="197"/>
      <c r="K142" s="197"/>
      <c r="L142" s="197"/>
      <c r="M142" s="197"/>
      <c r="N142" s="197"/>
      <c r="O142" s="197"/>
      <c r="P142" s="197"/>
      <c r="Q142" s="197"/>
      <c r="R142" s="43"/>
      <c r="S142" s="44"/>
      <c r="T142" s="44"/>
      <c r="X142" s="41"/>
      <c r="Y142" s="41"/>
      <c r="Z142" s="40"/>
    </row>
    <row r="143" spans="1:26" ht="13.7">
      <c r="C143" s="254" t="s">
        <v>852</v>
      </c>
      <c r="D143" s="255"/>
      <c r="E143" s="255">
        <f>SUM(E144:E147)</f>
        <v>0</v>
      </c>
      <c r="F143" s="255">
        <f t="shared" ref="F143:P143" si="69">SUM(F144:F147)</f>
        <v>0</v>
      </c>
      <c r="G143" s="255">
        <f t="shared" si="69"/>
        <v>0</v>
      </c>
      <c r="H143" s="255">
        <f t="shared" si="69"/>
        <v>0</v>
      </c>
      <c r="I143" s="255">
        <f t="shared" si="69"/>
        <v>0</v>
      </c>
      <c r="J143" s="255">
        <f t="shared" si="69"/>
        <v>0</v>
      </c>
      <c r="K143" s="255">
        <f t="shared" ca="1" si="69"/>
        <v>0</v>
      </c>
      <c r="L143" s="255">
        <f t="shared" ca="1" si="69"/>
        <v>0</v>
      </c>
      <c r="M143" s="255">
        <f t="shared" ca="1" si="69"/>
        <v>0</v>
      </c>
      <c r="N143" s="255">
        <f t="shared" ca="1" si="69"/>
        <v>0</v>
      </c>
      <c r="O143" s="255">
        <f t="shared" ca="1" si="69"/>
        <v>0</v>
      </c>
      <c r="P143" s="255">
        <f t="shared" ca="1" si="69"/>
        <v>0</v>
      </c>
      <c r="Q143" s="255">
        <f t="shared" ref="Q143" si="70">SUM(Q144:Q147)</f>
        <v>0</v>
      </c>
      <c r="T143" s="44"/>
      <c r="U143" s="44"/>
      <c r="X143" s="39"/>
      <c r="Y143" s="39"/>
      <c r="Z143" s="40"/>
    </row>
    <row r="144" spans="1:26" ht="13.7" outlineLevel="1">
      <c r="A144" s="256"/>
      <c r="B144" s="256"/>
      <c r="C144" s="254"/>
      <c r="D144" s="340" t="s">
        <v>1107</v>
      </c>
      <c r="E144" s="340">
        <f>'BS offshore'!E111*Stake_Bu1</f>
        <v>0</v>
      </c>
      <c r="F144" s="340">
        <f>'BS offshore'!F111*Stake_Bu1</f>
        <v>0</v>
      </c>
      <c r="G144" s="340">
        <f>'BS offshore'!G111*Stake_Bu1</f>
        <v>0</v>
      </c>
      <c r="H144" s="340">
        <f>'BS offshore'!H111*Stake_Bu1</f>
        <v>0</v>
      </c>
      <c r="I144" s="340">
        <f>'BS offshore'!I111*Stake_Bu1</f>
        <v>0</v>
      </c>
      <c r="J144" s="340">
        <f>'BS offshore'!J111*Stake_Bu1</f>
        <v>0</v>
      </c>
      <c r="K144" s="340">
        <f ca="1">'BS offshore'!K111*Stake_Bu1</f>
        <v>0</v>
      </c>
      <c r="L144" s="340">
        <f ca="1">'BS offshore'!L111*Stake_Bu1</f>
        <v>0</v>
      </c>
      <c r="M144" s="340">
        <f ca="1">'BS offshore'!M111*Stake_Bu1</f>
        <v>0</v>
      </c>
      <c r="N144" s="340">
        <f ca="1">'BS offshore'!N111*Stake_Bu1</f>
        <v>0</v>
      </c>
      <c r="O144" s="340">
        <f ca="1">'BS offshore'!O111*Stake_Bu1</f>
        <v>0</v>
      </c>
      <c r="P144" s="340">
        <f ca="1">'BS offshore'!P111*Stake_Bu1</f>
        <v>0</v>
      </c>
      <c r="Q144" s="340">
        <f>'BS offshore'!Q111*Stake_Bu1</f>
        <v>0</v>
      </c>
      <c r="X144" s="39"/>
      <c r="Y144" s="39"/>
      <c r="Z144" s="40"/>
    </row>
    <row r="145" spans="1:26" ht="13.7" outlineLevel="1">
      <c r="A145" s="256"/>
      <c r="B145" s="256"/>
      <c r="C145" s="254"/>
      <c r="D145" s="340" t="s">
        <v>1560</v>
      </c>
      <c r="E145" s="340">
        <f>'BS onshore'!E111*Stake_Bu2</f>
        <v>0</v>
      </c>
      <c r="F145" s="340">
        <f>'BS onshore'!F111*Stake_Bu2</f>
        <v>0</v>
      </c>
      <c r="G145" s="340">
        <f>'BS onshore'!G111*Stake_Bu2</f>
        <v>0</v>
      </c>
      <c r="H145" s="340">
        <f>'BS onshore'!H111*Stake_Bu2</f>
        <v>0</v>
      </c>
      <c r="I145" s="340">
        <f>'BS onshore'!I111*Stake_Bu2</f>
        <v>0</v>
      </c>
      <c r="J145" s="340">
        <f>'BS onshore'!J111*Stake_Bu2</f>
        <v>0</v>
      </c>
      <c r="K145" s="340">
        <f ca="1">'BS onshore'!K111*Stake_Bu2</f>
        <v>0</v>
      </c>
      <c r="L145" s="340">
        <f ca="1">'BS onshore'!L111*Stake_Bu2</f>
        <v>0</v>
      </c>
      <c r="M145" s="340">
        <f ca="1">'BS onshore'!M111*Stake_Bu2</f>
        <v>0</v>
      </c>
      <c r="N145" s="340">
        <f ca="1">'BS onshore'!N111*Stake_Bu2</f>
        <v>0</v>
      </c>
      <c r="O145" s="340">
        <f ca="1">'BS onshore'!O111*Stake_Bu2</f>
        <v>0</v>
      </c>
      <c r="P145" s="340">
        <f ca="1">'BS onshore'!P111*Stake_Bu2</f>
        <v>0</v>
      </c>
      <c r="Q145" s="340">
        <f>'BS onshore'!Q111*Stake_Bu2</f>
        <v>0</v>
      </c>
      <c r="X145" s="39"/>
      <c r="Y145" s="39"/>
      <c r="Z145" s="40"/>
    </row>
    <row r="146" spans="1:26" ht="13.7" outlineLevel="1">
      <c r="A146" s="256"/>
      <c r="B146" s="256"/>
      <c r="C146" s="254"/>
      <c r="D146" s="340" t="s">
        <v>1513</v>
      </c>
      <c r="E146" s="340">
        <f>'BS Holdco'!E112</f>
        <v>0</v>
      </c>
      <c r="F146" s="340">
        <f>'BS Holdco'!F112</f>
        <v>0</v>
      </c>
      <c r="G146" s="340">
        <f>'BS Holdco'!G112</f>
        <v>0</v>
      </c>
      <c r="H146" s="340">
        <f>'BS Holdco'!H112</f>
        <v>0</v>
      </c>
      <c r="I146" s="340">
        <f>'BS Holdco'!I112</f>
        <v>0</v>
      </c>
      <c r="J146" s="340">
        <f>'BS Holdco'!J112</f>
        <v>0</v>
      </c>
      <c r="K146" s="340">
        <f ca="1">'BS Holdco'!K112</f>
        <v>0</v>
      </c>
      <c r="L146" s="340">
        <f ca="1">'BS Holdco'!L112</f>
        <v>0</v>
      </c>
      <c r="M146" s="340">
        <f ca="1">'BS Holdco'!M112</f>
        <v>0</v>
      </c>
      <c r="N146" s="340">
        <f ca="1">'BS Holdco'!N112</f>
        <v>0</v>
      </c>
      <c r="O146" s="340">
        <f ca="1">'BS Holdco'!O112</f>
        <v>0</v>
      </c>
      <c r="P146" s="340">
        <f ca="1">'BS Holdco'!P112</f>
        <v>0</v>
      </c>
      <c r="Q146" s="340">
        <f>'BS Holdco'!Q112</f>
        <v>0</v>
      </c>
      <c r="X146" s="39"/>
      <c r="Y146" s="39"/>
      <c r="Z146" s="40"/>
    </row>
    <row r="147" spans="1:26" ht="13.7" outlineLevel="1">
      <c r="A147" s="256"/>
      <c r="B147" s="256"/>
      <c r="C147" s="254"/>
      <c r="D147" s="340" t="s">
        <v>1514</v>
      </c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43"/>
      <c r="S147" s="44"/>
      <c r="T147" s="44"/>
      <c r="X147" s="41"/>
      <c r="Y147" s="41"/>
      <c r="Z147" s="40"/>
    </row>
    <row r="148" spans="1:26" ht="13.7">
      <c r="C148" s="254" t="s">
        <v>237</v>
      </c>
      <c r="D148" s="255"/>
      <c r="E148" s="255">
        <f>SUM(E149:E152)</f>
        <v>0</v>
      </c>
      <c r="F148" s="255">
        <f t="shared" ref="F148:P148" si="71">SUM(F149:F152)</f>
        <v>0</v>
      </c>
      <c r="G148" s="255">
        <f t="shared" si="71"/>
        <v>0</v>
      </c>
      <c r="H148" s="255">
        <f t="shared" si="71"/>
        <v>0</v>
      </c>
      <c r="I148" s="255">
        <f t="shared" si="71"/>
        <v>0</v>
      </c>
      <c r="J148" s="255">
        <f t="shared" si="71"/>
        <v>0</v>
      </c>
      <c r="K148" s="255">
        <f t="shared" si="71"/>
        <v>0</v>
      </c>
      <c r="L148" s="255">
        <f t="shared" si="71"/>
        <v>0</v>
      </c>
      <c r="M148" s="255">
        <f t="shared" si="71"/>
        <v>0</v>
      </c>
      <c r="N148" s="255">
        <f t="shared" si="71"/>
        <v>0</v>
      </c>
      <c r="O148" s="255">
        <f t="shared" si="71"/>
        <v>0</v>
      </c>
      <c r="P148" s="255">
        <f t="shared" si="71"/>
        <v>0</v>
      </c>
      <c r="Q148" s="255">
        <f t="shared" ref="Q148" si="72">SUM(Q149:Q152)</f>
        <v>0</v>
      </c>
      <c r="T148" s="44"/>
      <c r="U148" s="44"/>
      <c r="X148" s="45"/>
      <c r="Y148" s="45"/>
      <c r="Z148" s="40"/>
    </row>
    <row r="149" spans="1:26" ht="13.7" outlineLevel="1">
      <c r="C149" s="254"/>
      <c r="D149" s="340" t="s">
        <v>1107</v>
      </c>
      <c r="E149" s="341">
        <f>'BS offshore'!E115*Stake_Bu1</f>
        <v>0</v>
      </c>
      <c r="F149" s="341">
        <f>'BS offshore'!F115*Stake_Bu1</f>
        <v>0</v>
      </c>
      <c r="G149" s="341">
        <f>'BS offshore'!G115*Stake_Bu1</f>
        <v>0</v>
      </c>
      <c r="H149" s="341">
        <f>'BS offshore'!H115*Stake_Bu1</f>
        <v>0</v>
      </c>
      <c r="I149" s="341">
        <f>'BS offshore'!I115*Stake_Bu1</f>
        <v>0</v>
      </c>
      <c r="J149" s="341">
        <f>'BS offshore'!J115*Stake_Bu1</f>
        <v>0</v>
      </c>
      <c r="K149" s="341">
        <f>'BS offshore'!K115*Stake_Bu1</f>
        <v>0</v>
      </c>
      <c r="L149" s="341">
        <f>'BS offshore'!L115*Stake_Bu1</f>
        <v>0</v>
      </c>
      <c r="M149" s="341">
        <f>'BS offshore'!M115*Stake_Bu1</f>
        <v>0</v>
      </c>
      <c r="N149" s="341">
        <f>'BS offshore'!N115*Stake_Bu1</f>
        <v>0</v>
      </c>
      <c r="O149" s="341">
        <f>'BS offshore'!O115*Stake_Bu1</f>
        <v>0</v>
      </c>
      <c r="P149" s="341">
        <f>'BS offshore'!P115*Stake_Bu1</f>
        <v>0</v>
      </c>
      <c r="Q149" s="341">
        <f>'BS offshore'!Q115*Stake_Bu1</f>
        <v>0</v>
      </c>
      <c r="R149" s="47"/>
      <c r="U149" s="45"/>
      <c r="V149" s="45"/>
      <c r="W149" s="40"/>
    </row>
    <row r="150" spans="1:26" ht="13.7" outlineLevel="1">
      <c r="C150" s="254"/>
      <c r="D150" s="340" t="s">
        <v>1560</v>
      </c>
      <c r="E150" s="341">
        <f>'BS onshore'!E115*Stake_Bu2</f>
        <v>0</v>
      </c>
      <c r="F150" s="341">
        <f>'BS onshore'!F115*Stake_Bu2</f>
        <v>0</v>
      </c>
      <c r="G150" s="341">
        <f>'BS onshore'!G115*Stake_Bu2</f>
        <v>0</v>
      </c>
      <c r="H150" s="341">
        <f>'BS onshore'!H115*Stake_Bu2</f>
        <v>0</v>
      </c>
      <c r="I150" s="341">
        <f>'BS onshore'!I115*Stake_Bu2</f>
        <v>0</v>
      </c>
      <c r="J150" s="341">
        <f>'BS onshore'!J115*Stake_Bu2</f>
        <v>0</v>
      </c>
      <c r="K150" s="341">
        <f>'BS onshore'!K115*Stake_Bu2</f>
        <v>0</v>
      </c>
      <c r="L150" s="341">
        <f>'BS onshore'!L115*Stake_Bu2</f>
        <v>0</v>
      </c>
      <c r="M150" s="341">
        <f>'BS onshore'!M115*Stake_Bu2</f>
        <v>0</v>
      </c>
      <c r="N150" s="341">
        <f>'BS onshore'!N115*Stake_Bu2</f>
        <v>0</v>
      </c>
      <c r="O150" s="341">
        <f>'BS onshore'!O115*Stake_Bu2</f>
        <v>0</v>
      </c>
      <c r="P150" s="341">
        <f>'BS onshore'!P115*Stake_Bu2</f>
        <v>0</v>
      </c>
      <c r="Q150" s="341">
        <f>'BS onshore'!Q115*Stake_Bu2</f>
        <v>0</v>
      </c>
      <c r="R150" s="47"/>
      <c r="U150" s="45"/>
      <c r="V150" s="45"/>
      <c r="W150" s="40"/>
    </row>
    <row r="151" spans="1:26" ht="13.7" outlineLevel="1">
      <c r="C151" s="254"/>
      <c r="D151" s="340" t="s">
        <v>1513</v>
      </c>
      <c r="E151" s="341">
        <f>'BS Holdco'!E116</f>
        <v>0</v>
      </c>
      <c r="F151" s="341">
        <f>'BS Holdco'!F116</f>
        <v>0</v>
      </c>
      <c r="G151" s="341">
        <f>'BS Holdco'!G116</f>
        <v>0</v>
      </c>
      <c r="H151" s="341">
        <f>'BS Holdco'!H116</f>
        <v>0</v>
      </c>
      <c r="I151" s="341">
        <f>'BS Holdco'!I116</f>
        <v>0</v>
      </c>
      <c r="J151" s="341">
        <f>'BS Holdco'!J116</f>
        <v>0</v>
      </c>
      <c r="K151" s="341">
        <f>'BS Holdco'!K116</f>
        <v>0</v>
      </c>
      <c r="L151" s="341">
        <f>'BS Holdco'!L116</f>
        <v>0</v>
      </c>
      <c r="M151" s="341">
        <f>'BS Holdco'!M116</f>
        <v>0</v>
      </c>
      <c r="N151" s="341">
        <f>'BS Holdco'!N116</f>
        <v>0</v>
      </c>
      <c r="O151" s="341">
        <f>'BS Holdco'!O116</f>
        <v>0</v>
      </c>
      <c r="P151" s="341">
        <f>'BS Holdco'!P116</f>
        <v>0</v>
      </c>
      <c r="Q151" s="341">
        <f>'BS Holdco'!Q116</f>
        <v>0</v>
      </c>
      <c r="R151" s="47"/>
      <c r="U151" s="45"/>
      <c r="V151" s="45"/>
      <c r="W151" s="40"/>
    </row>
    <row r="152" spans="1:26" ht="13.7" outlineLevel="1">
      <c r="A152" s="256"/>
      <c r="B152" s="256"/>
      <c r="C152" s="254"/>
      <c r="D152" s="340" t="s">
        <v>1514</v>
      </c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43"/>
      <c r="S152" s="44"/>
      <c r="T152" s="44"/>
      <c r="X152" s="41"/>
      <c r="Y152" s="41"/>
      <c r="Z152" s="40"/>
    </row>
    <row r="153" spans="1:26" ht="13.7">
      <c r="C153" s="258" t="s">
        <v>238</v>
      </c>
      <c r="D153" s="255"/>
      <c r="E153" s="255">
        <f>SUM(E154:E157)</f>
        <v>0</v>
      </c>
      <c r="F153" s="255">
        <f t="shared" ref="F153:P153" si="73">SUM(F154:F157)</f>
        <v>0</v>
      </c>
      <c r="G153" s="255">
        <f t="shared" si="73"/>
        <v>0</v>
      </c>
      <c r="H153" s="255">
        <f t="shared" si="73"/>
        <v>0</v>
      </c>
      <c r="I153" s="255">
        <f t="shared" si="73"/>
        <v>0</v>
      </c>
      <c r="J153" s="255">
        <f t="shared" si="73"/>
        <v>0</v>
      </c>
      <c r="K153" s="255">
        <f t="shared" si="73"/>
        <v>0</v>
      </c>
      <c r="L153" s="255">
        <f t="shared" si="73"/>
        <v>0</v>
      </c>
      <c r="M153" s="255">
        <f t="shared" si="73"/>
        <v>0</v>
      </c>
      <c r="N153" s="255">
        <f t="shared" si="73"/>
        <v>0</v>
      </c>
      <c r="O153" s="255">
        <f t="shared" si="73"/>
        <v>0</v>
      </c>
      <c r="P153" s="255">
        <f t="shared" si="73"/>
        <v>0</v>
      </c>
      <c r="Q153" s="255">
        <f t="shared" ref="Q153" si="74">SUM(Q154:Q157)</f>
        <v>0</v>
      </c>
      <c r="T153" s="44"/>
      <c r="U153" s="44"/>
      <c r="X153" s="45"/>
      <c r="Y153" s="45"/>
      <c r="Z153" s="40"/>
    </row>
    <row r="154" spans="1:26" ht="13.7" outlineLevel="1">
      <c r="C154" s="254"/>
      <c r="D154" s="340" t="s">
        <v>1107</v>
      </c>
      <c r="E154" s="341">
        <f>'BS offshore'!E119*Stake_Bu1</f>
        <v>0</v>
      </c>
      <c r="F154" s="341">
        <f>'BS offshore'!F119*Stake_Bu1</f>
        <v>0</v>
      </c>
      <c r="G154" s="341">
        <f>'BS offshore'!G119*Stake_Bu1</f>
        <v>0</v>
      </c>
      <c r="H154" s="341">
        <f>'BS offshore'!H119*Stake_Bu1</f>
        <v>0</v>
      </c>
      <c r="I154" s="341">
        <f>'BS offshore'!I119*Stake_Bu1</f>
        <v>0</v>
      </c>
      <c r="J154" s="341">
        <f>'BS offshore'!J119*Stake_Bu1</f>
        <v>0</v>
      </c>
      <c r="K154" s="341">
        <f>'BS offshore'!K119*Stake_Bu1</f>
        <v>0</v>
      </c>
      <c r="L154" s="341">
        <f>'BS offshore'!L119*Stake_Bu1</f>
        <v>0</v>
      </c>
      <c r="M154" s="341">
        <f>'BS offshore'!M119*Stake_Bu1</f>
        <v>0</v>
      </c>
      <c r="N154" s="341">
        <f>'BS offshore'!N119*Stake_Bu1</f>
        <v>0</v>
      </c>
      <c r="O154" s="341">
        <f>'BS offshore'!O119*Stake_Bu1</f>
        <v>0</v>
      </c>
      <c r="P154" s="341">
        <f>'BS offshore'!P119*Stake_Bu1</f>
        <v>0</v>
      </c>
      <c r="Q154" s="341">
        <f>'BS offshore'!Q119*Stake_Bu1</f>
        <v>0</v>
      </c>
      <c r="R154" s="47"/>
      <c r="U154" s="45"/>
      <c r="V154" s="45"/>
      <c r="W154" s="40"/>
    </row>
    <row r="155" spans="1:26" ht="13.7" outlineLevel="1">
      <c r="C155" s="254"/>
      <c r="D155" s="340" t="s">
        <v>1560</v>
      </c>
      <c r="E155" s="341">
        <f>'BS onshore'!E119*Stake_Bu2</f>
        <v>0</v>
      </c>
      <c r="F155" s="341">
        <f>'BS onshore'!F119*Stake_Bu2</f>
        <v>0</v>
      </c>
      <c r="G155" s="341">
        <f>'BS onshore'!G119*Stake_Bu2</f>
        <v>0</v>
      </c>
      <c r="H155" s="341">
        <f>'BS onshore'!H119*Stake_Bu2</f>
        <v>0</v>
      </c>
      <c r="I155" s="341">
        <f>'BS onshore'!I119*Stake_Bu2</f>
        <v>0</v>
      </c>
      <c r="J155" s="341">
        <f>'BS onshore'!J119*Stake_Bu2</f>
        <v>0</v>
      </c>
      <c r="K155" s="341">
        <f>'BS onshore'!K119*Stake_Bu2</f>
        <v>0</v>
      </c>
      <c r="L155" s="341">
        <f>'BS onshore'!L119*Stake_Bu2</f>
        <v>0</v>
      </c>
      <c r="M155" s="341">
        <f>'BS onshore'!M119*Stake_Bu2</f>
        <v>0</v>
      </c>
      <c r="N155" s="341">
        <f>'BS onshore'!N119*Stake_Bu2</f>
        <v>0</v>
      </c>
      <c r="O155" s="341">
        <f>'BS onshore'!O119*Stake_Bu2</f>
        <v>0</v>
      </c>
      <c r="P155" s="341">
        <f>'BS onshore'!P119*Stake_Bu2</f>
        <v>0</v>
      </c>
      <c r="Q155" s="341">
        <f>'BS onshore'!Q119*Stake_Bu2</f>
        <v>0</v>
      </c>
      <c r="R155" s="47"/>
      <c r="U155" s="45"/>
      <c r="V155" s="45"/>
      <c r="W155" s="40"/>
    </row>
    <row r="156" spans="1:26" ht="13.7" outlineLevel="1">
      <c r="C156" s="254"/>
      <c r="D156" s="340" t="s">
        <v>1513</v>
      </c>
      <c r="E156" s="341">
        <f>'BS Holdco'!E120</f>
        <v>0</v>
      </c>
      <c r="F156" s="341">
        <f>'BS Holdco'!F120</f>
        <v>0</v>
      </c>
      <c r="G156" s="341">
        <f>'BS Holdco'!G120</f>
        <v>0</v>
      </c>
      <c r="H156" s="341">
        <f>'BS Holdco'!H120</f>
        <v>0</v>
      </c>
      <c r="I156" s="341">
        <f>'BS Holdco'!I120</f>
        <v>0</v>
      </c>
      <c r="J156" s="341">
        <f>'BS Holdco'!J120</f>
        <v>0</v>
      </c>
      <c r="K156" s="341">
        <f>'BS Holdco'!K120</f>
        <v>0</v>
      </c>
      <c r="L156" s="341">
        <f>'BS Holdco'!L120</f>
        <v>0</v>
      </c>
      <c r="M156" s="341">
        <f>'BS Holdco'!M120</f>
        <v>0</v>
      </c>
      <c r="N156" s="341">
        <f>'BS Holdco'!N120</f>
        <v>0</v>
      </c>
      <c r="O156" s="341">
        <f>'BS Holdco'!O120</f>
        <v>0</v>
      </c>
      <c r="P156" s="341">
        <f>'BS Holdco'!P120</f>
        <v>0</v>
      </c>
      <c r="Q156" s="341">
        <f>'BS Holdco'!Q120</f>
        <v>0</v>
      </c>
      <c r="R156" s="47"/>
      <c r="U156" s="45"/>
      <c r="V156" s="45"/>
      <c r="W156" s="40"/>
    </row>
    <row r="157" spans="1:26" ht="13.7" outlineLevel="1">
      <c r="A157" s="256"/>
      <c r="B157" s="256"/>
      <c r="C157" s="254"/>
      <c r="D157" s="340" t="s">
        <v>1514</v>
      </c>
      <c r="E157" s="197"/>
      <c r="F157" s="197"/>
      <c r="G157" s="197"/>
      <c r="H157" s="197"/>
      <c r="I157" s="197"/>
      <c r="J157" s="197"/>
      <c r="K157" s="197"/>
      <c r="L157" s="197"/>
      <c r="M157" s="197"/>
      <c r="N157" s="197"/>
      <c r="O157" s="197"/>
      <c r="P157" s="197"/>
      <c r="Q157" s="197"/>
      <c r="R157" s="43"/>
      <c r="S157" s="44"/>
      <c r="T157" s="44"/>
      <c r="X157" s="41"/>
      <c r="Y157" s="41"/>
      <c r="Z157" s="40"/>
    </row>
    <row r="158" spans="1:26">
      <c r="C158" s="49"/>
      <c r="T158" s="44"/>
      <c r="U158" s="44"/>
      <c r="X158" s="41"/>
      <c r="Y158" s="41"/>
      <c r="Z158" s="40"/>
    </row>
    <row r="159" spans="1:26" ht="13.7">
      <c r="C159" s="192" t="s">
        <v>17</v>
      </c>
      <c r="D159" s="195"/>
      <c r="E159" s="195">
        <f t="shared" ref="E159:P159" si="75">E90+E137</f>
        <v>0</v>
      </c>
      <c r="F159" s="195">
        <f t="shared" si="75"/>
        <v>0</v>
      </c>
      <c r="G159" s="195">
        <f t="shared" si="75"/>
        <v>0</v>
      </c>
      <c r="H159" s="195">
        <f t="shared" si="75"/>
        <v>0</v>
      </c>
      <c r="I159" s="195">
        <f t="shared" si="75"/>
        <v>0</v>
      </c>
      <c r="J159" s="195">
        <f>J90+J137</f>
        <v>0</v>
      </c>
      <c r="K159" s="195">
        <f ca="1">K90+K137</f>
        <v>0</v>
      </c>
      <c r="L159" s="195">
        <f t="shared" ca="1" si="75"/>
        <v>0</v>
      </c>
      <c r="M159" s="195">
        <f t="shared" ca="1" si="75"/>
        <v>0</v>
      </c>
      <c r="N159" s="195">
        <f t="shared" ca="1" si="75"/>
        <v>0</v>
      </c>
      <c r="O159" s="195">
        <f t="shared" ca="1" si="75"/>
        <v>0</v>
      </c>
      <c r="P159" s="195">
        <f t="shared" ca="1" si="75"/>
        <v>0</v>
      </c>
      <c r="Q159" s="195">
        <f t="shared" ref="Q159" si="76">Q90+Q137</f>
        <v>0</v>
      </c>
      <c r="T159" s="44"/>
      <c r="U159" s="44"/>
      <c r="X159" s="40"/>
      <c r="Y159" s="40"/>
    </row>
    <row r="160" spans="1:26">
      <c r="C160" s="49"/>
      <c r="T160" s="44"/>
      <c r="U160" s="44"/>
      <c r="X160" s="39"/>
      <c r="Y160" s="39"/>
      <c r="Z160" s="40"/>
    </row>
    <row r="161" spans="1:26" ht="13.7">
      <c r="C161" s="192" t="s">
        <v>18</v>
      </c>
      <c r="D161" s="195"/>
      <c r="E161" s="195">
        <f>SUM(E162:E165)</f>
        <v>0</v>
      </c>
      <c r="F161" s="195">
        <f t="shared" ref="F161:P161" ca="1" si="77">SUM(F162:F165)</f>
        <v>0</v>
      </c>
      <c r="G161" s="195">
        <f t="shared" ca="1" si="77"/>
        <v>0</v>
      </c>
      <c r="H161" s="195">
        <f t="shared" ca="1" si="77"/>
        <v>0</v>
      </c>
      <c r="I161" s="195">
        <f t="shared" ca="1" si="77"/>
        <v>0</v>
      </c>
      <c r="J161" s="195">
        <f t="shared" ca="1" si="77"/>
        <v>372544000</v>
      </c>
      <c r="K161" s="195">
        <f ca="1">SUM(K162:K165)</f>
        <v>372544000</v>
      </c>
      <c r="L161" s="195">
        <f ca="1">SUM(L162:L165)</f>
        <v>372544000</v>
      </c>
      <c r="M161" s="195">
        <f t="shared" ca="1" si="77"/>
        <v>372544000</v>
      </c>
      <c r="N161" s="195">
        <f t="shared" ca="1" si="77"/>
        <v>372544000</v>
      </c>
      <c r="O161" s="195">
        <f t="shared" ca="1" si="77"/>
        <v>372544000</v>
      </c>
      <c r="P161" s="195">
        <f t="shared" ca="1" si="77"/>
        <v>372544000</v>
      </c>
      <c r="Q161" s="195">
        <f t="shared" ref="Q161" ca="1" si="78">SUM(Q162:Q165)</f>
        <v>0</v>
      </c>
      <c r="T161" s="44"/>
      <c r="U161" s="44"/>
      <c r="X161" s="41"/>
      <c r="Y161" s="41"/>
      <c r="Z161" s="40"/>
    </row>
    <row r="162" spans="1:26" ht="13.7" outlineLevel="1">
      <c r="C162" s="254"/>
      <c r="D162" s="340" t="s">
        <v>1107</v>
      </c>
      <c r="E162" s="341">
        <f>'BS offshore'!E126*Stake_Bu1</f>
        <v>0</v>
      </c>
      <c r="F162" s="341">
        <f ca="1">'BS offshore'!F126*Stake_Bu1</f>
        <v>0</v>
      </c>
      <c r="G162" s="341">
        <f ca="1">'BS offshore'!G126*Stake_Bu1</f>
        <v>0</v>
      </c>
      <c r="H162" s="341">
        <f ca="1">'BS offshore'!H126*Stake_Bu1</f>
        <v>0</v>
      </c>
      <c r="I162" s="341">
        <f ca="1">'BS offshore'!I126*Stake_Bu1</f>
        <v>0</v>
      </c>
      <c r="J162" s="341">
        <f ca="1">'BS offshore'!J126*Stake_Bu1</f>
        <v>0</v>
      </c>
      <c r="K162" s="341">
        <f ca="1">'BS offshore'!K126*Stake_Bu1</f>
        <v>0</v>
      </c>
      <c r="L162" s="341">
        <f ca="1">'BS offshore'!L126*Stake_Bu1</f>
        <v>0</v>
      </c>
      <c r="M162" s="341">
        <f ca="1">'BS offshore'!M126*Stake_Bu1</f>
        <v>0</v>
      </c>
      <c r="N162" s="341">
        <f ca="1">'BS offshore'!N126*Stake_Bu1</f>
        <v>0</v>
      </c>
      <c r="O162" s="341">
        <f ca="1">'BS offshore'!O126*Stake_Bu1</f>
        <v>0</v>
      </c>
      <c r="P162" s="341">
        <f ca="1">'BS offshore'!P126*Stake_Bu1</f>
        <v>0</v>
      </c>
      <c r="Q162" s="341">
        <f ca="1">'BS offshore'!Q126*Stake_Bu1</f>
        <v>0</v>
      </c>
      <c r="R162" s="47"/>
      <c r="U162" s="45"/>
      <c r="V162" s="45"/>
      <c r="W162" s="40"/>
    </row>
    <row r="163" spans="1:26" ht="13.7" outlineLevel="1">
      <c r="C163" s="254"/>
      <c r="D163" s="340" t="s">
        <v>1560</v>
      </c>
      <c r="E163" s="341">
        <f>'BS onshore'!E126*Stake_Bu2</f>
        <v>0</v>
      </c>
      <c r="F163" s="341">
        <f ca="1">'BS onshore'!F126*Stake_Bu2</f>
        <v>0</v>
      </c>
      <c r="G163" s="341">
        <f ca="1">'BS onshore'!G126*Stake_Bu2</f>
        <v>0</v>
      </c>
      <c r="H163" s="341">
        <f ca="1">'BS onshore'!H126*Stake_Bu2</f>
        <v>0</v>
      </c>
      <c r="I163" s="341">
        <f ca="1">'BS onshore'!I126*Stake_Bu2</f>
        <v>0</v>
      </c>
      <c r="J163" s="341">
        <f ca="1">'BS onshore'!J126*Stake_Bu2</f>
        <v>0</v>
      </c>
      <c r="K163" s="341">
        <f ca="1">'BS onshore'!K126*Stake_Bu2</f>
        <v>0</v>
      </c>
      <c r="L163" s="341">
        <f ca="1">'BS onshore'!L126*Stake_Bu2</f>
        <v>0</v>
      </c>
      <c r="M163" s="341">
        <f ca="1">'BS onshore'!M126*Stake_Bu2</f>
        <v>0</v>
      </c>
      <c r="N163" s="341">
        <f ca="1">'BS onshore'!N126*Stake_Bu2</f>
        <v>0</v>
      </c>
      <c r="O163" s="341">
        <f ca="1">'BS onshore'!O126*Stake_Bu2</f>
        <v>0</v>
      </c>
      <c r="P163" s="341">
        <f ca="1">'BS onshore'!P126*Stake_Bu2</f>
        <v>0</v>
      </c>
      <c r="Q163" s="341">
        <f ca="1">'BS onshore'!Q126*Stake_Bu2</f>
        <v>0</v>
      </c>
      <c r="R163" s="47"/>
      <c r="U163" s="45"/>
      <c r="V163" s="45"/>
      <c r="W163" s="40"/>
    </row>
    <row r="164" spans="1:26" ht="13.7" outlineLevel="1">
      <c r="C164" s="254"/>
      <c r="D164" s="340" t="s">
        <v>1513</v>
      </c>
      <c r="E164" s="341">
        <f>'BS Holdco'!E127</f>
        <v>0</v>
      </c>
      <c r="F164" s="341">
        <f ca="1">'BS Holdco'!F127</f>
        <v>0</v>
      </c>
      <c r="G164" s="341">
        <f ca="1">'BS Holdco'!G127</f>
        <v>0</v>
      </c>
      <c r="H164" s="341">
        <f ca="1">'BS Holdco'!H127</f>
        <v>0</v>
      </c>
      <c r="I164" s="341">
        <f ca="1">'BS Holdco'!I127</f>
        <v>0</v>
      </c>
      <c r="J164" s="341">
        <f ca="1">'BS Holdco'!J127</f>
        <v>372544000</v>
      </c>
      <c r="K164" s="341">
        <f ca="1">'BS Holdco'!K127</f>
        <v>372544000</v>
      </c>
      <c r="L164" s="341">
        <f ca="1">'BS Holdco'!L127</f>
        <v>372544000</v>
      </c>
      <c r="M164" s="341">
        <f ca="1">'BS Holdco'!M127</f>
        <v>372544000</v>
      </c>
      <c r="N164" s="341">
        <f ca="1">'BS Holdco'!N127</f>
        <v>372544000</v>
      </c>
      <c r="O164" s="341">
        <f ca="1">'BS Holdco'!O127</f>
        <v>372544000</v>
      </c>
      <c r="P164" s="341">
        <f ca="1">'BS Holdco'!P127</f>
        <v>372544000</v>
      </c>
      <c r="Q164" s="341">
        <f ca="1">'BS Holdco'!Q127</f>
        <v>0</v>
      </c>
      <c r="R164" s="47"/>
      <c r="U164" s="45"/>
      <c r="V164" s="45"/>
      <c r="W164" s="40"/>
    </row>
    <row r="165" spans="1:26" ht="13.7" outlineLevel="1">
      <c r="A165" s="256"/>
      <c r="B165" s="256"/>
      <c r="C165" s="254"/>
      <c r="D165" s="340" t="s">
        <v>1514</v>
      </c>
      <c r="E165" s="197">
        <f>(E75&gt;0)*-E162</f>
        <v>0</v>
      </c>
      <c r="F165" s="197">
        <f t="shared" ref="F165:H165" ca="1" si="79">(F75&gt;0)*-F162</f>
        <v>0</v>
      </c>
      <c r="G165" s="197">
        <f t="shared" ca="1" si="79"/>
        <v>0</v>
      </c>
      <c r="H165" s="197">
        <f t="shared" ca="1" si="79"/>
        <v>0</v>
      </c>
      <c r="I165" s="197"/>
      <c r="J165" s="197">
        <f ca="1">-J163-J162</f>
        <v>0</v>
      </c>
      <c r="K165" s="197">
        <f ca="1">-K163-K162</f>
        <v>0</v>
      </c>
      <c r="L165" s="197">
        <f ca="1">-L163-L162</f>
        <v>0</v>
      </c>
      <c r="M165" s="197">
        <f t="shared" ref="M165:Q165" ca="1" si="80">-M163-M162</f>
        <v>0</v>
      </c>
      <c r="N165" s="197">
        <f t="shared" ca="1" si="80"/>
        <v>0</v>
      </c>
      <c r="O165" s="197">
        <f t="shared" ca="1" si="80"/>
        <v>0</v>
      </c>
      <c r="P165" s="197">
        <f t="shared" ca="1" si="80"/>
        <v>0</v>
      </c>
      <c r="Q165" s="197">
        <f t="shared" ca="1" si="80"/>
        <v>0</v>
      </c>
      <c r="R165" s="43"/>
      <c r="S165" s="44"/>
      <c r="T165" s="44"/>
      <c r="X165" s="41"/>
      <c r="Y165" s="41"/>
      <c r="Z165" s="40"/>
    </row>
    <row r="166" spans="1:26" ht="13.7"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T166" s="44"/>
      <c r="U166" s="44"/>
      <c r="X166" s="41"/>
      <c r="Y166" s="41"/>
      <c r="Z166" s="40"/>
    </row>
    <row r="167" spans="1:26" ht="13.7">
      <c r="C167" s="28"/>
      <c r="D167" s="28"/>
      <c r="E167" s="28"/>
      <c r="F167" s="28"/>
      <c r="G167" s="28"/>
      <c r="H167" s="28"/>
      <c r="I167" s="28"/>
      <c r="J167" s="28"/>
      <c r="K167" s="28"/>
      <c r="L167" s="374"/>
      <c r="M167" s="28"/>
      <c r="N167" s="28"/>
      <c r="O167" s="28"/>
      <c r="P167" s="28"/>
      <c r="Q167" s="28"/>
      <c r="T167" s="44"/>
      <c r="U167" s="44"/>
      <c r="X167" s="41"/>
      <c r="Y167" s="41"/>
      <c r="Z167" s="40"/>
    </row>
    <row r="168" spans="1:26">
      <c r="T168" s="50"/>
      <c r="U168" s="50"/>
      <c r="X168" s="40"/>
      <c r="Y168" s="40"/>
    </row>
    <row r="169" spans="1:26" ht="13.7">
      <c r="C169" s="203" t="s">
        <v>19</v>
      </c>
      <c r="D169" s="203"/>
      <c r="E169" s="204" t="str">
        <f t="shared" ref="E169:P169" si="81">IF(ROUND((E161+E159-E88)/Input_unit,1)=0,"-",E161+E159-E88)</f>
        <v>-</v>
      </c>
      <c r="F169" s="204" t="str">
        <f t="shared" ca="1" si="81"/>
        <v>-</v>
      </c>
      <c r="G169" s="204" t="str">
        <f t="shared" ca="1" si="81"/>
        <v>-</v>
      </c>
      <c r="H169" s="204" t="str">
        <f t="shared" ca="1" si="81"/>
        <v>-</v>
      </c>
      <c r="I169" s="204" t="str">
        <f t="shared" ca="1" si="81"/>
        <v>-</v>
      </c>
      <c r="J169" s="204">
        <f t="shared" ca="1" si="81"/>
        <v>372544000</v>
      </c>
      <c r="K169" s="204">
        <f ca="1">IF(ROUND((K161+K159-K88)/Input_unit,1)=0,"-",K161+K159-K88)</f>
        <v>372544000</v>
      </c>
      <c r="L169" s="204">
        <f t="shared" ca="1" si="81"/>
        <v>372544000</v>
      </c>
      <c r="M169" s="204">
        <f t="shared" ca="1" si="81"/>
        <v>372544000</v>
      </c>
      <c r="N169" s="204">
        <f t="shared" ca="1" si="81"/>
        <v>372544000</v>
      </c>
      <c r="O169" s="204">
        <f t="shared" ca="1" si="81"/>
        <v>372544000</v>
      </c>
      <c r="P169" s="204">
        <f t="shared" ca="1" si="81"/>
        <v>372544000</v>
      </c>
      <c r="Q169" s="204" t="str">
        <f t="shared" ref="Q169" ca="1" si="82">IF(ROUND((Q161+Q159-Q88)/Input_unit,1)=0,"-",Q161+Q159-Q88)</f>
        <v>-</v>
      </c>
      <c r="T169" s="44"/>
      <c r="U169" s="44"/>
      <c r="X169" s="39"/>
      <c r="Y169" s="39"/>
      <c r="Z169" s="40"/>
    </row>
    <row r="170" spans="1:26">
      <c r="J170" s="40"/>
      <c r="L170" s="40"/>
      <c r="M170" s="51"/>
      <c r="N170" s="51"/>
      <c r="O170" s="51"/>
      <c r="P170" s="51"/>
      <c r="Q170" s="51"/>
      <c r="U170" s="44"/>
      <c r="V170" s="44"/>
      <c r="Y170" s="40"/>
      <c r="Z170" s="40"/>
    </row>
    <row r="171" spans="1:26" ht="13.7">
      <c r="B171" s="52"/>
      <c r="C171" s="195" t="s">
        <v>1743</v>
      </c>
      <c r="D171" s="195"/>
      <c r="E171" s="195">
        <f>E35+E40+E45+E50-E96-E101-E106-E111-E116</f>
        <v>0</v>
      </c>
      <c r="F171" s="195">
        <f t="shared" ref="F171:Q171" si="83">F35+F40+F45+F50-F96-F101-F106-F111-F116</f>
        <v>0</v>
      </c>
      <c r="G171" s="195">
        <f t="shared" si="83"/>
        <v>0</v>
      </c>
      <c r="H171" s="195">
        <f t="shared" si="83"/>
        <v>0</v>
      </c>
      <c r="I171" s="195">
        <f t="shared" si="83"/>
        <v>0</v>
      </c>
      <c r="J171" s="195">
        <f t="shared" si="83"/>
        <v>0</v>
      </c>
      <c r="K171" s="195">
        <f>K35+K40+K45+K50-K96-K101-K106-K111-K116</f>
        <v>0</v>
      </c>
      <c r="L171" s="195">
        <f t="shared" si="83"/>
        <v>0</v>
      </c>
      <c r="M171" s="195">
        <f t="shared" si="83"/>
        <v>0</v>
      </c>
      <c r="N171" s="195">
        <f t="shared" si="83"/>
        <v>0</v>
      </c>
      <c r="O171" s="195">
        <f t="shared" si="83"/>
        <v>0</v>
      </c>
      <c r="P171" s="195">
        <f t="shared" si="83"/>
        <v>0</v>
      </c>
      <c r="Q171" s="195">
        <f t="shared" si="83"/>
        <v>0</v>
      </c>
    </row>
    <row r="172" spans="1:26" ht="13.7">
      <c r="B172" s="52"/>
    </row>
    <row r="173" spans="1:26" ht="13.7">
      <c r="B173" s="52"/>
    </row>
    <row r="174" spans="1:26" ht="13.7">
      <c r="B174" s="52"/>
      <c r="J174" s="40"/>
      <c r="K174" s="761"/>
    </row>
    <row r="175" spans="1:26" ht="13.7">
      <c r="B175" s="52"/>
      <c r="K175" s="760"/>
    </row>
    <row r="176" spans="1:26" ht="13.7">
      <c r="B176" s="52"/>
      <c r="K176" s="760"/>
    </row>
    <row r="177" spans="2:11" ht="13.7">
      <c r="B177" s="52"/>
      <c r="K177" s="52"/>
    </row>
    <row r="178" spans="2:11" ht="13.7">
      <c r="B178" s="52"/>
    </row>
    <row r="179" spans="2:11" ht="13.7">
      <c r="B179" s="52"/>
    </row>
  </sheetData>
  <phoneticPr fontId="2" type="noConversion"/>
  <conditionalFormatting sqref="E6:AC9">
    <cfRule type="cellIs" dxfId="130" priority="9" operator="equal">
      <formula>TRUE</formula>
    </cfRule>
  </conditionalFormatting>
  <conditionalFormatting sqref="E24:Q29 E127:Q129 E132:Q134">
    <cfRule type="cellIs" dxfId="129" priority="7" operator="lessThan">
      <formula>0</formula>
    </cfRule>
  </conditionalFormatting>
  <conditionalFormatting sqref="E144:Q146">
    <cfRule type="cellIs" dxfId="128" priority="2" operator="lessThan">
      <formula>0</formula>
    </cfRule>
  </conditionalFormatting>
  <pageMargins left="0.7" right="0.7" top="0.75" bottom="0.75" header="0.3" footer="0.3"/>
  <pageSetup paperSize="9" scale="40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8067" r:id="rId4" name="Drop Down 3">
              <controlPr defaultSize="0" autoLine="0" autoPict="0">
                <anchor moveWithCells="1">
                  <from>
                    <xdr:col>4</xdr:col>
                    <xdr:colOff>100584</xdr:colOff>
                    <xdr:row>14</xdr:row>
                    <xdr:rowOff>18288</xdr:rowOff>
                  </from>
                  <to>
                    <xdr:col>5</xdr:col>
                    <xdr:colOff>466344</xdr:colOff>
                    <xdr:row>15</xdr:row>
                    <xdr:rowOff>36576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0"/>
  </sheetPr>
  <dimension ref="A1:AC53"/>
  <sheetViews>
    <sheetView view="pageBreakPreview" topLeftCell="A15" zoomScale="85" zoomScaleNormal="90" zoomScaleSheetLayoutView="85" workbookViewId="0">
      <selection activeCell="K48" sqref="K48"/>
    </sheetView>
  </sheetViews>
  <sheetFormatPr defaultColWidth="9.140625" defaultRowHeight="13.7" outlineLevelRow="1" outlineLevelCol="1"/>
  <cols>
    <col min="1" max="2" width="3" style="52" customWidth="1"/>
    <col min="3" max="3" width="3.7109375" style="52" customWidth="1"/>
    <col min="4" max="4" width="22.28515625" style="52" customWidth="1"/>
    <col min="5" max="5" width="16.85546875" style="52" customWidth="1"/>
    <col min="6" max="8" width="14.85546875" style="52" customWidth="1"/>
    <col min="9" max="9" width="19.140625" style="52" customWidth="1"/>
    <col min="10" max="14" width="14.85546875" style="52" customWidth="1"/>
    <col min="15" max="15" width="15.85546875" style="52" customWidth="1"/>
    <col min="16" max="29" width="14.85546875" style="52" customWidth="1" outlineLevel="1"/>
    <col min="30" max="16384" width="9.140625" style="28"/>
  </cols>
  <sheetData>
    <row r="1" spans="1:29" ht="14.6" hidden="1" customHeight="1" outlineLevel="1">
      <c r="A1" s="18"/>
      <c r="B1" s="18"/>
      <c r="C1" s="24" t="s">
        <v>870</v>
      </c>
      <c r="D1" s="24">
        <f>'Control Panel'!B12</f>
        <v>2019</v>
      </c>
      <c r="E1" s="18" t="s">
        <v>689</v>
      </c>
      <c r="F1" s="5">
        <f>'Control Panel'!B11</f>
        <v>43466</v>
      </c>
      <c r="G1" s="18"/>
      <c r="H1" s="18" t="s">
        <v>691</v>
      </c>
      <c r="I1" s="5">
        <f>'Control Panel'!B9</f>
        <v>43465</v>
      </c>
      <c r="J1" s="18"/>
      <c r="K1" s="18" t="s">
        <v>705</v>
      </c>
      <c r="L1" s="18">
        <f>'Control Panel'!B13-'Control Panel'!B12+1</f>
        <v>6</v>
      </c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 ht="14.6" hidden="1" customHeight="1" outlineLevel="1">
      <c r="A2" s="18"/>
      <c r="B2" s="18"/>
      <c r="C2" s="24" t="s">
        <v>871</v>
      </c>
      <c r="D2" s="24">
        <f>'Financial summary'!E5</f>
        <v>1</v>
      </c>
      <c r="E2" s="18"/>
      <c r="F2" s="18"/>
      <c r="G2" s="18"/>
      <c r="H2" s="18" t="s">
        <v>693</v>
      </c>
      <c r="I2" s="27">
        <f>'Control Panel'!B5</f>
        <v>5</v>
      </c>
      <c r="J2" s="18"/>
      <c r="K2" s="18" t="s">
        <v>1555</v>
      </c>
      <c r="L2" s="18">
        <f>stub_quarter+1</f>
        <v>5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spans="1:29" ht="14.6" hidden="1" customHeight="1" outlineLevel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4.6" hidden="1" customHeight="1" outlineLevel="1">
      <c r="A4" s="1"/>
      <c r="B4" s="1"/>
      <c r="C4" s="1" t="s">
        <v>692</v>
      </c>
      <c r="D4" s="1"/>
      <c r="E4" s="1">
        <v>1</v>
      </c>
      <c r="F4" s="1">
        <f>E4+1</f>
        <v>2</v>
      </c>
      <c r="G4" s="1">
        <f t="shared" ref="G4:AC4" si="0">F4+1</f>
        <v>3</v>
      </c>
      <c r="H4" s="1">
        <f t="shared" si="0"/>
        <v>4</v>
      </c>
      <c r="I4" s="1">
        <f t="shared" si="0"/>
        <v>5</v>
      </c>
      <c r="J4" s="1">
        <f t="shared" si="0"/>
        <v>6</v>
      </c>
      <c r="K4" s="1">
        <f t="shared" si="0"/>
        <v>7</v>
      </c>
      <c r="L4" s="1">
        <f t="shared" si="0"/>
        <v>8</v>
      </c>
      <c r="M4" s="1">
        <f t="shared" si="0"/>
        <v>9</v>
      </c>
      <c r="N4" s="1">
        <f t="shared" si="0"/>
        <v>10</v>
      </c>
      <c r="O4" s="1">
        <f t="shared" si="0"/>
        <v>11</v>
      </c>
      <c r="P4" s="1">
        <f t="shared" si="0"/>
        <v>12</v>
      </c>
      <c r="Q4" s="1">
        <f t="shared" si="0"/>
        <v>13</v>
      </c>
      <c r="R4" s="1">
        <f t="shared" si="0"/>
        <v>14</v>
      </c>
      <c r="S4" s="1">
        <f t="shared" si="0"/>
        <v>15</v>
      </c>
      <c r="T4" s="1">
        <f t="shared" si="0"/>
        <v>16</v>
      </c>
      <c r="U4" s="1">
        <f t="shared" si="0"/>
        <v>17</v>
      </c>
      <c r="V4" s="1">
        <f t="shared" si="0"/>
        <v>18</v>
      </c>
      <c r="W4" s="1">
        <f t="shared" si="0"/>
        <v>19</v>
      </c>
      <c r="X4" s="1">
        <f t="shared" si="0"/>
        <v>20</v>
      </c>
      <c r="Y4" s="1">
        <f t="shared" si="0"/>
        <v>21</v>
      </c>
      <c r="Z4" s="1">
        <f t="shared" si="0"/>
        <v>22</v>
      </c>
      <c r="AA4" s="1">
        <f t="shared" si="0"/>
        <v>23</v>
      </c>
      <c r="AB4" s="1">
        <f t="shared" si="0"/>
        <v>24</v>
      </c>
      <c r="AC4" s="1">
        <f t="shared" si="0"/>
        <v>25</v>
      </c>
    </row>
    <row r="5" spans="1:29" ht="14.6" hidden="1" customHeight="1" outlineLevel="1">
      <c r="A5" s="1"/>
      <c r="B5" s="1"/>
      <c r="C5" s="1" t="s">
        <v>719</v>
      </c>
      <c r="D5" s="1"/>
      <c r="E5" s="29">
        <f>DATE('Control Panel'!B4,'Control Panel'!B6,'Control Panel'!B7)</f>
        <v>42004</v>
      </c>
      <c r="F5" s="29">
        <f>F6*EOMONTH(E5,12)+F7*$I$1+F8*$F$1+IF(F9*E8,DATE($D$1,'Control Panel'!$B$6,'Control Panel'!$B$7),F9*EOMONTH(E5,12))</f>
        <v>42369</v>
      </c>
      <c r="G5" s="29">
        <f>G6*EOMONTH(F5,12)+G7*$I$1+G8*$F$1+IF(G9*F8,DATE($D$1,'Control Panel'!$B$6,'Control Panel'!$B$7),G9*EOMONTH(F5,12))</f>
        <v>42735</v>
      </c>
      <c r="H5" s="29">
        <f>H6*EOMONTH(G5,12)+H7*$I$1+H8*$F$1+IF(H9*G8,DATE($D$1,'Control Panel'!$B$6,'Control Panel'!$B$7),H9*EOMONTH(G5,12))</f>
        <v>43100</v>
      </c>
      <c r="I5" s="29">
        <f>I6*EOMONTH(H5,12)+I7*$I$1+I8*$F$1+IF(I9*H8,DATE($D$1,'Control Panel'!$B$6,'Control Panel'!$B$7),I9*EOMONTH(H5,12))</f>
        <v>43465</v>
      </c>
      <c r="J5" s="29">
        <f>J6*EOMONTH(I5,12)+J7*$I$1+J8*$F$1+IF(J9*I8,DATE($D$1,'Control Panel'!$B$6,'Control Panel'!$B$7),J9*EOMONTH(I5,12))</f>
        <v>43466</v>
      </c>
      <c r="K5" s="29">
        <f>K6*EOMONTH(J5,12)+K7*$I$1+K8*$F$1+IF(K9*J8,DATE($D$1,'Control Panel'!$B$6,'Control Panel'!$B$7),K9*EOMONTH(J5,12))</f>
        <v>43830</v>
      </c>
      <c r="L5" s="29">
        <f>L6*EOMONTH(K5,12)+L7*$I$1+L8*$F$1+IF(L9*K8,DATE($D$1,'Control Panel'!$B$6,'Control Panel'!$B$7),L9*EOMONTH(K5,12))</f>
        <v>44196</v>
      </c>
      <c r="M5" s="29">
        <f>M6*EOMONTH(L5,12)+M7*$I$1+M8*$F$1+IF(M9*L8,DATE($D$1,'Control Panel'!$B$6,'Control Panel'!$B$7),M9*EOMONTH(L5,12))</f>
        <v>44561</v>
      </c>
      <c r="N5" s="29">
        <f>N6*EOMONTH(M5,12)+N7*$I$1+N8*$F$1+IF(N9*M8,DATE($D$1,'Control Panel'!$B$6,'Control Panel'!$B$7),N9*EOMONTH(M5,12))</f>
        <v>44926</v>
      </c>
      <c r="O5" s="29">
        <f>O6*EOMONTH(N5,12)+O7*$I$1+O8*$F$1+IF(O9*N8,DATE($D$1,'Control Panel'!$B$6,'Control Panel'!$B$7),O9*EOMONTH(N5,12))</f>
        <v>45291</v>
      </c>
      <c r="P5" s="29">
        <f>P6*EOMONTH(O5,12)+P7*$I$1+P8*$F$1+IF(P9*O8,DATE($D$1,'Control Panel'!$B$6,'Control Panel'!$B$7),P9*EOMONTH(O5,12))</f>
        <v>45657</v>
      </c>
      <c r="Q5" s="29">
        <f>Q6*EOMONTH(P5,12)+Q7*$I$1+Q8*$F$1+IF(Q9*P8,DATE($D$1,'Control Panel'!$B$6,'Control Panel'!$B$7),Q9*EOMONTH(P5,12))</f>
        <v>0</v>
      </c>
      <c r="R5" s="29">
        <f>R6*EOMONTH(Q5,12)+R7*$I$1+R8*$F$1+IF(R9*Q8,DATE($D$1,'Control Panel'!$B$6,'Control Panel'!$B$7),R9*EOMONTH(Q5,12))</f>
        <v>0</v>
      </c>
      <c r="S5" s="29">
        <f>S6*EOMONTH(R5,12)+S7*$I$1+S8*$F$1+IF(S9*R8,DATE($D$1,'Control Panel'!$B$6,'Control Panel'!$B$7),S9*EOMONTH(R5,12))</f>
        <v>0</v>
      </c>
      <c r="T5" s="29">
        <f>T6*EOMONTH(S5,12)+T7*$I$1+T8*$F$1+IF(T9*S8,DATE($D$1,'Control Panel'!$B$6,'Control Panel'!$B$7),T9*EOMONTH(S5,12))</f>
        <v>0</v>
      </c>
      <c r="U5" s="29">
        <f>U6*EOMONTH(T5,12)+U7*$I$1+U8*$F$1+IF(U9*T8,DATE($D$1,'Control Panel'!$B$6,'Control Panel'!$B$7),U9*EOMONTH(T5,12))</f>
        <v>0</v>
      </c>
      <c r="V5" s="29">
        <f>V6*EOMONTH(U5,12)+V7*$I$1+V8*$F$1+IF(V9*U8,DATE($D$1,'Control Panel'!$B$6,'Control Panel'!$B$7),V9*EOMONTH(U5,12))</f>
        <v>0</v>
      </c>
      <c r="W5" s="29">
        <f>W6*EOMONTH(V5,12)+W7*$I$1+W8*$F$1+IF(W9*V8,DATE($D$1,'Control Panel'!$B$6,'Control Panel'!$B$7),W9*EOMONTH(V5,12))</f>
        <v>0</v>
      </c>
      <c r="X5" s="29">
        <f>X6*EOMONTH(W5,12)+X7*$I$1+X8*$F$1+IF(X9*W8,DATE($D$1,'Control Panel'!$B$6,'Control Panel'!$B$7),X9*EOMONTH(W5,12))</f>
        <v>0</v>
      </c>
      <c r="Y5" s="29">
        <f>Y6*EOMONTH(X5,12)+Y7*$I$1+Y8*$F$1+IF(Y9*X8,DATE($D$1,'Control Panel'!$B$6,'Control Panel'!$B$7),Y9*EOMONTH(X5,12))</f>
        <v>0</v>
      </c>
      <c r="Z5" s="29">
        <f>Z6*EOMONTH(Y5,12)+Z7*$I$1+Z8*$F$1+IF(Z9*Y8,DATE($D$1,'Control Panel'!$B$6,'Control Panel'!$B$7),Z9*EOMONTH(Y5,12))</f>
        <v>0</v>
      </c>
      <c r="AA5" s="29">
        <f>AA6*EOMONTH(Z5,12)+AA7*$I$1+AA8*$F$1+IF(AA9*Z8,DATE($D$1,'Control Panel'!$B$6,'Control Panel'!$B$7),AA9*EOMONTH(Z5,12))</f>
        <v>0</v>
      </c>
      <c r="AB5" s="29">
        <f>AB6*EOMONTH(AA5,12)+AB7*$I$1+AB8*$F$1+IF(AB9*AA8,DATE($D$1,'Control Panel'!$B$6,'Control Panel'!$B$7),AB9*EOMONTH(AA5,12))</f>
        <v>0</v>
      </c>
      <c r="AC5" s="29">
        <f>AC6*EOMONTH(AB5,12)+AC7*$I$1+AC8*$F$1+IF(AC9*AB8,DATE($D$1,'Control Panel'!$B$6,'Control Panel'!$B$7),AC9*EOMONTH(AB5,12))</f>
        <v>0</v>
      </c>
    </row>
    <row r="6" spans="1:29" ht="14.6" hidden="1" customHeight="1" outlineLevel="1">
      <c r="A6" s="1"/>
      <c r="B6" s="1"/>
      <c r="C6" s="1" t="s">
        <v>686</v>
      </c>
      <c r="D6" s="1"/>
      <c r="E6" s="1" t="b">
        <f t="shared" ref="E6:AC6" si="1">E4&lt;=$I$2</f>
        <v>1</v>
      </c>
      <c r="F6" s="1" t="b">
        <f t="shared" si="1"/>
        <v>1</v>
      </c>
      <c r="G6" s="1" t="b">
        <f t="shared" si="1"/>
        <v>1</v>
      </c>
      <c r="H6" s="1" t="b">
        <f t="shared" si="1"/>
        <v>1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1" t="b">
        <f t="shared" si="1"/>
        <v>0</v>
      </c>
      <c r="S6" s="1" t="b">
        <f t="shared" si="1"/>
        <v>0</v>
      </c>
      <c r="T6" s="1" t="b">
        <f t="shared" si="1"/>
        <v>0</v>
      </c>
      <c r="U6" s="1" t="b">
        <f t="shared" si="1"/>
        <v>0</v>
      </c>
      <c r="V6" s="1" t="b">
        <f t="shared" si="1"/>
        <v>0</v>
      </c>
      <c r="W6" s="1" t="b">
        <f t="shared" si="1"/>
        <v>0</v>
      </c>
      <c r="X6" s="1" t="b">
        <f t="shared" si="1"/>
        <v>0</v>
      </c>
      <c r="Y6" s="1" t="b">
        <f t="shared" si="1"/>
        <v>0</v>
      </c>
      <c r="Z6" s="1" t="b">
        <f t="shared" si="1"/>
        <v>0</v>
      </c>
      <c r="AA6" s="1" t="b">
        <f t="shared" si="1"/>
        <v>0</v>
      </c>
      <c r="AB6" s="1" t="b">
        <f t="shared" si="1"/>
        <v>0</v>
      </c>
      <c r="AC6" s="1" t="b">
        <f t="shared" si="1"/>
        <v>0</v>
      </c>
    </row>
    <row r="7" spans="1:29" ht="14.6" hidden="1" customHeight="1" outlineLevel="1">
      <c r="A7" s="1"/>
      <c r="B7" s="1"/>
      <c r="C7" s="1" t="s">
        <v>687</v>
      </c>
      <c r="D7" s="1"/>
      <c r="E7" s="1" t="b">
        <f t="shared" ref="E7:AC7" si="2">(E4=$I$2+1)*stub_switch=1</f>
        <v>0</v>
      </c>
      <c r="F7" s="1" t="b">
        <f t="shared" si="2"/>
        <v>0</v>
      </c>
      <c r="G7" s="1" t="b">
        <f t="shared" si="2"/>
        <v>0</v>
      </c>
      <c r="H7" s="1" t="b">
        <f t="shared" si="2"/>
        <v>0</v>
      </c>
      <c r="I7" s="1" t="b">
        <f t="shared" si="2"/>
        <v>0</v>
      </c>
      <c r="J7" s="1" t="b">
        <f t="shared" si="2"/>
        <v>0</v>
      </c>
      <c r="K7" s="1" t="b">
        <f t="shared" si="2"/>
        <v>0</v>
      </c>
      <c r="L7" s="1" t="b">
        <f t="shared" si="2"/>
        <v>0</v>
      </c>
      <c r="M7" s="1" t="b">
        <f t="shared" si="2"/>
        <v>0</v>
      </c>
      <c r="N7" s="1" t="b">
        <f t="shared" si="2"/>
        <v>0</v>
      </c>
      <c r="O7" s="1" t="b">
        <f t="shared" si="2"/>
        <v>0</v>
      </c>
      <c r="P7" s="1" t="b">
        <f t="shared" si="2"/>
        <v>0</v>
      </c>
      <c r="Q7" s="1" t="b">
        <f t="shared" si="2"/>
        <v>0</v>
      </c>
      <c r="R7" s="1" t="b">
        <f t="shared" si="2"/>
        <v>0</v>
      </c>
      <c r="S7" s="1" t="b">
        <f t="shared" si="2"/>
        <v>0</v>
      </c>
      <c r="T7" s="1" t="b">
        <f t="shared" si="2"/>
        <v>0</v>
      </c>
      <c r="U7" s="1" t="b">
        <f t="shared" si="2"/>
        <v>0</v>
      </c>
      <c r="V7" s="1" t="b">
        <f t="shared" si="2"/>
        <v>0</v>
      </c>
      <c r="W7" s="1" t="b">
        <f t="shared" si="2"/>
        <v>0</v>
      </c>
      <c r="X7" s="1" t="b">
        <f t="shared" si="2"/>
        <v>0</v>
      </c>
      <c r="Y7" s="1" t="b">
        <f t="shared" si="2"/>
        <v>0</v>
      </c>
      <c r="Z7" s="1" t="b">
        <f t="shared" si="2"/>
        <v>0</v>
      </c>
      <c r="AA7" s="1" t="b">
        <f t="shared" si="2"/>
        <v>0</v>
      </c>
      <c r="AB7" s="1" t="b">
        <f t="shared" si="2"/>
        <v>0</v>
      </c>
      <c r="AC7" s="1" t="b">
        <f t="shared" si="2"/>
        <v>0</v>
      </c>
    </row>
    <row r="8" spans="1:29" ht="14.6" hidden="1" customHeight="1" outlineLevel="1">
      <c r="A8" s="1"/>
      <c r="B8" s="1"/>
      <c r="C8" s="1" t="s">
        <v>688</v>
      </c>
      <c r="D8" s="1"/>
      <c r="E8" s="1" t="b">
        <f t="shared" ref="E8:AC8" si="3">E4=$I$2+1+1*stub_switch</f>
        <v>0</v>
      </c>
      <c r="F8" s="1" t="b">
        <f t="shared" si="3"/>
        <v>0</v>
      </c>
      <c r="G8" s="1" t="b">
        <f t="shared" si="3"/>
        <v>0</v>
      </c>
      <c r="H8" s="1" t="b">
        <f t="shared" si="3"/>
        <v>0</v>
      </c>
      <c r="I8" s="1" t="b">
        <f t="shared" si="3"/>
        <v>0</v>
      </c>
      <c r="J8" s="1" t="b">
        <f t="shared" si="3"/>
        <v>1</v>
      </c>
      <c r="K8" s="1" t="b">
        <f t="shared" si="3"/>
        <v>0</v>
      </c>
      <c r="L8" s="1" t="b">
        <f t="shared" si="3"/>
        <v>0</v>
      </c>
      <c r="M8" s="1" t="b">
        <f t="shared" si="3"/>
        <v>0</v>
      </c>
      <c r="N8" s="1" t="b">
        <f t="shared" si="3"/>
        <v>0</v>
      </c>
      <c r="O8" s="1" t="b">
        <f t="shared" si="3"/>
        <v>0</v>
      </c>
      <c r="P8" s="1" t="b">
        <f t="shared" si="3"/>
        <v>0</v>
      </c>
      <c r="Q8" s="1" t="b">
        <f t="shared" si="3"/>
        <v>0</v>
      </c>
      <c r="R8" s="1" t="b">
        <f t="shared" si="3"/>
        <v>0</v>
      </c>
      <c r="S8" s="1" t="b">
        <f t="shared" si="3"/>
        <v>0</v>
      </c>
      <c r="T8" s="1" t="b">
        <f t="shared" si="3"/>
        <v>0</v>
      </c>
      <c r="U8" s="1" t="b">
        <f t="shared" si="3"/>
        <v>0</v>
      </c>
      <c r="V8" s="1" t="b">
        <f t="shared" si="3"/>
        <v>0</v>
      </c>
      <c r="W8" s="1" t="b">
        <f t="shared" si="3"/>
        <v>0</v>
      </c>
      <c r="X8" s="1" t="b">
        <f t="shared" si="3"/>
        <v>0</v>
      </c>
      <c r="Y8" s="1" t="b">
        <f t="shared" si="3"/>
        <v>0</v>
      </c>
      <c r="Z8" s="1" t="b">
        <f t="shared" si="3"/>
        <v>0</v>
      </c>
      <c r="AA8" s="1" t="b">
        <f t="shared" si="3"/>
        <v>0</v>
      </c>
      <c r="AB8" s="1" t="b">
        <f t="shared" si="3"/>
        <v>0</v>
      </c>
      <c r="AC8" s="1" t="b">
        <f t="shared" si="3"/>
        <v>0</v>
      </c>
    </row>
    <row r="9" spans="1:29" ht="14.6" hidden="1" customHeight="1" outlineLevel="1">
      <c r="A9" s="1"/>
      <c r="B9" s="1"/>
      <c r="C9" s="1" t="s">
        <v>694</v>
      </c>
      <c r="D9" s="1"/>
      <c r="E9" s="1" t="b">
        <f t="shared" ref="E9:AC9" si="4">AND(E4&gt;$I$2+1+1*stub_switch,E4&lt;=$L$1+$I$2+1+1*stub_switch)</f>
        <v>0</v>
      </c>
      <c r="F9" s="1" t="b">
        <f t="shared" si="4"/>
        <v>0</v>
      </c>
      <c r="G9" s="1" t="b">
        <f t="shared" si="4"/>
        <v>0</v>
      </c>
      <c r="H9" s="1" t="b">
        <f t="shared" si="4"/>
        <v>0</v>
      </c>
      <c r="I9" s="1" t="b">
        <f t="shared" si="4"/>
        <v>0</v>
      </c>
      <c r="J9" s="1" t="b">
        <f t="shared" si="4"/>
        <v>0</v>
      </c>
      <c r="K9" s="1" t="b">
        <f t="shared" si="4"/>
        <v>1</v>
      </c>
      <c r="L9" s="1" t="b">
        <f t="shared" si="4"/>
        <v>1</v>
      </c>
      <c r="M9" s="1" t="b">
        <f t="shared" si="4"/>
        <v>1</v>
      </c>
      <c r="N9" s="1" t="b">
        <f t="shared" si="4"/>
        <v>1</v>
      </c>
      <c r="O9" s="1" t="b">
        <f t="shared" si="4"/>
        <v>1</v>
      </c>
      <c r="P9" s="1" t="b">
        <f t="shared" si="4"/>
        <v>1</v>
      </c>
      <c r="Q9" s="1" t="b">
        <f t="shared" si="4"/>
        <v>0</v>
      </c>
      <c r="R9" s="1" t="b">
        <f t="shared" si="4"/>
        <v>0</v>
      </c>
      <c r="S9" s="1" t="b">
        <f t="shared" si="4"/>
        <v>0</v>
      </c>
      <c r="T9" s="1" t="b">
        <f t="shared" si="4"/>
        <v>0</v>
      </c>
      <c r="U9" s="1" t="b">
        <f t="shared" si="4"/>
        <v>0</v>
      </c>
      <c r="V9" s="1" t="b">
        <f t="shared" si="4"/>
        <v>0</v>
      </c>
      <c r="W9" s="1" t="b">
        <f t="shared" si="4"/>
        <v>0</v>
      </c>
      <c r="X9" s="1" t="b">
        <f t="shared" si="4"/>
        <v>0</v>
      </c>
      <c r="Y9" s="1" t="b">
        <f t="shared" si="4"/>
        <v>0</v>
      </c>
      <c r="Z9" s="1" t="b">
        <f t="shared" si="4"/>
        <v>0</v>
      </c>
      <c r="AA9" s="1" t="b">
        <f t="shared" si="4"/>
        <v>0</v>
      </c>
      <c r="AB9" s="1" t="b">
        <f t="shared" si="4"/>
        <v>0</v>
      </c>
      <c r="AC9" s="1" t="b">
        <f t="shared" si="4"/>
        <v>0</v>
      </c>
    </row>
    <row r="10" spans="1:29" ht="14.6" hidden="1" customHeight="1" outlineLevel="1">
      <c r="A10" s="1"/>
      <c r="B10" s="1"/>
      <c r="C10" s="1"/>
      <c r="D10" s="1"/>
      <c r="E10" s="31">
        <f>YEAR(E5)</f>
        <v>2014</v>
      </c>
      <c r="F10" s="31">
        <f t="shared" ref="F10:AC10" si="5">YEAR(F5)</f>
        <v>2015</v>
      </c>
      <c r="G10" s="31">
        <f t="shared" si="5"/>
        <v>2016</v>
      </c>
      <c r="H10" s="31">
        <f t="shared" si="5"/>
        <v>2017</v>
      </c>
      <c r="I10" s="31">
        <f t="shared" si="5"/>
        <v>2018</v>
      </c>
      <c r="J10" s="31">
        <f t="shared" si="5"/>
        <v>2019</v>
      </c>
      <c r="K10" s="31">
        <f t="shared" si="5"/>
        <v>2019</v>
      </c>
      <c r="L10" s="31">
        <f t="shared" si="5"/>
        <v>2020</v>
      </c>
      <c r="M10" s="31">
        <f t="shared" si="5"/>
        <v>2021</v>
      </c>
      <c r="N10" s="31">
        <f t="shared" si="5"/>
        <v>2022</v>
      </c>
      <c r="O10" s="31">
        <f t="shared" si="5"/>
        <v>2023</v>
      </c>
      <c r="P10" s="31">
        <f t="shared" si="5"/>
        <v>2024</v>
      </c>
      <c r="Q10" s="31">
        <f t="shared" si="5"/>
        <v>1900</v>
      </c>
      <c r="R10" s="31">
        <f t="shared" si="5"/>
        <v>1900</v>
      </c>
      <c r="S10" s="31">
        <f t="shared" si="5"/>
        <v>1900</v>
      </c>
      <c r="T10" s="31">
        <f t="shared" si="5"/>
        <v>1900</v>
      </c>
      <c r="U10" s="31">
        <f t="shared" si="5"/>
        <v>1900</v>
      </c>
      <c r="V10" s="31">
        <f t="shared" si="5"/>
        <v>1900</v>
      </c>
      <c r="W10" s="31">
        <f t="shared" si="5"/>
        <v>1900</v>
      </c>
      <c r="X10" s="31">
        <f t="shared" si="5"/>
        <v>1900</v>
      </c>
      <c r="Y10" s="31">
        <f t="shared" si="5"/>
        <v>1900</v>
      </c>
      <c r="Z10" s="31">
        <f t="shared" si="5"/>
        <v>1900</v>
      </c>
      <c r="AA10" s="31">
        <f t="shared" si="5"/>
        <v>1900</v>
      </c>
      <c r="AB10" s="31">
        <f t="shared" si="5"/>
        <v>1900</v>
      </c>
      <c r="AC10" s="31">
        <f t="shared" si="5"/>
        <v>1900</v>
      </c>
    </row>
    <row r="11" spans="1:29" ht="14.6" hidden="1" customHeight="1" outlineLevel="1">
      <c r="A11" s="1"/>
      <c r="B11" s="1"/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1"/>
      <c r="Y11" s="1"/>
      <c r="Z11" s="1"/>
      <c r="AA11" s="1"/>
      <c r="AB11" s="1"/>
      <c r="AC11" s="1"/>
    </row>
    <row r="12" spans="1:29" ht="14.6" hidden="1" customHeight="1" outlineLevel="1">
      <c r="A12" s="1"/>
      <c r="B12" s="1"/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1"/>
      <c r="Y12" s="1"/>
      <c r="Z12" s="1"/>
      <c r="AA12" s="1"/>
      <c r="AB12" s="1"/>
      <c r="AC12" s="1"/>
    </row>
    <row r="13" spans="1:29" ht="14.6" hidden="1" customHeight="1" outlineLevel="1">
      <c r="A13" s="1"/>
      <c r="B13" s="1"/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1"/>
      <c r="Y13" s="1"/>
      <c r="Z13" s="1"/>
      <c r="AA13" s="1"/>
      <c r="AB13" s="1"/>
      <c r="AC13" s="1"/>
    </row>
    <row r="14" spans="1:29" ht="14.6" hidden="1" customHeight="1" outlineLevel="1">
      <c r="A14" s="1"/>
      <c r="B14" s="1"/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1"/>
      <c r="Y14" s="1"/>
      <c r="Z14" s="1"/>
      <c r="AA14" s="1"/>
      <c r="AB14" s="1"/>
      <c r="AC14" s="1"/>
    </row>
    <row r="15" spans="1:29" ht="16.600000000000001" collapsed="1">
      <c r="A15" s="32"/>
      <c r="B15" s="32"/>
      <c r="C15" s="196" t="str">
        <f>CONCATENATE("Project ",project_name," - Cash Flow Statement")</f>
        <v>Project  - Cash Flow Statement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>
      <c r="A16" s="32"/>
      <c r="B16" s="32"/>
      <c r="C16" s="194" t="str">
        <f>CONCATENATE("In ",model_curr," thousand unless otherwise stated")</f>
        <v>In USD thousand unless otherwise stated</v>
      </c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>
      <c r="A17" s="32"/>
      <c r="B17" s="32"/>
      <c r="C17" s="209"/>
      <c r="D17" s="209"/>
      <c r="E17" s="178" t="str">
        <f>CONCATENATE(YEAR(E5),LEFT(E19,1))</f>
        <v>2014A</v>
      </c>
      <c r="F17" s="178" t="str">
        <f t="shared" ref="F17:AC17" si="6">CONCATENATE(YEAR(F5),LEFT(F19,1))</f>
        <v>2015A</v>
      </c>
      <c r="G17" s="178" t="str">
        <f t="shared" si="6"/>
        <v>2016A</v>
      </c>
      <c r="H17" s="178" t="str">
        <f t="shared" si="6"/>
        <v>2017A</v>
      </c>
      <c r="I17" s="178" t="str">
        <f t="shared" si="6"/>
        <v>2018A</v>
      </c>
      <c r="J17" s="178" t="str">
        <f t="shared" si="6"/>
        <v>2019C</v>
      </c>
      <c r="K17" s="178" t="str">
        <f t="shared" si="6"/>
        <v>2019F</v>
      </c>
      <c r="L17" s="178" t="str">
        <f t="shared" si="6"/>
        <v>2020F</v>
      </c>
      <c r="M17" s="178" t="str">
        <f t="shared" si="6"/>
        <v>2021F</v>
      </c>
      <c r="N17" s="178" t="str">
        <f t="shared" si="6"/>
        <v>2022F</v>
      </c>
      <c r="O17" s="178" t="str">
        <f t="shared" si="6"/>
        <v>2023F</v>
      </c>
      <c r="P17" s="178" t="str">
        <f t="shared" si="6"/>
        <v>2024F</v>
      </c>
      <c r="Q17" s="178" t="e">
        <f t="shared" si="6"/>
        <v>#N/A</v>
      </c>
      <c r="R17" s="178" t="e">
        <f t="shared" si="6"/>
        <v>#N/A</v>
      </c>
      <c r="S17" s="178" t="e">
        <f t="shared" si="6"/>
        <v>#N/A</v>
      </c>
      <c r="T17" s="178" t="e">
        <f t="shared" si="6"/>
        <v>#N/A</v>
      </c>
      <c r="U17" s="178" t="e">
        <f t="shared" si="6"/>
        <v>#N/A</v>
      </c>
      <c r="V17" s="178" t="e">
        <f t="shared" si="6"/>
        <v>#N/A</v>
      </c>
      <c r="W17" s="178" t="e">
        <f t="shared" si="6"/>
        <v>#N/A</v>
      </c>
      <c r="X17" s="178" t="e">
        <f t="shared" si="6"/>
        <v>#N/A</v>
      </c>
      <c r="Y17" s="178" t="e">
        <f t="shared" si="6"/>
        <v>#N/A</v>
      </c>
      <c r="Z17" s="178" t="e">
        <f t="shared" si="6"/>
        <v>#N/A</v>
      </c>
      <c r="AA17" s="178" t="e">
        <f t="shared" si="6"/>
        <v>#N/A</v>
      </c>
      <c r="AB17" s="178" t="e">
        <f t="shared" si="6"/>
        <v>#N/A</v>
      </c>
      <c r="AC17" s="178" t="e">
        <f t="shared" si="6"/>
        <v>#N/A</v>
      </c>
    </row>
    <row r="18" spans="1:29">
      <c r="A18" s="32"/>
      <c r="B18" s="32"/>
      <c r="C18" s="198"/>
      <c r="D18" s="198"/>
      <c r="E18" s="198">
        <f>E5</f>
        <v>42004</v>
      </c>
      <c r="F18" s="198">
        <f t="shared" ref="F18:AC18" si="7">F5</f>
        <v>42369</v>
      </c>
      <c r="G18" s="198">
        <f t="shared" si="7"/>
        <v>42735</v>
      </c>
      <c r="H18" s="198">
        <f t="shared" si="7"/>
        <v>43100</v>
      </c>
      <c r="I18" s="198">
        <f t="shared" si="7"/>
        <v>43465</v>
      </c>
      <c r="J18" s="198">
        <f t="shared" si="7"/>
        <v>43466</v>
      </c>
      <c r="K18" s="198">
        <f t="shared" si="7"/>
        <v>43830</v>
      </c>
      <c r="L18" s="198">
        <f t="shared" si="7"/>
        <v>44196</v>
      </c>
      <c r="M18" s="198">
        <f t="shared" si="7"/>
        <v>44561</v>
      </c>
      <c r="N18" s="198">
        <f t="shared" si="7"/>
        <v>44926</v>
      </c>
      <c r="O18" s="198">
        <f t="shared" si="7"/>
        <v>45291</v>
      </c>
      <c r="P18" s="198">
        <f t="shared" si="7"/>
        <v>45657</v>
      </c>
      <c r="Q18" s="198">
        <f t="shared" si="7"/>
        <v>0</v>
      </c>
      <c r="R18" s="198">
        <f t="shared" si="7"/>
        <v>0</v>
      </c>
      <c r="S18" s="198">
        <f t="shared" si="7"/>
        <v>0</v>
      </c>
      <c r="T18" s="198">
        <f t="shared" si="7"/>
        <v>0</v>
      </c>
      <c r="U18" s="198">
        <f t="shared" si="7"/>
        <v>0</v>
      </c>
      <c r="V18" s="198">
        <f t="shared" si="7"/>
        <v>0</v>
      </c>
      <c r="W18" s="198">
        <f t="shared" si="7"/>
        <v>0</v>
      </c>
      <c r="X18" s="198">
        <f t="shared" si="7"/>
        <v>0</v>
      </c>
      <c r="Y18" s="198">
        <f t="shared" si="7"/>
        <v>0</v>
      </c>
      <c r="Z18" s="198">
        <f t="shared" si="7"/>
        <v>0</v>
      </c>
      <c r="AA18" s="198">
        <f t="shared" si="7"/>
        <v>0</v>
      </c>
      <c r="AB18" s="198">
        <f t="shared" si="7"/>
        <v>0</v>
      </c>
      <c r="AC18" s="198">
        <f t="shared" si="7"/>
        <v>0</v>
      </c>
    </row>
    <row r="19" spans="1:29" hidden="1" outlineLevel="1">
      <c r="A19" s="32"/>
      <c r="B19" s="32"/>
      <c r="C19" s="209"/>
      <c r="D19" s="209"/>
      <c r="E19" s="178" t="str">
        <f>INDEX($E$11:$E$14,MATCH(TRUE,E6:E9,0))</f>
        <v>Actual</v>
      </c>
      <c r="F19" s="178" t="str">
        <f t="shared" ref="F19:AC19" si="8">INDEX($E$11:$E$14,MATCH(TRUE,F6:F9,0))</f>
        <v>Actual</v>
      </c>
      <c r="G19" s="178" t="str">
        <f t="shared" si="8"/>
        <v>Actual</v>
      </c>
      <c r="H19" s="178" t="str">
        <f t="shared" si="8"/>
        <v>Actual</v>
      </c>
      <c r="I19" s="178" t="str">
        <f t="shared" si="8"/>
        <v>Actual</v>
      </c>
      <c r="J19" s="178" t="str">
        <f t="shared" si="8"/>
        <v>Combination</v>
      </c>
      <c r="K19" s="178" t="str">
        <f t="shared" si="8"/>
        <v>Forecast</v>
      </c>
      <c r="L19" s="178" t="str">
        <f t="shared" si="8"/>
        <v>Forecast</v>
      </c>
      <c r="M19" s="178" t="str">
        <f t="shared" si="8"/>
        <v>Forecast</v>
      </c>
      <c r="N19" s="178" t="str">
        <f t="shared" si="8"/>
        <v>Forecast</v>
      </c>
      <c r="O19" s="178" t="str">
        <f t="shared" si="8"/>
        <v>Forecast</v>
      </c>
      <c r="P19" s="178" t="str">
        <f t="shared" si="8"/>
        <v>Forecast</v>
      </c>
      <c r="Q19" s="178" t="e">
        <f t="shared" si="8"/>
        <v>#N/A</v>
      </c>
      <c r="R19" s="178" t="e">
        <f t="shared" si="8"/>
        <v>#N/A</v>
      </c>
      <c r="S19" s="178" t="e">
        <f t="shared" si="8"/>
        <v>#N/A</v>
      </c>
      <c r="T19" s="178" t="e">
        <f t="shared" si="8"/>
        <v>#N/A</v>
      </c>
      <c r="U19" s="178" t="e">
        <f t="shared" si="8"/>
        <v>#N/A</v>
      </c>
      <c r="V19" s="178" t="e">
        <f t="shared" si="8"/>
        <v>#N/A</v>
      </c>
      <c r="W19" s="178" t="e">
        <f t="shared" si="8"/>
        <v>#N/A</v>
      </c>
      <c r="X19" s="178" t="e">
        <f t="shared" si="8"/>
        <v>#N/A</v>
      </c>
      <c r="Y19" s="178" t="e">
        <f t="shared" si="8"/>
        <v>#N/A</v>
      </c>
      <c r="Z19" s="178" t="e">
        <f t="shared" si="8"/>
        <v>#N/A</v>
      </c>
      <c r="AA19" s="178" t="e">
        <f t="shared" si="8"/>
        <v>#N/A</v>
      </c>
      <c r="AB19" s="178" t="e">
        <f t="shared" si="8"/>
        <v>#N/A</v>
      </c>
      <c r="AC19" s="178" t="e">
        <f t="shared" si="8"/>
        <v>#N/A</v>
      </c>
    </row>
    <row r="20" spans="1:29" collapsed="1"/>
    <row r="21" spans="1:29">
      <c r="C21" s="209" t="s">
        <v>1009</v>
      </c>
      <c r="D21" s="209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</row>
    <row r="23" spans="1:29">
      <c r="C23" s="180" t="s">
        <v>868</v>
      </c>
      <c r="D23" s="180"/>
      <c r="E23" s="180"/>
      <c r="F23" s="180">
        <f>'IS consol'!F87</f>
        <v>0</v>
      </c>
      <c r="G23" s="180">
        <f>'IS consol'!G87</f>
        <v>0</v>
      </c>
      <c r="H23" s="180">
        <f>'IS consol'!H87</f>
        <v>0</v>
      </c>
      <c r="I23" s="180">
        <f>'IS consol'!I87</f>
        <v>0</v>
      </c>
      <c r="J23" s="180">
        <f>'IS consol'!J87</f>
        <v>0</v>
      </c>
      <c r="K23" s="180">
        <f>'IS consol'!K87</f>
        <v>0</v>
      </c>
      <c r="L23" s="180">
        <f>'IS consol'!L87</f>
        <v>0</v>
      </c>
      <c r="M23" s="180">
        <f>'IS consol'!M87</f>
        <v>0</v>
      </c>
      <c r="N23" s="180">
        <f>'IS consol'!N87</f>
        <v>0</v>
      </c>
      <c r="O23" s="180">
        <f>'IS consol'!O87</f>
        <v>0</v>
      </c>
      <c r="P23" s="180">
        <f>'IS consol'!P87</f>
        <v>0</v>
      </c>
      <c r="Q23" s="180">
        <f>'IS consol'!Q87</f>
        <v>0</v>
      </c>
      <c r="R23" s="180">
        <f>'IS consol'!R87</f>
        <v>0</v>
      </c>
      <c r="S23" s="180">
        <f>'IS consol'!S87</f>
        <v>0</v>
      </c>
      <c r="T23" s="180">
        <f>'IS consol'!T87</f>
        <v>0</v>
      </c>
      <c r="U23" s="180">
        <f>'IS consol'!U87</f>
        <v>0</v>
      </c>
      <c r="V23" s="180">
        <f>'IS consol'!V87</f>
        <v>0</v>
      </c>
      <c r="W23" s="180">
        <f>'IS consol'!W87</f>
        <v>0</v>
      </c>
      <c r="X23" s="180">
        <f>'IS consol'!X87</f>
        <v>0</v>
      </c>
      <c r="Y23" s="180">
        <f>'IS consol'!Y87</f>
        <v>0</v>
      </c>
      <c r="Z23" s="180">
        <f>'IS consol'!Z87</f>
        <v>0</v>
      </c>
      <c r="AA23" s="180">
        <f>'IS consol'!AA87</f>
        <v>0</v>
      </c>
      <c r="AB23" s="180">
        <f>'IS consol'!AB87</f>
        <v>0</v>
      </c>
      <c r="AC23" s="180">
        <f>'IS consol'!AC87</f>
        <v>0</v>
      </c>
    </row>
    <row r="24" spans="1:29">
      <c r="C24" s="262" t="s">
        <v>20</v>
      </c>
      <c r="D24" s="263"/>
      <c r="E24" s="263"/>
      <c r="F24" s="263">
        <f>IF(E8,IF(stub_switch,('BS consol'!E171-'BS consol'!F171),('BS consol'!E171-'BS consol'!F171)),('BS consol'!E171-'BS consol'!F171))</f>
        <v>0</v>
      </c>
      <c r="G24" s="263">
        <f>IF(F8,IF(stub_switch,('BS consol'!F171-'BS consol'!G171),('BS consol'!F171-'BS consol'!G171)),('BS consol'!F171-'BS consol'!G171))</f>
        <v>0</v>
      </c>
      <c r="H24" s="263">
        <f>IF(G8,IF(stub_switch,('BS consol'!G171-'BS consol'!H171),('BS consol'!G171-'BS consol'!H171)),('BS consol'!G171-'BS consol'!H171))</f>
        <v>0</v>
      </c>
      <c r="I24" s="263">
        <f>IF(H8,IF(stub_switch,('BS consol'!H171-'BS consol'!I171),('BS consol'!H171-'BS consol'!I171)),('BS consol'!H171-'BS consol'!I171))</f>
        <v>0</v>
      </c>
      <c r="J24" s="263">
        <f>IF(I8,IF(stub_switch,('BS consol'!I171-'BS consol'!J171),('BS consol'!I171-'BS consol'!J171)),('BS consol'!I171-'BS consol'!J171))</f>
        <v>0</v>
      </c>
      <c r="K24" s="263">
        <f>IF(J8,IF(stub_switch,('BS consol'!J171-'BS consol'!K171),('BS consol'!J171-'BS consol'!K171)),('BS consol'!J171-'BS consol'!K171))</f>
        <v>0</v>
      </c>
      <c r="L24" s="263">
        <f>IF(K8,IF(stub_switch,('BS consol'!K171-'BS consol'!L171),('BS consol'!K171-'BS consol'!L171)),('BS consol'!K171-'BS consol'!L171))</f>
        <v>0</v>
      </c>
      <c r="M24" s="263">
        <f>IF(L8,IF(stub_switch,('BS consol'!L171-'BS consol'!M171),('BS consol'!L171-'BS consol'!M171)),('BS consol'!L171-'BS consol'!M171))</f>
        <v>0</v>
      </c>
      <c r="N24" s="263">
        <f>IF(M8,IF(stub_switch,('BS consol'!M171-'BS consol'!N171),('BS consol'!M171-'BS consol'!N171)),('BS consol'!M171-'BS consol'!N171))</f>
        <v>0</v>
      </c>
      <c r="O24" s="263">
        <f>IF(N8,IF(stub_switch,('BS consol'!N171-'BS consol'!O171),('BS consol'!N171-'BS consol'!O171)),('BS consol'!N171-'BS consol'!O171))</f>
        <v>0</v>
      </c>
      <c r="P24" s="263">
        <f>IF(O8,IF(stub_switch,('BS consol'!O171-'BS consol'!P171),('BS consol'!O171-'BS consol'!P171)),('BS consol'!O171-'BS consol'!P171))</f>
        <v>0</v>
      </c>
      <c r="Q24" s="263">
        <f>IF(P8,IF(stub_switch,('BS consol'!P171-'BS consol'!Q171),('BS consol'!P171-'BS consol'!Q171)),('BS consol'!P171-'BS consol'!Q171))</f>
        <v>0</v>
      </c>
      <c r="R24" s="263">
        <f>IF(Q8,IF(stub_switch,('BS consol'!Q171-'BS consol'!R171),('BS consol'!Q171-'BS consol'!R171)),('BS consol'!Q171-'BS consol'!R171))</f>
        <v>0</v>
      </c>
      <c r="S24" s="263">
        <f>IF(R8,IF(stub_switch,('BS consol'!R171-'BS consol'!S171),('BS consol'!R171-'BS consol'!S171)),('BS consol'!R171-'BS consol'!S171))</f>
        <v>0</v>
      </c>
      <c r="T24" s="263">
        <f>IF(S8,IF(stub_switch,('BS consol'!S171-'BS consol'!T171),('BS consol'!S171-'BS consol'!T171)),('BS consol'!S171-'BS consol'!T171))</f>
        <v>0</v>
      </c>
      <c r="U24" s="263">
        <f>IF(T8,IF(stub_switch,('BS consol'!T171-'BS consol'!U171),('BS consol'!T171-'BS consol'!U171)),('BS consol'!T171-'BS consol'!U171))</f>
        <v>0</v>
      </c>
      <c r="V24" s="263">
        <f>IF(U8,IF(stub_switch,('BS consol'!U171-'BS consol'!V171),('BS consol'!U171-'BS consol'!V171)),('BS consol'!U171-'BS consol'!V171))</f>
        <v>0</v>
      </c>
      <c r="W24" s="263">
        <f>IF(V8,IF(stub_switch,('BS consol'!V171-'BS consol'!W171),('BS consol'!V171-'BS consol'!W171)),('BS consol'!V171-'BS consol'!W171))</f>
        <v>0</v>
      </c>
      <c r="X24" s="263">
        <f>IF(W8,IF(stub_switch,('BS consol'!W171-'BS consol'!X171),('BS consol'!W171-'BS consol'!X171)),('BS consol'!W171-'BS consol'!X171))</f>
        <v>0</v>
      </c>
      <c r="Y24" s="263">
        <f>IF(X8,IF(stub_switch,('BS consol'!X171-'BS consol'!Y171),('BS consol'!X171-'BS consol'!Y171)),('BS consol'!X171-'BS consol'!Y171))</f>
        <v>0</v>
      </c>
      <c r="Z24" s="263">
        <f>IF(Y8,IF(stub_switch,('BS consol'!Y171-'BS consol'!Z171),('BS consol'!Y171-'BS consol'!Z171)),('BS consol'!Y171-'BS consol'!Z171))</f>
        <v>0</v>
      </c>
      <c r="AA24" s="263">
        <f>IF(Z8,IF(stub_switch,('BS consol'!Z171-'BS consol'!AA171),('BS consol'!Z171-'BS consol'!AA171)),('BS consol'!Z171-'BS consol'!AA171))</f>
        <v>0</v>
      </c>
      <c r="AB24" s="263">
        <f>IF(AA8,IF(stub_switch,('BS consol'!AA171-'BS consol'!AB171),('BS consol'!AA171-'BS consol'!AB171)),('BS consol'!AA171-'BS consol'!AB171))</f>
        <v>0</v>
      </c>
      <c r="AC24" s="263">
        <f>IF(AB8,IF(stub_switch,('BS consol'!AB171-'BS consol'!AC171),('BS consol'!AB171-'BS consol'!AC171)),('BS consol'!AB171-'BS consol'!AC171))</f>
        <v>0</v>
      </c>
    </row>
    <row r="25" spans="1:29">
      <c r="C25" s="265" t="s">
        <v>677</v>
      </c>
      <c r="D25" s="263"/>
      <c r="E25" s="263"/>
      <c r="F25" s="263">
        <f>+'IS consol'!F128</f>
        <v>0</v>
      </c>
      <c r="G25" s="263">
        <f>+'IS consol'!G128</f>
        <v>0</v>
      </c>
      <c r="H25" s="263">
        <f>+'IS consol'!H128</f>
        <v>0</v>
      </c>
      <c r="I25" s="263">
        <f>+'IS consol'!I128</f>
        <v>0</v>
      </c>
      <c r="J25" s="263">
        <f ca="1">+'IS consol'!J128</f>
        <v>0</v>
      </c>
      <c r="K25" s="263">
        <f ca="1">+'IS consol'!K128</f>
        <v>0</v>
      </c>
      <c r="L25" s="263">
        <f ca="1">+'IS consol'!L128</f>
        <v>0</v>
      </c>
      <c r="M25" s="263">
        <f ca="1">+'IS consol'!M128</f>
        <v>0</v>
      </c>
      <c r="N25" s="263">
        <f ca="1">+'IS consol'!N128</f>
        <v>0</v>
      </c>
      <c r="O25" s="263">
        <f ca="1">+'IS consol'!O128</f>
        <v>0</v>
      </c>
      <c r="P25" s="263">
        <f ca="1">+'IS consol'!P128</f>
        <v>0</v>
      </c>
      <c r="Q25" s="263">
        <f>+'IS consol'!Q128</f>
        <v>0</v>
      </c>
      <c r="R25" s="263">
        <f>+'IS consol'!R128</f>
        <v>0</v>
      </c>
      <c r="S25" s="263">
        <f>+'IS consol'!S128</f>
        <v>0</v>
      </c>
      <c r="T25" s="263">
        <f>+'IS consol'!T128</f>
        <v>0</v>
      </c>
      <c r="U25" s="263">
        <f>+'IS consol'!U128</f>
        <v>0</v>
      </c>
      <c r="V25" s="263">
        <f>+'IS consol'!V128</f>
        <v>0</v>
      </c>
      <c r="W25" s="263">
        <f>+'IS consol'!W128</f>
        <v>0</v>
      </c>
      <c r="X25" s="263">
        <f>+'IS consol'!X128</f>
        <v>0</v>
      </c>
      <c r="Y25" s="263">
        <f>+'IS consol'!Y128</f>
        <v>0</v>
      </c>
      <c r="Z25" s="263">
        <f>+'IS consol'!Z128</f>
        <v>0</v>
      </c>
      <c r="AA25" s="263">
        <f>+'IS consol'!AA128</f>
        <v>0</v>
      </c>
      <c r="AB25" s="263">
        <f>+'IS consol'!AB128</f>
        <v>0</v>
      </c>
      <c r="AC25" s="263">
        <f>+'IS consol'!AC128</f>
        <v>0</v>
      </c>
    </row>
    <row r="26" spans="1:29">
      <c r="C26" s="264" t="s">
        <v>1086</v>
      </c>
      <c r="D26" s="263"/>
      <c r="E26" s="263"/>
      <c r="F26" s="263">
        <f>'BS consol'!F148-'BS consol'!E148</f>
        <v>0</v>
      </c>
      <c r="G26" s="263">
        <f>'BS consol'!G148-'BS consol'!F148</f>
        <v>0</v>
      </c>
      <c r="H26" s="263">
        <f>'BS consol'!H148-'BS consol'!G148</f>
        <v>0</v>
      </c>
      <c r="I26" s="263">
        <f>'BS consol'!I148-'BS consol'!H148</f>
        <v>0</v>
      </c>
      <c r="J26" s="263">
        <f>'BS consol'!J148-'BS consol'!I148</f>
        <v>0</v>
      </c>
      <c r="K26" s="263">
        <f>'BS consol'!K148-'BS consol'!J148</f>
        <v>0</v>
      </c>
      <c r="L26" s="263">
        <f>'BS consol'!L148-'BS consol'!K148</f>
        <v>0</v>
      </c>
      <c r="M26" s="263">
        <f>'BS consol'!M148-'BS consol'!L148</f>
        <v>0</v>
      </c>
      <c r="N26" s="263">
        <f>'BS consol'!N148-'BS consol'!M148</f>
        <v>0</v>
      </c>
      <c r="O26" s="263">
        <f>'BS consol'!O148-'BS consol'!N148</f>
        <v>0</v>
      </c>
      <c r="P26" s="263">
        <f>'BS consol'!P148-'BS consol'!O148</f>
        <v>0</v>
      </c>
      <c r="Q26" s="263">
        <f>'BS consol'!Q148-'BS consol'!P148</f>
        <v>0</v>
      </c>
      <c r="R26" s="263">
        <f>'BS consol'!R148-'BS consol'!Q148</f>
        <v>0</v>
      </c>
      <c r="S26" s="263">
        <f>'BS consol'!S148-'BS consol'!R148</f>
        <v>0</v>
      </c>
      <c r="T26" s="263">
        <f>'BS consol'!T148-'BS consol'!S148</f>
        <v>0</v>
      </c>
      <c r="U26" s="263">
        <f>'BS consol'!U148-'BS consol'!T148</f>
        <v>0</v>
      </c>
      <c r="V26" s="263">
        <f>'BS consol'!V148-'BS consol'!U148</f>
        <v>0</v>
      </c>
      <c r="W26" s="263">
        <f>'BS consol'!W148-'BS consol'!V148</f>
        <v>0</v>
      </c>
      <c r="X26" s="263">
        <f>'BS consol'!X148-'BS consol'!W148</f>
        <v>0</v>
      </c>
      <c r="Y26" s="263">
        <f>'BS consol'!Y148-'BS consol'!X148</f>
        <v>0</v>
      </c>
      <c r="Z26" s="263">
        <f>'BS consol'!Z148-'BS consol'!Y148</f>
        <v>0</v>
      </c>
      <c r="AA26" s="263">
        <f>'BS consol'!AA148-'BS consol'!Z148</f>
        <v>0</v>
      </c>
      <c r="AB26" s="263">
        <f>'BS consol'!AB148-'BS consol'!AA148</f>
        <v>0</v>
      </c>
      <c r="AC26" s="263">
        <f>'BS consol'!AC148-'BS consol'!AB148</f>
        <v>0</v>
      </c>
    </row>
    <row r="27" spans="1:29">
      <c r="C27" s="199" t="s">
        <v>678</v>
      </c>
      <c r="D27" s="199"/>
      <c r="E27" s="199"/>
      <c r="F27" s="199">
        <f t="shared" ref="F27" si="9">SUM(F23:F26)</f>
        <v>0</v>
      </c>
      <c r="G27" s="199">
        <f t="shared" ref="G27:L27" si="10">SUM(G23:G26)</f>
        <v>0</v>
      </c>
      <c r="H27" s="199">
        <f t="shared" si="10"/>
        <v>0</v>
      </c>
      <c r="I27" s="199">
        <f t="shared" si="10"/>
        <v>0</v>
      </c>
      <c r="J27" s="199">
        <f t="shared" ca="1" si="10"/>
        <v>0</v>
      </c>
      <c r="K27" s="199">
        <f t="shared" ca="1" si="10"/>
        <v>0</v>
      </c>
      <c r="L27" s="199">
        <f t="shared" ca="1" si="10"/>
        <v>0</v>
      </c>
      <c r="M27" s="199">
        <f t="shared" ref="M27:AC27" ca="1" si="11">SUM(M23:M26)</f>
        <v>0</v>
      </c>
      <c r="N27" s="199">
        <f t="shared" ca="1" si="11"/>
        <v>0</v>
      </c>
      <c r="O27" s="199">
        <f t="shared" ca="1" si="11"/>
        <v>0</v>
      </c>
      <c r="P27" s="199">
        <f t="shared" ca="1" si="11"/>
        <v>0</v>
      </c>
      <c r="Q27" s="199">
        <f t="shared" si="11"/>
        <v>0</v>
      </c>
      <c r="R27" s="199">
        <f t="shared" si="11"/>
        <v>0</v>
      </c>
      <c r="S27" s="199">
        <f t="shared" si="11"/>
        <v>0</v>
      </c>
      <c r="T27" s="199">
        <f t="shared" si="11"/>
        <v>0</v>
      </c>
      <c r="U27" s="199">
        <f t="shared" si="11"/>
        <v>0</v>
      </c>
      <c r="V27" s="199">
        <f t="shared" si="11"/>
        <v>0</v>
      </c>
      <c r="W27" s="199">
        <f t="shared" si="11"/>
        <v>0</v>
      </c>
      <c r="X27" s="199">
        <f t="shared" si="11"/>
        <v>0</v>
      </c>
      <c r="Y27" s="199">
        <f t="shared" si="11"/>
        <v>0</v>
      </c>
      <c r="Z27" s="199">
        <f t="shared" si="11"/>
        <v>0</v>
      </c>
      <c r="AA27" s="199">
        <f t="shared" si="11"/>
        <v>0</v>
      </c>
      <c r="AB27" s="199">
        <f t="shared" si="11"/>
        <v>0</v>
      </c>
      <c r="AC27" s="199">
        <f t="shared" si="11"/>
        <v>0</v>
      </c>
    </row>
    <row r="28" spans="1:29">
      <c r="C28" s="372" t="s">
        <v>1449</v>
      </c>
      <c r="D28" s="263"/>
      <c r="E28" s="263"/>
      <c r="F28" s="263">
        <f>-('BS consol'!F62-'BS consol'!E62+'BS consol'!F77-'BS consol'!E77+'BS consol'!F82-'BS consol'!E82-'IS consol'!F97)*NOT(F8)</f>
        <v>0</v>
      </c>
      <c r="G28" s="263">
        <f>-('BS consol'!G62-'BS consol'!F62+'BS consol'!G77-'BS consol'!F77+'BS consol'!G82-'BS consol'!F82-'IS consol'!G97)*NOT(G8)</f>
        <v>0</v>
      </c>
      <c r="H28" s="263">
        <f>-('BS consol'!H62-'BS consol'!G62+'BS consol'!H77-'BS consol'!G77+'BS consol'!H82-'BS consol'!G82-'IS consol'!H97)*NOT(H8)</f>
        <v>0</v>
      </c>
      <c r="I28" s="263">
        <f>-('BS consol'!I62-'BS consol'!H62+'BS consol'!I77-'BS consol'!H77+'BS consol'!I82-'BS consol'!H82-'IS consol'!I97)*NOT(I8)</f>
        <v>0</v>
      </c>
      <c r="J28" s="263">
        <f>-('BS consol'!J62-'BS consol'!I62+'BS consol'!J77-'BS consol'!I77+'BS consol'!J82-'BS consol'!I82-'IS consol'!J97)*NOT(J8)</f>
        <v>0</v>
      </c>
      <c r="K28" s="263">
        <f>-('BS consol'!K62-'BS consol'!J62+'BS consol'!K77-'BS consol'!J77+'BS consol'!K82-'BS consol'!J82-'IS consol'!K97)*NOT(K8)</f>
        <v>0</v>
      </c>
      <c r="L28" s="263">
        <f>-('BS consol'!L62-'BS consol'!K62+'BS consol'!L77-'BS consol'!K77+'BS consol'!L82-'BS consol'!K82-'IS consol'!L97)*NOT(L8)</f>
        <v>0</v>
      </c>
      <c r="M28" s="263">
        <f>-('BS consol'!M62-'BS consol'!L62+'BS consol'!M77-'BS consol'!L77+'BS consol'!M82-'BS consol'!L82-'IS consol'!M97)*NOT(M8)</f>
        <v>0</v>
      </c>
      <c r="N28" s="263">
        <f>-('BS consol'!N62-'BS consol'!M62+'BS consol'!N77-'BS consol'!M77+'BS consol'!N82-'BS consol'!M82-'IS consol'!N97)*NOT(N8)</f>
        <v>0</v>
      </c>
      <c r="O28" s="263">
        <f>-('BS consol'!O62-'BS consol'!N62+'BS consol'!O77-'BS consol'!N77+'BS consol'!O82-'BS consol'!N82-'IS consol'!O97)*NOT(O8)</f>
        <v>0</v>
      </c>
      <c r="P28" s="263">
        <f>-('BS consol'!P62-'BS consol'!O62+'BS consol'!P77-'BS consol'!O77+'BS consol'!P82-'BS consol'!O82-'IS consol'!P97)*NOT(P8)</f>
        <v>0</v>
      </c>
      <c r="Q28" s="263">
        <f>-('BS consol'!Q62-'BS consol'!P62+'BS consol'!Q77-'BS consol'!P77+'BS consol'!Q82-'BS consol'!P82-'IS consol'!Q97)*NOT(Q8)</f>
        <v>0</v>
      </c>
      <c r="R28" s="263">
        <f>-('BS consol'!R62-'BS consol'!Q62+'BS consol'!R77-'BS consol'!Q77+'BS consol'!R82-'BS consol'!Q82-'IS consol'!R97)*NOT(R8)</f>
        <v>0</v>
      </c>
      <c r="S28" s="263">
        <f>-('BS consol'!S62-'BS consol'!R62+'BS consol'!S77-'BS consol'!R77+'BS consol'!S82-'BS consol'!R82-'IS consol'!S97)*NOT(S8)</f>
        <v>0</v>
      </c>
      <c r="T28" s="263">
        <f>-('BS consol'!T62-'BS consol'!S62+'BS consol'!T77-'BS consol'!S77+'BS consol'!T82-'BS consol'!S82-'IS consol'!T97)*NOT(T8)</f>
        <v>0</v>
      </c>
      <c r="U28" s="263">
        <f>-('BS consol'!U62-'BS consol'!T62+'BS consol'!U77-'BS consol'!T77+'BS consol'!U82-'BS consol'!T82-'IS consol'!U97)*NOT(U8)</f>
        <v>0</v>
      </c>
      <c r="V28" s="263">
        <f>-('BS consol'!V62-'BS consol'!U62+'BS consol'!V77-'BS consol'!U77+'BS consol'!V82-'BS consol'!U82-'IS consol'!V97)*NOT(V8)</f>
        <v>0</v>
      </c>
      <c r="W28" s="263">
        <f>-('BS consol'!W62-'BS consol'!V62+'BS consol'!W77-'BS consol'!V77+'BS consol'!W82-'BS consol'!V82-'IS consol'!W97)*NOT(W8)</f>
        <v>0</v>
      </c>
      <c r="X28" s="263">
        <f>-('BS consol'!X62-'BS consol'!W62+'BS consol'!X77-'BS consol'!W77+'BS consol'!X82-'BS consol'!W82-'IS consol'!X97)*NOT(X8)</f>
        <v>0</v>
      </c>
      <c r="Y28" s="263">
        <f>-('BS consol'!Y62-'BS consol'!X62+'BS consol'!Y77-'BS consol'!X77+'BS consol'!Y82-'BS consol'!X82-'IS consol'!Y97)*NOT(Y8)</f>
        <v>0</v>
      </c>
      <c r="Z28" s="263">
        <f>-('BS consol'!Z62-'BS consol'!Y62+'BS consol'!Z77-'BS consol'!Y77+'BS consol'!Z82-'BS consol'!Y82-'IS consol'!Z97)*NOT(Z8)</f>
        <v>0</v>
      </c>
      <c r="AA28" s="263">
        <f>-('BS consol'!AA62-'BS consol'!Z62+'BS consol'!AA77-'BS consol'!Z77+'BS consol'!AA82-'BS consol'!Z82-'IS consol'!AA97)*NOT(AA8)</f>
        <v>0</v>
      </c>
      <c r="AB28" s="263">
        <f>-('BS consol'!AB62-'BS consol'!AA62+'BS consol'!AB77-'BS consol'!AA77+'BS consol'!AB82-'BS consol'!AA82-'IS consol'!AB97)*NOT(AB8)</f>
        <v>0</v>
      </c>
      <c r="AC28" s="263">
        <f>-('BS consol'!AC62-'BS consol'!AB62+'BS consol'!AC77-'BS consol'!AB77+'BS consol'!AC82-'BS consol'!AB82-'IS consol'!AC97)*NOT(AC8)</f>
        <v>0</v>
      </c>
    </row>
    <row r="29" spans="1:29" hidden="1" outlineLevel="1">
      <c r="C29" s="372"/>
      <c r="D29" s="373" t="s">
        <v>1452</v>
      </c>
      <c r="E29" s="263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</row>
    <row r="30" spans="1:29" hidden="1" outlineLevel="1">
      <c r="C30" s="372"/>
      <c r="D30" s="373" t="s">
        <v>1450</v>
      </c>
      <c r="E30" s="263"/>
      <c r="F30" s="197"/>
      <c r="G30" s="197"/>
      <c r="H30" s="197"/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  <c r="AA30" s="197"/>
      <c r="AB30" s="197"/>
      <c r="AC30" s="197"/>
    </row>
    <row r="31" spans="1:29" hidden="1" outlineLevel="1">
      <c r="C31" s="372"/>
      <c r="D31" s="373" t="s">
        <v>1451</v>
      </c>
      <c r="E31" s="263"/>
      <c r="F31" s="263">
        <f t="shared" ref="F31:L31" si="12">F28-F29-F30</f>
        <v>0</v>
      </c>
      <c r="G31" s="263">
        <f t="shared" si="12"/>
        <v>0</v>
      </c>
      <c r="H31" s="263">
        <f t="shared" si="12"/>
        <v>0</v>
      </c>
      <c r="I31" s="263">
        <f t="shared" si="12"/>
        <v>0</v>
      </c>
      <c r="J31" s="263">
        <f t="shared" si="12"/>
        <v>0</v>
      </c>
      <c r="K31" s="263">
        <f t="shared" si="12"/>
        <v>0</v>
      </c>
      <c r="L31" s="263">
        <f t="shared" si="12"/>
        <v>0</v>
      </c>
      <c r="M31" s="263">
        <f t="shared" ref="M31:AC31" si="13">M28-M29-M30</f>
        <v>0</v>
      </c>
      <c r="N31" s="263">
        <f t="shared" si="13"/>
        <v>0</v>
      </c>
      <c r="O31" s="263">
        <f t="shared" si="13"/>
        <v>0</v>
      </c>
      <c r="P31" s="263">
        <f t="shared" si="13"/>
        <v>0</v>
      </c>
      <c r="Q31" s="263">
        <f t="shared" si="13"/>
        <v>0</v>
      </c>
      <c r="R31" s="263">
        <f t="shared" si="13"/>
        <v>0</v>
      </c>
      <c r="S31" s="263">
        <f t="shared" si="13"/>
        <v>0</v>
      </c>
      <c r="T31" s="263">
        <f t="shared" si="13"/>
        <v>0</v>
      </c>
      <c r="U31" s="263">
        <f t="shared" si="13"/>
        <v>0</v>
      </c>
      <c r="V31" s="263">
        <f t="shared" si="13"/>
        <v>0</v>
      </c>
      <c r="W31" s="263">
        <f t="shared" si="13"/>
        <v>0</v>
      </c>
      <c r="X31" s="263">
        <f t="shared" si="13"/>
        <v>0</v>
      </c>
      <c r="Y31" s="263">
        <f t="shared" si="13"/>
        <v>0</v>
      </c>
      <c r="Z31" s="263">
        <f t="shared" si="13"/>
        <v>0</v>
      </c>
      <c r="AA31" s="263">
        <f t="shared" si="13"/>
        <v>0</v>
      </c>
      <c r="AB31" s="263">
        <f t="shared" si="13"/>
        <v>0</v>
      </c>
      <c r="AC31" s="263">
        <f t="shared" si="13"/>
        <v>0</v>
      </c>
    </row>
    <row r="32" spans="1:29" collapsed="1">
      <c r="C32" s="266" t="s">
        <v>853</v>
      </c>
      <c r="D32" s="263"/>
      <c r="E32" s="263"/>
      <c r="F32" s="263">
        <f ca="1">'BS consol'!E30-'BS consol'!F30+'BS consol'!E67-'BS consol'!F67+'BS consol'!E72-'BS consol'!F72</f>
        <v>0</v>
      </c>
      <c r="G32" s="263">
        <f ca="1">'BS consol'!F30-'BS consol'!G30+'BS consol'!F67-'BS consol'!G67+'BS consol'!F72-'BS consol'!G72</f>
        <v>0</v>
      </c>
      <c r="H32" s="263">
        <f ca="1">'BS consol'!G30-'BS consol'!H30+'BS consol'!G67-'BS consol'!H67+'BS consol'!G72-'BS consol'!H72</f>
        <v>0</v>
      </c>
      <c r="I32" s="263">
        <f ca="1">'BS consol'!H30-'BS consol'!I30+'BS consol'!H67-'BS consol'!I67+'BS consol'!H72-'BS consol'!I72</f>
        <v>0</v>
      </c>
      <c r="J32" s="263">
        <f ca="1">'BS consol'!I30-'BS consol'!J30+'BS consol'!I67-'BS consol'!J67+'BS consol'!I72-'BS consol'!J72</f>
        <v>0</v>
      </c>
      <c r="K32" s="263">
        <f ca="1">'BS consol'!J30-'BS consol'!K30+'BS consol'!J67-'BS consol'!K67+'BS consol'!J72-'BS consol'!K72</f>
        <v>0</v>
      </c>
      <c r="L32" s="263">
        <f ca="1">'BS consol'!K30-'BS consol'!L30+'BS consol'!K67-'BS consol'!L67+'BS consol'!K72-'BS consol'!L72</f>
        <v>0</v>
      </c>
      <c r="M32" s="263">
        <f ca="1">'BS consol'!L30-'BS consol'!M30+'BS consol'!L67-'BS consol'!M67+'BS consol'!L72-'BS consol'!M72</f>
        <v>0</v>
      </c>
      <c r="N32" s="263">
        <f ca="1">'BS consol'!M30-'BS consol'!N30+'BS consol'!M67-'BS consol'!N67+'BS consol'!M72-'BS consol'!N72</f>
        <v>0</v>
      </c>
      <c r="O32" s="263">
        <f ca="1">'BS consol'!N30-'BS consol'!O30+'BS consol'!N67-'BS consol'!O67+'BS consol'!N72-'BS consol'!O72</f>
        <v>0</v>
      </c>
      <c r="P32" s="263">
        <f ca="1">'BS consol'!O30-'BS consol'!P30+'BS consol'!O67-'BS consol'!P67+'BS consol'!O72-'BS consol'!P72</f>
        <v>0</v>
      </c>
      <c r="Q32" s="263">
        <f ca="1">'BS consol'!P30-'BS consol'!Q30+'BS consol'!P67-'BS consol'!Q67+'BS consol'!P72-'BS consol'!Q72</f>
        <v>0</v>
      </c>
      <c r="R32" s="263">
        <f ca="1">'BS consol'!Q30-'BS consol'!R30+'BS consol'!Q67-'BS consol'!R67+'BS consol'!Q72-'BS consol'!R72</f>
        <v>0</v>
      </c>
      <c r="S32" s="263">
        <f>'BS consol'!R30-'BS consol'!S30+'BS consol'!R67-'BS consol'!S67+'BS consol'!R72-'BS consol'!S72</f>
        <v>0</v>
      </c>
      <c r="T32" s="263">
        <f>'BS consol'!S30-'BS consol'!T30+'BS consol'!S67-'BS consol'!T67+'BS consol'!S72-'BS consol'!T72</f>
        <v>0</v>
      </c>
      <c r="U32" s="263">
        <f>'BS consol'!T30-'BS consol'!U30+'BS consol'!T67-'BS consol'!U67+'BS consol'!T72-'BS consol'!U72</f>
        <v>0</v>
      </c>
      <c r="V32" s="263">
        <f>'BS consol'!U30-'BS consol'!V30+'BS consol'!U67-'BS consol'!V67+'BS consol'!U72-'BS consol'!V72</f>
        <v>0</v>
      </c>
      <c r="W32" s="263">
        <f>'BS consol'!V30-'BS consol'!W30+'BS consol'!V67-'BS consol'!W67+'BS consol'!V72-'BS consol'!W72</f>
        <v>0</v>
      </c>
      <c r="X32" s="263">
        <f>'BS consol'!W30-'BS consol'!X30+'BS consol'!W67-'BS consol'!X67+'BS consol'!W72-'BS consol'!X72</f>
        <v>0</v>
      </c>
      <c r="Y32" s="263">
        <f>'BS consol'!X30-'BS consol'!Y30+'BS consol'!X67-'BS consol'!Y67+'BS consol'!X72-'BS consol'!Y72</f>
        <v>0</v>
      </c>
      <c r="Z32" s="263">
        <f>'BS consol'!Y30-'BS consol'!Z30+'BS consol'!Y67-'BS consol'!Z67+'BS consol'!Y72-'BS consol'!Z72</f>
        <v>0</v>
      </c>
      <c r="AA32" s="263">
        <f>'BS consol'!Z30-'BS consol'!AA30+'BS consol'!Z67-'BS consol'!AA67+'BS consol'!Z72-'BS consol'!AA72</f>
        <v>0</v>
      </c>
      <c r="AB32" s="263">
        <f>'BS consol'!AA30-'BS consol'!AB30+'BS consol'!AA67-'BS consol'!AB67+'BS consol'!AA72-'BS consol'!AB72</f>
        <v>0</v>
      </c>
      <c r="AC32" s="263">
        <f>'BS consol'!AB30-'BS consol'!AC30+'BS consol'!AB67-'BS consol'!AC67+'BS consol'!AB72-'BS consol'!AC72</f>
        <v>0</v>
      </c>
    </row>
    <row r="33" spans="1:29">
      <c r="C33" s="199" t="s">
        <v>679</v>
      </c>
      <c r="D33" s="199"/>
      <c r="E33" s="199"/>
      <c r="F33" s="199">
        <f t="shared" ref="F33" ca="1" si="14">F28+F32</f>
        <v>0</v>
      </c>
      <c r="G33" s="199">
        <f t="shared" ref="G33" ca="1" si="15">G28+G32</f>
        <v>0</v>
      </c>
      <c r="H33" s="199">
        <f t="shared" ref="H33" ca="1" si="16">H28+H32</f>
        <v>0</v>
      </c>
      <c r="I33" s="199">
        <f t="shared" ref="I33" ca="1" si="17">I28+I32</f>
        <v>0</v>
      </c>
      <c r="J33" s="199">
        <f t="shared" ref="J33" ca="1" si="18">J28+J32</f>
        <v>0</v>
      </c>
      <c r="K33" s="199">
        <f t="shared" ref="K33" ca="1" si="19">K28+K32</f>
        <v>0</v>
      </c>
      <c r="L33" s="199">
        <f t="shared" ref="L33:AC33" ca="1" si="20">L28+L32</f>
        <v>0</v>
      </c>
      <c r="M33" s="199">
        <f t="shared" ca="1" si="20"/>
        <v>0</v>
      </c>
      <c r="N33" s="199">
        <f t="shared" ca="1" si="20"/>
        <v>0</v>
      </c>
      <c r="O33" s="199">
        <f t="shared" ca="1" si="20"/>
        <v>0</v>
      </c>
      <c r="P33" s="199">
        <f t="shared" ca="1" si="20"/>
        <v>0</v>
      </c>
      <c r="Q33" s="199">
        <f t="shared" ca="1" si="20"/>
        <v>0</v>
      </c>
      <c r="R33" s="199">
        <f t="shared" ca="1" si="20"/>
        <v>0</v>
      </c>
      <c r="S33" s="199">
        <f t="shared" si="20"/>
        <v>0</v>
      </c>
      <c r="T33" s="199">
        <f t="shared" si="20"/>
        <v>0</v>
      </c>
      <c r="U33" s="199">
        <f t="shared" si="20"/>
        <v>0</v>
      </c>
      <c r="V33" s="199">
        <f t="shared" si="20"/>
        <v>0</v>
      </c>
      <c r="W33" s="199">
        <f t="shared" si="20"/>
        <v>0</v>
      </c>
      <c r="X33" s="199">
        <f t="shared" si="20"/>
        <v>0</v>
      </c>
      <c r="Y33" s="199">
        <f t="shared" si="20"/>
        <v>0</v>
      </c>
      <c r="Z33" s="199">
        <f t="shared" si="20"/>
        <v>0</v>
      </c>
      <c r="AA33" s="199">
        <f t="shared" si="20"/>
        <v>0</v>
      </c>
      <c r="AB33" s="199">
        <f t="shared" si="20"/>
        <v>0</v>
      </c>
      <c r="AC33" s="199">
        <f t="shared" si="20"/>
        <v>0</v>
      </c>
    </row>
    <row r="34" spans="1:29">
      <c r="C34" s="195" t="s">
        <v>1454</v>
      </c>
      <c r="D34" s="195"/>
      <c r="E34" s="195"/>
      <c r="F34" s="195">
        <f ca="1">F33+F27</f>
        <v>0</v>
      </c>
      <c r="G34" s="195">
        <f t="shared" ref="G34:L34" ca="1" si="21">G33+G27</f>
        <v>0</v>
      </c>
      <c r="H34" s="195">
        <f t="shared" ca="1" si="21"/>
        <v>0</v>
      </c>
      <c r="I34" s="195">
        <f t="shared" ca="1" si="21"/>
        <v>0</v>
      </c>
      <c r="J34" s="195">
        <f t="shared" ca="1" si="21"/>
        <v>0</v>
      </c>
      <c r="K34" s="195">
        <f t="shared" ca="1" si="21"/>
        <v>0</v>
      </c>
      <c r="L34" s="195">
        <f t="shared" ca="1" si="21"/>
        <v>0</v>
      </c>
      <c r="M34" s="195">
        <f t="shared" ref="M34:AC34" ca="1" si="22">M33+M27</f>
        <v>0</v>
      </c>
      <c r="N34" s="195">
        <f t="shared" ca="1" si="22"/>
        <v>0</v>
      </c>
      <c r="O34" s="195">
        <f t="shared" ca="1" si="22"/>
        <v>0</v>
      </c>
      <c r="P34" s="195">
        <f t="shared" ca="1" si="22"/>
        <v>0</v>
      </c>
      <c r="Q34" s="195">
        <f t="shared" ca="1" si="22"/>
        <v>0</v>
      </c>
      <c r="R34" s="195">
        <f t="shared" ca="1" si="22"/>
        <v>0</v>
      </c>
      <c r="S34" s="195">
        <f t="shared" si="22"/>
        <v>0</v>
      </c>
      <c r="T34" s="195">
        <f t="shared" si="22"/>
        <v>0</v>
      </c>
      <c r="U34" s="195">
        <f t="shared" si="22"/>
        <v>0</v>
      </c>
      <c r="V34" s="195">
        <f t="shared" si="22"/>
        <v>0</v>
      </c>
      <c r="W34" s="195">
        <f t="shared" si="22"/>
        <v>0</v>
      </c>
      <c r="X34" s="195">
        <f t="shared" si="22"/>
        <v>0</v>
      </c>
      <c r="Y34" s="195">
        <f t="shared" si="22"/>
        <v>0</v>
      </c>
      <c r="Z34" s="195">
        <f t="shared" si="22"/>
        <v>0</v>
      </c>
      <c r="AA34" s="195">
        <f t="shared" si="22"/>
        <v>0</v>
      </c>
      <c r="AB34" s="195">
        <f t="shared" si="22"/>
        <v>0</v>
      </c>
      <c r="AC34" s="195">
        <f t="shared" si="22"/>
        <v>0</v>
      </c>
    </row>
    <row r="35" spans="1:29">
      <c r="A35" s="53"/>
      <c r="C35" s="265" t="s">
        <v>847</v>
      </c>
      <c r="D35" s="263"/>
      <c r="E35" s="263"/>
      <c r="F35" s="263">
        <f>+'IS consol'!F119</f>
        <v>0</v>
      </c>
      <c r="G35" s="263">
        <f>+'IS consol'!G119</f>
        <v>0</v>
      </c>
      <c r="H35" s="263">
        <f>+'IS consol'!H119</f>
        <v>0</v>
      </c>
      <c r="I35" s="263">
        <f>+'IS consol'!I119</f>
        <v>0</v>
      </c>
      <c r="J35" s="263">
        <f ca="1">+'IS consol'!J119</f>
        <v>0</v>
      </c>
      <c r="K35" s="263">
        <f ca="1">+'IS consol'!K119</f>
        <v>0</v>
      </c>
      <c r="L35" s="263">
        <f ca="1">+'IS consol'!L119</f>
        <v>0</v>
      </c>
      <c r="M35" s="263">
        <f ca="1">+'IS consol'!M119</f>
        <v>0</v>
      </c>
      <c r="N35" s="263">
        <f ca="1">+'IS consol'!N119</f>
        <v>0</v>
      </c>
      <c r="O35" s="263">
        <f ca="1">+'IS consol'!O119</f>
        <v>0</v>
      </c>
      <c r="P35" s="263">
        <f ca="1">+'IS consol'!P119</f>
        <v>0</v>
      </c>
      <c r="Q35" s="263">
        <f>+'IS consol'!Q119</f>
        <v>0</v>
      </c>
      <c r="R35" s="263">
        <f>+'IS consol'!R119</f>
        <v>0</v>
      </c>
      <c r="S35" s="263">
        <f>+'IS consol'!S119</f>
        <v>0</v>
      </c>
      <c r="T35" s="263">
        <f>+'IS consol'!T119</f>
        <v>0</v>
      </c>
      <c r="U35" s="263">
        <f>+'IS consol'!U119</f>
        <v>0</v>
      </c>
      <c r="V35" s="263">
        <f>+'IS consol'!V119</f>
        <v>0</v>
      </c>
      <c r="W35" s="263">
        <f>+'IS consol'!W119</f>
        <v>0</v>
      </c>
      <c r="X35" s="263">
        <f>+'IS consol'!X119</f>
        <v>0</v>
      </c>
      <c r="Y35" s="263">
        <f>+'IS consol'!Y119</f>
        <v>0</v>
      </c>
      <c r="Z35" s="263">
        <f>+'IS consol'!Z119</f>
        <v>0</v>
      </c>
      <c r="AA35" s="263">
        <f>+'IS consol'!AA119</f>
        <v>0</v>
      </c>
      <c r="AB35" s="263">
        <f>+'IS consol'!AB119</f>
        <v>0</v>
      </c>
      <c r="AC35" s="263">
        <f>+'IS consol'!AC119</f>
        <v>0</v>
      </c>
    </row>
    <row r="36" spans="1:29">
      <c r="C36" s="266" t="s">
        <v>1758</v>
      </c>
      <c r="D36" s="263"/>
      <c r="E36" s="263"/>
      <c r="F36" s="263">
        <f>'CF Holdco'!F36+'CF offshore'!F36*Stake_Bu1+'CF onshore'!F36*Stake_Bu2</f>
        <v>0</v>
      </c>
      <c r="G36" s="263">
        <f>'CF Holdco'!G36+'CF offshore'!G36*Stake_Bu1+'CF onshore'!G36*Stake_Bu2</f>
        <v>0</v>
      </c>
      <c r="H36" s="263">
        <f>'CF Holdco'!H36+'CF offshore'!H36*Stake_Bu1+'CF onshore'!H36*Stake_Bu2</f>
        <v>0</v>
      </c>
      <c r="I36" s="263">
        <f>'CF Holdco'!I36+'CF offshore'!I36*Stake_Bu1+'CF onshore'!I36*Stake_Bu2</f>
        <v>0</v>
      </c>
      <c r="J36" s="263">
        <f ca="1">'CF Holdco'!J36+'CF offshore'!J36*Stake_Bu1+'CF onshore'!J36*Stake_Bu2</f>
        <v>0</v>
      </c>
      <c r="K36" s="263">
        <f ca="1">'CF Holdco'!K36+'CF offshore'!K36*Stake_Bu1+'CF onshore'!K36*Stake_Bu2</f>
        <v>0</v>
      </c>
      <c r="L36" s="263">
        <f ca="1">'CF Holdco'!L36+'CF offshore'!L36*Stake_Bu1+'CF onshore'!L36*Stake_Bu2</f>
        <v>0</v>
      </c>
      <c r="M36" s="263">
        <f ca="1">'CF Holdco'!M36+'CF offshore'!M36*Stake_Bu1+'CF onshore'!M36*Stake_Bu2</f>
        <v>0</v>
      </c>
      <c r="N36" s="263">
        <f ca="1">'CF Holdco'!N36+'CF offshore'!N36*Stake_Bu1+'CF onshore'!N36*Stake_Bu2</f>
        <v>0</v>
      </c>
      <c r="O36" s="263">
        <f ca="1">'CF Holdco'!O36+'CF offshore'!O36*Stake_Bu1+'CF onshore'!O36*Stake_Bu2</f>
        <v>0</v>
      </c>
      <c r="P36" s="263">
        <f ca="1">'CF Holdco'!P36+'CF offshore'!P36*Stake_Bu1+'CF onshore'!P36*Stake_Bu2</f>
        <v>0</v>
      </c>
      <c r="Q36" s="263">
        <f>'CF Holdco'!Q36+'CF offshore'!Q36*Stake_Bu1+'CF onshore'!Q36*Stake_Bu2</f>
        <v>0</v>
      </c>
      <c r="R36" s="263">
        <f>'CF Holdco'!R36+'CF offshore'!R36*Stake_Bu1+'CF onshore'!R36*Stake_Bu2</f>
        <v>0</v>
      </c>
      <c r="S36" s="263">
        <f>'CF Holdco'!S36+'CF offshore'!S36*Stake_Bu1+'CF onshore'!S36*Stake_Bu2</f>
        <v>0</v>
      </c>
      <c r="T36" s="263">
        <f>'CF Holdco'!T36+'CF offshore'!T36*Stake_Bu1+'CF onshore'!T36*Stake_Bu2</f>
        <v>0</v>
      </c>
      <c r="U36" s="263">
        <f>'CF Holdco'!U36+'CF offshore'!U36*Stake_Bu1+'CF onshore'!U36*Stake_Bu2</f>
        <v>0</v>
      </c>
      <c r="V36" s="263">
        <f>'CF Holdco'!V36+'CF offshore'!V36*Stake_Bu1+'CF onshore'!V36*Stake_Bu2</f>
        <v>0</v>
      </c>
      <c r="W36" s="263">
        <f>'CF Holdco'!W36+'CF offshore'!W36*Stake_Bu1+'CF onshore'!W36*Stake_Bu2</f>
        <v>0</v>
      </c>
      <c r="X36" s="263">
        <f>'CF Holdco'!X36+'CF offshore'!X36*Stake_Bu1+'CF onshore'!X36*Stake_Bu2</f>
        <v>0</v>
      </c>
      <c r="Y36" s="263">
        <f>'CF Holdco'!Y36+'CF offshore'!Y36*Stake_Bu1+'CF onshore'!Y36*Stake_Bu2</f>
        <v>0</v>
      </c>
      <c r="Z36" s="263">
        <f>'CF Holdco'!Z36+'CF offshore'!Z36*Stake_Bu1+'CF onshore'!Z36*Stake_Bu2</f>
        <v>0</v>
      </c>
      <c r="AA36" s="263">
        <f>'CF Holdco'!AA36+'CF offshore'!AA36*Stake_Bu1+'CF onshore'!AA36*Stake_Bu2</f>
        <v>0</v>
      </c>
      <c r="AB36" s="263">
        <f>'CF Holdco'!AB36+'CF offshore'!AB36*Stake_Bu1+'CF onshore'!AB36*Stake_Bu2</f>
        <v>0</v>
      </c>
      <c r="AC36" s="263">
        <f>'CF Holdco'!AC36+'CF offshore'!AC36*Stake_Bu1+'CF onshore'!AC36*Stake_Bu2</f>
        <v>0</v>
      </c>
    </row>
    <row r="37" spans="1:29">
      <c r="C37" s="375" t="s">
        <v>1455</v>
      </c>
      <c r="D37" s="263"/>
      <c r="E37" s="263"/>
      <c r="F37" s="263">
        <f>+'IS consol'!F134</f>
        <v>0</v>
      </c>
      <c r="G37" s="263">
        <f>+'IS consol'!G134</f>
        <v>0</v>
      </c>
      <c r="H37" s="263">
        <f>+'IS consol'!H134</f>
        <v>0</v>
      </c>
      <c r="I37" s="263">
        <f>+'IS consol'!I134</f>
        <v>0</v>
      </c>
      <c r="J37" s="263">
        <f>+'IS consol'!J134</f>
        <v>0</v>
      </c>
      <c r="K37" s="263">
        <f>+'IS consol'!K134</f>
        <v>0</v>
      </c>
      <c r="L37" s="263">
        <f>+'IS consol'!L134</f>
        <v>0</v>
      </c>
      <c r="M37" s="263">
        <f>+'IS consol'!M134</f>
        <v>0</v>
      </c>
      <c r="N37" s="263">
        <f>+'IS consol'!N134</f>
        <v>0</v>
      </c>
      <c r="O37" s="263">
        <f>+'IS consol'!O134</f>
        <v>0</v>
      </c>
      <c r="P37" s="263">
        <f ca="1">+'IS consol'!P134</f>
        <v>0</v>
      </c>
      <c r="Q37" s="263">
        <f>+'IS consol'!Q134</f>
        <v>0</v>
      </c>
      <c r="R37" s="263">
        <f>+'IS consol'!R134</f>
        <v>0</v>
      </c>
      <c r="S37" s="263">
        <f>+'IS consol'!S134</f>
        <v>0</v>
      </c>
      <c r="T37" s="263">
        <f>+'IS consol'!T134</f>
        <v>0</v>
      </c>
      <c r="U37" s="263">
        <f>+'IS consol'!U134</f>
        <v>0</v>
      </c>
      <c r="V37" s="263">
        <f>+'IS consol'!V134</f>
        <v>0</v>
      </c>
      <c r="W37" s="263">
        <f>+'IS consol'!W134</f>
        <v>0</v>
      </c>
      <c r="X37" s="263">
        <f>+'IS consol'!X134</f>
        <v>0</v>
      </c>
      <c r="Y37" s="263">
        <f>+'IS consol'!Y134</f>
        <v>0</v>
      </c>
      <c r="Z37" s="263">
        <f>+'IS consol'!Z134</f>
        <v>0</v>
      </c>
      <c r="AA37" s="263">
        <f>+'IS consol'!AA134</f>
        <v>0</v>
      </c>
      <c r="AB37" s="263">
        <f>+'IS consol'!AB134</f>
        <v>0</v>
      </c>
      <c r="AC37" s="263">
        <f>+'IS consol'!AC134</f>
        <v>0</v>
      </c>
    </row>
    <row r="38" spans="1:29">
      <c r="C38" s="267" t="s">
        <v>843</v>
      </c>
      <c r="D38" s="263"/>
      <c r="E38" s="263"/>
      <c r="F38" s="263">
        <f>'CF Holdco'!F38+'CF offshore'!F38*Stake_Bu1+'CF onshore'!F38*Stake_Bu2</f>
        <v>0</v>
      </c>
      <c r="G38" s="263">
        <f>'CF Holdco'!G38+'CF offshore'!G38*Stake_Bu1+'CF onshore'!G38*Stake_Bu2</f>
        <v>0</v>
      </c>
      <c r="H38" s="263">
        <f>'CF Holdco'!H38+'CF offshore'!H38*Stake_Bu1+'CF onshore'!H38*Stake_Bu2</f>
        <v>0</v>
      </c>
      <c r="I38" s="263">
        <f>'CF Holdco'!I38+'CF offshore'!I38*Stake_Bu1+'CF onshore'!I38*Stake_Bu2</f>
        <v>0</v>
      </c>
      <c r="J38" s="263">
        <f ca="1">'CF Holdco'!J38+'CF offshore'!J38*Stake_Bu1+'CF onshore'!J38*Stake_Bu2</f>
        <v>0</v>
      </c>
      <c r="K38" s="263">
        <f ca="1">'CF Holdco'!K38+'CF offshore'!K38*Stake_Bu1+'CF onshore'!K38*Stake_Bu2</f>
        <v>0</v>
      </c>
      <c r="L38" s="263">
        <f ca="1">'CF Holdco'!L38+'CF offshore'!L38*Stake_Bu1+'CF onshore'!L38*Stake_Bu2</f>
        <v>0</v>
      </c>
      <c r="M38" s="263">
        <f ca="1">'CF Holdco'!M38+'CF offshore'!M38*Stake_Bu1+'CF onshore'!M38*Stake_Bu2</f>
        <v>0</v>
      </c>
      <c r="N38" s="263">
        <f ca="1">'CF Holdco'!N38+'CF offshore'!N38*Stake_Bu1+'CF onshore'!N38*Stake_Bu2</f>
        <v>0</v>
      </c>
      <c r="O38" s="263">
        <f ca="1">'CF Holdco'!O38+'CF offshore'!O38*Stake_Bu1+'CF onshore'!O38*Stake_Bu2</f>
        <v>0</v>
      </c>
      <c r="P38" s="263">
        <f ca="1">'CF Holdco'!P38+'CF offshore'!P38*Stake_Bu1+'CF onshore'!P38*Stake_Bu2</f>
        <v>0</v>
      </c>
      <c r="Q38" s="263">
        <f>'CF Holdco'!Q38+'CF offshore'!Q38*Stake_Bu1+'CF onshore'!Q38*Stake_Bu2</f>
        <v>0</v>
      </c>
      <c r="R38" s="263">
        <f>'CF Holdco'!R38+'CF offshore'!R38*Stake_Bu1+'CF onshore'!R38*Stake_Bu2</f>
        <v>0</v>
      </c>
      <c r="S38" s="263">
        <f>'CF Holdco'!S38+'CF offshore'!S38*Stake_Bu1+'CF onshore'!S38*Stake_Bu2</f>
        <v>0</v>
      </c>
      <c r="T38" s="263">
        <f>'CF Holdco'!T38+'CF offshore'!T38*Stake_Bu1+'CF onshore'!T38*Stake_Bu2</f>
        <v>0</v>
      </c>
      <c r="U38" s="263">
        <f>'CF Holdco'!U38+'CF offshore'!U38*Stake_Bu1+'CF onshore'!U38*Stake_Bu2</f>
        <v>0</v>
      </c>
      <c r="V38" s="263">
        <f>'CF Holdco'!V38+'CF offshore'!V38*Stake_Bu1+'CF onshore'!V38*Stake_Bu2</f>
        <v>0</v>
      </c>
      <c r="W38" s="263">
        <f>'CF Holdco'!W38+'CF offshore'!W38*Stake_Bu1+'CF onshore'!W38*Stake_Bu2</f>
        <v>0</v>
      </c>
      <c r="X38" s="263">
        <f>'CF Holdco'!X38+'CF offshore'!X38*Stake_Bu1+'CF onshore'!X38*Stake_Bu2</f>
        <v>0</v>
      </c>
      <c r="Y38" s="263">
        <f>'CF Holdco'!Y38+'CF offshore'!Y38*Stake_Bu1+'CF onshore'!Y38*Stake_Bu2</f>
        <v>0</v>
      </c>
      <c r="Z38" s="263">
        <f>'CF Holdco'!Z38+'CF offshore'!Z38*Stake_Bu1+'CF onshore'!Z38*Stake_Bu2</f>
        <v>0</v>
      </c>
      <c r="AA38" s="263">
        <f>'CF Holdco'!AA38+'CF offshore'!AA38*Stake_Bu1+'CF onshore'!AA38*Stake_Bu2</f>
        <v>0</v>
      </c>
      <c r="AB38" s="263">
        <f>'CF Holdco'!AB38+'CF offshore'!AB38*Stake_Bu1+'CF onshore'!AB38*Stake_Bu2</f>
        <v>0</v>
      </c>
      <c r="AC38" s="263">
        <f>'CF Holdco'!AC38+'CF offshore'!AC38*Stake_Bu1+'CF onshore'!AC38*Stake_Bu2</f>
        <v>0</v>
      </c>
    </row>
    <row r="39" spans="1:29">
      <c r="C39" s="267" t="s">
        <v>680</v>
      </c>
      <c r="D39" s="263"/>
      <c r="E39" s="263"/>
      <c r="F39" s="263">
        <f>'CF Holdco'!F39+'CF offshore'!F39*Stake_Bu1+'CF onshore'!F39*Stake_Bu2</f>
        <v>0</v>
      </c>
      <c r="G39" s="263">
        <f>'CF Holdco'!G39+'CF offshore'!G39*Stake_Bu1+'CF onshore'!G39*Stake_Bu2</f>
        <v>0</v>
      </c>
      <c r="H39" s="263">
        <f>'CF Holdco'!H39+'CF offshore'!H39*Stake_Bu1+'CF onshore'!H39*Stake_Bu2</f>
        <v>0</v>
      </c>
      <c r="I39" s="263">
        <f>'CF Holdco'!I39+'CF offshore'!I39*Stake_Bu1+'CF onshore'!I39*Stake_Bu2</f>
        <v>0</v>
      </c>
      <c r="J39" s="263">
        <f ca="1">'CF Holdco'!J39+'CF offshore'!J39*Stake_Bu1+'CF onshore'!J39*Stake_Bu2</f>
        <v>0</v>
      </c>
      <c r="K39" s="263">
        <f ca="1">'CF Holdco'!K39+'CF offshore'!K39*Stake_Bu1+'CF onshore'!K39*Stake_Bu2</f>
        <v>0</v>
      </c>
      <c r="L39" s="263">
        <f ca="1">'CF Holdco'!L39+'CF offshore'!L39*Stake_Bu1+'CF onshore'!L39*Stake_Bu2</f>
        <v>0</v>
      </c>
      <c r="M39" s="263">
        <f ca="1">'CF Holdco'!M39+'CF offshore'!M39*Stake_Bu1+'CF onshore'!M39*Stake_Bu2</f>
        <v>0</v>
      </c>
      <c r="N39" s="263">
        <f ca="1">'CF Holdco'!N39+'CF offshore'!N39*Stake_Bu1+'CF onshore'!N39*Stake_Bu2</f>
        <v>0</v>
      </c>
      <c r="O39" s="263">
        <f ca="1">'CF Holdco'!O39+'CF offshore'!O39*Stake_Bu1+'CF onshore'!O39*Stake_Bu2</f>
        <v>0</v>
      </c>
      <c r="P39" s="263">
        <f ca="1">'CF Holdco'!P39+'CF offshore'!P39*Stake_Bu1+'CF onshore'!P39*Stake_Bu2</f>
        <v>0</v>
      </c>
      <c r="Q39" s="263">
        <f>'CF Holdco'!Q39+'CF offshore'!Q39*Stake_Bu1+'CF onshore'!Q39*Stake_Bu2</f>
        <v>0</v>
      </c>
      <c r="R39" s="263">
        <f>'CF Holdco'!R39+'CF offshore'!R39*Stake_Bu1+'CF onshore'!R39*Stake_Bu2</f>
        <v>0</v>
      </c>
      <c r="S39" s="263">
        <f>'CF Holdco'!S39+'CF offshore'!S39*Stake_Bu1+'CF onshore'!S39*Stake_Bu2</f>
        <v>0</v>
      </c>
      <c r="T39" s="263">
        <f>'CF Holdco'!T39+'CF offshore'!T39*Stake_Bu1+'CF onshore'!T39*Stake_Bu2</f>
        <v>0</v>
      </c>
      <c r="U39" s="263">
        <f>'CF Holdco'!U39+'CF offshore'!U39*Stake_Bu1+'CF onshore'!U39*Stake_Bu2</f>
        <v>0</v>
      </c>
      <c r="V39" s="263">
        <f>'CF Holdco'!V39+'CF offshore'!V39*Stake_Bu1+'CF onshore'!V39*Stake_Bu2</f>
        <v>0</v>
      </c>
      <c r="W39" s="263">
        <f>'CF Holdco'!W39+'CF offshore'!W39*Stake_Bu1+'CF onshore'!W39*Stake_Bu2</f>
        <v>0</v>
      </c>
      <c r="X39" s="263">
        <f>'CF Holdco'!X39+'CF offshore'!X39*Stake_Bu1+'CF onshore'!X39*Stake_Bu2</f>
        <v>0</v>
      </c>
      <c r="Y39" s="263">
        <f>'CF Holdco'!Y39+'CF offshore'!Y39*Stake_Bu1+'CF onshore'!Y39*Stake_Bu2</f>
        <v>0</v>
      </c>
      <c r="Z39" s="263">
        <f>'CF Holdco'!Z39+'CF offshore'!Z39*Stake_Bu1+'CF onshore'!Z39*Stake_Bu2</f>
        <v>0</v>
      </c>
      <c r="AA39" s="263">
        <f>'CF Holdco'!AA39+'CF offshore'!AA39*Stake_Bu1+'CF onshore'!AA39*Stake_Bu2</f>
        <v>0</v>
      </c>
      <c r="AB39" s="263">
        <f>'CF Holdco'!AB39+'CF offshore'!AB39*Stake_Bu1+'CF onshore'!AB39*Stake_Bu2</f>
        <v>0</v>
      </c>
      <c r="AC39" s="263">
        <f>'CF Holdco'!AC39+'CF offshore'!AC39*Stake_Bu1+'CF onshore'!AC39*Stake_Bu2</f>
        <v>0</v>
      </c>
    </row>
    <row r="40" spans="1:29">
      <c r="C40" s="320" t="s">
        <v>1060</v>
      </c>
      <c r="D40" s="263"/>
      <c r="E40" s="263"/>
      <c r="F40" s="263">
        <f>'CF Holdco'!F40+'CF offshore'!F40*Stake_Bu1+'CF onshore'!F40*Stake_Bu2</f>
        <v>0</v>
      </c>
      <c r="G40" s="263">
        <f>'CF Holdco'!G40+'CF offshore'!G40*Stake_Bu1+'CF onshore'!G40*Stake_Bu2</f>
        <v>0</v>
      </c>
      <c r="H40" s="263">
        <f>'CF Holdco'!H40+'CF offshore'!H40*Stake_Bu1+'CF onshore'!H40*Stake_Bu2</f>
        <v>0</v>
      </c>
      <c r="I40" s="263">
        <f>'CF Holdco'!I40+'CF offshore'!I40*Stake_Bu1+'CF onshore'!I40*Stake_Bu2</f>
        <v>0</v>
      </c>
      <c r="J40" s="263">
        <f ca="1">'CF Holdco'!J40+'CF offshore'!J40*Stake_Bu1+'CF onshore'!J40*Stake_Bu2</f>
        <v>0</v>
      </c>
      <c r="K40" s="263">
        <f ca="1">'CF Holdco'!K40+'CF offshore'!K40*Stake_Bu1+'CF onshore'!K40*Stake_Bu2</f>
        <v>0</v>
      </c>
      <c r="L40" s="263">
        <f ca="1">'CF Holdco'!L40+'CF offshore'!L40*Stake_Bu1+'CF onshore'!L40*Stake_Bu2</f>
        <v>0</v>
      </c>
      <c r="M40" s="263">
        <f ca="1">'CF Holdco'!M40+'CF offshore'!M40*Stake_Bu1+'CF onshore'!M40*Stake_Bu2</f>
        <v>0</v>
      </c>
      <c r="N40" s="263">
        <f ca="1">'CF Holdco'!N40+'CF offshore'!N40*Stake_Bu1+'CF onshore'!N40*Stake_Bu2</f>
        <v>0</v>
      </c>
      <c r="O40" s="263">
        <f ca="1">'CF Holdco'!O40+'CF offshore'!O40*Stake_Bu1+'CF onshore'!O40*Stake_Bu2</f>
        <v>0</v>
      </c>
      <c r="P40" s="263">
        <f ca="1">'CF Holdco'!P40+'CF offshore'!P40*Stake_Bu1+'CF onshore'!P40*Stake_Bu2</f>
        <v>0</v>
      </c>
      <c r="Q40" s="263">
        <f ca="1">'CF Holdco'!Q40+'CF offshore'!Q40*Stake_Bu1+'CF onshore'!Q40*Stake_Bu2</f>
        <v>0</v>
      </c>
      <c r="R40" s="263">
        <f ca="1">'CF Holdco'!R40+'CF offshore'!R40*Stake_Bu1+'CF onshore'!R40*Stake_Bu2</f>
        <v>0</v>
      </c>
      <c r="S40" s="263">
        <f ca="1">'CF Holdco'!S40+'CF offshore'!S40*Stake_Bu1+'CF onshore'!S40*Stake_Bu2</f>
        <v>0</v>
      </c>
      <c r="T40" s="263">
        <f ca="1">'CF Holdco'!T40+'CF offshore'!T40*Stake_Bu1+'CF onshore'!T40*Stake_Bu2</f>
        <v>0</v>
      </c>
      <c r="U40" s="263">
        <f ca="1">'CF Holdco'!U40+'CF offshore'!U40*Stake_Bu1+'CF onshore'!U40*Stake_Bu2</f>
        <v>0</v>
      </c>
      <c r="V40" s="263">
        <f ca="1">'CF Holdco'!V40+'CF offshore'!V40*Stake_Bu1+'CF onshore'!V40*Stake_Bu2</f>
        <v>0</v>
      </c>
      <c r="W40" s="263">
        <f ca="1">'CF Holdco'!W40+'CF offshore'!W40*Stake_Bu1+'CF onshore'!W40*Stake_Bu2</f>
        <v>0</v>
      </c>
      <c r="X40" s="263">
        <f ca="1">'CF Holdco'!X40+'CF offshore'!X40*Stake_Bu1+'CF onshore'!X40*Stake_Bu2</f>
        <v>0</v>
      </c>
      <c r="Y40" s="263">
        <f ca="1">'CF Holdco'!Y40+'CF offshore'!Y40*Stake_Bu1+'CF onshore'!Y40*Stake_Bu2</f>
        <v>0</v>
      </c>
      <c r="Z40" s="263">
        <f ca="1">'CF Holdco'!Z40+'CF offshore'!Z40*Stake_Bu1+'CF onshore'!Z40*Stake_Bu2</f>
        <v>0</v>
      </c>
      <c r="AA40" s="263">
        <f ca="1">'CF Holdco'!AA40+'CF offshore'!AA40*Stake_Bu1+'CF onshore'!AA40*Stake_Bu2</f>
        <v>0</v>
      </c>
      <c r="AB40" s="263">
        <f ca="1">'CF Holdco'!AB40+'CF offshore'!AB40*Stake_Bu1+'CF onshore'!AB40*Stake_Bu2</f>
        <v>0</v>
      </c>
      <c r="AC40" s="263">
        <f ca="1">'CF Holdco'!AC40+'CF offshore'!AC40*Stake_Bu1+'CF onshore'!AC40*Stake_Bu2</f>
        <v>0</v>
      </c>
    </row>
    <row r="41" spans="1:29">
      <c r="C41" s="320" t="s">
        <v>1476</v>
      </c>
      <c r="D41" s="263"/>
      <c r="E41" s="263"/>
      <c r="F41" s="263"/>
      <c r="G41" s="263"/>
      <c r="H41" s="263"/>
      <c r="I41" s="263"/>
      <c r="J41" s="263"/>
      <c r="K41" s="263"/>
      <c r="L41" s="263"/>
      <c r="M41" s="263"/>
      <c r="N41" s="263"/>
      <c r="O41" s="263"/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  <c r="AA41" s="263"/>
      <c r="AB41" s="263"/>
      <c r="AC41" s="263"/>
    </row>
    <row r="42" spans="1:29">
      <c r="C42" s="266" t="s">
        <v>848</v>
      </c>
      <c r="D42" s="263"/>
      <c r="E42" s="263"/>
      <c r="F42" s="263">
        <f>'CF Holdco'!F42+'CF offshore'!F42*Stake_Bu1+'CF onshore'!F42*Stake_Bu2</f>
        <v>0</v>
      </c>
      <c r="G42" s="263">
        <f>'CF Holdco'!G42+'CF offshore'!G42*Stake_Bu1+'CF onshore'!G42*Stake_Bu2</f>
        <v>0</v>
      </c>
      <c r="H42" s="263">
        <f>'CF Holdco'!H42+'CF offshore'!H42*Stake_Bu1+'CF onshore'!H42*Stake_Bu2</f>
        <v>0</v>
      </c>
      <c r="I42" s="263">
        <f>'CF Holdco'!I42+'CF offshore'!I42*Stake_Bu1+'CF onshore'!I42*Stake_Bu2</f>
        <v>0</v>
      </c>
      <c r="J42" s="263">
        <f ca="1">'CF Holdco'!J42+'CF offshore'!J42*Stake_Bu1+'CF onshore'!J42*Stake_Bu2</f>
        <v>0</v>
      </c>
      <c r="K42" s="263">
        <f ca="1">'CF Holdco'!K42+'CF offshore'!K42*Stake_Bu1+'CF onshore'!K42*Stake_Bu2</f>
        <v>0</v>
      </c>
      <c r="L42" s="263">
        <f ca="1">'CF Holdco'!L42+'CF offshore'!L42*Stake_Bu1+'CF onshore'!L42*Stake_Bu2</f>
        <v>0</v>
      </c>
      <c r="M42" s="263">
        <f ca="1">'CF Holdco'!M42+'CF offshore'!M42*Stake_Bu1+'CF onshore'!M42*Stake_Bu2</f>
        <v>0</v>
      </c>
      <c r="N42" s="263">
        <f ca="1">'CF Holdco'!N42+'CF offshore'!N42*Stake_Bu1+'CF onshore'!N42*Stake_Bu2</f>
        <v>0</v>
      </c>
      <c r="O42" s="263">
        <f ca="1">'CF Holdco'!O42+'CF offshore'!O42*Stake_Bu1+'CF onshore'!O42*Stake_Bu2</f>
        <v>0</v>
      </c>
      <c r="P42" s="263">
        <f ca="1">'CF Holdco'!P42+'CF offshore'!P42*Stake_Bu1+'CF onshore'!P42*Stake_Bu2</f>
        <v>0</v>
      </c>
      <c r="Q42" s="263">
        <f>'CF Holdco'!Q42+'CF offshore'!Q42*Stake_Bu1+'CF onshore'!Q42*Stake_Bu2</f>
        <v>0</v>
      </c>
      <c r="R42" s="263">
        <f>'CF Holdco'!R42+'CF offshore'!R42*Stake_Bu1+'CF onshore'!R42*Stake_Bu2</f>
        <v>0</v>
      </c>
      <c r="S42" s="263">
        <f>'CF Holdco'!S42+'CF offshore'!S42*Stake_Bu1+'CF onshore'!S42*Stake_Bu2</f>
        <v>0</v>
      </c>
      <c r="T42" s="263">
        <f>'CF Holdco'!T42+'CF offshore'!T42*Stake_Bu1+'CF onshore'!T42*Stake_Bu2</f>
        <v>0</v>
      </c>
      <c r="U42" s="263">
        <f>'CF Holdco'!U42+'CF offshore'!U42*Stake_Bu1+'CF onshore'!U42*Stake_Bu2</f>
        <v>0</v>
      </c>
      <c r="V42" s="263">
        <f>'CF Holdco'!V42+'CF offshore'!V42*Stake_Bu1+'CF onshore'!V42*Stake_Bu2</f>
        <v>0</v>
      </c>
      <c r="W42" s="263">
        <f>'CF Holdco'!W42+'CF offshore'!W42*Stake_Bu1+'CF onshore'!W42*Stake_Bu2</f>
        <v>0</v>
      </c>
      <c r="X42" s="263">
        <f>'CF Holdco'!X42+'CF offshore'!X42*Stake_Bu1+'CF onshore'!X42*Stake_Bu2</f>
        <v>0</v>
      </c>
      <c r="Y42" s="263">
        <f>'CF Holdco'!Y42+'CF offshore'!Y42*Stake_Bu1+'CF onshore'!Y42*Stake_Bu2</f>
        <v>0</v>
      </c>
      <c r="Z42" s="263">
        <f>'CF Holdco'!Z42+'CF offshore'!Z42*Stake_Bu1+'CF onshore'!Z42*Stake_Bu2</f>
        <v>0</v>
      </c>
      <c r="AA42" s="263">
        <f>'CF Holdco'!AA42+'CF offshore'!AA42*Stake_Bu1+'CF onshore'!AA42*Stake_Bu2</f>
        <v>0</v>
      </c>
      <c r="AB42" s="263">
        <f>'CF Holdco'!AB42+'CF offshore'!AB42*Stake_Bu1+'CF onshore'!AB42*Stake_Bu2</f>
        <v>0</v>
      </c>
      <c r="AC42" s="263">
        <f>'CF Holdco'!AC42+'CF offshore'!AC42*Stake_Bu1+'CF onshore'!AC42*Stake_Bu2</f>
        <v>0</v>
      </c>
    </row>
    <row r="43" spans="1:29">
      <c r="C43" s="372" t="s">
        <v>1517</v>
      </c>
      <c r="D43" s="263"/>
      <c r="E43" s="263"/>
      <c r="F43" s="263">
        <f>OR(F6,F7)*('BS consol'!F138-'BS consol'!E138+'BS consol'!F143-'BS consol'!E143+'BS consol'!F153-'BS consol'!E153+'BS consol'!F126-'BS consol'!E126+'BS consol'!F131-'BS consol'!E131)+F8*('BS consol'!F126-'BS consol'!E126+'BS consol'!F131-'BS consol'!E131+'BS consol'!F138-'BS consol'!E138-'BS consol'!E143+'BS consol'!F153-'BS consol'!E153)</f>
        <v>0</v>
      </c>
      <c r="G43" s="263">
        <f>OR(G6,G7)*('BS consol'!G138-'BS consol'!F138+'BS consol'!G143-'BS consol'!F143+'BS consol'!G153-'BS consol'!F153+'BS consol'!G126-'BS consol'!F126+'BS consol'!G131-'BS consol'!F131)+G8*('BS consol'!G126-'BS consol'!F126+'BS consol'!G131-'BS consol'!F131+'BS consol'!G138-'BS consol'!F138-'BS consol'!F143+'BS consol'!G153-'BS consol'!F153)</f>
        <v>0</v>
      </c>
      <c r="H43" s="263">
        <f>OR(H6,H7)*('BS consol'!H138-'BS consol'!G138+'BS consol'!H143-'BS consol'!G143+'BS consol'!H153-'BS consol'!G153+'BS consol'!H126-'BS consol'!G126+'BS consol'!H131-'BS consol'!G131)+H8*('BS consol'!H126-'BS consol'!G126+'BS consol'!H131-'BS consol'!G131+'BS consol'!H138-'BS consol'!G138-'BS consol'!G143+'BS consol'!H153-'BS consol'!G153)</f>
        <v>0</v>
      </c>
      <c r="I43" s="263">
        <f>OR(I6,I7)*('BS consol'!I138-'BS consol'!H138+'BS consol'!I143-'BS consol'!H143+'BS consol'!I153-'BS consol'!H153+'BS consol'!I126-'BS consol'!H126+'BS consol'!I131-'BS consol'!H131)+I8*('BS consol'!I126-'BS consol'!H126+'BS consol'!I131-'BS consol'!H131+'BS consol'!I138-'BS consol'!H138-'BS consol'!H143+'BS consol'!I153-'BS consol'!H153)</f>
        <v>0</v>
      </c>
      <c r="J43" s="263">
        <f>OR(J6,J7)*('BS consol'!J138-'BS consol'!I138+'BS consol'!J143-'BS consol'!I143+'BS consol'!J153-'BS consol'!I153+'BS consol'!J126-'BS consol'!I126+'BS consol'!J131-'BS consol'!I131)+J8*('BS consol'!J126-'BS consol'!I126+'BS consol'!J131-'BS consol'!I131+'BS consol'!J138-'BS consol'!I138-'BS consol'!I143+'BS consol'!J153-'BS consol'!I153)</f>
        <v>0</v>
      </c>
      <c r="K43" s="263">
        <f ca="1">OR(K6,K7)*('BS consol'!K138-'BS consol'!J138+'BS consol'!K143-'BS consol'!J143+'BS consol'!K153-'BS consol'!J153+'BS consol'!K126-'BS consol'!J126+'BS consol'!K131-'BS consol'!J131)+K8*('BS consol'!K126-'BS consol'!J126+'BS consol'!K131-'BS consol'!J131+'BS consol'!K138-'BS consol'!J138-'BS consol'!J143+'BS consol'!K153-'BS consol'!J153)</f>
        <v>0</v>
      </c>
      <c r="L43" s="263">
        <f ca="1">OR(L6,L7)*('BS consol'!L138-'BS consol'!K138+'BS consol'!L143-'BS consol'!K143+'BS consol'!L153-'BS consol'!K153+'BS consol'!L126-'BS consol'!K126+'BS consol'!L131-'BS consol'!K131)+L8*('BS consol'!L126-'BS consol'!K126+'BS consol'!L131-'BS consol'!K131+'BS consol'!L138-'BS consol'!K138-'BS consol'!K143+'BS consol'!L153-'BS consol'!K153)</f>
        <v>0</v>
      </c>
      <c r="M43" s="263">
        <f ca="1">OR(M6,M7)*('BS consol'!M138-'BS consol'!L138+'BS consol'!M143-'BS consol'!L143+'BS consol'!M153-'BS consol'!L153+'BS consol'!M126-'BS consol'!L126+'BS consol'!M131-'BS consol'!L131)+M8*('BS consol'!M126-'BS consol'!L126+'BS consol'!M131-'BS consol'!L131+'BS consol'!M138-'BS consol'!L138-'BS consol'!L143+'BS consol'!M153-'BS consol'!L153)</f>
        <v>0</v>
      </c>
      <c r="N43" s="263">
        <f ca="1">OR(N6,N7)*('BS consol'!N138-'BS consol'!M138+'BS consol'!N143-'BS consol'!M143+'BS consol'!N153-'BS consol'!M153+'BS consol'!N126-'BS consol'!M126+'BS consol'!N131-'BS consol'!M131)+N8*('BS consol'!N126-'BS consol'!M126+'BS consol'!N131-'BS consol'!M131+'BS consol'!N138-'BS consol'!M138-'BS consol'!M143+'BS consol'!N153-'BS consol'!M153)</f>
        <v>0</v>
      </c>
      <c r="O43" s="263">
        <f ca="1">OR(O6,O7)*('BS consol'!O138-'BS consol'!N138+'BS consol'!O143-'BS consol'!N143+'BS consol'!O153-'BS consol'!N153+'BS consol'!O126-'BS consol'!N126+'BS consol'!O131-'BS consol'!N131)+O8*('BS consol'!O126-'BS consol'!N126+'BS consol'!O131-'BS consol'!N131+'BS consol'!O138-'BS consol'!N138-'BS consol'!N143+'BS consol'!O153-'BS consol'!N153)</f>
        <v>0</v>
      </c>
      <c r="P43" s="263">
        <f ca="1">OR(P6,P7)*('BS consol'!P138-'BS consol'!O138+'BS consol'!P143-'BS consol'!O143+'BS consol'!P153-'BS consol'!O153+'BS consol'!P126-'BS consol'!O126+'BS consol'!P131-'BS consol'!O131)+P8*('BS consol'!P126-'BS consol'!O126+'BS consol'!P131-'BS consol'!O131+'BS consol'!P138-'BS consol'!O138-'BS consol'!O143+'BS consol'!P153-'BS consol'!O153)</f>
        <v>0</v>
      </c>
      <c r="Q43" s="263">
        <f ca="1">OR(Q6,Q7)*('BS consol'!Q138-'BS consol'!P138+'BS consol'!Q143-'BS consol'!P143+'BS consol'!Q153-'BS consol'!P153+'BS consol'!Q126-'BS consol'!P126+'BS consol'!Q131-'BS consol'!P131)+Q8*('BS consol'!Q126-'BS consol'!P126+'BS consol'!Q131-'BS consol'!P131+'BS consol'!Q138-'BS consol'!P138-'BS consol'!P143+'BS consol'!Q153-'BS consol'!P153)</f>
        <v>0</v>
      </c>
      <c r="R43" s="263">
        <f>OR(R6,R7)*('BS consol'!R138-'BS consol'!Q138+'BS consol'!R143-'BS consol'!Q143+'BS consol'!R153-'BS consol'!Q153+'BS consol'!R126-'BS consol'!Q126+'BS consol'!R131-'BS consol'!Q131)+R8*('BS consol'!R126-'BS consol'!Q126+'BS consol'!R131-'BS consol'!Q131+'BS consol'!R138-'BS consol'!Q138-'BS consol'!Q143+'BS consol'!R153-'BS consol'!Q153)</f>
        <v>0</v>
      </c>
      <c r="S43" s="263">
        <f>OR(S6,S7)*('BS consol'!S138-'BS consol'!R138+'BS consol'!S143-'BS consol'!R143+'BS consol'!S153-'BS consol'!R153+'BS consol'!S126-'BS consol'!R126+'BS consol'!S131-'BS consol'!R131)+S8*('BS consol'!S126-'BS consol'!R126+'BS consol'!S131-'BS consol'!R131+'BS consol'!S138-'BS consol'!R138-'BS consol'!R143+'BS consol'!S153-'BS consol'!R153)</f>
        <v>0</v>
      </c>
      <c r="T43" s="263">
        <f>OR(T6,T7)*('BS consol'!T138-'BS consol'!S138+'BS consol'!T143-'BS consol'!S143+'BS consol'!T153-'BS consol'!S153+'BS consol'!T126-'BS consol'!S126+'BS consol'!T131-'BS consol'!S131)+T8*('BS consol'!T126-'BS consol'!S126+'BS consol'!T131-'BS consol'!S131+'BS consol'!T138-'BS consol'!S138-'BS consol'!S143+'BS consol'!T153-'BS consol'!S153)</f>
        <v>0</v>
      </c>
      <c r="U43" s="263">
        <f>OR(U6,U7)*('BS consol'!U138-'BS consol'!T138+'BS consol'!U143-'BS consol'!T143+'BS consol'!U153-'BS consol'!T153+'BS consol'!U126-'BS consol'!T126+'BS consol'!U131-'BS consol'!T131)+U8*('BS consol'!U126-'BS consol'!T126+'BS consol'!U131-'BS consol'!T131+'BS consol'!U138-'BS consol'!T138-'BS consol'!T143+'BS consol'!U153-'BS consol'!T153)</f>
        <v>0</v>
      </c>
      <c r="V43" s="263">
        <f>OR(V6,V7)*('BS consol'!V138-'BS consol'!U138+'BS consol'!V143-'BS consol'!U143+'BS consol'!V153-'BS consol'!U153+'BS consol'!V126-'BS consol'!U126+'BS consol'!V131-'BS consol'!U131)+V8*('BS consol'!V126-'BS consol'!U126+'BS consol'!V131-'BS consol'!U131+'BS consol'!V138-'BS consol'!U138-'BS consol'!U143+'BS consol'!V153-'BS consol'!U153)</f>
        <v>0</v>
      </c>
      <c r="W43" s="263">
        <f>OR(W6,W7)*('BS consol'!W138-'BS consol'!V138+'BS consol'!W143-'BS consol'!V143+'BS consol'!W153-'BS consol'!V153+'BS consol'!W126-'BS consol'!V126+'BS consol'!W131-'BS consol'!V131)+W8*('BS consol'!W126-'BS consol'!V126+'BS consol'!W131-'BS consol'!V131+'BS consol'!W138-'BS consol'!V138-'BS consol'!V143+'BS consol'!W153-'BS consol'!V153)</f>
        <v>0</v>
      </c>
      <c r="X43" s="263">
        <f>OR(X6,X7)*('BS consol'!X138-'BS consol'!W138+'BS consol'!X143-'BS consol'!W143+'BS consol'!X153-'BS consol'!W153+'BS consol'!X126-'BS consol'!W126+'BS consol'!X131-'BS consol'!W131)+X8*('BS consol'!X126-'BS consol'!W126+'BS consol'!X131-'BS consol'!W131+'BS consol'!X138-'BS consol'!W138-'BS consol'!W143+'BS consol'!X153-'BS consol'!W153)</f>
        <v>0</v>
      </c>
      <c r="Y43" s="263">
        <f>OR(Y6,Y7)*('BS consol'!Y138-'BS consol'!X138+'BS consol'!Y143-'BS consol'!X143+'BS consol'!Y153-'BS consol'!X153+'BS consol'!Y126-'BS consol'!X126+'BS consol'!Y131-'BS consol'!X131)+Y8*('BS consol'!Y126-'BS consol'!X126+'BS consol'!Y131-'BS consol'!X131+'BS consol'!Y138-'BS consol'!X138-'BS consol'!X143+'BS consol'!Y153-'BS consol'!X153)</f>
        <v>0</v>
      </c>
      <c r="Z43" s="263">
        <f>OR(Z6,Z7)*('BS consol'!Z138-'BS consol'!Y138+'BS consol'!Z143-'BS consol'!Y143+'BS consol'!Z153-'BS consol'!Y153+'BS consol'!Z126-'BS consol'!Y126+'BS consol'!Z131-'BS consol'!Y131)+Z8*('BS consol'!Z126-'BS consol'!Y126+'BS consol'!Z131-'BS consol'!Y131+'BS consol'!Z138-'BS consol'!Y138-'BS consol'!Y143+'BS consol'!Z153-'BS consol'!Y153)</f>
        <v>0</v>
      </c>
      <c r="AA43" s="263">
        <f>OR(AA6,AA7)*('BS consol'!AA138-'BS consol'!Z138+'BS consol'!AA143-'BS consol'!Z143+'BS consol'!AA153-'BS consol'!Z153+'BS consol'!AA126-'BS consol'!Z126+'BS consol'!AA131-'BS consol'!Z131)+AA8*('BS consol'!AA126-'BS consol'!Z126+'BS consol'!AA131-'BS consol'!Z131+'BS consol'!AA138-'BS consol'!Z138-'BS consol'!Z143+'BS consol'!AA153-'BS consol'!Z153)</f>
        <v>0</v>
      </c>
      <c r="AB43" s="263">
        <f>OR(AB6,AB7)*('BS consol'!AB138-'BS consol'!AA138+'BS consol'!AB143-'BS consol'!AA143+'BS consol'!AB153-'BS consol'!AA153+'BS consol'!AB126-'BS consol'!AA126+'BS consol'!AB131-'BS consol'!AA131)+AB8*('BS consol'!AB126-'BS consol'!AA126+'BS consol'!AB131-'BS consol'!AA131+'BS consol'!AB138-'BS consol'!AA138-'BS consol'!AA143+'BS consol'!AB153-'BS consol'!AA153)</f>
        <v>0</v>
      </c>
      <c r="AC43" s="263">
        <f>OR(AC6,AC7)*('BS consol'!AC138-'BS consol'!AB138+'BS consol'!AC143-'BS consol'!AB143+'BS consol'!AC153-'BS consol'!AB153+'BS consol'!AC126-'BS consol'!AB126+'BS consol'!AC131-'BS consol'!AB131)+AC8*('BS consol'!AC126-'BS consol'!AB126+'BS consol'!AC131-'BS consol'!AB131+'BS consol'!AC138-'BS consol'!AB138-'BS consol'!AB143+'BS consol'!AC153-'BS consol'!AB153)</f>
        <v>0</v>
      </c>
    </row>
    <row r="44" spans="1:29">
      <c r="C44" s="266" t="s">
        <v>681</v>
      </c>
      <c r="D44" s="263"/>
      <c r="E44" s="263"/>
      <c r="F44" s="263">
        <f ca="1">-'IS consol'!F144</f>
        <v>0</v>
      </c>
      <c r="G44" s="263">
        <f ca="1">-'IS consol'!G144</f>
        <v>0</v>
      </c>
      <c r="H44" s="263">
        <f ca="1">-'IS consol'!H144</f>
        <v>0</v>
      </c>
      <c r="I44" s="263">
        <f ca="1">-'IS consol'!I144</f>
        <v>0</v>
      </c>
      <c r="J44" s="263">
        <f ca="1">-'IS consol'!J144</f>
        <v>0</v>
      </c>
      <c r="K44" s="263">
        <f ca="1">-'IS consol'!K144</f>
        <v>0</v>
      </c>
      <c r="L44" s="263">
        <f ca="1">-'IS consol'!L144</f>
        <v>0</v>
      </c>
      <c r="M44" s="263">
        <f ca="1">-'IS consol'!M144</f>
        <v>0</v>
      </c>
      <c r="N44" s="263">
        <f ca="1">-'IS consol'!N144</f>
        <v>0</v>
      </c>
      <c r="O44" s="263">
        <f ca="1">-'IS consol'!O144</f>
        <v>0</v>
      </c>
      <c r="P44" s="263">
        <f ca="1">-'IS consol'!P144</f>
        <v>0</v>
      </c>
      <c r="Q44" s="263">
        <f ca="1">-'IS consol'!Q144</f>
        <v>-372544000</v>
      </c>
      <c r="R44" s="263">
        <f ca="1">-'IS consol'!R144</f>
        <v>0</v>
      </c>
      <c r="S44" s="263">
        <f>-'IS consol'!S144</f>
        <v>0</v>
      </c>
      <c r="T44" s="263">
        <f>-'IS consol'!T144</f>
        <v>0</v>
      </c>
      <c r="U44" s="263">
        <f>-'IS consol'!U144</f>
        <v>0</v>
      </c>
      <c r="V44" s="263">
        <f>-'IS consol'!V144</f>
        <v>0</v>
      </c>
      <c r="W44" s="263">
        <f>-'IS consol'!W144</f>
        <v>0</v>
      </c>
      <c r="X44" s="263">
        <f>-'IS consol'!X144</f>
        <v>0</v>
      </c>
      <c r="Y44" s="263">
        <f>-'IS consol'!Y144</f>
        <v>0</v>
      </c>
      <c r="Z44" s="263">
        <f>-'IS consol'!Z144</f>
        <v>0</v>
      </c>
      <c r="AA44" s="263">
        <f>-'IS consol'!AA144</f>
        <v>0</v>
      </c>
      <c r="AB44" s="263">
        <f>-'IS consol'!AB144</f>
        <v>0</v>
      </c>
      <c r="AC44" s="263">
        <f>-'IS consol'!AC144</f>
        <v>0</v>
      </c>
    </row>
    <row r="45" spans="1:29">
      <c r="C45" s="199" t="s">
        <v>682</v>
      </c>
      <c r="D45" s="199"/>
      <c r="E45" s="199"/>
      <c r="F45" s="199">
        <f t="shared" ref="F45" ca="1" si="23">SUM(F35:F44)</f>
        <v>0</v>
      </c>
      <c r="G45" s="199">
        <f t="shared" ref="G45:L45" ca="1" si="24">SUM(G35:G44)</f>
        <v>0</v>
      </c>
      <c r="H45" s="199">
        <f t="shared" ca="1" si="24"/>
        <v>0</v>
      </c>
      <c r="I45" s="199">
        <f t="shared" ca="1" si="24"/>
        <v>0</v>
      </c>
      <c r="J45" s="199">
        <f t="shared" ca="1" si="24"/>
        <v>0</v>
      </c>
      <c r="K45" s="199">
        <f t="shared" ca="1" si="24"/>
        <v>0</v>
      </c>
      <c r="L45" s="199">
        <f t="shared" ca="1" si="24"/>
        <v>0</v>
      </c>
      <c r="M45" s="199">
        <f t="shared" ref="M45:AC45" ca="1" si="25">SUM(M35:M44)</f>
        <v>0</v>
      </c>
      <c r="N45" s="199">
        <f t="shared" ca="1" si="25"/>
        <v>0</v>
      </c>
      <c r="O45" s="199">
        <f t="shared" ca="1" si="25"/>
        <v>0</v>
      </c>
      <c r="P45" s="199">
        <f t="shared" ca="1" si="25"/>
        <v>0</v>
      </c>
      <c r="Q45" s="199">
        <f t="shared" ca="1" si="25"/>
        <v>-372544000</v>
      </c>
      <c r="R45" s="199">
        <f t="shared" ca="1" si="25"/>
        <v>0</v>
      </c>
      <c r="S45" s="199">
        <f t="shared" ca="1" si="25"/>
        <v>0</v>
      </c>
      <c r="T45" s="199">
        <f t="shared" ca="1" si="25"/>
        <v>0</v>
      </c>
      <c r="U45" s="199">
        <f t="shared" ca="1" si="25"/>
        <v>0</v>
      </c>
      <c r="V45" s="199">
        <f t="shared" ca="1" si="25"/>
        <v>0</v>
      </c>
      <c r="W45" s="199">
        <f t="shared" ca="1" si="25"/>
        <v>0</v>
      </c>
      <c r="X45" s="199">
        <f t="shared" ca="1" si="25"/>
        <v>0</v>
      </c>
      <c r="Y45" s="199">
        <f t="shared" ca="1" si="25"/>
        <v>0</v>
      </c>
      <c r="Z45" s="199">
        <f t="shared" ca="1" si="25"/>
        <v>0</v>
      </c>
      <c r="AA45" s="199">
        <f t="shared" ca="1" si="25"/>
        <v>0</v>
      </c>
      <c r="AB45" s="199">
        <f t="shared" ca="1" si="25"/>
        <v>0</v>
      </c>
      <c r="AC45" s="199">
        <f t="shared" ca="1" si="25"/>
        <v>0</v>
      </c>
    </row>
    <row r="46" spans="1:29">
      <c r="C46" s="266" t="s">
        <v>844</v>
      </c>
      <c r="D46" s="263"/>
      <c r="E46" s="263"/>
      <c r="F46" s="263">
        <f>'IS consol'!F106</f>
        <v>0</v>
      </c>
      <c r="G46" s="263">
        <f>'IS consol'!G106</f>
        <v>0</v>
      </c>
      <c r="H46" s="263">
        <f>'IS consol'!H106</f>
        <v>0</v>
      </c>
      <c r="I46" s="263">
        <f>'IS consol'!I106</f>
        <v>0</v>
      </c>
      <c r="J46" s="263">
        <f>'IS consol'!J106</f>
        <v>0</v>
      </c>
      <c r="K46" s="263">
        <f>'IS consol'!K106</f>
        <v>0</v>
      </c>
      <c r="L46" s="263">
        <f>'IS consol'!L106</f>
        <v>0</v>
      </c>
      <c r="M46" s="263">
        <f>'IS consol'!M106</f>
        <v>0</v>
      </c>
      <c r="N46" s="263">
        <f>'IS consol'!N106</f>
        <v>0</v>
      </c>
      <c r="O46" s="263">
        <f>'IS consol'!O106</f>
        <v>0</v>
      </c>
      <c r="P46" s="263">
        <f>'IS consol'!P106</f>
        <v>0</v>
      </c>
      <c r="Q46" s="263">
        <f>'IS consol'!Q106</f>
        <v>0</v>
      </c>
      <c r="R46" s="263">
        <f>'IS consol'!R106</f>
        <v>0</v>
      </c>
      <c r="S46" s="263">
        <f>'IS consol'!S106</f>
        <v>0</v>
      </c>
      <c r="T46" s="263">
        <f>'IS consol'!T106</f>
        <v>0</v>
      </c>
      <c r="U46" s="263">
        <f>'IS consol'!U106</f>
        <v>0</v>
      </c>
      <c r="V46" s="263">
        <f>'IS consol'!V106</f>
        <v>0</v>
      </c>
      <c r="W46" s="263">
        <f>'IS consol'!W106</f>
        <v>0</v>
      </c>
      <c r="X46" s="263">
        <f>'IS consol'!X106</f>
        <v>0</v>
      </c>
      <c r="Y46" s="263">
        <f>'IS consol'!Y106</f>
        <v>0</v>
      </c>
      <c r="Z46" s="263">
        <f>'IS consol'!Z106</f>
        <v>0</v>
      </c>
      <c r="AA46" s="263">
        <f>'IS consol'!AA106</f>
        <v>0</v>
      </c>
      <c r="AB46" s="263">
        <f>'IS consol'!AB106</f>
        <v>0</v>
      </c>
      <c r="AC46" s="263">
        <f>'IS consol'!AC106</f>
        <v>0</v>
      </c>
    </row>
    <row r="47" spans="1:29">
      <c r="C47" s="266" t="s">
        <v>845</v>
      </c>
      <c r="D47" s="263"/>
      <c r="E47" s="263"/>
      <c r="F47" s="263">
        <f ca="1">F8*('Acquisition BS adjustments'!$D$4-F40)-F8*(F43+F34)</f>
        <v>0</v>
      </c>
      <c r="G47" s="263">
        <f ca="1">G8*('Acquisition BS adjustments'!$D$4-G40)-G8*(G43+G34)</f>
        <v>0</v>
      </c>
      <c r="H47" s="263">
        <f ca="1">H8*('Acquisition BS adjustments'!$D$4-H40)-H8*(H43+H34)</f>
        <v>0</v>
      </c>
      <c r="I47" s="263">
        <f ca="1">I8*('Acquisition BS adjustments'!$D$4-I40)-I8*(I43+I34)</f>
        <v>0</v>
      </c>
      <c r="J47" s="263">
        <f ca="1">J8*('Acquisition BS adjustments'!$D$4-J40)-J8*(J43+J34)</f>
        <v>0</v>
      </c>
      <c r="K47" s="263">
        <f ca="1">K8*('Acquisition BS adjustments'!$D$4-K40)-K8*(K43+K34)</f>
        <v>0</v>
      </c>
      <c r="L47" s="263">
        <f ca="1">L8*('Acquisition BS adjustments'!$D$4-L40)-L8*(L43+L34)</f>
        <v>0</v>
      </c>
      <c r="M47" s="263">
        <f ca="1">M8*('Acquisition BS adjustments'!$D$4-M40)-M8*(M43+M34)</f>
        <v>0</v>
      </c>
      <c r="N47" s="263">
        <f ca="1">N8*('Acquisition BS adjustments'!$D$4-N40)-N8*(N43+N34)</f>
        <v>0</v>
      </c>
      <c r="O47" s="263">
        <f ca="1">O8*('Acquisition BS adjustments'!$D$4-O40)-O8*(O43+O34)</f>
        <v>0</v>
      </c>
      <c r="P47" s="263">
        <f ca="1">P8*('Acquisition BS adjustments'!$D$4-P40)-P8*(P43+P34)</f>
        <v>0</v>
      </c>
      <c r="Q47" s="263">
        <f ca="1">Q8*('Acquisition BS adjustments'!$D$4-Q40)-Q8*(Q43+Q34)</f>
        <v>0</v>
      </c>
      <c r="R47" s="263">
        <f ca="1">R8*('Acquisition BS adjustments'!$D$4-R40)-R8*(R43+R34)</f>
        <v>0</v>
      </c>
      <c r="S47" s="263">
        <f ca="1">S8*('Acquisition BS adjustments'!$D$4-S40)-S8*(S43+S34)</f>
        <v>0</v>
      </c>
      <c r="T47" s="263">
        <f ca="1">T8*('Acquisition BS adjustments'!$D$4-T40)-T8*(T43+T34)</f>
        <v>0</v>
      </c>
      <c r="U47" s="263">
        <f ca="1">U8*('Acquisition BS adjustments'!$D$4-U40)-U8*(U43+U34)</f>
        <v>0</v>
      </c>
      <c r="V47" s="263">
        <f ca="1">V8*('Acquisition BS adjustments'!$D$4-V40)-V8*(V43+V34)</f>
        <v>0</v>
      </c>
      <c r="W47" s="263">
        <f ca="1">W8*('Acquisition BS adjustments'!$D$4-W40)-W8*(W43+W34)</f>
        <v>0</v>
      </c>
      <c r="X47" s="263">
        <f ca="1">X8*('Acquisition BS adjustments'!$D$4-X40)-X8*(X43+X34)</f>
        <v>0</v>
      </c>
      <c r="Y47" s="263">
        <f ca="1">Y8*('Acquisition BS adjustments'!$D$4-Y40)-Y8*(Y43+Y34)</f>
        <v>0</v>
      </c>
      <c r="Z47" s="263">
        <f ca="1">Z8*('Acquisition BS adjustments'!$D$4-Z40)-Z8*(Z43+Z34)</f>
        <v>0</v>
      </c>
      <c r="AA47" s="263">
        <f ca="1">AA8*('Acquisition BS adjustments'!$D$4-AA40)-AA8*(AA43+AA34)</f>
        <v>0</v>
      </c>
      <c r="AB47" s="263">
        <f ca="1">AB8*('Acquisition BS adjustments'!$D$4-AB40)-AB8*(AB43+AB34)</f>
        <v>0</v>
      </c>
      <c r="AC47" s="263">
        <f ca="1">AC8*('Acquisition BS adjustments'!$D$4-AC40)-AC8*(AC43+AC34)</f>
        <v>0</v>
      </c>
    </row>
    <row r="48" spans="1:29">
      <c r="C48" s="195" t="s">
        <v>1004</v>
      </c>
      <c r="D48" s="195"/>
      <c r="E48" s="195"/>
      <c r="F48" s="195">
        <f t="shared" ref="F48" ca="1" si="26">F27+F33+F45+F46+F47</f>
        <v>0</v>
      </c>
      <c r="G48" s="195">
        <f t="shared" ref="G48" ca="1" si="27">G27+G33+G45+G46+G47</f>
        <v>0</v>
      </c>
      <c r="H48" s="195">
        <f t="shared" ref="H48" ca="1" si="28">H27+H33+H45+H46+H47</f>
        <v>0</v>
      </c>
      <c r="I48" s="195">
        <f t="shared" ref="I48" ca="1" si="29">I27+I33+I45+I46+I47</f>
        <v>0</v>
      </c>
      <c r="J48" s="195">
        <f t="shared" ref="J48" ca="1" si="30">J27+J33+J45+J46+J47</f>
        <v>0</v>
      </c>
      <c r="K48" s="195">
        <f t="shared" ref="K48" ca="1" si="31">K27+K33+K45+K46+K47</f>
        <v>0</v>
      </c>
      <c r="L48" s="195">
        <f t="shared" ref="L48:AC48" ca="1" si="32">L27+L33+L45+L46+L47</f>
        <v>0</v>
      </c>
      <c r="M48" s="195">
        <f t="shared" ca="1" si="32"/>
        <v>0</v>
      </c>
      <c r="N48" s="195">
        <f t="shared" ca="1" si="32"/>
        <v>0</v>
      </c>
      <c r="O48" s="195">
        <f t="shared" ca="1" si="32"/>
        <v>0</v>
      </c>
      <c r="P48" s="195">
        <f t="shared" ca="1" si="32"/>
        <v>0</v>
      </c>
      <c r="Q48" s="195">
        <f t="shared" ca="1" si="32"/>
        <v>-372544000</v>
      </c>
      <c r="R48" s="195">
        <f t="shared" ca="1" si="32"/>
        <v>0</v>
      </c>
      <c r="S48" s="195">
        <f t="shared" ca="1" si="32"/>
        <v>0</v>
      </c>
      <c r="T48" s="195">
        <f t="shared" ca="1" si="32"/>
        <v>0</v>
      </c>
      <c r="U48" s="195">
        <f t="shared" ca="1" si="32"/>
        <v>0</v>
      </c>
      <c r="V48" s="195">
        <f t="shared" ca="1" si="32"/>
        <v>0</v>
      </c>
      <c r="W48" s="195">
        <f t="shared" ca="1" si="32"/>
        <v>0</v>
      </c>
      <c r="X48" s="195">
        <f t="shared" ca="1" si="32"/>
        <v>0</v>
      </c>
      <c r="Y48" s="195">
        <f t="shared" ca="1" si="32"/>
        <v>0</v>
      </c>
      <c r="Z48" s="195">
        <f t="shared" ca="1" si="32"/>
        <v>0</v>
      </c>
      <c r="AA48" s="195">
        <f t="shared" ca="1" si="32"/>
        <v>0</v>
      </c>
      <c r="AB48" s="195">
        <f t="shared" ca="1" si="32"/>
        <v>0</v>
      </c>
      <c r="AC48" s="195">
        <f t="shared" ca="1" si="32"/>
        <v>0</v>
      </c>
    </row>
    <row r="49" spans="3:29">
      <c r="C49" s="22" t="s">
        <v>21</v>
      </c>
      <c r="D49" s="25"/>
      <c r="E49" s="25"/>
      <c r="F49" s="197">
        <v>0</v>
      </c>
      <c r="G49" s="197">
        <v>0</v>
      </c>
      <c r="H49" s="197">
        <v>0</v>
      </c>
      <c r="I49" s="197">
        <v>0</v>
      </c>
      <c r="J49" s="197">
        <v>0</v>
      </c>
      <c r="K49" s="197">
        <v>0</v>
      </c>
      <c r="L49" s="197">
        <v>0</v>
      </c>
      <c r="M49" s="197">
        <v>0</v>
      </c>
      <c r="N49" s="197">
        <v>0</v>
      </c>
      <c r="O49" s="197">
        <v>0</v>
      </c>
      <c r="P49" s="197">
        <v>0</v>
      </c>
      <c r="Q49" s="197">
        <v>0</v>
      </c>
      <c r="R49" s="197">
        <v>0</v>
      </c>
      <c r="S49" s="197">
        <v>0</v>
      </c>
      <c r="T49" s="197">
        <v>0</v>
      </c>
      <c r="U49" s="197">
        <v>0</v>
      </c>
      <c r="V49" s="197">
        <v>0</v>
      </c>
      <c r="W49" s="197">
        <v>0</v>
      </c>
      <c r="X49" s="197">
        <v>0</v>
      </c>
      <c r="Y49" s="197">
        <v>0</v>
      </c>
      <c r="Z49" s="197">
        <v>0</v>
      </c>
      <c r="AA49" s="197">
        <v>0</v>
      </c>
      <c r="AB49" s="197">
        <v>0</v>
      </c>
      <c r="AC49" s="197">
        <v>0</v>
      </c>
    </row>
    <row r="50" spans="3:29">
      <c r="C50" s="268" t="s">
        <v>683</v>
      </c>
      <c r="D50" s="263"/>
      <c r="E50" s="263"/>
      <c r="F50" s="263">
        <f t="shared" ref="F50" si="33">E52</f>
        <v>0</v>
      </c>
      <c r="G50" s="263">
        <f t="shared" ref="G50:L50" si="34">F52</f>
        <v>0</v>
      </c>
      <c r="H50" s="263">
        <f t="shared" si="34"/>
        <v>0</v>
      </c>
      <c r="I50" s="263">
        <f t="shared" si="34"/>
        <v>0</v>
      </c>
      <c r="J50" s="263">
        <f t="shared" si="34"/>
        <v>0</v>
      </c>
      <c r="K50" s="263">
        <f t="shared" si="34"/>
        <v>0</v>
      </c>
      <c r="L50" s="263">
        <f t="shared" ca="1" si="34"/>
        <v>0</v>
      </c>
      <c r="M50" s="263">
        <f t="shared" ref="M50" ca="1" si="35">L52</f>
        <v>0</v>
      </c>
      <c r="N50" s="263">
        <f t="shared" ref="N50" ca="1" si="36">M52</f>
        <v>0</v>
      </c>
      <c r="O50" s="263">
        <f t="shared" ref="O50" ca="1" si="37">N52</f>
        <v>0</v>
      </c>
      <c r="P50" s="263">
        <f t="shared" ref="P50" ca="1" si="38">O52</f>
        <v>0</v>
      </c>
      <c r="Q50" s="263">
        <f t="shared" ref="Q50" ca="1" si="39">P52</f>
        <v>0</v>
      </c>
      <c r="R50" s="263">
        <f t="shared" ref="R50" si="40">Q52</f>
        <v>0</v>
      </c>
      <c r="S50" s="263">
        <f t="shared" ref="S50" si="41">R52</f>
        <v>0</v>
      </c>
      <c r="T50" s="263">
        <f t="shared" ref="T50" si="42">S52</f>
        <v>0</v>
      </c>
      <c r="U50" s="263">
        <f t="shared" ref="U50" si="43">T52</f>
        <v>0</v>
      </c>
      <c r="V50" s="263">
        <f t="shared" ref="V50" si="44">U52</f>
        <v>0</v>
      </c>
      <c r="W50" s="263">
        <f t="shared" ref="W50" si="45">V52</f>
        <v>0</v>
      </c>
      <c r="X50" s="263">
        <f t="shared" ref="X50" si="46">W52</f>
        <v>0</v>
      </c>
      <c r="Y50" s="263">
        <f t="shared" ref="Y50" si="47">X52</f>
        <v>0</v>
      </c>
      <c r="Z50" s="263">
        <f t="shared" ref="Z50" si="48">Y52</f>
        <v>0</v>
      </c>
      <c r="AA50" s="263">
        <f t="shared" ref="AA50" si="49">Z52</f>
        <v>0</v>
      </c>
      <c r="AB50" s="263">
        <f t="shared" ref="AB50" si="50">AA52</f>
        <v>0</v>
      </c>
      <c r="AC50" s="263">
        <f t="shared" ref="AC50" si="51">AB52</f>
        <v>0</v>
      </c>
    </row>
    <row r="51" spans="3:29">
      <c r="C51" s="192" t="s">
        <v>22</v>
      </c>
      <c r="D51" s="195"/>
      <c r="E51" s="195">
        <f>'BS consol'!E24</f>
        <v>0</v>
      </c>
      <c r="F51" s="195">
        <f t="shared" ref="F51" ca="1" si="52">F48+F49+F50</f>
        <v>0</v>
      </c>
      <c r="G51" s="195">
        <f t="shared" ref="G51:L51" ca="1" si="53">G48+G49+G50</f>
        <v>0</v>
      </c>
      <c r="H51" s="195">
        <f t="shared" ca="1" si="53"/>
        <v>0</v>
      </c>
      <c r="I51" s="195">
        <f t="shared" ca="1" si="53"/>
        <v>0</v>
      </c>
      <c r="J51" s="195">
        <f t="shared" ca="1" si="53"/>
        <v>0</v>
      </c>
      <c r="K51" s="195">
        <f t="shared" ca="1" si="53"/>
        <v>0</v>
      </c>
      <c r="L51" s="195">
        <f t="shared" ca="1" si="53"/>
        <v>0</v>
      </c>
      <c r="M51" s="195">
        <f t="shared" ref="M51:AC51" ca="1" si="54">M48+M49+M50</f>
        <v>0</v>
      </c>
      <c r="N51" s="195">
        <f t="shared" ca="1" si="54"/>
        <v>0</v>
      </c>
      <c r="O51" s="195">
        <f t="shared" ca="1" si="54"/>
        <v>0</v>
      </c>
      <c r="P51" s="195">
        <f t="shared" ca="1" si="54"/>
        <v>0</v>
      </c>
      <c r="Q51" s="195">
        <f t="shared" ca="1" si="54"/>
        <v>-372544000</v>
      </c>
      <c r="R51" s="195">
        <f t="shared" ca="1" si="54"/>
        <v>0</v>
      </c>
      <c r="S51" s="195">
        <f t="shared" ca="1" si="54"/>
        <v>0</v>
      </c>
      <c r="T51" s="195">
        <f t="shared" ca="1" si="54"/>
        <v>0</v>
      </c>
      <c r="U51" s="195">
        <f t="shared" ca="1" si="54"/>
        <v>0</v>
      </c>
      <c r="V51" s="195">
        <f t="shared" ca="1" si="54"/>
        <v>0</v>
      </c>
      <c r="W51" s="195">
        <f t="shared" ca="1" si="54"/>
        <v>0</v>
      </c>
      <c r="X51" s="195">
        <f t="shared" ca="1" si="54"/>
        <v>0</v>
      </c>
      <c r="Y51" s="195">
        <f t="shared" ca="1" si="54"/>
        <v>0</v>
      </c>
      <c r="Z51" s="195">
        <f t="shared" ca="1" si="54"/>
        <v>0</v>
      </c>
      <c r="AA51" s="195">
        <f t="shared" ca="1" si="54"/>
        <v>0</v>
      </c>
      <c r="AB51" s="195">
        <f t="shared" ca="1" si="54"/>
        <v>0</v>
      </c>
      <c r="AC51" s="195">
        <f t="shared" ca="1" si="54"/>
        <v>0</v>
      </c>
    </row>
    <row r="52" spans="3:29">
      <c r="C52" s="255" t="s">
        <v>846</v>
      </c>
      <c r="D52" s="255"/>
      <c r="E52" s="255">
        <f>'BS consol'!E24</f>
        <v>0</v>
      </c>
      <c r="F52" s="255">
        <f>'BS consol'!F24</f>
        <v>0</v>
      </c>
      <c r="G52" s="255">
        <f>'BS consol'!G24</f>
        <v>0</v>
      </c>
      <c r="H52" s="255">
        <f>'BS consol'!H24</f>
        <v>0</v>
      </c>
      <c r="I52" s="255">
        <f>'BS consol'!I24</f>
        <v>0</v>
      </c>
      <c r="J52" s="255">
        <f>'BS consol'!J24</f>
        <v>0</v>
      </c>
      <c r="K52" s="255">
        <f ca="1">'BS consol'!K24</f>
        <v>0</v>
      </c>
      <c r="L52" s="255">
        <f ca="1">'BS consol'!L24</f>
        <v>0</v>
      </c>
      <c r="M52" s="255">
        <f ca="1">'BS consol'!M24</f>
        <v>0</v>
      </c>
      <c r="N52" s="255">
        <f ca="1">'BS consol'!N24</f>
        <v>0</v>
      </c>
      <c r="O52" s="255">
        <f ca="1">'BS consol'!O24</f>
        <v>0</v>
      </c>
      <c r="P52" s="255">
        <f ca="1">'BS consol'!P24</f>
        <v>0</v>
      </c>
      <c r="Q52" s="255">
        <f>'BS consol'!Q24</f>
        <v>0</v>
      </c>
      <c r="R52" s="255">
        <f>'BS consol'!R24</f>
        <v>0</v>
      </c>
      <c r="S52" s="255">
        <f>'BS consol'!S24</f>
        <v>0</v>
      </c>
      <c r="T52" s="255">
        <f>'BS consol'!T24</f>
        <v>0</v>
      </c>
      <c r="U52" s="255">
        <f>'BS consol'!U24</f>
        <v>0</v>
      </c>
      <c r="V52" s="255">
        <f>'BS consol'!V24</f>
        <v>0</v>
      </c>
      <c r="W52" s="255">
        <f>'BS consol'!W24</f>
        <v>0</v>
      </c>
      <c r="X52" s="255">
        <f>'BS consol'!X24</f>
        <v>0</v>
      </c>
      <c r="Y52" s="255">
        <f>'BS consol'!Y24</f>
        <v>0</v>
      </c>
      <c r="Z52" s="255">
        <f>'BS consol'!Z24</f>
        <v>0</v>
      </c>
      <c r="AA52" s="255">
        <f>'BS consol'!AA24</f>
        <v>0</v>
      </c>
      <c r="AB52" s="255">
        <f>'BS consol'!AB24</f>
        <v>0</v>
      </c>
      <c r="AC52" s="255">
        <f>'BS consol'!AC24</f>
        <v>0</v>
      </c>
    </row>
    <row r="53" spans="3:29">
      <c r="C53" s="269" t="s">
        <v>1010</v>
      </c>
      <c r="D53" s="269"/>
      <c r="E53" s="269"/>
      <c r="F53" s="269">
        <f ca="1">OR(F6,F7,F8,F9)*IFERROR((F52-F51),1)</f>
        <v>0</v>
      </c>
      <c r="G53" s="269">
        <f t="shared" ref="G53:L53" ca="1" si="55">OR(G6,G7,G8,G9)*IFERROR((G52-G51),1)</f>
        <v>0</v>
      </c>
      <c r="H53" s="269">
        <f t="shared" ca="1" si="55"/>
        <v>0</v>
      </c>
      <c r="I53" s="269">
        <f t="shared" ca="1" si="55"/>
        <v>0</v>
      </c>
      <c r="J53" s="269">
        <f t="shared" ca="1" si="55"/>
        <v>0</v>
      </c>
      <c r="K53" s="269">
        <f t="shared" ca="1" si="55"/>
        <v>0</v>
      </c>
      <c r="L53" s="269">
        <f t="shared" ca="1" si="55"/>
        <v>0</v>
      </c>
      <c r="M53" s="269">
        <f t="shared" ref="M53:AC53" ca="1" si="56">OR(M6,M7,M8,M9)*IFERROR((M52-M51),1)</f>
        <v>0</v>
      </c>
      <c r="N53" s="269">
        <f t="shared" ca="1" si="56"/>
        <v>0</v>
      </c>
      <c r="O53" s="269">
        <f t="shared" ca="1" si="56"/>
        <v>0</v>
      </c>
      <c r="P53" s="269">
        <f t="shared" ca="1" si="56"/>
        <v>0</v>
      </c>
      <c r="Q53" s="269">
        <f t="shared" ca="1" si="56"/>
        <v>0</v>
      </c>
      <c r="R53" s="269">
        <f t="shared" ca="1" si="56"/>
        <v>0</v>
      </c>
      <c r="S53" s="269">
        <f t="shared" ca="1" si="56"/>
        <v>0</v>
      </c>
      <c r="T53" s="269">
        <f t="shared" ca="1" si="56"/>
        <v>0</v>
      </c>
      <c r="U53" s="269">
        <f t="shared" ca="1" si="56"/>
        <v>0</v>
      </c>
      <c r="V53" s="269">
        <f t="shared" ca="1" si="56"/>
        <v>0</v>
      </c>
      <c r="W53" s="269">
        <f t="shared" ca="1" si="56"/>
        <v>0</v>
      </c>
      <c r="X53" s="269">
        <f t="shared" ca="1" si="56"/>
        <v>0</v>
      </c>
      <c r="Y53" s="269">
        <f t="shared" ca="1" si="56"/>
        <v>0</v>
      </c>
      <c r="Z53" s="269">
        <f t="shared" ca="1" si="56"/>
        <v>0</v>
      </c>
      <c r="AA53" s="269">
        <f t="shared" ca="1" si="56"/>
        <v>0</v>
      </c>
      <c r="AB53" s="269">
        <f t="shared" ca="1" si="56"/>
        <v>0</v>
      </c>
      <c r="AC53" s="269">
        <f t="shared" ca="1" si="56"/>
        <v>0</v>
      </c>
    </row>
  </sheetData>
  <phoneticPr fontId="2" type="noConversion"/>
  <conditionalFormatting sqref="E6:AC9">
    <cfRule type="cellIs" dxfId="127" priority="9" operator="equal">
      <formula>TRUE</formula>
    </cfRule>
  </conditionalFormatting>
  <conditionalFormatting sqref="P42:AC42">
    <cfRule type="cellIs" dxfId="126" priority="6" operator="notEqual">
      <formula>0</formula>
    </cfRule>
  </conditionalFormatting>
  <conditionalFormatting sqref="F53:AC53">
    <cfRule type="cellIs" dxfId="125" priority="4" operator="notBetween">
      <formula>-0.01</formula>
      <formula>0.01</formula>
    </cfRule>
  </conditionalFormatting>
  <pageMargins left="0.7" right="0.7" top="0.75" bottom="0.75" header="0.3" footer="0.3"/>
  <pageSetup paperSize="9" scale="48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473" r:id="rId4" name="Drop Down 1">
              <controlPr defaultSize="0" autoLine="0" autoPict="0">
                <anchor moveWithCells="1">
                  <from>
                    <xdr:col>4</xdr:col>
                    <xdr:colOff>557784</xdr:colOff>
                    <xdr:row>0</xdr:row>
                    <xdr:rowOff>0</xdr:rowOff>
                  </from>
                  <to>
                    <xdr:col>5</xdr:col>
                    <xdr:colOff>777240</xdr:colOff>
                    <xdr:row>15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theme="0"/>
  </sheetPr>
  <dimension ref="B1:AG88"/>
  <sheetViews>
    <sheetView tabSelected="1" topLeftCell="C28" zoomScale="90" zoomScaleNormal="90" workbookViewId="0">
      <selection activeCell="M44" sqref="M44"/>
    </sheetView>
  </sheetViews>
  <sheetFormatPr defaultColWidth="9.140625" defaultRowHeight="13.7" outlineLevelRow="1" outlineLevelCol="1"/>
  <cols>
    <col min="1" max="1" width="4.85546875" style="52" customWidth="1"/>
    <col min="2" max="2" width="20" style="52" customWidth="1"/>
    <col min="3" max="3" width="35" style="52" customWidth="1"/>
    <col min="4" max="4" width="15.5703125" style="52" bestFit="1" customWidth="1" outlineLevel="1"/>
    <col min="5" max="5" width="15.7109375" style="52" customWidth="1" outlineLevel="1"/>
    <col min="6" max="6" width="16.85546875" style="52" bestFit="1" customWidth="1" outlineLevel="1"/>
    <col min="7" max="7" width="15.42578125" style="52" customWidth="1"/>
    <col min="8" max="8" width="14.42578125" style="52" bestFit="1" customWidth="1"/>
    <col min="9" max="9" width="16" style="52" bestFit="1" customWidth="1"/>
    <col min="10" max="11" width="14.42578125" style="52" bestFit="1" customWidth="1"/>
    <col min="12" max="12" width="16.85546875" style="52" bestFit="1" customWidth="1"/>
    <col min="13" max="19" width="14.42578125" style="52" bestFit="1" customWidth="1"/>
    <col min="20" max="20" width="14.42578125" style="52" customWidth="1"/>
    <col min="21" max="23" width="14.42578125" style="52" bestFit="1" customWidth="1"/>
    <col min="24" max="26" width="11.5703125" style="52" bestFit="1" customWidth="1"/>
    <col min="27" max="27" width="12.85546875" style="52" bestFit="1" customWidth="1"/>
    <col min="28" max="28" width="11.5703125" style="52" bestFit="1" customWidth="1"/>
    <col min="29" max="32" width="9.140625" style="52"/>
    <col min="33" max="33" width="11.85546875" style="52" customWidth="1"/>
    <col min="34" max="16384" width="9.140625" style="52"/>
  </cols>
  <sheetData>
    <row r="1" spans="3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33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1555</v>
      </c>
      <c r="M2" s="209">
        <f>IF(stub_quarter=4,1,stub_quarter+1)</f>
        <v>1</v>
      </c>
    </row>
    <row r="3" spans="3:33" s="1" customFormat="1" ht="14.6" customHeight="1" outlineLevel="1"/>
    <row r="4" spans="3:33" s="34" customFormat="1" ht="14.6" customHeight="1">
      <c r="C4" s="307" t="s">
        <v>719</v>
      </c>
      <c r="D4" s="307">
        <f>EOMONTH('Control Panel'!B11,2)</f>
        <v>43555</v>
      </c>
      <c r="E4" s="307">
        <f>EOMONTH(D4,3)</f>
        <v>43646</v>
      </c>
      <c r="F4" s="307">
        <f t="shared" ref="F4:AB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ref="AC4" si="1">EOMONTH(AB4,3)</f>
        <v>45838</v>
      </c>
      <c r="AD4" s="307">
        <f t="shared" ref="AD4" si="2">EOMONTH(AC4,3)</f>
        <v>45930</v>
      </c>
      <c r="AE4" s="307">
        <f t="shared" ref="AE4" si="3">EOMONTH(AD4,3)</f>
        <v>46022</v>
      </c>
      <c r="AF4" s="307">
        <f t="shared" ref="AF4:AG4" si="4">EOMONTH(AE4,3)</f>
        <v>46112</v>
      </c>
      <c r="AG4" s="307">
        <f t="shared" si="4"/>
        <v>46203</v>
      </c>
    </row>
    <row r="5" spans="3:33" s="28" customFormat="1" ht="14.6" customHeight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3:33" s="28" customFormat="1" ht="14.6" customHeight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3:33" s="1" customFormat="1" ht="14.6" customHeight="1">
      <c r="C7" s="209"/>
      <c r="D7" s="380">
        <f>YEAR(D4)</f>
        <v>2019</v>
      </c>
      <c r="E7" s="380">
        <f t="shared" ref="E7:AB7" si="5">YEAR(E4)</f>
        <v>2019</v>
      </c>
      <c r="F7" s="380">
        <f t="shared" si="5"/>
        <v>2019</v>
      </c>
      <c r="G7" s="380">
        <f t="shared" si="5"/>
        <v>2019</v>
      </c>
      <c r="H7" s="380">
        <f t="shared" si="5"/>
        <v>2020</v>
      </c>
      <c r="I7" s="380">
        <f t="shared" si="5"/>
        <v>2020</v>
      </c>
      <c r="J7" s="380">
        <f t="shared" si="5"/>
        <v>2020</v>
      </c>
      <c r="K7" s="380">
        <f t="shared" si="5"/>
        <v>2020</v>
      </c>
      <c r="L7" s="380">
        <f t="shared" si="5"/>
        <v>2021</v>
      </c>
      <c r="M7" s="380">
        <f t="shared" si="5"/>
        <v>2021</v>
      </c>
      <c r="N7" s="380">
        <f t="shared" si="5"/>
        <v>2021</v>
      </c>
      <c r="O7" s="380">
        <f t="shared" si="5"/>
        <v>2021</v>
      </c>
      <c r="P7" s="380">
        <f t="shared" si="5"/>
        <v>2022</v>
      </c>
      <c r="Q7" s="380">
        <f t="shared" si="5"/>
        <v>2022</v>
      </c>
      <c r="R7" s="380">
        <f t="shared" si="5"/>
        <v>2022</v>
      </c>
      <c r="S7" s="380">
        <f t="shared" si="5"/>
        <v>2022</v>
      </c>
      <c r="T7" s="380">
        <f t="shared" si="5"/>
        <v>2023</v>
      </c>
      <c r="U7" s="380">
        <f t="shared" si="5"/>
        <v>2023</v>
      </c>
      <c r="V7" s="380">
        <f t="shared" si="5"/>
        <v>2023</v>
      </c>
      <c r="W7" s="380">
        <f t="shared" si="5"/>
        <v>2023</v>
      </c>
      <c r="X7" s="380">
        <f t="shared" si="5"/>
        <v>2024</v>
      </c>
      <c r="Y7" s="380">
        <f t="shared" si="5"/>
        <v>2024</v>
      </c>
      <c r="Z7" s="380">
        <f t="shared" si="5"/>
        <v>2024</v>
      </c>
      <c r="AA7" s="380">
        <f t="shared" si="5"/>
        <v>2024</v>
      </c>
      <c r="AB7" s="380">
        <f t="shared" si="5"/>
        <v>2025</v>
      </c>
      <c r="AC7" s="406">
        <f t="shared" ref="AC7:AF7" si="6">YEAR(AC4)</f>
        <v>2025</v>
      </c>
      <c r="AD7" s="406">
        <f t="shared" si="6"/>
        <v>2025</v>
      </c>
      <c r="AE7" s="406">
        <f t="shared" si="6"/>
        <v>2025</v>
      </c>
      <c r="AF7" s="406">
        <f t="shared" si="6"/>
        <v>2026</v>
      </c>
      <c r="AG7" s="413">
        <f t="shared" ref="AG7" si="7">YEAR(AG4)</f>
        <v>2026</v>
      </c>
    </row>
    <row r="8" spans="3:33" s="1" customFormat="1" ht="14.6" customHeight="1">
      <c r="C8" s="209"/>
      <c r="D8" s="309">
        <f>M2</f>
        <v>1</v>
      </c>
      <c r="E8" s="309">
        <f>IF(D8=4,1,D8+1)</f>
        <v>2</v>
      </c>
      <c r="F8" s="309">
        <f>IF(E8=4,1,E8+1)</f>
        <v>3</v>
      </c>
      <c r="G8" s="309">
        <f>IF(F8=4,1,F8+1)</f>
        <v>4</v>
      </c>
      <c r="H8" s="309">
        <f>IF(G8=4,1,G8+1)</f>
        <v>1</v>
      </c>
      <c r="I8" s="309">
        <f t="shared" ref="I8:AB8" si="8">IF(H8=4,1,H8+1)</f>
        <v>2</v>
      </c>
      <c r="J8" s="309">
        <f t="shared" si="8"/>
        <v>3</v>
      </c>
      <c r="K8" s="309">
        <f t="shared" si="8"/>
        <v>4</v>
      </c>
      <c r="L8" s="309">
        <f t="shared" si="8"/>
        <v>1</v>
      </c>
      <c r="M8" s="309">
        <f t="shared" si="8"/>
        <v>2</v>
      </c>
      <c r="N8" s="309">
        <f t="shared" si="8"/>
        <v>3</v>
      </c>
      <c r="O8" s="309">
        <f t="shared" si="8"/>
        <v>4</v>
      </c>
      <c r="P8" s="309">
        <f t="shared" si="8"/>
        <v>1</v>
      </c>
      <c r="Q8" s="309">
        <f t="shared" si="8"/>
        <v>2</v>
      </c>
      <c r="R8" s="309">
        <f t="shared" si="8"/>
        <v>3</v>
      </c>
      <c r="S8" s="309">
        <f t="shared" si="8"/>
        <v>4</v>
      </c>
      <c r="T8" s="309">
        <f t="shared" si="8"/>
        <v>1</v>
      </c>
      <c r="U8" s="309">
        <f t="shared" si="8"/>
        <v>2</v>
      </c>
      <c r="V8" s="309">
        <f t="shared" si="8"/>
        <v>3</v>
      </c>
      <c r="W8" s="309">
        <f t="shared" si="8"/>
        <v>4</v>
      </c>
      <c r="X8" s="309">
        <f t="shared" si="8"/>
        <v>1</v>
      </c>
      <c r="Y8" s="309">
        <f t="shared" si="8"/>
        <v>2</v>
      </c>
      <c r="Z8" s="309">
        <f t="shared" si="8"/>
        <v>3</v>
      </c>
      <c r="AA8" s="309">
        <f t="shared" si="8"/>
        <v>4</v>
      </c>
      <c r="AB8" s="309">
        <f t="shared" si="8"/>
        <v>1</v>
      </c>
      <c r="AC8" s="309">
        <f t="shared" ref="AC8" si="9">IF(AB8=4,1,AB8+1)</f>
        <v>2</v>
      </c>
      <c r="AD8" s="309">
        <f t="shared" ref="AD8" si="10">IF(AC8=4,1,AC8+1)</f>
        <v>3</v>
      </c>
      <c r="AE8" s="309">
        <f t="shared" ref="AE8" si="11">IF(AD8=4,1,AD8+1)</f>
        <v>4</v>
      </c>
      <c r="AF8" s="309">
        <f t="shared" ref="AF8:AG8" si="12">IF(AE8=4,1,AE8+1)</f>
        <v>1</v>
      </c>
      <c r="AG8" s="309">
        <f t="shared" si="12"/>
        <v>2</v>
      </c>
    </row>
    <row r="9" spans="3:33" outlineLevel="1"/>
    <row r="10" spans="3:33" outlineLevel="1">
      <c r="C10" s="209" t="s">
        <v>784</v>
      </c>
      <c r="D10" s="209"/>
    </row>
    <row r="11" spans="3:33" ht="14.4" outlineLevel="1">
      <c r="C11" s="1" t="s">
        <v>785</v>
      </c>
      <c r="D11" s="197">
        <v>4</v>
      </c>
    </row>
    <row r="12" spans="3:33" ht="14.4" outlineLevel="1">
      <c r="C12" s="1" t="s">
        <v>786</v>
      </c>
      <c r="D12" s="283">
        <f>G4</f>
        <v>43830</v>
      </c>
    </row>
    <row r="13" spans="3:33" outlineLevel="1"/>
    <row r="14" spans="3:33" outlineLevel="1">
      <c r="C14" s="209" t="s">
        <v>967</v>
      </c>
      <c r="D14" s="209"/>
      <c r="E14" s="209"/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</row>
    <row r="15" spans="3:33" outlineLevel="1">
      <c r="C15" s="291" t="s">
        <v>761</v>
      </c>
      <c r="D15" s="291">
        <f ca="1">+'Financial Quarterly Holdco'!D97+'Financial Quarterly offshore'!D103*Stake_Bu1+'Financial Quarterly onshore'!D103*Stake_Bu2</f>
        <v>0</v>
      </c>
      <c r="E15" s="291">
        <f ca="1">+'Financial Quarterly Holdco'!E97+'Financial Quarterly offshore'!E103*Stake_Bu1+'Financial Quarterly onshore'!E103*Stake_Bu2</f>
        <v>0</v>
      </c>
      <c r="F15" s="291">
        <f ca="1">+'Financial Quarterly Holdco'!F97+'Financial Quarterly offshore'!F103*Stake_Bu1+'Financial Quarterly onshore'!F103*Stake_Bu2</f>
        <v>0</v>
      </c>
      <c r="G15" s="291">
        <f ca="1">+'Financial Quarterly Holdco'!G97+'Financial Quarterly offshore'!G103*Stake_Bu1+'Financial Quarterly onshore'!G103*Stake_Bu2</f>
        <v>0</v>
      </c>
      <c r="H15" s="291">
        <f ca="1">+'Financial Quarterly Holdco'!H97+'Financial Quarterly offshore'!H103*Stake_Bu1+'Financial Quarterly onshore'!H103*Stake_Bu2</f>
        <v>0</v>
      </c>
      <c r="I15" s="291">
        <f ca="1">+'Financial Quarterly Holdco'!I97+'Financial Quarterly offshore'!I103*Stake_Bu1+'Financial Quarterly onshore'!I103*Stake_Bu2</f>
        <v>0</v>
      </c>
      <c r="J15" s="291">
        <f ca="1">+'Financial Quarterly Holdco'!J97+'Financial Quarterly offshore'!J103*Stake_Bu1+'Financial Quarterly onshore'!J103*Stake_Bu2</f>
        <v>0</v>
      </c>
      <c r="K15" s="291">
        <f ca="1">+'Financial Quarterly Holdco'!K97+'Financial Quarterly offshore'!K103*Stake_Bu1+'Financial Quarterly onshore'!K103*Stake_Bu2</f>
        <v>0</v>
      </c>
      <c r="L15" s="291">
        <f ca="1">+'Financial Quarterly Holdco'!L97+'Financial Quarterly offshore'!L103*Stake_Bu1+'Financial Quarterly onshore'!L103*Stake_Bu2</f>
        <v>0</v>
      </c>
      <c r="M15" s="291">
        <f ca="1">+'Financial Quarterly Holdco'!M97+'Financial Quarterly offshore'!M103*Stake_Bu1+'Financial Quarterly onshore'!M103*Stake_Bu2</f>
        <v>0</v>
      </c>
      <c r="N15" s="291">
        <f ca="1">+'Financial Quarterly Holdco'!N97+'Financial Quarterly offshore'!N103*Stake_Bu1+'Financial Quarterly onshore'!N103*Stake_Bu2</f>
        <v>0</v>
      </c>
      <c r="O15" s="291">
        <f ca="1">+'Financial Quarterly Holdco'!O97+'Financial Quarterly offshore'!O103*Stake_Bu1+'Financial Quarterly onshore'!O103*Stake_Bu2</f>
        <v>0</v>
      </c>
      <c r="P15" s="291">
        <f ca="1">+'Financial Quarterly Holdco'!P97+'Financial Quarterly offshore'!P103*Stake_Bu1+'Financial Quarterly onshore'!P103*Stake_Bu2</f>
        <v>0</v>
      </c>
      <c r="Q15" s="291">
        <f ca="1">+'Financial Quarterly Holdco'!Q97+'Financial Quarterly offshore'!Q103*Stake_Bu1+'Financial Quarterly onshore'!Q103*Stake_Bu2</f>
        <v>0</v>
      </c>
      <c r="R15" s="291">
        <f ca="1">+'Financial Quarterly Holdco'!R97+'Financial Quarterly offshore'!R103*Stake_Bu1+'Financial Quarterly onshore'!R103*Stake_Bu2</f>
        <v>0</v>
      </c>
      <c r="S15" s="291">
        <f ca="1">+'Financial Quarterly Holdco'!S97+'Financial Quarterly offshore'!S103*Stake_Bu1+'Financial Quarterly onshore'!S103*Stake_Bu2</f>
        <v>0</v>
      </c>
      <c r="T15" s="291">
        <f ca="1">+'Financial Quarterly Holdco'!T97+'Financial Quarterly offshore'!T103*Stake_Bu1+'Financial Quarterly onshore'!T103*Stake_Bu2</f>
        <v>0</v>
      </c>
      <c r="U15" s="291">
        <f ca="1">+'Financial Quarterly Holdco'!U97+'Financial Quarterly offshore'!U103*Stake_Bu1+'Financial Quarterly onshore'!U103*Stake_Bu2</f>
        <v>0</v>
      </c>
      <c r="V15" s="291">
        <f ca="1">+'Financial Quarterly Holdco'!V97+'Financial Quarterly offshore'!V103*Stake_Bu1+'Financial Quarterly onshore'!V103*Stake_Bu2</f>
        <v>0</v>
      </c>
      <c r="W15" s="291">
        <f ca="1">+'Financial Quarterly Holdco'!W97+'Financial Quarterly offshore'!W103*Stake_Bu1+'Financial Quarterly onshore'!W103*Stake_Bu2</f>
        <v>0</v>
      </c>
      <c r="X15" s="291">
        <f ca="1">+'Financial Quarterly Holdco'!X97+'Financial Quarterly offshore'!X103*Stake_Bu1+'Financial Quarterly onshore'!X103*Stake_Bu2</f>
        <v>0</v>
      </c>
      <c r="Y15" s="291">
        <f ca="1">+'Financial Quarterly Holdco'!Y97+'Financial Quarterly offshore'!Y103*Stake_Bu1+'Financial Quarterly onshore'!Y103*Stake_Bu2</f>
        <v>0</v>
      </c>
      <c r="Z15" s="291">
        <f ca="1">+'Financial Quarterly Holdco'!Z97+'Financial Quarterly offshore'!Z103*Stake_Bu1+'Financial Quarterly onshore'!Z103*Stake_Bu2</f>
        <v>0</v>
      </c>
      <c r="AA15" s="291">
        <f ca="1">+'Financial Quarterly Holdco'!AA97+'Financial Quarterly offshore'!AA103*Stake_Bu1+'Financial Quarterly onshore'!AA103*Stake_Bu2</f>
        <v>0</v>
      </c>
      <c r="AB15" s="291" t="e">
        <f ca="1">+'Financial Quarterly Holdco'!AB97+'Financial Quarterly offshore'!AB103*Stake_Bu1+'Financial Quarterly onshore'!AB103*Stake_Bu2</f>
        <v>#N/A</v>
      </c>
      <c r="AC15" s="291" t="e">
        <f ca="1">+'Financial Quarterly Holdco'!AC97+'Financial Quarterly offshore'!AC103*Stake_Bu1+'Financial Quarterly onshore'!AC103*Stake_Bu2</f>
        <v>#N/A</v>
      </c>
      <c r="AD15" s="291" t="e">
        <f ca="1">+'Financial Quarterly Holdco'!AD97+'Financial Quarterly offshore'!AD103*Stake_Bu1+'Financial Quarterly onshore'!AD103*Stake_Bu2</f>
        <v>#N/A</v>
      </c>
      <c r="AE15" s="291" t="e">
        <f ca="1">+'Financial Quarterly Holdco'!AE97+'Financial Quarterly offshore'!AE103*Stake_Bu1+'Financial Quarterly onshore'!AE103*Stake_Bu2</f>
        <v>#N/A</v>
      </c>
      <c r="AF15" s="291" t="e">
        <f ca="1">+'Financial Quarterly Holdco'!AF97+'Financial Quarterly offshore'!AF103*Stake_Bu1+'Financial Quarterly onshore'!AF103*Stake_Bu2</f>
        <v>#N/A</v>
      </c>
      <c r="AG15" s="291" t="e">
        <f ca="1">+'Financial Quarterly Holdco'!AG97+'Financial Quarterly offshore'!AG103*Stake_Bu1+'Financial Quarterly onshore'!AG103*Stake_Bu2</f>
        <v>#N/A</v>
      </c>
    </row>
    <row r="16" spans="3:33" outlineLevel="1">
      <c r="C16" s="291" t="s">
        <v>762</v>
      </c>
      <c r="D16" s="291">
        <f ca="1">+'Financial Quarterly Holdco'!D67+'Financial Quarterly offshore'!D67*Stake_Bu1+'Financial Quarterly onshore'!D67*Stake_Bu2</f>
        <v>0</v>
      </c>
      <c r="E16" s="291">
        <f ca="1">+'Financial Quarterly Holdco'!E67+'Financial Quarterly offshore'!E67*Stake_Bu1+'Financial Quarterly onshore'!E67*Stake_Bu2</f>
        <v>0</v>
      </c>
      <c r="F16" s="291">
        <f ca="1">+'Financial Quarterly Holdco'!F67+'Financial Quarterly offshore'!F67*Stake_Bu1+'Financial Quarterly onshore'!F67*Stake_Bu2</f>
        <v>0</v>
      </c>
      <c r="G16" s="291">
        <f ca="1">+'Financial Quarterly Holdco'!G67+'Financial Quarterly offshore'!G67*Stake_Bu1+'Financial Quarterly onshore'!G67*Stake_Bu2</f>
        <v>0</v>
      </c>
      <c r="H16" s="291">
        <f ca="1">+'Financial Quarterly Holdco'!H67+'Financial Quarterly offshore'!H67*Stake_Bu1+'Financial Quarterly onshore'!H67*Stake_Bu2</f>
        <v>0</v>
      </c>
      <c r="I16" s="291">
        <f ca="1">+'Financial Quarterly Holdco'!I67+'Financial Quarterly offshore'!I67*Stake_Bu1+'Financial Quarterly onshore'!I67*Stake_Bu2</f>
        <v>0</v>
      </c>
      <c r="J16" s="291">
        <f ca="1">+'Financial Quarterly Holdco'!J67+'Financial Quarterly offshore'!J67*Stake_Bu1+'Financial Quarterly onshore'!J67*Stake_Bu2</f>
        <v>0</v>
      </c>
      <c r="K16" s="291">
        <f ca="1">+'Financial Quarterly Holdco'!K67+'Financial Quarterly offshore'!K67*Stake_Bu1+'Financial Quarterly onshore'!K67*Stake_Bu2</f>
        <v>0</v>
      </c>
      <c r="L16" s="291">
        <f ca="1">+'Financial Quarterly Holdco'!L67+'Financial Quarterly offshore'!L67*Stake_Bu1+'Financial Quarterly onshore'!L67*Stake_Bu2</f>
        <v>0</v>
      </c>
      <c r="M16" s="291">
        <f ca="1">+'Financial Quarterly Holdco'!M67+'Financial Quarterly offshore'!M67*Stake_Bu1+'Financial Quarterly onshore'!M67*Stake_Bu2</f>
        <v>0</v>
      </c>
      <c r="N16" s="291">
        <f ca="1">+'Financial Quarterly Holdco'!N67+'Financial Quarterly offshore'!N67*Stake_Bu1+'Financial Quarterly onshore'!N67*Stake_Bu2</f>
        <v>0</v>
      </c>
      <c r="O16" s="291">
        <f ca="1">+'Financial Quarterly Holdco'!O67+'Financial Quarterly offshore'!O67*Stake_Bu1+'Financial Quarterly onshore'!O67*Stake_Bu2</f>
        <v>0</v>
      </c>
      <c r="P16" s="291">
        <f ca="1">+'Financial Quarterly Holdco'!P67+'Financial Quarterly offshore'!P67*Stake_Bu1+'Financial Quarterly onshore'!P67*Stake_Bu2</f>
        <v>0</v>
      </c>
      <c r="Q16" s="291">
        <f ca="1">+'Financial Quarterly Holdco'!Q67+'Financial Quarterly offshore'!Q67*Stake_Bu1+'Financial Quarterly onshore'!Q67*Stake_Bu2</f>
        <v>0</v>
      </c>
      <c r="R16" s="291">
        <f ca="1">+'Financial Quarterly Holdco'!R67+'Financial Quarterly offshore'!R67*Stake_Bu1+'Financial Quarterly onshore'!R67*Stake_Bu2</f>
        <v>0</v>
      </c>
      <c r="S16" s="291">
        <f ca="1">+'Financial Quarterly Holdco'!S67+'Financial Quarterly offshore'!S67*Stake_Bu1+'Financial Quarterly onshore'!S67*Stake_Bu2</f>
        <v>0</v>
      </c>
      <c r="T16" s="291">
        <f ca="1">+'Financial Quarterly Holdco'!T67+'Financial Quarterly offshore'!T67*Stake_Bu1+'Financial Quarterly onshore'!T67*Stake_Bu2</f>
        <v>0</v>
      </c>
      <c r="U16" s="291">
        <f ca="1">+'Financial Quarterly Holdco'!U67+'Financial Quarterly offshore'!U67*Stake_Bu1+'Financial Quarterly onshore'!U67*Stake_Bu2</f>
        <v>0</v>
      </c>
      <c r="V16" s="291">
        <f ca="1">+'Financial Quarterly Holdco'!V67+'Financial Quarterly offshore'!V67*Stake_Bu1+'Financial Quarterly onshore'!V67*Stake_Bu2</f>
        <v>0</v>
      </c>
      <c r="W16" s="291">
        <f ca="1">+'Financial Quarterly Holdco'!W67+'Financial Quarterly offshore'!W67*Stake_Bu1+'Financial Quarterly onshore'!W67*Stake_Bu2</f>
        <v>0</v>
      </c>
      <c r="X16" s="291">
        <f ca="1">+'Financial Quarterly Holdco'!X67+'Financial Quarterly offshore'!X67*Stake_Bu1+'Financial Quarterly onshore'!X67*Stake_Bu2</f>
        <v>0</v>
      </c>
      <c r="Y16" s="291">
        <f ca="1">+'Financial Quarterly Holdco'!Y67+'Financial Quarterly offshore'!Y67*Stake_Bu1+'Financial Quarterly onshore'!Y67*Stake_Bu2</f>
        <v>0</v>
      </c>
      <c r="Z16" s="291">
        <f ca="1">+'Financial Quarterly Holdco'!Z67+'Financial Quarterly offshore'!Z67*Stake_Bu1+'Financial Quarterly onshore'!Z67*Stake_Bu2</f>
        <v>0</v>
      </c>
      <c r="AA16" s="291">
        <f ca="1">+'Financial Quarterly Holdco'!AA67+'Financial Quarterly offshore'!AA67*Stake_Bu1+'Financial Quarterly onshore'!AA67*Stake_Bu2</f>
        <v>0</v>
      </c>
      <c r="AB16" s="291" t="e">
        <f ca="1">+'Financial Quarterly Holdco'!AB67+'Financial Quarterly offshore'!AB67*Stake_Bu1+'Financial Quarterly onshore'!AB67*Stake_Bu2</f>
        <v>#N/A</v>
      </c>
      <c r="AC16" s="291" t="e">
        <f ca="1">+'Financial Quarterly Holdco'!AC67+'Financial Quarterly offshore'!AC67*Stake_Bu1+'Financial Quarterly onshore'!AC67*Stake_Bu2</f>
        <v>#N/A</v>
      </c>
      <c r="AD16" s="291" t="e">
        <f ca="1">+'Financial Quarterly Holdco'!AD67+'Financial Quarterly offshore'!AD67*Stake_Bu1+'Financial Quarterly onshore'!AD67*Stake_Bu2</f>
        <v>#N/A</v>
      </c>
      <c r="AE16" s="291" t="e">
        <f ca="1">+'Financial Quarterly Holdco'!AE67+'Financial Quarterly offshore'!AE67*Stake_Bu1+'Financial Quarterly onshore'!AE67*Stake_Bu2</f>
        <v>#N/A</v>
      </c>
      <c r="AF16" s="291" t="e">
        <f ca="1">+'Financial Quarterly Holdco'!AF67+'Financial Quarterly offshore'!AF67*Stake_Bu1+'Financial Quarterly onshore'!AF67*Stake_Bu2</f>
        <v>#N/A</v>
      </c>
      <c r="AG16" s="291" t="e">
        <f ca="1">+'Financial Quarterly Holdco'!AG67+'Financial Quarterly offshore'!AG67*Stake_Bu1+'Financial Quarterly onshore'!AG67*Stake_Bu2</f>
        <v>#N/A</v>
      </c>
    </row>
    <row r="17" spans="3:33" outlineLevel="1">
      <c r="C17" s="180" t="s">
        <v>763</v>
      </c>
      <c r="D17" s="180">
        <f ca="1">SUM(D15:D16)</f>
        <v>0</v>
      </c>
      <c r="E17" s="180">
        <f t="shared" ref="E17:AB17" ca="1" si="13">SUM(E15:E16)</f>
        <v>0</v>
      </c>
      <c r="F17" s="180">
        <f t="shared" ca="1" si="13"/>
        <v>0</v>
      </c>
      <c r="G17" s="180">
        <f t="shared" ca="1" si="13"/>
        <v>0</v>
      </c>
      <c r="H17" s="180">
        <f t="shared" ca="1" si="13"/>
        <v>0</v>
      </c>
      <c r="I17" s="180">
        <f t="shared" ca="1" si="13"/>
        <v>0</v>
      </c>
      <c r="J17" s="180">
        <f t="shared" ca="1" si="13"/>
        <v>0</v>
      </c>
      <c r="K17" s="180">
        <f t="shared" ca="1" si="13"/>
        <v>0</v>
      </c>
      <c r="L17" s="180">
        <f t="shared" ca="1" si="13"/>
        <v>0</v>
      </c>
      <c r="M17" s="180">
        <f t="shared" ca="1" si="13"/>
        <v>0</v>
      </c>
      <c r="N17" s="180">
        <f t="shared" ca="1" si="13"/>
        <v>0</v>
      </c>
      <c r="O17" s="180">
        <f t="shared" ca="1" si="13"/>
        <v>0</v>
      </c>
      <c r="P17" s="180">
        <f t="shared" ca="1" si="13"/>
        <v>0</v>
      </c>
      <c r="Q17" s="180">
        <f t="shared" ca="1" si="13"/>
        <v>0</v>
      </c>
      <c r="R17" s="180">
        <f t="shared" ca="1" si="13"/>
        <v>0</v>
      </c>
      <c r="S17" s="180">
        <f t="shared" ca="1" si="13"/>
        <v>0</v>
      </c>
      <c r="T17" s="180">
        <f t="shared" ca="1" si="13"/>
        <v>0</v>
      </c>
      <c r="U17" s="180">
        <f t="shared" ca="1" si="13"/>
        <v>0</v>
      </c>
      <c r="V17" s="180">
        <f t="shared" ca="1" si="13"/>
        <v>0</v>
      </c>
      <c r="W17" s="180">
        <f t="shared" ca="1" si="13"/>
        <v>0</v>
      </c>
      <c r="X17" s="180">
        <f t="shared" ca="1" si="13"/>
        <v>0</v>
      </c>
      <c r="Y17" s="180">
        <f t="shared" ca="1" si="13"/>
        <v>0</v>
      </c>
      <c r="Z17" s="180">
        <f t="shared" ca="1" si="13"/>
        <v>0</v>
      </c>
      <c r="AA17" s="180">
        <f t="shared" ca="1" si="13"/>
        <v>0</v>
      </c>
      <c r="AB17" s="180" t="e">
        <f t="shared" ca="1" si="13"/>
        <v>#N/A</v>
      </c>
      <c r="AC17" s="180" t="e">
        <f t="shared" ref="AC17:AF17" ca="1" si="14">SUM(AC15:AC16)</f>
        <v>#N/A</v>
      </c>
      <c r="AD17" s="180" t="e">
        <f t="shared" ca="1" si="14"/>
        <v>#N/A</v>
      </c>
      <c r="AE17" s="180" t="e">
        <f t="shared" ca="1" si="14"/>
        <v>#N/A</v>
      </c>
      <c r="AF17" s="180" t="e">
        <f t="shared" ca="1" si="14"/>
        <v>#N/A</v>
      </c>
      <c r="AG17" s="180" t="e">
        <f t="shared" ref="AG17" ca="1" si="15">SUM(AG15:AG16)</f>
        <v>#N/A</v>
      </c>
    </row>
    <row r="18" spans="3:33" outlineLevel="1">
      <c r="C18" s="288" t="s">
        <v>703</v>
      </c>
      <c r="D18" s="180">
        <f>'Financial Quarterly Holdco'!D12+'Financial Quarterly offshore'!D13*Stake_Bu1+'Financial Quarterly onshore'!D13*Stake_Bu2</f>
        <v>0</v>
      </c>
      <c r="E18" s="180">
        <f ca="1">'Financial Quarterly Holdco'!E12+'Financial Quarterly offshore'!E13*Stake_Bu1+'Financial Quarterly onshore'!E13*Stake_Bu2</f>
        <v>0</v>
      </c>
      <c r="F18" s="180">
        <f ca="1">'Financial Quarterly Holdco'!F12+'Financial Quarterly offshore'!F13*Stake_Bu1+'Financial Quarterly onshore'!F13*Stake_Bu2</f>
        <v>0</v>
      </c>
      <c r="G18" s="180">
        <f ca="1">'Financial Quarterly Holdco'!G12+'Financial Quarterly offshore'!G13*Stake_Bu1+'Financial Quarterly onshore'!G13*Stake_Bu2</f>
        <v>0</v>
      </c>
      <c r="H18" s="180">
        <f ca="1">'Financial Quarterly Holdco'!H12+'Financial Quarterly offshore'!H13*Stake_Bu1+'Financial Quarterly onshore'!H13*Stake_Bu2</f>
        <v>0</v>
      </c>
      <c r="I18" s="180">
        <f ca="1">'Financial Quarterly Holdco'!I12+'Financial Quarterly offshore'!I13*Stake_Bu1+'Financial Quarterly onshore'!I13*Stake_Bu2</f>
        <v>0</v>
      </c>
      <c r="J18" s="180">
        <f ca="1">'Financial Quarterly Holdco'!J12+'Financial Quarterly offshore'!J13*Stake_Bu1+'Financial Quarterly onshore'!J13*Stake_Bu2</f>
        <v>0</v>
      </c>
      <c r="K18" s="180">
        <f ca="1">'Financial Quarterly Holdco'!K12+'Financial Quarterly offshore'!K13*Stake_Bu1+'Financial Quarterly onshore'!K13*Stake_Bu2</f>
        <v>0</v>
      </c>
      <c r="L18" s="180">
        <f ca="1">'Financial Quarterly Holdco'!L12+'Financial Quarterly offshore'!L13*Stake_Bu1+'Financial Quarterly onshore'!L13*Stake_Bu2</f>
        <v>0</v>
      </c>
      <c r="M18" s="180">
        <f ca="1">'Financial Quarterly Holdco'!M12+'Financial Quarterly offshore'!M13*Stake_Bu1+'Financial Quarterly onshore'!M13*Stake_Bu2</f>
        <v>0</v>
      </c>
      <c r="N18" s="180">
        <f ca="1">'Financial Quarterly Holdco'!N12+'Financial Quarterly offshore'!N13*Stake_Bu1+'Financial Quarterly onshore'!N13*Stake_Bu2</f>
        <v>0</v>
      </c>
      <c r="O18" s="180">
        <f ca="1">'Financial Quarterly Holdco'!O12+'Financial Quarterly offshore'!O13*Stake_Bu1+'Financial Quarterly onshore'!O13*Stake_Bu2</f>
        <v>0</v>
      </c>
      <c r="P18" s="180">
        <f ca="1">'Financial Quarterly Holdco'!P12+'Financial Quarterly offshore'!P13*Stake_Bu1+'Financial Quarterly onshore'!P13*Stake_Bu2</f>
        <v>0</v>
      </c>
      <c r="Q18" s="180">
        <f ca="1">'Financial Quarterly Holdco'!Q12+'Financial Quarterly offshore'!Q13*Stake_Bu1+'Financial Quarterly onshore'!Q13*Stake_Bu2</f>
        <v>0</v>
      </c>
      <c r="R18" s="180">
        <f ca="1">'Financial Quarterly Holdco'!R12+'Financial Quarterly offshore'!R13*Stake_Bu1+'Financial Quarterly onshore'!R13*Stake_Bu2</f>
        <v>0</v>
      </c>
      <c r="S18" s="180">
        <f ca="1">'Financial Quarterly Holdco'!S12+'Financial Quarterly offshore'!S13*Stake_Bu1+'Financial Quarterly onshore'!S13*Stake_Bu2</f>
        <v>0</v>
      </c>
      <c r="T18" s="180">
        <f ca="1">'Financial Quarterly Holdco'!T12+'Financial Quarterly offshore'!T13*Stake_Bu1+'Financial Quarterly onshore'!T13*Stake_Bu2</f>
        <v>0</v>
      </c>
      <c r="U18" s="180">
        <f ca="1">'Financial Quarterly Holdco'!U12+'Financial Quarterly offshore'!U13*Stake_Bu1+'Financial Quarterly onshore'!U13*Stake_Bu2</f>
        <v>0</v>
      </c>
      <c r="V18" s="180">
        <f ca="1">'Financial Quarterly Holdco'!V12+'Financial Quarterly offshore'!V13*Stake_Bu1+'Financial Quarterly onshore'!V13*Stake_Bu2</f>
        <v>0</v>
      </c>
      <c r="W18" s="180">
        <f ca="1">'Financial Quarterly Holdco'!W12+'Financial Quarterly offshore'!W13*Stake_Bu1+'Financial Quarterly onshore'!W13*Stake_Bu2</f>
        <v>0</v>
      </c>
      <c r="X18" s="180">
        <f ca="1">'Financial Quarterly Holdco'!X12+'Financial Quarterly offshore'!X13*Stake_Bu1+'Financial Quarterly onshore'!X13*Stake_Bu2</f>
        <v>0</v>
      </c>
      <c r="Y18" s="180">
        <f ca="1">'Financial Quarterly Holdco'!Y12+'Financial Quarterly offshore'!Y13*Stake_Bu1+'Financial Quarterly onshore'!Y13*Stake_Bu2</f>
        <v>0</v>
      </c>
      <c r="Z18" s="180">
        <f ca="1">'Financial Quarterly Holdco'!Z12+'Financial Quarterly offshore'!Z13*Stake_Bu1+'Financial Quarterly onshore'!Z13*Stake_Bu2</f>
        <v>0</v>
      </c>
      <c r="AA18" s="180">
        <f ca="1">'Financial Quarterly Holdco'!AA12+'Financial Quarterly offshore'!AA13*Stake_Bu1+'Financial Quarterly onshore'!AA13*Stake_Bu2</f>
        <v>0</v>
      </c>
      <c r="AB18" s="180">
        <f ca="1">'Financial Quarterly Holdco'!AB12+'Financial Quarterly offshore'!AB13*Stake_Bu1+'Financial Quarterly onshore'!AB13*Stake_Bu2</f>
        <v>0</v>
      </c>
      <c r="AC18" s="180" t="e">
        <f ca="1">'Financial Quarterly Holdco'!AC12+'Financial Quarterly offshore'!AC13*Stake_Bu1+'Financial Quarterly onshore'!AC13*Stake_Bu2</f>
        <v>#N/A</v>
      </c>
      <c r="AD18" s="180" t="e">
        <f ca="1">'Financial Quarterly Holdco'!AD12+'Financial Quarterly offshore'!AD13*Stake_Bu1+'Financial Quarterly onshore'!AD13*Stake_Bu2</f>
        <v>#N/A</v>
      </c>
      <c r="AE18" s="180" t="e">
        <f ca="1">'Financial Quarterly Holdco'!AE12+'Financial Quarterly offshore'!AE13*Stake_Bu1+'Financial Quarterly onshore'!AE13*Stake_Bu2</f>
        <v>#N/A</v>
      </c>
      <c r="AF18" s="180" t="e">
        <f ca="1">'Financial Quarterly Holdco'!AF12+'Financial Quarterly offshore'!AF13*Stake_Bu1+'Financial Quarterly onshore'!AF13*Stake_Bu2</f>
        <v>#N/A</v>
      </c>
      <c r="AG18" s="180" t="e">
        <f ca="1">'Financial Quarterly Holdco'!AG12+'Financial Quarterly offshore'!AG13*Stake_Bu1+'Financial Quarterly onshore'!AG13*Stake_Bu2</f>
        <v>#N/A</v>
      </c>
    </row>
    <row r="19" spans="3:33" outlineLevel="1">
      <c r="C19" s="288" t="s">
        <v>704</v>
      </c>
      <c r="D19" s="180">
        <f ca="1">'Financial Quarterly Holdco'!D89+'Financial Quarterly offshore'!D95*Stake_Bu1+'Financial Quarterly onshore'!D95*Stake_Bu2</f>
        <v>0</v>
      </c>
      <c r="E19" s="180">
        <f ca="1">'Financial Quarterly Holdco'!E89+'Financial Quarterly offshore'!E95*Stake_Bu1+'Financial Quarterly onshore'!E95*Stake_Bu2</f>
        <v>0</v>
      </c>
      <c r="F19" s="180">
        <f ca="1">'Financial Quarterly Holdco'!F89+'Financial Quarterly offshore'!F95*Stake_Bu1+'Financial Quarterly onshore'!F95*Stake_Bu2</f>
        <v>0</v>
      </c>
      <c r="G19" s="180">
        <f ca="1">'Financial Quarterly Holdco'!G89+'Financial Quarterly offshore'!G95*Stake_Bu1+'Financial Quarterly onshore'!G95*Stake_Bu2</f>
        <v>0</v>
      </c>
      <c r="H19" s="180">
        <f ca="1">'Financial Quarterly Holdco'!H89+'Financial Quarterly offshore'!H95*Stake_Bu1+'Financial Quarterly onshore'!H95*Stake_Bu2</f>
        <v>0</v>
      </c>
      <c r="I19" s="180">
        <f ca="1">'Financial Quarterly Holdco'!I89+'Financial Quarterly offshore'!I95*Stake_Bu1+'Financial Quarterly onshore'!I95*Stake_Bu2</f>
        <v>0</v>
      </c>
      <c r="J19" s="180">
        <f ca="1">'Financial Quarterly Holdco'!J89+'Financial Quarterly offshore'!J95*Stake_Bu1+'Financial Quarterly onshore'!J95*Stake_Bu2</f>
        <v>0</v>
      </c>
      <c r="K19" s="180">
        <f ca="1">'Financial Quarterly Holdco'!K89+'Financial Quarterly offshore'!K95*Stake_Bu1+'Financial Quarterly onshore'!K95*Stake_Bu2</f>
        <v>0</v>
      </c>
      <c r="L19" s="180">
        <f ca="1">'Financial Quarterly Holdco'!L89+'Financial Quarterly offshore'!L95*Stake_Bu1+'Financial Quarterly onshore'!L95*Stake_Bu2</f>
        <v>0</v>
      </c>
      <c r="M19" s="180">
        <f ca="1">'Financial Quarterly Holdco'!M89+'Financial Quarterly offshore'!M95*Stake_Bu1+'Financial Quarterly onshore'!M95*Stake_Bu2</f>
        <v>0</v>
      </c>
      <c r="N19" s="180">
        <f ca="1">'Financial Quarterly Holdco'!N89+'Financial Quarterly offshore'!N95*Stake_Bu1+'Financial Quarterly onshore'!N95*Stake_Bu2</f>
        <v>0</v>
      </c>
      <c r="O19" s="180">
        <f ca="1">'Financial Quarterly Holdco'!O89+'Financial Quarterly offshore'!O95*Stake_Bu1+'Financial Quarterly onshore'!O95*Stake_Bu2</f>
        <v>0</v>
      </c>
      <c r="P19" s="180">
        <f ca="1">'Financial Quarterly Holdco'!P89+'Financial Quarterly offshore'!P95*Stake_Bu1+'Financial Quarterly onshore'!P95*Stake_Bu2</f>
        <v>0</v>
      </c>
      <c r="Q19" s="180">
        <f ca="1">'Financial Quarterly Holdco'!Q89+'Financial Quarterly offshore'!Q95*Stake_Bu1+'Financial Quarterly onshore'!Q95*Stake_Bu2</f>
        <v>0</v>
      </c>
      <c r="R19" s="180">
        <f ca="1">'Financial Quarterly Holdco'!R89+'Financial Quarterly offshore'!R95*Stake_Bu1+'Financial Quarterly onshore'!R95*Stake_Bu2</f>
        <v>0</v>
      </c>
      <c r="S19" s="180">
        <f ca="1">'Financial Quarterly Holdco'!S89+'Financial Quarterly offshore'!S95*Stake_Bu1+'Financial Quarterly onshore'!S95*Stake_Bu2</f>
        <v>0</v>
      </c>
      <c r="T19" s="180">
        <f ca="1">'Financial Quarterly Holdco'!T89+'Financial Quarterly offshore'!T95*Stake_Bu1+'Financial Quarterly onshore'!T95*Stake_Bu2</f>
        <v>0</v>
      </c>
      <c r="U19" s="180">
        <f ca="1">'Financial Quarterly Holdco'!U89+'Financial Quarterly offshore'!U95*Stake_Bu1+'Financial Quarterly onshore'!U95*Stake_Bu2</f>
        <v>0</v>
      </c>
      <c r="V19" s="180">
        <f ca="1">'Financial Quarterly Holdco'!V89+'Financial Quarterly offshore'!V95*Stake_Bu1+'Financial Quarterly onshore'!V95*Stake_Bu2</f>
        <v>0</v>
      </c>
      <c r="W19" s="180">
        <f ca="1">'Financial Quarterly Holdco'!W89+'Financial Quarterly offshore'!W95*Stake_Bu1+'Financial Quarterly onshore'!W95*Stake_Bu2</f>
        <v>0</v>
      </c>
      <c r="X19" s="180">
        <f ca="1">'Financial Quarterly Holdco'!X89+'Financial Quarterly offshore'!X95*Stake_Bu1+'Financial Quarterly onshore'!X95*Stake_Bu2</f>
        <v>0</v>
      </c>
      <c r="Y19" s="180">
        <f ca="1">'Financial Quarterly Holdco'!Y89+'Financial Quarterly offshore'!Y95*Stake_Bu1+'Financial Quarterly onshore'!Y95*Stake_Bu2</f>
        <v>0</v>
      </c>
      <c r="Z19" s="180">
        <f ca="1">'Financial Quarterly Holdco'!Z89+'Financial Quarterly offshore'!Z95*Stake_Bu1+'Financial Quarterly onshore'!Z95*Stake_Bu2</f>
        <v>0</v>
      </c>
      <c r="AA19" s="180">
        <f ca="1">'Financial Quarterly Holdco'!AA89+'Financial Quarterly offshore'!AA95*Stake_Bu1+'Financial Quarterly onshore'!AA95*Stake_Bu2</f>
        <v>0</v>
      </c>
      <c r="AB19" s="180" t="e">
        <f ca="1">'Financial Quarterly Holdco'!AB89+'Financial Quarterly offshore'!AB95*Stake_Bu1+'Financial Quarterly onshore'!AB95*Stake_Bu2</f>
        <v>#N/A</v>
      </c>
      <c r="AC19" s="180" t="e">
        <f ca="1">'Financial Quarterly Holdco'!AC89+'Financial Quarterly offshore'!AC95*Stake_Bu1+'Financial Quarterly onshore'!AC95*Stake_Bu2</f>
        <v>#N/A</v>
      </c>
      <c r="AD19" s="180" t="e">
        <f ca="1">'Financial Quarterly Holdco'!AD89+'Financial Quarterly offshore'!AD95*Stake_Bu1+'Financial Quarterly onshore'!AD95*Stake_Bu2</f>
        <v>#N/A</v>
      </c>
      <c r="AE19" s="180" t="e">
        <f ca="1">'Financial Quarterly Holdco'!AE89+'Financial Quarterly offshore'!AE95*Stake_Bu1+'Financial Quarterly onshore'!AE95*Stake_Bu2</f>
        <v>#N/A</v>
      </c>
      <c r="AF19" s="180" t="e">
        <f ca="1">'Financial Quarterly Holdco'!AF89+'Financial Quarterly offshore'!AF95*Stake_Bu1+'Financial Quarterly onshore'!AF95*Stake_Bu2</f>
        <v>#N/A</v>
      </c>
      <c r="AG19" s="180" t="e">
        <f ca="1">'Financial Quarterly Holdco'!AG89+'Financial Quarterly offshore'!AG95*Stake_Bu1+'Financial Quarterly onshore'!AG95*Stake_Bu2</f>
        <v>#N/A</v>
      </c>
    </row>
    <row r="20" spans="3:33" ht="14.4" outlineLevel="1">
      <c r="C20" s="34"/>
    </row>
    <row r="21" spans="3:33" outlineLevel="1">
      <c r="C21" s="385" t="s">
        <v>1744</v>
      </c>
      <c r="D21" s="291">
        <f ca="1">'Covenants offshore'!D21*Stake_Bu1+'Operating quarterly Holdco'!L23+'Covenants onshore'!D21*Stake_Bu2</f>
        <v>0</v>
      </c>
      <c r="E21" s="291">
        <f ca="1">'Covenants offshore'!E21*Stake_Bu1+'Operating quarterly Holdco'!M23+'Covenants onshore'!E21*Stake_Bu2</f>
        <v>0</v>
      </c>
      <c r="F21" s="291">
        <f ca="1">'Covenants offshore'!F21*Stake_Bu1+'Operating quarterly Holdco'!N23+'Covenants onshore'!F21*Stake_Bu2</f>
        <v>0</v>
      </c>
      <c r="G21" s="291">
        <f ca="1">'Covenants offshore'!G21*Stake_Bu1+'Operating quarterly Holdco'!O23+'Covenants onshore'!G21*Stake_Bu2</f>
        <v>0</v>
      </c>
      <c r="H21" s="291">
        <f ca="1">'Covenants offshore'!H21*Stake_Bu1+'Operating quarterly Holdco'!P23+'Covenants onshore'!H21*Stake_Bu2</f>
        <v>0</v>
      </c>
      <c r="I21" s="291">
        <f ca="1">'Covenants offshore'!I21*Stake_Bu1+'Operating quarterly Holdco'!Q23+'Covenants onshore'!I21*Stake_Bu2</f>
        <v>0</v>
      </c>
      <c r="J21" s="291">
        <f ca="1">'Covenants offshore'!J21*Stake_Bu1+'Operating quarterly Holdco'!R23+'Covenants onshore'!J21*Stake_Bu2</f>
        <v>0</v>
      </c>
      <c r="K21" s="291">
        <f ca="1">'Covenants offshore'!K21*Stake_Bu1+'Operating quarterly Holdco'!S23+'Covenants onshore'!K21*Stake_Bu2</f>
        <v>0</v>
      </c>
      <c r="L21" s="291">
        <f ca="1">'Covenants offshore'!L21*Stake_Bu1+'Operating quarterly Holdco'!T23+'Covenants onshore'!L21*Stake_Bu2</f>
        <v>0</v>
      </c>
      <c r="M21" s="291">
        <f ca="1">'Covenants offshore'!M21*Stake_Bu1+'Operating quarterly Holdco'!U23+'Covenants onshore'!M21*Stake_Bu2</f>
        <v>0</v>
      </c>
      <c r="N21" s="291">
        <f ca="1">'Covenants offshore'!N21*Stake_Bu1+'Operating quarterly Holdco'!V23+'Covenants onshore'!N21*Stake_Bu2</f>
        <v>0</v>
      </c>
      <c r="O21" s="291">
        <f ca="1">'Covenants offshore'!O21*Stake_Bu1+'Operating quarterly Holdco'!W23+'Covenants onshore'!O21*Stake_Bu2</f>
        <v>0</v>
      </c>
      <c r="P21" s="291">
        <f ca="1">'Covenants offshore'!P21*Stake_Bu1+'Operating quarterly Holdco'!X23+'Covenants onshore'!P21*Stake_Bu2</f>
        <v>0</v>
      </c>
      <c r="Q21" s="291">
        <f ca="1">'Covenants offshore'!Q21*Stake_Bu1+'Operating quarterly Holdco'!Y23+'Covenants onshore'!Q21*Stake_Bu2</f>
        <v>0</v>
      </c>
      <c r="R21" s="291">
        <f ca="1">'Covenants offshore'!R21*Stake_Bu1+'Operating quarterly Holdco'!Z23+'Covenants onshore'!R21*Stake_Bu2</f>
        <v>0</v>
      </c>
      <c r="S21" s="291">
        <f ca="1">'Covenants offshore'!S21*Stake_Bu1+'Operating quarterly Holdco'!AA23+'Covenants onshore'!S21*Stake_Bu2</f>
        <v>0</v>
      </c>
      <c r="T21" s="291">
        <f ca="1">'Covenants offshore'!T21*Stake_Bu1+'Operating quarterly Holdco'!AB23+'Covenants onshore'!T21*Stake_Bu2</f>
        <v>0</v>
      </c>
      <c r="U21" s="291">
        <f ca="1">'Covenants offshore'!U21*Stake_Bu1+'Operating quarterly Holdco'!AC23+'Covenants onshore'!U21*Stake_Bu2</f>
        <v>0</v>
      </c>
      <c r="V21" s="291">
        <f ca="1">'Covenants offshore'!V21*Stake_Bu1+'Operating quarterly Holdco'!AD23+'Covenants onshore'!V21*Stake_Bu2</f>
        <v>0</v>
      </c>
      <c r="W21" s="291">
        <f ca="1">'Covenants offshore'!W21*Stake_Bu1+'Operating quarterly Holdco'!AE23+'Covenants onshore'!W21*Stake_Bu2</f>
        <v>0</v>
      </c>
      <c r="X21" s="291">
        <f ca="1">'Covenants offshore'!X21*Stake_Bu1+'Operating quarterly Holdco'!AF23+'Covenants onshore'!X21*Stake_Bu2</f>
        <v>0</v>
      </c>
      <c r="Y21" s="291">
        <f ca="1">'Covenants offshore'!Y21*Stake_Bu1+'Operating quarterly Holdco'!AG23+'Covenants onshore'!Y21*Stake_Bu2</f>
        <v>0</v>
      </c>
      <c r="Z21" s="291">
        <f ca="1">'Covenants offshore'!Z21*Stake_Bu1+'Operating quarterly Holdco'!AH23+'Covenants onshore'!Z21*Stake_Bu2</f>
        <v>0</v>
      </c>
      <c r="AA21" s="291">
        <f ca="1">'Covenants offshore'!AA21*Stake_Bu1+'Operating quarterly Holdco'!AI23+'Covenants onshore'!AA21*Stake_Bu2</f>
        <v>0</v>
      </c>
      <c r="AB21" s="291" t="e">
        <f ca="1">'Covenants offshore'!AB21*Stake_Bu1+'Operating quarterly Holdco'!AJ23+'Covenants onshore'!AB21*Stake_Bu2</f>
        <v>#N/A</v>
      </c>
      <c r="AC21" s="291" t="e">
        <f ca="1">'Covenants offshore'!AC21*Stake_Bu1+'Operating quarterly Holdco'!AK23+'Covenants onshore'!AC21*Stake_Bu2</f>
        <v>#N/A</v>
      </c>
      <c r="AD21" s="291" t="e">
        <f ca="1">'Covenants offshore'!AD21*Stake_Bu1+'Operating quarterly Holdco'!AL23+'Covenants onshore'!AD21*Stake_Bu2</f>
        <v>#N/A</v>
      </c>
      <c r="AE21" s="291" t="e">
        <f ca="1">'Covenants offshore'!AE21*Stake_Bu1+'Operating quarterly Holdco'!AM23+'Covenants onshore'!AE21*Stake_Bu2</f>
        <v>#N/A</v>
      </c>
      <c r="AF21" s="291" t="e">
        <f ca="1">'Covenants offshore'!AF21*Stake_Bu1+'Operating quarterly Holdco'!AN23+'Covenants onshore'!AF21*Stake_Bu2</f>
        <v>#N/A</v>
      </c>
      <c r="AG21" s="291" t="e">
        <f ca="1">'Covenants offshore'!AG21*Stake_Bu1+'Operating quarterly Holdco'!AO23+'Covenants onshore'!AG21*Stake_Bu2</f>
        <v>#N/A</v>
      </c>
    </row>
    <row r="22" spans="3:33" outlineLevel="1">
      <c r="C22" s="385" t="s">
        <v>1745</v>
      </c>
      <c r="D22" s="291">
        <f ca="1">'Covenants offshore'!D22*Stake_Bu1+'Operating quarterly Holdco'!L24+'Covenants onshore'!D22*Stake_Bu2</f>
        <v>0</v>
      </c>
      <c r="E22" s="291">
        <f ca="1">'Covenants offshore'!E22*Stake_Bu1+'Operating quarterly Holdco'!M24+'Covenants onshore'!E22*Stake_Bu2</f>
        <v>0</v>
      </c>
      <c r="F22" s="291">
        <f ca="1">'Covenants offshore'!F22*Stake_Bu1+'Operating quarterly Holdco'!N24+'Covenants onshore'!F22*Stake_Bu2</f>
        <v>0</v>
      </c>
      <c r="G22" s="291">
        <f ca="1">'Covenants offshore'!G22*Stake_Bu1+'Operating quarterly Holdco'!O24+'Covenants onshore'!G22*Stake_Bu2</f>
        <v>0</v>
      </c>
      <c r="H22" s="291">
        <f ca="1">'Covenants offshore'!H22*Stake_Bu1+'Operating quarterly Holdco'!P24+'Covenants onshore'!H22*Stake_Bu2</f>
        <v>0</v>
      </c>
      <c r="I22" s="291">
        <f ca="1">'Covenants offshore'!I22*Stake_Bu1+'Operating quarterly Holdco'!Q24+'Covenants onshore'!I22*Stake_Bu2</f>
        <v>0</v>
      </c>
      <c r="J22" s="291">
        <f ca="1">'Covenants offshore'!J22*Stake_Bu1+'Operating quarterly Holdco'!R24+'Covenants onshore'!J22*Stake_Bu2</f>
        <v>0</v>
      </c>
      <c r="K22" s="291">
        <f ca="1">'Covenants offshore'!K22*Stake_Bu1+'Operating quarterly Holdco'!S24+'Covenants onshore'!K22*Stake_Bu2</f>
        <v>0</v>
      </c>
      <c r="L22" s="291">
        <f ca="1">'Covenants offshore'!L22*Stake_Bu1+'Operating quarterly Holdco'!T24+'Covenants onshore'!L22*Stake_Bu2</f>
        <v>0</v>
      </c>
      <c r="M22" s="291">
        <f ca="1">'Covenants offshore'!M22*Stake_Bu1+'Operating quarterly Holdco'!U24+'Covenants onshore'!M22*Stake_Bu2</f>
        <v>0</v>
      </c>
      <c r="N22" s="291">
        <f ca="1">'Covenants offshore'!N22*Stake_Bu1+'Operating quarterly Holdco'!V24+'Covenants onshore'!N22*Stake_Bu2</f>
        <v>0</v>
      </c>
      <c r="O22" s="291">
        <f ca="1">'Covenants offshore'!O22*Stake_Bu1+'Operating quarterly Holdco'!W24+'Covenants onshore'!O22*Stake_Bu2</f>
        <v>0</v>
      </c>
      <c r="P22" s="291">
        <f ca="1">'Covenants offshore'!P22*Stake_Bu1+'Operating quarterly Holdco'!X24+'Covenants onshore'!P22*Stake_Bu2</f>
        <v>0</v>
      </c>
      <c r="Q22" s="291">
        <f ca="1">'Covenants offshore'!Q22*Stake_Bu1+'Operating quarterly Holdco'!Y24+'Covenants onshore'!Q22*Stake_Bu2</f>
        <v>0</v>
      </c>
      <c r="R22" s="291">
        <f ca="1">'Covenants offshore'!R22*Stake_Bu1+'Operating quarterly Holdco'!Z24+'Covenants onshore'!R22*Stake_Bu2</f>
        <v>0</v>
      </c>
      <c r="S22" s="291">
        <f ca="1">'Covenants offshore'!S22*Stake_Bu1+'Operating quarterly Holdco'!AA24+'Covenants onshore'!S22*Stake_Bu2</f>
        <v>0</v>
      </c>
      <c r="T22" s="291">
        <f ca="1">'Covenants offshore'!T22*Stake_Bu1+'Operating quarterly Holdco'!AB24+'Covenants onshore'!T22*Stake_Bu2</f>
        <v>0</v>
      </c>
      <c r="U22" s="291">
        <f ca="1">'Covenants offshore'!U22*Stake_Bu1+'Operating quarterly Holdco'!AC24+'Covenants onshore'!U22*Stake_Bu2</f>
        <v>0</v>
      </c>
      <c r="V22" s="291">
        <f ca="1">'Covenants offshore'!V22*Stake_Bu1+'Operating quarterly Holdco'!AD24+'Covenants onshore'!V22*Stake_Bu2</f>
        <v>0</v>
      </c>
      <c r="W22" s="291">
        <f ca="1">'Covenants offshore'!W22*Stake_Bu1+'Operating quarterly Holdco'!AE24+'Covenants onshore'!W22*Stake_Bu2</f>
        <v>0</v>
      </c>
      <c r="X22" s="291">
        <f ca="1">'Covenants offshore'!X22*Stake_Bu1+'Operating quarterly Holdco'!AF24+'Covenants onshore'!X22*Stake_Bu2</f>
        <v>0</v>
      </c>
      <c r="Y22" s="291">
        <f ca="1">'Covenants offshore'!Y22*Stake_Bu1+'Operating quarterly Holdco'!AG24+'Covenants onshore'!Y22*Stake_Bu2</f>
        <v>0</v>
      </c>
      <c r="Z22" s="291">
        <f ca="1">'Covenants offshore'!Z22*Stake_Bu1+'Operating quarterly Holdco'!AH24+'Covenants onshore'!Z22*Stake_Bu2</f>
        <v>0</v>
      </c>
      <c r="AA22" s="291">
        <f ca="1">'Covenants offshore'!AA22*Stake_Bu1+'Operating quarterly Holdco'!AI24+'Covenants onshore'!AA22*Stake_Bu2</f>
        <v>0</v>
      </c>
      <c r="AB22" s="291" t="e">
        <f ca="1">'Covenants offshore'!AB22*Stake_Bu1+'Operating quarterly Holdco'!AJ24+'Covenants onshore'!AB22*Stake_Bu2</f>
        <v>#N/A</v>
      </c>
      <c r="AC22" s="291" t="e">
        <f ca="1">'Covenants offshore'!AC22*Stake_Bu1+'Operating quarterly Holdco'!AK24+'Covenants onshore'!AC22*Stake_Bu2</f>
        <v>#N/A</v>
      </c>
      <c r="AD22" s="291" t="e">
        <f ca="1">'Covenants offshore'!AD22*Stake_Bu1+'Operating quarterly Holdco'!AL24+'Covenants onshore'!AD22*Stake_Bu2</f>
        <v>#N/A</v>
      </c>
      <c r="AE22" s="291" t="e">
        <f ca="1">'Covenants offshore'!AE22*Stake_Bu1+'Operating quarterly Holdco'!AM24+'Covenants onshore'!AE22*Stake_Bu2</f>
        <v>#N/A</v>
      </c>
      <c r="AF22" s="291" t="e">
        <f ca="1">'Covenants offshore'!AF22*Stake_Bu1+'Operating quarterly Holdco'!AN24+'Covenants onshore'!AF22*Stake_Bu2</f>
        <v>#N/A</v>
      </c>
      <c r="AG22" s="291" t="e">
        <f ca="1">'Covenants offshore'!AG22*Stake_Bu1+'Operating quarterly Holdco'!AO24+'Covenants onshore'!AG22*Stake_Bu2</f>
        <v>#N/A</v>
      </c>
    </row>
    <row r="23" spans="3:33" outlineLevel="1">
      <c r="C23" s="385" t="s">
        <v>1746</v>
      </c>
      <c r="D23" s="291">
        <f>'Covenants offshore'!D23*Stake_Bu1+'Operating quarterly Holdco'!L25+'Covenants onshore'!D23*Stake_Bu2</f>
        <v>0</v>
      </c>
      <c r="E23" s="291">
        <f ca="1">'Covenants offshore'!E23*Stake_Bu1+'Operating quarterly Holdco'!M25+'Covenants onshore'!E23*Stake_Bu2</f>
        <v>0</v>
      </c>
      <c r="F23" s="291">
        <f ca="1">'Covenants offshore'!F23*Stake_Bu1+'Operating quarterly Holdco'!N25+'Covenants onshore'!F23*Stake_Bu2</f>
        <v>0</v>
      </c>
      <c r="G23" s="291">
        <f ca="1">'Covenants offshore'!G23*Stake_Bu1+'Operating quarterly Holdco'!O25+'Covenants onshore'!G23*Stake_Bu2</f>
        <v>0</v>
      </c>
      <c r="H23" s="291">
        <f ca="1">'Covenants offshore'!H23*Stake_Bu1+'Operating quarterly Holdco'!P25+'Covenants onshore'!H23*Stake_Bu2</f>
        <v>0</v>
      </c>
      <c r="I23" s="291">
        <f ca="1">'Covenants offshore'!I23*Stake_Bu1+'Operating quarterly Holdco'!Q25+'Covenants onshore'!I23*Stake_Bu2</f>
        <v>0</v>
      </c>
      <c r="J23" s="291">
        <f ca="1">'Covenants offshore'!J23*Stake_Bu1+'Operating quarterly Holdco'!R25+'Covenants onshore'!J23*Stake_Bu2</f>
        <v>0</v>
      </c>
      <c r="K23" s="291">
        <f ca="1">'Covenants offshore'!K23*Stake_Bu1+'Operating quarterly Holdco'!S25+'Covenants onshore'!K23*Stake_Bu2</f>
        <v>0</v>
      </c>
      <c r="L23" s="291">
        <f ca="1">'Covenants offshore'!L23*Stake_Bu1+'Operating quarterly Holdco'!T25+'Covenants onshore'!L23*Stake_Bu2</f>
        <v>0</v>
      </c>
      <c r="M23" s="291">
        <f ca="1">'Covenants offshore'!M23*Stake_Bu1+'Operating quarterly Holdco'!U25+'Covenants onshore'!M23*Stake_Bu2</f>
        <v>0</v>
      </c>
      <c r="N23" s="291">
        <f ca="1">'Covenants offshore'!N23*Stake_Bu1+'Operating quarterly Holdco'!V25+'Covenants onshore'!N23*Stake_Bu2</f>
        <v>0</v>
      </c>
      <c r="O23" s="291">
        <f ca="1">'Covenants offshore'!O23*Stake_Bu1+'Operating quarterly Holdco'!W25+'Covenants onshore'!O23*Stake_Bu2</f>
        <v>0</v>
      </c>
      <c r="P23" s="291">
        <f ca="1">'Covenants offshore'!P23*Stake_Bu1+'Operating quarterly Holdco'!X25+'Covenants onshore'!P23*Stake_Bu2</f>
        <v>0</v>
      </c>
      <c r="Q23" s="291">
        <f ca="1">'Covenants offshore'!Q23*Stake_Bu1+'Operating quarterly Holdco'!Y25+'Covenants onshore'!Q23*Stake_Bu2</f>
        <v>0</v>
      </c>
      <c r="R23" s="291">
        <f ca="1">'Covenants offshore'!R23*Stake_Bu1+'Operating quarterly Holdco'!Z25+'Covenants onshore'!R23*Stake_Bu2</f>
        <v>0</v>
      </c>
      <c r="S23" s="291">
        <f ca="1">'Covenants offshore'!S23*Stake_Bu1+'Operating quarterly Holdco'!AA25+'Covenants onshore'!S23*Stake_Bu2</f>
        <v>0</v>
      </c>
      <c r="T23" s="291">
        <f ca="1">'Covenants offshore'!T23*Stake_Bu1+'Operating quarterly Holdco'!AB25+'Covenants onshore'!T23*Stake_Bu2</f>
        <v>0</v>
      </c>
      <c r="U23" s="291">
        <f ca="1">'Covenants offshore'!U23*Stake_Bu1+'Operating quarterly Holdco'!AC25+'Covenants onshore'!U23*Stake_Bu2</f>
        <v>0</v>
      </c>
      <c r="V23" s="291">
        <f ca="1">'Covenants offshore'!V23*Stake_Bu1+'Operating quarterly Holdco'!AD25+'Covenants onshore'!V23*Stake_Bu2</f>
        <v>0</v>
      </c>
      <c r="W23" s="291">
        <f ca="1">'Covenants offshore'!W23*Stake_Bu1+'Operating quarterly Holdco'!AE25+'Covenants onshore'!W23*Stake_Bu2</f>
        <v>0</v>
      </c>
      <c r="X23" s="291">
        <f ca="1">'Covenants offshore'!X23*Stake_Bu1+'Operating quarterly Holdco'!AF25+'Covenants onshore'!X23*Stake_Bu2</f>
        <v>0</v>
      </c>
      <c r="Y23" s="291">
        <f ca="1">'Covenants offshore'!Y23*Stake_Bu1+'Operating quarterly Holdco'!AG25+'Covenants onshore'!Y23*Stake_Bu2</f>
        <v>0</v>
      </c>
      <c r="Z23" s="291">
        <f ca="1">'Covenants offshore'!Z23*Stake_Bu1+'Operating quarterly Holdco'!AH25+'Covenants onshore'!Z23*Stake_Bu2</f>
        <v>0</v>
      </c>
      <c r="AA23" s="291">
        <f ca="1">'Covenants offshore'!AA23*Stake_Bu1+'Operating quarterly Holdco'!AI25+'Covenants onshore'!AA23*Stake_Bu2</f>
        <v>0</v>
      </c>
      <c r="AB23" s="291" t="e">
        <f ca="1">'Covenants offshore'!AB23*Stake_Bu1+'Operating quarterly Holdco'!AJ25+'Covenants onshore'!AB23*Stake_Bu2</f>
        <v>#N/A</v>
      </c>
      <c r="AC23" s="291" t="e">
        <f ca="1">'Covenants offshore'!AC23*Stake_Bu1+'Operating quarterly Holdco'!AK25+'Covenants onshore'!AC23*Stake_Bu2</f>
        <v>#N/A</v>
      </c>
      <c r="AD23" s="291" t="e">
        <f ca="1">'Covenants offshore'!AD23*Stake_Bu1+'Operating quarterly Holdco'!AL25+'Covenants onshore'!AD23*Stake_Bu2</f>
        <v>#N/A</v>
      </c>
      <c r="AE23" s="291" t="e">
        <f ca="1">'Covenants offshore'!AE23*Stake_Bu1+'Operating quarterly Holdco'!AM25+'Covenants onshore'!AE23*Stake_Bu2</f>
        <v>#N/A</v>
      </c>
      <c r="AF23" s="291" t="e">
        <f ca="1">'Covenants offshore'!AF23*Stake_Bu1+'Operating quarterly Holdco'!AN25+'Covenants onshore'!AF23*Stake_Bu2</f>
        <v>#N/A</v>
      </c>
      <c r="AG23" s="291" t="e">
        <f ca="1">'Covenants offshore'!AG23*Stake_Bu1+'Operating quarterly Holdco'!AO25+'Covenants onshore'!AG23*Stake_Bu2</f>
        <v>#N/A</v>
      </c>
    </row>
    <row r="24" spans="3:33" outlineLevel="1">
      <c r="C24" s="385" t="s">
        <v>1747</v>
      </c>
      <c r="D24" s="291">
        <f ca="1">'Covenants offshore'!D24*Stake_Bu1+'Operating quarterly Holdco'!L26+'Covenants onshore'!D24*Stake_Bu2</f>
        <v>0</v>
      </c>
      <c r="E24" s="291">
        <f ca="1">'Covenants offshore'!E24*Stake_Bu1+'Operating quarterly Holdco'!M26+'Covenants onshore'!E24*Stake_Bu2</f>
        <v>0</v>
      </c>
      <c r="F24" s="291">
        <f ca="1">'Covenants offshore'!F24*Stake_Bu1+'Operating quarterly Holdco'!N26+'Covenants onshore'!F24*Stake_Bu2</f>
        <v>0</v>
      </c>
      <c r="G24" s="291">
        <f ca="1">'Covenants offshore'!G24*Stake_Bu1+'Operating quarterly Holdco'!O26+'Covenants onshore'!G24*Stake_Bu2</f>
        <v>0</v>
      </c>
      <c r="H24" s="291">
        <f ca="1">'Covenants offshore'!H24*Stake_Bu1+'Operating quarterly Holdco'!P26+'Covenants onshore'!H24*Stake_Bu2</f>
        <v>0</v>
      </c>
      <c r="I24" s="291">
        <f ca="1">'Covenants offshore'!I24*Stake_Bu1+'Operating quarterly Holdco'!Q26+'Covenants onshore'!I24*Stake_Bu2</f>
        <v>0</v>
      </c>
      <c r="J24" s="291">
        <f ca="1">'Covenants offshore'!J24*Stake_Bu1+'Operating quarterly Holdco'!R26+'Covenants onshore'!J24*Stake_Bu2</f>
        <v>0</v>
      </c>
      <c r="K24" s="291">
        <f ca="1">'Covenants offshore'!K24*Stake_Bu1+'Operating quarterly Holdco'!S26+'Covenants onshore'!K24*Stake_Bu2</f>
        <v>0</v>
      </c>
      <c r="L24" s="291">
        <f ca="1">'Covenants offshore'!L24*Stake_Bu1+'Operating quarterly Holdco'!T26+'Covenants onshore'!L24*Stake_Bu2</f>
        <v>0</v>
      </c>
      <c r="M24" s="291">
        <f ca="1">'Covenants offshore'!M24*Stake_Bu1+'Operating quarterly Holdco'!U26+'Covenants onshore'!M24*Stake_Bu2</f>
        <v>0</v>
      </c>
      <c r="N24" s="291">
        <f ca="1">'Covenants offshore'!N24*Stake_Bu1+'Operating quarterly Holdco'!V26+'Covenants onshore'!N24*Stake_Bu2</f>
        <v>0</v>
      </c>
      <c r="O24" s="291">
        <f ca="1">'Covenants offshore'!O24*Stake_Bu1+'Operating quarterly Holdco'!W26+'Covenants onshore'!O24*Stake_Bu2</f>
        <v>0</v>
      </c>
      <c r="P24" s="291">
        <f ca="1">'Covenants offshore'!P24*Stake_Bu1+'Operating quarterly Holdco'!X26+'Covenants onshore'!P24*Stake_Bu2</f>
        <v>0</v>
      </c>
      <c r="Q24" s="291">
        <f ca="1">'Covenants offshore'!Q24*Stake_Bu1+'Operating quarterly Holdco'!Y26+'Covenants onshore'!Q24*Stake_Bu2</f>
        <v>0</v>
      </c>
      <c r="R24" s="291">
        <f ca="1">'Covenants offshore'!R24*Stake_Bu1+'Operating quarterly Holdco'!Z26+'Covenants onshore'!R24*Stake_Bu2</f>
        <v>0</v>
      </c>
      <c r="S24" s="291">
        <f ca="1">'Covenants offshore'!S24*Stake_Bu1+'Operating quarterly Holdco'!AA26+'Covenants onshore'!S24*Stake_Bu2</f>
        <v>0</v>
      </c>
      <c r="T24" s="291">
        <f ca="1">'Covenants offshore'!T24*Stake_Bu1+'Operating quarterly Holdco'!AB26+'Covenants onshore'!T24*Stake_Bu2</f>
        <v>0</v>
      </c>
      <c r="U24" s="291">
        <f ca="1">'Covenants offshore'!U24*Stake_Bu1+'Operating quarterly Holdco'!AC26+'Covenants onshore'!U24*Stake_Bu2</f>
        <v>0</v>
      </c>
      <c r="V24" s="291">
        <f ca="1">'Covenants offshore'!V24*Stake_Bu1+'Operating quarterly Holdco'!AD26+'Covenants onshore'!V24*Stake_Bu2</f>
        <v>0</v>
      </c>
      <c r="W24" s="291">
        <f ca="1">'Covenants offshore'!W24*Stake_Bu1+'Operating quarterly Holdco'!AE26+'Covenants onshore'!W24*Stake_Bu2</f>
        <v>0</v>
      </c>
      <c r="X24" s="291">
        <f ca="1">'Covenants offshore'!X24*Stake_Bu1+'Operating quarterly Holdco'!AF26+'Covenants onshore'!X24*Stake_Bu2</f>
        <v>0</v>
      </c>
      <c r="Y24" s="291">
        <f ca="1">'Covenants offshore'!Y24*Stake_Bu1+'Operating quarterly Holdco'!AG26+'Covenants onshore'!Y24*Stake_Bu2</f>
        <v>0</v>
      </c>
      <c r="Z24" s="291">
        <f ca="1">'Covenants offshore'!Z24*Stake_Bu1+'Operating quarterly Holdco'!AH26+'Covenants onshore'!Z24*Stake_Bu2</f>
        <v>0</v>
      </c>
      <c r="AA24" s="291">
        <f ca="1">'Covenants offshore'!AA24*Stake_Bu1+'Operating quarterly Holdco'!AI26+'Covenants onshore'!AA24*Stake_Bu2</f>
        <v>0</v>
      </c>
      <c r="AB24" s="291" t="e">
        <f ca="1">'Covenants offshore'!AB24*Stake_Bu1+'Operating quarterly Holdco'!AJ26+'Covenants onshore'!AB24*Stake_Bu2</f>
        <v>#N/A</v>
      </c>
      <c r="AC24" s="291" t="e">
        <f ca="1">'Covenants offshore'!AC24*Stake_Bu1+'Operating quarterly Holdco'!AK26+'Covenants onshore'!AC24*Stake_Bu2</f>
        <v>#N/A</v>
      </c>
      <c r="AD24" s="291" t="e">
        <f ca="1">'Covenants offshore'!AD24*Stake_Bu1+'Operating quarterly Holdco'!AL26+'Covenants onshore'!AD24*Stake_Bu2</f>
        <v>#N/A</v>
      </c>
      <c r="AE24" s="291" t="e">
        <f ca="1">'Covenants offshore'!AE24*Stake_Bu1+'Operating quarterly Holdco'!AM26+'Covenants onshore'!AE24*Stake_Bu2</f>
        <v>#N/A</v>
      </c>
      <c r="AF24" s="291" t="e">
        <f ca="1">'Covenants offshore'!AF24*Stake_Bu1+'Operating quarterly Holdco'!AN26+'Covenants onshore'!AF24*Stake_Bu2</f>
        <v>#N/A</v>
      </c>
      <c r="AG24" s="291" t="e">
        <f ca="1">'Covenants offshore'!AG24*Stake_Bu1+'Operating quarterly Holdco'!AO26+'Covenants onshore'!AG24*Stake_Bu2</f>
        <v>#N/A</v>
      </c>
    </row>
    <row r="25" spans="3:33" outlineLevel="1">
      <c r="C25" s="385" t="s">
        <v>772</v>
      </c>
      <c r="D25" s="291">
        <f>-('Financial Quarterly Holdco'!D23+'Financial Quarterly Holdco'!D36+'Financial Quarterly Holdco'!D49+'Financial Quarterly Holdco'!D78)-('Financial Quarterly offshore'!D24+'Financial Quarterly offshore'!D37+'Financial Quarterly offshore'!D50+'Financial Quarterly offshore'!D79)*Stake_Bu1-('Financial Quarterly onshore'!D24+'Financial Quarterly onshore'!D37+'Financial Quarterly onshore'!D50+'Financial Quarterly onshore'!D79)*Stake_Bu2</f>
        <v>0</v>
      </c>
      <c r="E25" s="291">
        <f ca="1">-('Financial Quarterly Holdco'!E23+'Financial Quarterly Holdco'!E36+'Financial Quarterly Holdco'!E49+'Financial Quarterly Holdco'!E78)-('Financial Quarterly offshore'!E24+'Financial Quarterly offshore'!E37+'Financial Quarterly offshore'!E50+'Financial Quarterly offshore'!E79)*Stake_Bu1-('Financial Quarterly onshore'!E24+'Financial Quarterly onshore'!E37+'Financial Quarterly onshore'!E50+'Financial Quarterly onshore'!E79)*Stake_Bu2</f>
        <v>0</v>
      </c>
      <c r="F25" s="291">
        <f ca="1">-('Financial Quarterly Holdco'!F23+'Financial Quarterly Holdco'!F36+'Financial Quarterly Holdco'!F49+'Financial Quarterly Holdco'!F78)-('Financial Quarterly offshore'!F24+'Financial Quarterly offshore'!F37+'Financial Quarterly offshore'!F50+'Financial Quarterly offshore'!F79)*Stake_Bu1-('Financial Quarterly onshore'!F24+'Financial Quarterly onshore'!F37+'Financial Quarterly onshore'!F50+'Financial Quarterly onshore'!F79)*Stake_Bu2</f>
        <v>0</v>
      </c>
      <c r="G25" s="291">
        <f ca="1">-('Financial Quarterly Holdco'!G23+'Financial Quarterly Holdco'!G36+'Financial Quarterly Holdco'!G49+'Financial Quarterly Holdco'!G78)-('Financial Quarterly offshore'!G24+'Financial Quarterly offshore'!G37+'Financial Quarterly offshore'!G50+'Financial Quarterly offshore'!G79)*Stake_Bu1-('Financial Quarterly onshore'!G24+'Financial Quarterly onshore'!G37+'Financial Quarterly onshore'!G50+'Financial Quarterly onshore'!G79)*Stake_Bu2</f>
        <v>0</v>
      </c>
      <c r="H25" s="291">
        <f ca="1">-('Financial Quarterly Holdco'!H23+'Financial Quarterly Holdco'!H36+'Financial Quarterly Holdco'!H49+'Financial Quarterly Holdco'!H78)-('Financial Quarterly offshore'!H24+'Financial Quarterly offshore'!H37+'Financial Quarterly offshore'!H50+'Financial Quarterly offshore'!H79)*Stake_Bu1-('Financial Quarterly onshore'!H24+'Financial Quarterly onshore'!H37+'Financial Quarterly onshore'!H50+'Financial Quarterly onshore'!H79)*Stake_Bu2</f>
        <v>0</v>
      </c>
      <c r="I25" s="291">
        <f ca="1">-('Financial Quarterly Holdco'!I23+'Financial Quarterly Holdco'!I36+'Financial Quarterly Holdco'!I49+'Financial Quarterly Holdco'!I78)-('Financial Quarterly offshore'!I24+'Financial Quarterly offshore'!I37+'Financial Quarterly offshore'!I50+'Financial Quarterly offshore'!I79)*Stake_Bu1-('Financial Quarterly onshore'!I24+'Financial Quarterly onshore'!I37+'Financial Quarterly onshore'!I50+'Financial Quarterly onshore'!I79)*Stake_Bu2</f>
        <v>0</v>
      </c>
      <c r="J25" s="291">
        <f ca="1">-('Financial Quarterly Holdco'!J23+'Financial Quarterly Holdco'!J36+'Financial Quarterly Holdco'!J49+'Financial Quarterly Holdco'!J78)-('Financial Quarterly offshore'!J24+'Financial Quarterly offshore'!J37+'Financial Quarterly offshore'!J50+'Financial Quarterly offshore'!J79)*Stake_Bu1-('Financial Quarterly onshore'!J24+'Financial Quarterly onshore'!J37+'Financial Quarterly onshore'!J50+'Financial Quarterly onshore'!J79)*Stake_Bu2</f>
        <v>0</v>
      </c>
      <c r="K25" s="291">
        <f ca="1">-('Financial Quarterly Holdco'!K23+'Financial Quarterly Holdco'!K36+'Financial Quarterly Holdco'!K49+'Financial Quarterly Holdco'!K78)-('Financial Quarterly offshore'!K24+'Financial Quarterly offshore'!K37+'Financial Quarterly offshore'!K50+'Financial Quarterly offshore'!K79)*Stake_Bu1-('Financial Quarterly onshore'!K24+'Financial Quarterly onshore'!K37+'Financial Quarterly onshore'!K50+'Financial Quarterly onshore'!K79)*Stake_Bu2</f>
        <v>0</v>
      </c>
      <c r="L25" s="291">
        <f ca="1">-('Financial Quarterly Holdco'!L23+'Financial Quarterly Holdco'!L36+'Financial Quarterly Holdco'!L49+'Financial Quarterly Holdco'!L78)-('Financial Quarterly offshore'!L24+'Financial Quarterly offshore'!L37+'Financial Quarterly offshore'!L50+'Financial Quarterly offshore'!L79)*Stake_Bu1-('Financial Quarterly onshore'!L24+'Financial Quarterly onshore'!L37+'Financial Quarterly onshore'!L50+'Financial Quarterly onshore'!L79)*Stake_Bu2</f>
        <v>0</v>
      </c>
      <c r="M25" s="291">
        <f ca="1">-('Financial Quarterly Holdco'!M23+'Financial Quarterly Holdco'!M36+'Financial Quarterly Holdco'!M49+'Financial Quarterly Holdco'!M78)-('Financial Quarterly offshore'!M24+'Financial Quarterly offshore'!M37+'Financial Quarterly offshore'!M50+'Financial Quarterly offshore'!M79)*Stake_Bu1-('Financial Quarterly onshore'!M24+'Financial Quarterly onshore'!M37+'Financial Quarterly onshore'!M50+'Financial Quarterly onshore'!M79)*Stake_Bu2</f>
        <v>0</v>
      </c>
      <c r="N25" s="291">
        <f ca="1">-('Financial Quarterly Holdco'!N23+'Financial Quarterly Holdco'!N36+'Financial Quarterly Holdco'!N49+'Financial Quarterly Holdco'!N78)-('Financial Quarterly offshore'!N24+'Financial Quarterly offshore'!N37+'Financial Quarterly offshore'!N50+'Financial Quarterly offshore'!N79)*Stake_Bu1-('Financial Quarterly onshore'!N24+'Financial Quarterly onshore'!N37+'Financial Quarterly onshore'!N50+'Financial Quarterly onshore'!N79)*Stake_Bu2</f>
        <v>0</v>
      </c>
      <c r="O25" s="291">
        <f ca="1">-('Financial Quarterly Holdco'!O23+'Financial Quarterly Holdco'!O36+'Financial Quarterly Holdco'!O49+'Financial Quarterly Holdco'!O78)-('Financial Quarterly offshore'!O24+'Financial Quarterly offshore'!O37+'Financial Quarterly offshore'!O50+'Financial Quarterly offshore'!O79)*Stake_Bu1-('Financial Quarterly onshore'!O24+'Financial Quarterly onshore'!O37+'Financial Quarterly onshore'!O50+'Financial Quarterly onshore'!O79)*Stake_Bu2</f>
        <v>0</v>
      </c>
      <c r="P25" s="291">
        <f ca="1">-('Financial Quarterly Holdco'!P23+'Financial Quarterly Holdco'!P36+'Financial Quarterly Holdco'!P49+'Financial Quarterly Holdco'!P78)-('Financial Quarterly offshore'!P24+'Financial Quarterly offshore'!P37+'Financial Quarterly offshore'!P50+'Financial Quarterly offshore'!P79)*Stake_Bu1-('Financial Quarterly onshore'!P24+'Financial Quarterly onshore'!P37+'Financial Quarterly onshore'!P50+'Financial Quarterly onshore'!P79)*Stake_Bu2</f>
        <v>0</v>
      </c>
      <c r="Q25" s="291">
        <f ca="1">-('Financial Quarterly Holdco'!Q23+'Financial Quarterly Holdco'!Q36+'Financial Quarterly Holdco'!Q49+'Financial Quarterly Holdco'!Q78)-('Financial Quarterly offshore'!Q24+'Financial Quarterly offshore'!Q37+'Financial Quarterly offshore'!Q50+'Financial Quarterly offshore'!Q79)*Stake_Bu1-('Financial Quarterly onshore'!Q24+'Financial Quarterly onshore'!Q37+'Financial Quarterly onshore'!Q50+'Financial Quarterly onshore'!Q79)*Stake_Bu2</f>
        <v>0</v>
      </c>
      <c r="R25" s="291">
        <f ca="1">-('Financial Quarterly Holdco'!R23+'Financial Quarterly Holdco'!R36+'Financial Quarterly Holdco'!R49+'Financial Quarterly Holdco'!R78)-('Financial Quarterly offshore'!R24+'Financial Quarterly offshore'!R37+'Financial Quarterly offshore'!R50+'Financial Quarterly offshore'!R79)*Stake_Bu1-('Financial Quarterly onshore'!R24+'Financial Quarterly onshore'!R37+'Financial Quarterly onshore'!R50+'Financial Quarterly onshore'!R79)*Stake_Bu2</f>
        <v>0</v>
      </c>
      <c r="S25" s="291">
        <f ca="1">-('Financial Quarterly Holdco'!S23+'Financial Quarterly Holdco'!S36+'Financial Quarterly Holdco'!S49+'Financial Quarterly Holdco'!S78)-('Financial Quarterly offshore'!S24+'Financial Quarterly offshore'!S37+'Financial Quarterly offshore'!S50+'Financial Quarterly offshore'!S79)*Stake_Bu1-('Financial Quarterly onshore'!S24+'Financial Quarterly onshore'!S37+'Financial Quarterly onshore'!S50+'Financial Quarterly onshore'!S79)*Stake_Bu2</f>
        <v>0</v>
      </c>
      <c r="T25" s="291">
        <f ca="1">-('Financial Quarterly Holdco'!T23+'Financial Quarterly Holdco'!T36+'Financial Quarterly Holdco'!T49+'Financial Quarterly Holdco'!T78)-('Financial Quarterly offshore'!T24+'Financial Quarterly offshore'!T37+'Financial Quarterly offshore'!T50+'Financial Quarterly offshore'!T79)*Stake_Bu1-('Financial Quarterly onshore'!T24+'Financial Quarterly onshore'!T37+'Financial Quarterly onshore'!T50+'Financial Quarterly onshore'!T79)*Stake_Bu2</f>
        <v>0</v>
      </c>
      <c r="U25" s="291">
        <f ca="1">-('Financial Quarterly Holdco'!U23+'Financial Quarterly Holdco'!U36+'Financial Quarterly Holdco'!U49+'Financial Quarterly Holdco'!U78)-('Financial Quarterly offshore'!U24+'Financial Quarterly offshore'!U37+'Financial Quarterly offshore'!U50+'Financial Quarterly offshore'!U79)*Stake_Bu1-('Financial Quarterly onshore'!U24+'Financial Quarterly onshore'!U37+'Financial Quarterly onshore'!U50+'Financial Quarterly onshore'!U79)*Stake_Bu2</f>
        <v>0</v>
      </c>
      <c r="V25" s="291">
        <f ca="1">-('Financial Quarterly Holdco'!V23+'Financial Quarterly Holdco'!V36+'Financial Quarterly Holdco'!V49+'Financial Quarterly Holdco'!V78)-('Financial Quarterly offshore'!V24+'Financial Quarterly offshore'!V37+'Financial Quarterly offshore'!V50+'Financial Quarterly offshore'!V79)*Stake_Bu1-('Financial Quarterly onshore'!V24+'Financial Quarterly onshore'!V37+'Financial Quarterly onshore'!V50+'Financial Quarterly onshore'!V79)*Stake_Bu2</f>
        <v>0</v>
      </c>
      <c r="W25" s="291">
        <f ca="1">-('Financial Quarterly Holdco'!W23+'Financial Quarterly Holdco'!W36+'Financial Quarterly Holdco'!W49+'Financial Quarterly Holdco'!W78)-('Financial Quarterly offshore'!W24+'Financial Quarterly offshore'!W37+'Financial Quarterly offshore'!W50+'Financial Quarterly offshore'!W79)*Stake_Bu1-('Financial Quarterly onshore'!W24+'Financial Quarterly onshore'!W37+'Financial Quarterly onshore'!W50+'Financial Quarterly onshore'!W79)*Stake_Bu2</f>
        <v>0</v>
      </c>
      <c r="X25" s="291">
        <f ca="1">-('Financial Quarterly Holdco'!X23+'Financial Quarterly Holdco'!X36+'Financial Quarterly Holdco'!X49+'Financial Quarterly Holdco'!X78)-('Financial Quarterly offshore'!X24+'Financial Quarterly offshore'!X37+'Financial Quarterly offshore'!X50+'Financial Quarterly offshore'!X79)*Stake_Bu1-('Financial Quarterly onshore'!X24+'Financial Quarterly onshore'!X37+'Financial Quarterly onshore'!X50+'Financial Quarterly onshore'!X79)*Stake_Bu2</f>
        <v>0</v>
      </c>
      <c r="Y25" s="291">
        <f ca="1">-('Financial Quarterly Holdco'!Y23+'Financial Quarterly Holdco'!Y36+'Financial Quarterly Holdco'!Y49+'Financial Quarterly Holdco'!Y78)-('Financial Quarterly offshore'!Y24+'Financial Quarterly offshore'!Y37+'Financial Quarterly offshore'!Y50+'Financial Quarterly offshore'!Y79)*Stake_Bu1-('Financial Quarterly onshore'!Y24+'Financial Quarterly onshore'!Y37+'Financial Quarterly onshore'!Y50+'Financial Quarterly onshore'!Y79)*Stake_Bu2</f>
        <v>0</v>
      </c>
      <c r="Z25" s="291">
        <f ca="1">-('Financial Quarterly Holdco'!Z23+'Financial Quarterly Holdco'!Z36+'Financial Quarterly Holdco'!Z49+'Financial Quarterly Holdco'!Z78)-('Financial Quarterly offshore'!Z24+'Financial Quarterly offshore'!Z37+'Financial Quarterly offshore'!Z50+'Financial Quarterly offshore'!Z79)*Stake_Bu1-('Financial Quarterly onshore'!Z24+'Financial Quarterly onshore'!Z37+'Financial Quarterly onshore'!Z50+'Financial Quarterly onshore'!Z79)*Stake_Bu2</f>
        <v>0</v>
      </c>
      <c r="AA25" s="291">
        <f ca="1">-('Financial Quarterly Holdco'!AA23+'Financial Quarterly Holdco'!AA36+'Financial Quarterly Holdco'!AA49+'Financial Quarterly Holdco'!AA78)-('Financial Quarterly offshore'!AA24+'Financial Quarterly offshore'!AA37+'Financial Quarterly offshore'!AA50+'Financial Quarterly offshore'!AA79)*Stake_Bu1-('Financial Quarterly onshore'!AA24+'Financial Quarterly onshore'!AA37+'Financial Quarterly onshore'!AA50+'Financial Quarterly onshore'!AA79)*Stake_Bu2</f>
        <v>0</v>
      </c>
      <c r="AB25" s="291">
        <f ca="1">-('Financial Quarterly Holdco'!AB23+'Financial Quarterly Holdco'!AB36+'Financial Quarterly Holdco'!AB49+'Financial Quarterly Holdco'!AB78)-('Financial Quarterly offshore'!AB24+'Financial Quarterly offshore'!AB37+'Financial Quarterly offshore'!AB50+'Financial Quarterly offshore'!AB79)*Stake_Bu1-('Financial Quarterly onshore'!AB24+'Financial Quarterly onshore'!AB37+'Financial Quarterly onshore'!AB50+'Financial Quarterly onshore'!AB79)*Stake_Bu2</f>
        <v>0</v>
      </c>
      <c r="AC25" s="291" t="e">
        <f ca="1">-('Financial Quarterly Holdco'!AC23+'Financial Quarterly Holdco'!AC36+'Financial Quarterly Holdco'!AC49+'Financial Quarterly Holdco'!AC78)-('Financial Quarterly offshore'!AC24+'Financial Quarterly offshore'!AC37+'Financial Quarterly offshore'!AC50+'Financial Quarterly offshore'!AC79)*Stake_Bu1-('Financial Quarterly onshore'!AC24+'Financial Quarterly onshore'!AC37+'Financial Quarterly onshore'!AC50+'Financial Quarterly onshore'!AC79)*Stake_Bu2</f>
        <v>#N/A</v>
      </c>
      <c r="AD25" s="291" t="e">
        <f ca="1">-('Financial Quarterly Holdco'!AD23+'Financial Quarterly Holdco'!AD36+'Financial Quarterly Holdco'!AD49+'Financial Quarterly Holdco'!AD78)-('Financial Quarterly offshore'!AD24+'Financial Quarterly offshore'!AD37+'Financial Quarterly offshore'!AD50+'Financial Quarterly offshore'!AD79)*Stake_Bu1-('Financial Quarterly onshore'!AD24+'Financial Quarterly onshore'!AD37+'Financial Quarterly onshore'!AD50+'Financial Quarterly onshore'!AD79)*Stake_Bu2</f>
        <v>#N/A</v>
      </c>
      <c r="AE25" s="291" t="e">
        <f ca="1">-('Financial Quarterly Holdco'!AE23+'Financial Quarterly Holdco'!AE36+'Financial Quarterly Holdco'!AE49+'Financial Quarterly Holdco'!AE78)-('Financial Quarterly offshore'!AE24+'Financial Quarterly offshore'!AE37+'Financial Quarterly offshore'!AE50+'Financial Quarterly offshore'!AE79)*Stake_Bu1-('Financial Quarterly onshore'!AE24+'Financial Quarterly onshore'!AE37+'Financial Quarterly onshore'!AE50+'Financial Quarterly onshore'!AE79)*Stake_Bu2</f>
        <v>#N/A</v>
      </c>
      <c r="AF25" s="291" t="e">
        <f ca="1">-('Financial Quarterly Holdco'!AF23+'Financial Quarterly Holdco'!AF36+'Financial Quarterly Holdco'!AF49+'Financial Quarterly Holdco'!AF78)-('Financial Quarterly offshore'!AF24+'Financial Quarterly offshore'!AF37+'Financial Quarterly offshore'!AF50+'Financial Quarterly offshore'!AF79)*Stake_Bu1-('Financial Quarterly onshore'!AF24+'Financial Quarterly onshore'!AF37+'Financial Quarterly onshore'!AF50+'Financial Quarterly onshore'!AF79)*Stake_Bu2</f>
        <v>#N/A</v>
      </c>
      <c r="AG25" s="291" t="e">
        <f ca="1">-('Financial Quarterly Holdco'!AG23+'Financial Quarterly Holdco'!AG36+'Financial Quarterly Holdco'!AG49+'Financial Quarterly Holdco'!AG78)-('Financial Quarterly offshore'!AG24+'Financial Quarterly offshore'!AG37+'Financial Quarterly offshore'!AG50+'Financial Quarterly offshore'!AG79)*Stake_Bu1-('Financial Quarterly onshore'!AG24+'Financial Quarterly onshore'!AG37+'Financial Quarterly onshore'!AG50+'Financial Quarterly onshore'!AG79)*Stake_Bu2</f>
        <v>#N/A</v>
      </c>
    </row>
    <row r="26" spans="3:33" outlineLevel="1">
      <c r="C26" s="385" t="s">
        <v>773</v>
      </c>
      <c r="D26" s="291">
        <f>+D25-'Financial Quarterly Holdco'!D64-'Financial Quarterly offshore'!D65-'Financial Quarterly onshore'!D65</f>
        <v>0</v>
      </c>
      <c r="E26" s="291">
        <f ca="1">+E25-'Financial Quarterly Holdco'!E64-'Financial Quarterly offshore'!E65-'Financial Quarterly onshore'!E65</f>
        <v>0</v>
      </c>
      <c r="F26" s="291">
        <f ca="1">+F25-'Financial Quarterly Holdco'!F64-'Financial Quarterly offshore'!F65-'Financial Quarterly onshore'!F65</f>
        <v>0</v>
      </c>
      <c r="G26" s="291">
        <f ca="1">+G25-'Financial Quarterly Holdco'!G64-'Financial Quarterly offshore'!G65-'Financial Quarterly onshore'!G65</f>
        <v>0</v>
      </c>
      <c r="H26" s="291">
        <f ca="1">+H25-'Financial Quarterly Holdco'!H64-'Financial Quarterly offshore'!H65-'Financial Quarterly onshore'!H65</f>
        <v>0</v>
      </c>
      <c r="I26" s="291">
        <f ca="1">+I25-'Financial Quarterly Holdco'!I64-'Financial Quarterly offshore'!I65-'Financial Quarterly onshore'!I65</f>
        <v>0</v>
      </c>
      <c r="J26" s="291">
        <f ca="1">+J25-'Financial Quarterly Holdco'!J64-'Financial Quarterly offshore'!J65-'Financial Quarterly onshore'!J65</f>
        <v>0</v>
      </c>
      <c r="K26" s="291">
        <f ca="1">+K25-'Financial Quarterly Holdco'!K64-'Financial Quarterly offshore'!K65-'Financial Quarterly onshore'!K65</f>
        <v>0</v>
      </c>
      <c r="L26" s="291">
        <f ca="1">+L25-'Financial Quarterly Holdco'!L64-'Financial Quarterly offshore'!L65-'Financial Quarterly onshore'!L65</f>
        <v>0</v>
      </c>
      <c r="M26" s="291">
        <f ca="1">+M25-'Financial Quarterly Holdco'!M64-'Financial Quarterly offshore'!M65-'Financial Quarterly onshore'!M65</f>
        <v>0</v>
      </c>
      <c r="N26" s="291">
        <f ca="1">+N25-'Financial Quarterly Holdco'!N64-'Financial Quarterly offshore'!N65-'Financial Quarterly onshore'!N65</f>
        <v>0</v>
      </c>
      <c r="O26" s="291">
        <f ca="1">+O25-'Financial Quarterly Holdco'!O64-'Financial Quarterly offshore'!O65-'Financial Quarterly onshore'!O65</f>
        <v>0</v>
      </c>
      <c r="P26" s="291">
        <f ca="1">+P25-'Financial Quarterly Holdco'!P64-'Financial Quarterly offshore'!P65-'Financial Quarterly onshore'!P65</f>
        <v>0</v>
      </c>
      <c r="Q26" s="291">
        <f ca="1">+Q25-'Financial Quarterly Holdco'!Q64-'Financial Quarterly offshore'!Q65-'Financial Quarterly onshore'!Q65</f>
        <v>0</v>
      </c>
      <c r="R26" s="291">
        <f ca="1">+R25-'Financial Quarterly Holdco'!R64-'Financial Quarterly offshore'!R65-'Financial Quarterly onshore'!R65</f>
        <v>0</v>
      </c>
      <c r="S26" s="291">
        <f ca="1">+S25-'Financial Quarterly Holdco'!S64-'Financial Quarterly offshore'!S65-'Financial Quarterly onshore'!S65</f>
        <v>0</v>
      </c>
      <c r="T26" s="291">
        <f ca="1">+T25-'Financial Quarterly Holdco'!T64-'Financial Quarterly offshore'!T65-'Financial Quarterly onshore'!T65</f>
        <v>0</v>
      </c>
      <c r="U26" s="291">
        <f ca="1">+U25-'Financial Quarterly Holdco'!U64-'Financial Quarterly offshore'!U65-'Financial Quarterly onshore'!U65</f>
        <v>0</v>
      </c>
      <c r="V26" s="291">
        <f ca="1">+V25-'Financial Quarterly Holdco'!V64-'Financial Quarterly offshore'!V65-'Financial Quarterly onshore'!V65</f>
        <v>0</v>
      </c>
      <c r="W26" s="291">
        <f ca="1">+W25-'Financial Quarterly Holdco'!W64-'Financial Quarterly offshore'!W65-'Financial Quarterly onshore'!W65</f>
        <v>0</v>
      </c>
      <c r="X26" s="291">
        <f ca="1">+X25-'Financial Quarterly Holdco'!X64-'Financial Quarterly offshore'!X65-'Financial Quarterly onshore'!X65</f>
        <v>0</v>
      </c>
      <c r="Y26" s="291">
        <f ca="1">+Y25-'Financial Quarterly Holdco'!Y64-'Financial Quarterly offshore'!Y65-'Financial Quarterly onshore'!Y65</f>
        <v>0</v>
      </c>
      <c r="Z26" s="291">
        <f ca="1">+Z25-'Financial Quarterly Holdco'!Z64-'Financial Quarterly offshore'!Z65-'Financial Quarterly onshore'!Z65</f>
        <v>0</v>
      </c>
      <c r="AA26" s="291">
        <f ca="1">+AA25-'Financial Quarterly Holdco'!AA64-'Financial Quarterly offshore'!AA65-'Financial Quarterly onshore'!AA65</f>
        <v>0</v>
      </c>
      <c r="AB26" s="291">
        <f ca="1">+AB25-'Financial Quarterly Holdco'!AB64-'Financial Quarterly offshore'!AB65-'Financial Quarterly onshore'!AB65</f>
        <v>0</v>
      </c>
      <c r="AC26" s="291" t="e">
        <f ca="1">+AC25-'Financial Quarterly Holdco'!AC64-'Financial Quarterly offshore'!AC65-'Financial Quarterly onshore'!AC65</f>
        <v>#N/A</v>
      </c>
      <c r="AD26" s="291" t="e">
        <f ca="1">+AD25-'Financial Quarterly Holdco'!AD64-'Financial Quarterly offshore'!AD65-'Financial Quarterly onshore'!AD65</f>
        <v>#N/A</v>
      </c>
      <c r="AE26" s="291" t="e">
        <f ca="1">+AE25-'Financial Quarterly Holdco'!AE64-'Financial Quarterly offshore'!AE65-'Financial Quarterly onshore'!AE65</f>
        <v>#N/A</v>
      </c>
      <c r="AF26" s="291" t="e">
        <f ca="1">+AF25-'Financial Quarterly Holdco'!AF64-'Financial Quarterly offshore'!AF65-'Financial Quarterly onshore'!AF65</f>
        <v>#N/A</v>
      </c>
      <c r="AG26" s="291" t="e">
        <f ca="1">+AG25-'Financial Quarterly Holdco'!AG64-'Financial Quarterly offshore'!AG65-'Financial Quarterly onshore'!AG65</f>
        <v>#N/A</v>
      </c>
    </row>
    <row r="27" spans="3:33" outlineLevel="1">
      <c r="C27" s="385" t="s">
        <v>774</v>
      </c>
      <c r="D27" s="291">
        <f>-(+'Financial Quarterly Holdco'!D20+'Financial Quarterly Holdco'!D21+'Financial Quarterly Holdco'!D33+'Financial Quarterly Holdco'!D34+'Financial Quarterly Holdco'!D46+'Financial Quarterly Holdco'!D47)-(+'Financial Quarterly offshore'!D21+'Financial Quarterly offshore'!D22+'Financial Quarterly offshore'!D34+'Financial Quarterly offshore'!D35+'Financial Quarterly offshore'!D47+'Financial Quarterly offshore'!D48)*Stake_Bu1-(+'Financial Quarterly onshore'!D21+'Financial Quarterly onshore'!D22+'Financial Quarterly onshore'!D34+'Financial Quarterly onshore'!D35+'Financial Quarterly onshore'!D47+'Financial Quarterly onshore'!D48)*Stake_Bu2</f>
        <v>0</v>
      </c>
      <c r="E27" s="291">
        <f ca="1">-(+'Financial Quarterly Holdco'!E20+'Financial Quarterly Holdco'!E21+'Financial Quarterly Holdco'!E33+'Financial Quarterly Holdco'!E34+'Financial Quarterly Holdco'!E46+'Financial Quarterly Holdco'!E47)-(+'Financial Quarterly offshore'!E21+'Financial Quarterly offshore'!E22+'Financial Quarterly offshore'!E34+'Financial Quarterly offshore'!E35+'Financial Quarterly offshore'!E47+'Financial Quarterly offshore'!E48)*Stake_Bu1-(+'Financial Quarterly onshore'!E21+'Financial Quarterly onshore'!E22+'Financial Quarterly onshore'!E34+'Financial Quarterly onshore'!E35+'Financial Quarterly onshore'!E47+'Financial Quarterly onshore'!E48)*Stake_Bu2</f>
        <v>0</v>
      </c>
      <c r="F27" s="291">
        <f ca="1">-(+'Financial Quarterly Holdco'!F20+'Financial Quarterly Holdco'!F21+'Financial Quarterly Holdco'!F33+'Financial Quarterly Holdco'!F34+'Financial Quarterly Holdco'!F46+'Financial Quarterly Holdco'!F47)-(+'Financial Quarterly offshore'!F21+'Financial Quarterly offshore'!F22+'Financial Quarterly offshore'!F34+'Financial Quarterly offshore'!F35+'Financial Quarterly offshore'!F47+'Financial Quarterly offshore'!F48)*Stake_Bu1-(+'Financial Quarterly onshore'!F21+'Financial Quarterly onshore'!F22+'Financial Quarterly onshore'!F34+'Financial Quarterly onshore'!F35+'Financial Quarterly onshore'!F47+'Financial Quarterly onshore'!F48)*Stake_Bu2</f>
        <v>0</v>
      </c>
      <c r="G27" s="291">
        <f ca="1">-(+'Financial Quarterly Holdco'!G20+'Financial Quarterly Holdco'!G21+'Financial Quarterly Holdco'!G33+'Financial Quarterly Holdco'!G34+'Financial Quarterly Holdco'!G46+'Financial Quarterly Holdco'!G47)-(+'Financial Quarterly offshore'!G21+'Financial Quarterly offshore'!G22+'Financial Quarterly offshore'!G34+'Financial Quarterly offshore'!G35+'Financial Quarterly offshore'!G47+'Financial Quarterly offshore'!G48)*Stake_Bu1-(+'Financial Quarterly onshore'!G21+'Financial Quarterly onshore'!G22+'Financial Quarterly onshore'!G34+'Financial Quarterly onshore'!G35+'Financial Quarterly onshore'!G47+'Financial Quarterly onshore'!G48)*Stake_Bu2</f>
        <v>0</v>
      </c>
      <c r="H27" s="291">
        <f ca="1">-(+'Financial Quarterly Holdco'!H20+'Financial Quarterly Holdco'!H21+'Financial Quarterly Holdco'!H33+'Financial Quarterly Holdco'!H34+'Financial Quarterly Holdco'!H46+'Financial Quarterly Holdco'!H47)-(+'Financial Quarterly offshore'!H21+'Financial Quarterly offshore'!H22+'Financial Quarterly offshore'!H34+'Financial Quarterly offshore'!H35+'Financial Quarterly offshore'!H47+'Financial Quarterly offshore'!H48)*Stake_Bu1-(+'Financial Quarterly onshore'!H21+'Financial Quarterly onshore'!H22+'Financial Quarterly onshore'!H34+'Financial Quarterly onshore'!H35+'Financial Quarterly onshore'!H47+'Financial Quarterly onshore'!H48)*Stake_Bu2</f>
        <v>0</v>
      </c>
      <c r="I27" s="291">
        <f ca="1">-(+'Financial Quarterly Holdco'!I20+'Financial Quarterly Holdco'!I21+'Financial Quarterly Holdco'!I33+'Financial Quarterly Holdco'!I34+'Financial Quarterly Holdco'!I46+'Financial Quarterly Holdco'!I47)-(+'Financial Quarterly offshore'!I21+'Financial Quarterly offshore'!I22+'Financial Quarterly offshore'!I34+'Financial Quarterly offshore'!I35+'Financial Quarterly offshore'!I47+'Financial Quarterly offshore'!I48)*Stake_Bu1-(+'Financial Quarterly onshore'!I21+'Financial Quarterly onshore'!I22+'Financial Quarterly onshore'!I34+'Financial Quarterly onshore'!I35+'Financial Quarterly onshore'!I47+'Financial Quarterly onshore'!I48)*Stake_Bu2</f>
        <v>0</v>
      </c>
      <c r="J27" s="291">
        <f ca="1">-(+'Financial Quarterly Holdco'!J20+'Financial Quarterly Holdco'!J21+'Financial Quarterly Holdco'!J33+'Financial Quarterly Holdco'!J34+'Financial Quarterly Holdco'!J46+'Financial Quarterly Holdco'!J47)-(+'Financial Quarterly offshore'!J21+'Financial Quarterly offshore'!J22+'Financial Quarterly offshore'!J34+'Financial Quarterly offshore'!J35+'Financial Quarterly offshore'!J47+'Financial Quarterly offshore'!J48)*Stake_Bu1-(+'Financial Quarterly onshore'!J21+'Financial Quarterly onshore'!J22+'Financial Quarterly onshore'!J34+'Financial Quarterly onshore'!J35+'Financial Quarterly onshore'!J47+'Financial Quarterly onshore'!J48)*Stake_Bu2</f>
        <v>0</v>
      </c>
      <c r="K27" s="291">
        <f ca="1">-(+'Financial Quarterly Holdco'!K20+'Financial Quarterly Holdco'!K21+'Financial Quarterly Holdco'!K33+'Financial Quarterly Holdco'!K34+'Financial Quarterly Holdco'!K46+'Financial Quarterly Holdco'!K47)-(+'Financial Quarterly offshore'!K21+'Financial Quarterly offshore'!K22+'Financial Quarterly offshore'!K34+'Financial Quarterly offshore'!K35+'Financial Quarterly offshore'!K47+'Financial Quarterly offshore'!K48)*Stake_Bu1-(+'Financial Quarterly onshore'!K21+'Financial Quarterly onshore'!K22+'Financial Quarterly onshore'!K34+'Financial Quarterly onshore'!K35+'Financial Quarterly onshore'!K47+'Financial Quarterly onshore'!K48)*Stake_Bu2</f>
        <v>0</v>
      </c>
      <c r="L27" s="291">
        <f ca="1">-(+'Financial Quarterly Holdco'!L20+'Financial Quarterly Holdco'!L21+'Financial Quarterly Holdco'!L33+'Financial Quarterly Holdco'!L34+'Financial Quarterly Holdco'!L46+'Financial Quarterly Holdco'!L47)-(+'Financial Quarterly offshore'!L21+'Financial Quarterly offshore'!L22+'Financial Quarterly offshore'!L34+'Financial Quarterly offshore'!L35+'Financial Quarterly offshore'!L47+'Financial Quarterly offshore'!L48)*Stake_Bu1-(+'Financial Quarterly onshore'!L21+'Financial Quarterly onshore'!L22+'Financial Quarterly onshore'!L34+'Financial Quarterly onshore'!L35+'Financial Quarterly onshore'!L47+'Financial Quarterly onshore'!L48)*Stake_Bu2</f>
        <v>0</v>
      </c>
      <c r="M27" s="291">
        <f ca="1">-(+'Financial Quarterly Holdco'!M20+'Financial Quarterly Holdco'!M21+'Financial Quarterly Holdco'!M33+'Financial Quarterly Holdco'!M34+'Financial Quarterly Holdco'!M46+'Financial Quarterly Holdco'!M47)-(+'Financial Quarterly offshore'!M21+'Financial Quarterly offshore'!M22+'Financial Quarterly offshore'!M34+'Financial Quarterly offshore'!M35+'Financial Quarterly offshore'!M47+'Financial Quarterly offshore'!M48)*Stake_Bu1-(+'Financial Quarterly onshore'!M21+'Financial Quarterly onshore'!M22+'Financial Quarterly onshore'!M34+'Financial Quarterly onshore'!M35+'Financial Quarterly onshore'!M47+'Financial Quarterly onshore'!M48)*Stake_Bu2</f>
        <v>0</v>
      </c>
      <c r="N27" s="291">
        <f ca="1">-(+'Financial Quarterly Holdco'!N20+'Financial Quarterly Holdco'!N21+'Financial Quarterly Holdco'!N33+'Financial Quarterly Holdco'!N34+'Financial Quarterly Holdco'!N46+'Financial Quarterly Holdco'!N47)-(+'Financial Quarterly offshore'!N21+'Financial Quarterly offshore'!N22+'Financial Quarterly offshore'!N34+'Financial Quarterly offshore'!N35+'Financial Quarterly offshore'!N47+'Financial Quarterly offshore'!N48)*Stake_Bu1-(+'Financial Quarterly onshore'!N21+'Financial Quarterly onshore'!N22+'Financial Quarterly onshore'!N34+'Financial Quarterly onshore'!N35+'Financial Quarterly onshore'!N47+'Financial Quarterly onshore'!N48)*Stake_Bu2</f>
        <v>0</v>
      </c>
      <c r="O27" s="291">
        <f ca="1">-(+'Financial Quarterly Holdco'!O20+'Financial Quarterly Holdco'!O21+'Financial Quarterly Holdco'!O33+'Financial Quarterly Holdco'!O34+'Financial Quarterly Holdco'!O46+'Financial Quarterly Holdco'!O47)-(+'Financial Quarterly offshore'!O21+'Financial Quarterly offshore'!O22+'Financial Quarterly offshore'!O34+'Financial Quarterly offshore'!O35+'Financial Quarterly offshore'!O47+'Financial Quarterly offshore'!O48)*Stake_Bu1-(+'Financial Quarterly onshore'!O21+'Financial Quarterly onshore'!O22+'Financial Quarterly onshore'!O34+'Financial Quarterly onshore'!O35+'Financial Quarterly onshore'!O47+'Financial Quarterly onshore'!O48)*Stake_Bu2</f>
        <v>0</v>
      </c>
      <c r="P27" s="291">
        <f ca="1">-(+'Financial Quarterly Holdco'!P20+'Financial Quarterly Holdco'!P21+'Financial Quarterly Holdco'!P33+'Financial Quarterly Holdco'!P34+'Financial Quarterly Holdco'!P46+'Financial Quarterly Holdco'!P47)-(+'Financial Quarterly offshore'!P21+'Financial Quarterly offshore'!P22+'Financial Quarterly offshore'!P34+'Financial Quarterly offshore'!P35+'Financial Quarterly offshore'!P47+'Financial Quarterly offshore'!P48)*Stake_Bu1-(+'Financial Quarterly onshore'!P21+'Financial Quarterly onshore'!P22+'Financial Quarterly onshore'!P34+'Financial Quarterly onshore'!P35+'Financial Quarterly onshore'!P47+'Financial Quarterly onshore'!P48)*Stake_Bu2</f>
        <v>0</v>
      </c>
      <c r="Q27" s="291">
        <f ca="1">-(+'Financial Quarterly Holdco'!Q20+'Financial Quarterly Holdco'!Q21+'Financial Quarterly Holdco'!Q33+'Financial Quarterly Holdco'!Q34+'Financial Quarterly Holdco'!Q46+'Financial Quarterly Holdco'!Q47)-(+'Financial Quarterly offshore'!Q21+'Financial Quarterly offshore'!Q22+'Financial Quarterly offshore'!Q34+'Financial Quarterly offshore'!Q35+'Financial Quarterly offshore'!Q47+'Financial Quarterly offshore'!Q48)*Stake_Bu1-(+'Financial Quarterly onshore'!Q21+'Financial Quarterly onshore'!Q22+'Financial Quarterly onshore'!Q34+'Financial Quarterly onshore'!Q35+'Financial Quarterly onshore'!Q47+'Financial Quarterly onshore'!Q48)*Stake_Bu2</f>
        <v>0</v>
      </c>
      <c r="R27" s="291">
        <f ca="1">-(+'Financial Quarterly Holdco'!R20+'Financial Quarterly Holdco'!R21+'Financial Quarterly Holdco'!R33+'Financial Quarterly Holdco'!R34+'Financial Quarterly Holdco'!R46+'Financial Quarterly Holdco'!R47)-(+'Financial Quarterly offshore'!R21+'Financial Quarterly offshore'!R22+'Financial Quarterly offshore'!R34+'Financial Quarterly offshore'!R35+'Financial Quarterly offshore'!R47+'Financial Quarterly offshore'!R48)*Stake_Bu1-(+'Financial Quarterly onshore'!R21+'Financial Quarterly onshore'!R22+'Financial Quarterly onshore'!R34+'Financial Quarterly onshore'!R35+'Financial Quarterly onshore'!R47+'Financial Quarterly onshore'!R48)*Stake_Bu2</f>
        <v>0</v>
      </c>
      <c r="S27" s="291">
        <f ca="1">-(+'Financial Quarterly Holdco'!S20+'Financial Quarterly Holdco'!S21+'Financial Quarterly Holdco'!S33+'Financial Quarterly Holdco'!S34+'Financial Quarterly Holdco'!S46+'Financial Quarterly Holdco'!S47)-(+'Financial Quarterly offshore'!S21+'Financial Quarterly offshore'!S22+'Financial Quarterly offshore'!S34+'Financial Quarterly offshore'!S35+'Financial Quarterly offshore'!S47+'Financial Quarterly offshore'!S48)*Stake_Bu1-(+'Financial Quarterly onshore'!S21+'Financial Quarterly onshore'!S22+'Financial Quarterly onshore'!S34+'Financial Quarterly onshore'!S35+'Financial Quarterly onshore'!S47+'Financial Quarterly onshore'!S48)*Stake_Bu2</f>
        <v>0</v>
      </c>
      <c r="T27" s="291">
        <f ca="1">-(+'Financial Quarterly Holdco'!T20+'Financial Quarterly Holdco'!T21+'Financial Quarterly Holdco'!T33+'Financial Quarterly Holdco'!T34+'Financial Quarterly Holdco'!T46+'Financial Quarterly Holdco'!T47)-(+'Financial Quarterly offshore'!T21+'Financial Quarterly offshore'!T22+'Financial Quarterly offshore'!T34+'Financial Quarterly offshore'!T35+'Financial Quarterly offshore'!T47+'Financial Quarterly offshore'!T48)*Stake_Bu1-(+'Financial Quarterly onshore'!T21+'Financial Quarterly onshore'!T22+'Financial Quarterly onshore'!T34+'Financial Quarterly onshore'!T35+'Financial Quarterly onshore'!T47+'Financial Quarterly onshore'!T48)*Stake_Bu2</f>
        <v>0</v>
      </c>
      <c r="U27" s="291">
        <f ca="1">-(+'Financial Quarterly Holdco'!U20+'Financial Quarterly Holdco'!U21+'Financial Quarterly Holdco'!U33+'Financial Quarterly Holdco'!U34+'Financial Quarterly Holdco'!U46+'Financial Quarterly Holdco'!U47)-(+'Financial Quarterly offshore'!U21+'Financial Quarterly offshore'!U22+'Financial Quarterly offshore'!U34+'Financial Quarterly offshore'!U35+'Financial Quarterly offshore'!U47+'Financial Quarterly offshore'!U48)*Stake_Bu1-(+'Financial Quarterly onshore'!U21+'Financial Quarterly onshore'!U22+'Financial Quarterly onshore'!U34+'Financial Quarterly onshore'!U35+'Financial Quarterly onshore'!U47+'Financial Quarterly onshore'!U48)*Stake_Bu2</f>
        <v>0</v>
      </c>
      <c r="V27" s="291">
        <f ca="1">-(+'Financial Quarterly Holdco'!V20+'Financial Quarterly Holdco'!V21+'Financial Quarterly Holdco'!V33+'Financial Quarterly Holdco'!V34+'Financial Quarterly Holdco'!V46+'Financial Quarterly Holdco'!V47)-(+'Financial Quarterly offshore'!V21+'Financial Quarterly offshore'!V22+'Financial Quarterly offshore'!V34+'Financial Quarterly offshore'!V35+'Financial Quarterly offshore'!V47+'Financial Quarterly offshore'!V48)*Stake_Bu1-(+'Financial Quarterly onshore'!V21+'Financial Quarterly onshore'!V22+'Financial Quarterly onshore'!V34+'Financial Quarterly onshore'!V35+'Financial Quarterly onshore'!V47+'Financial Quarterly onshore'!V48)*Stake_Bu2</f>
        <v>0</v>
      </c>
      <c r="W27" s="291">
        <f ca="1">-(+'Financial Quarterly Holdco'!W20+'Financial Quarterly Holdco'!W21+'Financial Quarterly Holdco'!W33+'Financial Quarterly Holdco'!W34+'Financial Quarterly Holdco'!W46+'Financial Quarterly Holdco'!W47)-(+'Financial Quarterly offshore'!W21+'Financial Quarterly offshore'!W22+'Financial Quarterly offshore'!W34+'Financial Quarterly offshore'!W35+'Financial Quarterly offshore'!W47+'Financial Quarterly offshore'!W48)*Stake_Bu1-(+'Financial Quarterly onshore'!W21+'Financial Quarterly onshore'!W22+'Financial Quarterly onshore'!W34+'Financial Quarterly onshore'!W35+'Financial Quarterly onshore'!W47+'Financial Quarterly onshore'!W48)*Stake_Bu2</f>
        <v>0</v>
      </c>
      <c r="X27" s="291">
        <f ca="1">-(+'Financial Quarterly Holdco'!X20+'Financial Quarterly Holdco'!X21+'Financial Quarterly Holdco'!X33+'Financial Quarterly Holdco'!X34+'Financial Quarterly Holdco'!X46+'Financial Quarterly Holdco'!X47)-(+'Financial Quarterly offshore'!X21+'Financial Quarterly offshore'!X22+'Financial Quarterly offshore'!X34+'Financial Quarterly offshore'!X35+'Financial Quarterly offshore'!X47+'Financial Quarterly offshore'!X48)*Stake_Bu1-(+'Financial Quarterly onshore'!X21+'Financial Quarterly onshore'!X22+'Financial Quarterly onshore'!X34+'Financial Quarterly onshore'!X35+'Financial Quarterly onshore'!X47+'Financial Quarterly onshore'!X48)*Stake_Bu2</f>
        <v>0</v>
      </c>
      <c r="Y27" s="291">
        <f ca="1">-(+'Financial Quarterly Holdco'!Y20+'Financial Quarterly Holdco'!Y21+'Financial Quarterly Holdco'!Y33+'Financial Quarterly Holdco'!Y34+'Financial Quarterly Holdco'!Y46+'Financial Quarterly Holdco'!Y47)-(+'Financial Quarterly offshore'!Y21+'Financial Quarterly offshore'!Y22+'Financial Quarterly offshore'!Y34+'Financial Quarterly offshore'!Y35+'Financial Quarterly offshore'!Y47+'Financial Quarterly offshore'!Y48)*Stake_Bu1-(+'Financial Quarterly onshore'!Y21+'Financial Quarterly onshore'!Y22+'Financial Quarterly onshore'!Y34+'Financial Quarterly onshore'!Y35+'Financial Quarterly onshore'!Y47+'Financial Quarterly onshore'!Y48)*Stake_Bu2</f>
        <v>0</v>
      </c>
      <c r="Z27" s="291">
        <f ca="1">-(+'Financial Quarterly Holdco'!Z20+'Financial Quarterly Holdco'!Z21+'Financial Quarterly Holdco'!Z33+'Financial Quarterly Holdco'!Z34+'Financial Quarterly Holdco'!Z46+'Financial Quarterly Holdco'!Z47)-(+'Financial Quarterly offshore'!Z21+'Financial Quarterly offshore'!Z22+'Financial Quarterly offshore'!Z34+'Financial Quarterly offshore'!Z35+'Financial Quarterly offshore'!Z47+'Financial Quarterly offshore'!Z48)*Stake_Bu1-(+'Financial Quarterly onshore'!Z21+'Financial Quarterly onshore'!Z22+'Financial Quarterly onshore'!Z34+'Financial Quarterly onshore'!Z35+'Financial Quarterly onshore'!Z47+'Financial Quarterly onshore'!Z48)*Stake_Bu2</f>
        <v>0</v>
      </c>
      <c r="AA27" s="291">
        <f ca="1">-(+'Financial Quarterly Holdco'!AA20+'Financial Quarterly Holdco'!AA21+'Financial Quarterly Holdco'!AA33+'Financial Quarterly Holdco'!AA34+'Financial Quarterly Holdco'!AA46+'Financial Quarterly Holdco'!AA47)-(+'Financial Quarterly offshore'!AA21+'Financial Quarterly offshore'!AA22+'Financial Quarterly offshore'!AA34+'Financial Quarterly offshore'!AA35+'Financial Quarterly offshore'!AA47+'Financial Quarterly offshore'!AA48)*Stake_Bu1-(+'Financial Quarterly onshore'!AA21+'Financial Quarterly onshore'!AA22+'Financial Quarterly onshore'!AA34+'Financial Quarterly onshore'!AA35+'Financial Quarterly onshore'!AA47+'Financial Quarterly onshore'!AA48)*Stake_Bu2</f>
        <v>0</v>
      </c>
      <c r="AB27" s="291">
        <f ca="1">-(+'Financial Quarterly Holdco'!AB20+'Financial Quarterly Holdco'!AB21+'Financial Quarterly Holdco'!AB33+'Financial Quarterly Holdco'!AB34+'Financial Quarterly Holdco'!AB46+'Financial Quarterly Holdco'!AB47)-(+'Financial Quarterly offshore'!AB21+'Financial Quarterly offshore'!AB22+'Financial Quarterly offshore'!AB34+'Financial Quarterly offshore'!AB35+'Financial Quarterly offshore'!AB47+'Financial Quarterly offshore'!AB48)*Stake_Bu1-(+'Financial Quarterly onshore'!AB21+'Financial Quarterly onshore'!AB22+'Financial Quarterly onshore'!AB34+'Financial Quarterly onshore'!AB35+'Financial Quarterly onshore'!AB47+'Financial Quarterly onshore'!AB48)*Stake_Bu2</f>
        <v>0</v>
      </c>
      <c r="AC27" s="291">
        <f ca="1">-(+'Financial Quarterly Holdco'!AC20+'Financial Quarterly Holdco'!AC21+'Financial Quarterly Holdco'!AC33+'Financial Quarterly Holdco'!AC34+'Financial Quarterly Holdco'!AC46+'Financial Quarterly Holdco'!AC47)-(+'Financial Quarterly offshore'!AC21+'Financial Quarterly offshore'!AC22+'Financial Quarterly offshore'!AC34+'Financial Quarterly offshore'!AC35+'Financial Quarterly offshore'!AC47+'Financial Quarterly offshore'!AC48)*Stake_Bu1-(+'Financial Quarterly onshore'!AC21+'Financial Quarterly onshore'!AC22+'Financial Quarterly onshore'!AC34+'Financial Quarterly onshore'!AC35+'Financial Quarterly onshore'!AC47+'Financial Quarterly onshore'!AC48)*Stake_Bu2</f>
        <v>0</v>
      </c>
      <c r="AD27" s="291">
        <f ca="1">-(+'Financial Quarterly Holdco'!AD20+'Financial Quarterly Holdco'!AD21+'Financial Quarterly Holdco'!AD33+'Financial Quarterly Holdco'!AD34+'Financial Quarterly Holdco'!AD46+'Financial Quarterly Holdco'!AD47)-(+'Financial Quarterly offshore'!AD21+'Financial Quarterly offshore'!AD22+'Financial Quarterly offshore'!AD34+'Financial Quarterly offshore'!AD35+'Financial Quarterly offshore'!AD47+'Financial Quarterly offshore'!AD48)*Stake_Bu1-(+'Financial Quarterly onshore'!AD21+'Financial Quarterly onshore'!AD22+'Financial Quarterly onshore'!AD34+'Financial Quarterly onshore'!AD35+'Financial Quarterly onshore'!AD47+'Financial Quarterly onshore'!AD48)*Stake_Bu2</f>
        <v>0</v>
      </c>
      <c r="AE27" s="291">
        <f ca="1">-(+'Financial Quarterly Holdco'!AE20+'Financial Quarterly Holdco'!AE21+'Financial Quarterly Holdco'!AE33+'Financial Quarterly Holdco'!AE34+'Financial Quarterly Holdco'!AE46+'Financial Quarterly Holdco'!AE47)-(+'Financial Quarterly offshore'!AE21+'Financial Quarterly offshore'!AE22+'Financial Quarterly offshore'!AE34+'Financial Quarterly offshore'!AE35+'Financial Quarterly offshore'!AE47+'Financial Quarterly offshore'!AE48)*Stake_Bu1-(+'Financial Quarterly onshore'!AE21+'Financial Quarterly onshore'!AE22+'Financial Quarterly onshore'!AE34+'Financial Quarterly onshore'!AE35+'Financial Quarterly onshore'!AE47+'Financial Quarterly onshore'!AE48)*Stake_Bu2</f>
        <v>0</v>
      </c>
      <c r="AF27" s="291">
        <f ca="1">-(+'Financial Quarterly Holdco'!AF20+'Financial Quarterly Holdco'!AF21+'Financial Quarterly Holdco'!AF33+'Financial Quarterly Holdco'!AF34+'Financial Quarterly Holdco'!AF46+'Financial Quarterly Holdco'!AF47)-(+'Financial Quarterly offshore'!AF21+'Financial Quarterly offshore'!AF22+'Financial Quarterly offshore'!AF34+'Financial Quarterly offshore'!AF35+'Financial Quarterly offshore'!AF47+'Financial Quarterly offshore'!AF48)*Stake_Bu1-(+'Financial Quarterly onshore'!AF21+'Financial Quarterly onshore'!AF22+'Financial Quarterly onshore'!AF34+'Financial Quarterly onshore'!AF35+'Financial Quarterly onshore'!AF47+'Financial Quarterly onshore'!AF48)*Stake_Bu2</f>
        <v>0</v>
      </c>
      <c r="AG27" s="291">
        <f ca="1">-(+'Financial Quarterly Holdco'!AG20+'Financial Quarterly Holdco'!AG21+'Financial Quarterly Holdco'!AG33+'Financial Quarterly Holdco'!AG34+'Financial Quarterly Holdco'!AG46+'Financial Quarterly Holdco'!AG47)-(+'Financial Quarterly offshore'!AG21+'Financial Quarterly offshore'!AG22+'Financial Quarterly offshore'!AG34+'Financial Quarterly offshore'!AG35+'Financial Quarterly offshore'!AG47+'Financial Quarterly offshore'!AG48)*Stake_Bu1-(+'Financial Quarterly onshore'!AG21+'Financial Quarterly onshore'!AG22+'Financial Quarterly onshore'!AG34+'Financial Quarterly onshore'!AG35+'Financial Quarterly onshore'!AG47+'Financial Quarterly onshore'!AG48)*Stake_Bu2</f>
        <v>0</v>
      </c>
    </row>
    <row r="28" spans="3:33" outlineLevel="1">
      <c r="C28" s="385" t="s">
        <v>775</v>
      </c>
      <c r="D28" s="291">
        <f>-(+'Financial Quarterly Holdco'!D61+'Financial Quarterly Holdco'!D62)-(+'Financial Quarterly offshore'!D62+'Financial Quarterly offshore'!D63)-(+'Financial Quarterly onshore'!D62+'Financial Quarterly onshore'!D63)</f>
        <v>0</v>
      </c>
      <c r="E28" s="291">
        <f ca="1">-(+'Financial Quarterly Holdco'!E61+'Financial Quarterly Holdco'!E62)-(+'Financial Quarterly offshore'!E62+'Financial Quarterly offshore'!E63)-(+'Financial Quarterly onshore'!E62+'Financial Quarterly onshore'!E63)</f>
        <v>0</v>
      </c>
      <c r="F28" s="291">
        <f ca="1">-(+'Financial Quarterly Holdco'!F61+'Financial Quarterly Holdco'!F62)-(+'Financial Quarterly offshore'!F62+'Financial Quarterly offshore'!F63)-(+'Financial Quarterly onshore'!F62+'Financial Quarterly onshore'!F63)</f>
        <v>0</v>
      </c>
      <c r="G28" s="291">
        <f ca="1">-(+'Financial Quarterly Holdco'!G61+'Financial Quarterly Holdco'!G62)-(+'Financial Quarterly offshore'!G62+'Financial Quarterly offshore'!G63)-(+'Financial Quarterly onshore'!G62+'Financial Quarterly onshore'!G63)</f>
        <v>0</v>
      </c>
      <c r="H28" s="291">
        <f ca="1">-(+'Financial Quarterly Holdco'!H61+'Financial Quarterly Holdco'!H62)-(+'Financial Quarterly offshore'!H62+'Financial Quarterly offshore'!H63)-(+'Financial Quarterly onshore'!H62+'Financial Quarterly onshore'!H63)</f>
        <v>0</v>
      </c>
      <c r="I28" s="291">
        <f ca="1">-(+'Financial Quarterly Holdco'!I61+'Financial Quarterly Holdco'!I62)-(+'Financial Quarterly offshore'!I62+'Financial Quarterly offshore'!I63)-(+'Financial Quarterly onshore'!I62+'Financial Quarterly onshore'!I63)</f>
        <v>0</v>
      </c>
      <c r="J28" s="291">
        <f ca="1">-(+'Financial Quarterly Holdco'!J61+'Financial Quarterly Holdco'!J62)-(+'Financial Quarterly offshore'!J62+'Financial Quarterly offshore'!J63)-(+'Financial Quarterly onshore'!J62+'Financial Quarterly onshore'!J63)</f>
        <v>0</v>
      </c>
      <c r="K28" s="291">
        <f ca="1">-(+'Financial Quarterly Holdco'!K61+'Financial Quarterly Holdco'!K62)-(+'Financial Quarterly offshore'!K62+'Financial Quarterly offshore'!K63)-(+'Financial Quarterly onshore'!K62+'Financial Quarterly onshore'!K63)</f>
        <v>0</v>
      </c>
      <c r="L28" s="291">
        <f ca="1">-(+'Financial Quarterly Holdco'!L61+'Financial Quarterly Holdco'!L62)-(+'Financial Quarterly offshore'!L62+'Financial Quarterly offshore'!L63)-(+'Financial Quarterly onshore'!L62+'Financial Quarterly onshore'!L63)</f>
        <v>0</v>
      </c>
      <c r="M28" s="291">
        <f ca="1">-(+'Financial Quarterly Holdco'!M61+'Financial Quarterly Holdco'!M62)-(+'Financial Quarterly offshore'!M62+'Financial Quarterly offshore'!M63)-(+'Financial Quarterly onshore'!M62+'Financial Quarterly onshore'!M63)</f>
        <v>0</v>
      </c>
      <c r="N28" s="291">
        <f ca="1">-(+'Financial Quarterly Holdco'!N61+'Financial Quarterly Holdco'!N62)-(+'Financial Quarterly offshore'!N62+'Financial Quarterly offshore'!N63)-(+'Financial Quarterly onshore'!N62+'Financial Quarterly onshore'!N63)</f>
        <v>0</v>
      </c>
      <c r="O28" s="291">
        <f ca="1">-(+'Financial Quarterly Holdco'!O61+'Financial Quarterly Holdco'!O62)-(+'Financial Quarterly offshore'!O62+'Financial Quarterly offshore'!O63)-(+'Financial Quarterly onshore'!O62+'Financial Quarterly onshore'!O63)</f>
        <v>0</v>
      </c>
      <c r="P28" s="291">
        <f ca="1">-(+'Financial Quarterly Holdco'!P61+'Financial Quarterly Holdco'!P62)-(+'Financial Quarterly offshore'!P62+'Financial Quarterly offshore'!P63)-(+'Financial Quarterly onshore'!P62+'Financial Quarterly onshore'!P63)</f>
        <v>0</v>
      </c>
      <c r="Q28" s="291">
        <f ca="1">-(+'Financial Quarterly Holdco'!Q61+'Financial Quarterly Holdco'!Q62)-(+'Financial Quarterly offshore'!Q62+'Financial Quarterly offshore'!Q63)-(+'Financial Quarterly onshore'!Q62+'Financial Quarterly onshore'!Q63)</f>
        <v>0</v>
      </c>
      <c r="R28" s="291">
        <f ca="1">-(+'Financial Quarterly Holdco'!R61+'Financial Quarterly Holdco'!R62)-(+'Financial Quarterly offshore'!R62+'Financial Quarterly offshore'!R63)-(+'Financial Quarterly onshore'!R62+'Financial Quarterly onshore'!R63)</f>
        <v>0</v>
      </c>
      <c r="S28" s="291">
        <f ca="1">-(+'Financial Quarterly Holdco'!S61+'Financial Quarterly Holdco'!S62)-(+'Financial Quarterly offshore'!S62+'Financial Quarterly offshore'!S63)-(+'Financial Quarterly onshore'!S62+'Financial Quarterly onshore'!S63)</f>
        <v>0</v>
      </c>
      <c r="T28" s="291">
        <f ca="1">-(+'Financial Quarterly Holdco'!T61+'Financial Quarterly Holdco'!T62)-(+'Financial Quarterly offshore'!T62+'Financial Quarterly offshore'!T63)-(+'Financial Quarterly onshore'!T62+'Financial Quarterly onshore'!T63)</f>
        <v>0</v>
      </c>
      <c r="U28" s="291">
        <f ca="1">-(+'Financial Quarterly Holdco'!U61+'Financial Quarterly Holdco'!U62)-(+'Financial Quarterly offshore'!U62+'Financial Quarterly offshore'!U63)-(+'Financial Quarterly onshore'!U62+'Financial Quarterly onshore'!U63)</f>
        <v>0</v>
      </c>
      <c r="V28" s="291">
        <f ca="1">-(+'Financial Quarterly Holdco'!V61+'Financial Quarterly Holdco'!V62)-(+'Financial Quarterly offshore'!V62+'Financial Quarterly offshore'!V63)-(+'Financial Quarterly onshore'!V62+'Financial Quarterly onshore'!V63)</f>
        <v>0</v>
      </c>
      <c r="W28" s="291">
        <f ca="1">-(+'Financial Quarterly Holdco'!W61+'Financial Quarterly Holdco'!W62)-(+'Financial Quarterly offshore'!W62+'Financial Quarterly offshore'!W63)-(+'Financial Quarterly onshore'!W62+'Financial Quarterly onshore'!W63)</f>
        <v>0</v>
      </c>
      <c r="X28" s="291">
        <f ca="1">-(+'Financial Quarterly Holdco'!X61+'Financial Quarterly Holdco'!X62)-(+'Financial Quarterly offshore'!X62+'Financial Quarterly offshore'!X63)-(+'Financial Quarterly onshore'!X62+'Financial Quarterly onshore'!X63)</f>
        <v>0</v>
      </c>
      <c r="Y28" s="291">
        <f ca="1">-(+'Financial Quarterly Holdco'!Y61+'Financial Quarterly Holdco'!Y62)-(+'Financial Quarterly offshore'!Y62+'Financial Quarterly offshore'!Y63)-(+'Financial Quarterly onshore'!Y62+'Financial Quarterly onshore'!Y63)</f>
        <v>0</v>
      </c>
      <c r="Z28" s="291">
        <f ca="1">-(+'Financial Quarterly Holdco'!Z61+'Financial Quarterly Holdco'!Z62)-(+'Financial Quarterly offshore'!Z62+'Financial Quarterly offshore'!Z63)-(+'Financial Quarterly onshore'!Z62+'Financial Quarterly onshore'!Z63)</f>
        <v>0</v>
      </c>
      <c r="AA28" s="291">
        <f ca="1">-(+'Financial Quarterly Holdco'!AA61+'Financial Quarterly Holdco'!AA62)-(+'Financial Quarterly offshore'!AA62+'Financial Quarterly offshore'!AA63)-(+'Financial Quarterly onshore'!AA62+'Financial Quarterly onshore'!AA63)</f>
        <v>0</v>
      </c>
      <c r="AB28" s="291">
        <f ca="1">-(+'Financial Quarterly Holdco'!AB61+'Financial Quarterly Holdco'!AB62)-(+'Financial Quarterly offshore'!AB62+'Financial Quarterly offshore'!AB63)-(+'Financial Quarterly onshore'!AB62+'Financial Quarterly onshore'!AB63)</f>
        <v>0</v>
      </c>
      <c r="AC28" s="291" t="e">
        <f ca="1">-(+'Financial Quarterly Holdco'!AC61+'Financial Quarterly Holdco'!AC62)-(+'Financial Quarterly offshore'!AC62+'Financial Quarterly offshore'!AC63)-(+'Financial Quarterly onshore'!AC62+'Financial Quarterly onshore'!AC63)</f>
        <v>#N/A</v>
      </c>
      <c r="AD28" s="291" t="e">
        <f ca="1">-(+'Financial Quarterly Holdco'!AD61+'Financial Quarterly Holdco'!AD62)-(+'Financial Quarterly offshore'!AD62+'Financial Quarterly offshore'!AD63)-(+'Financial Quarterly onshore'!AD62+'Financial Quarterly onshore'!AD63)</f>
        <v>#N/A</v>
      </c>
      <c r="AE28" s="291" t="e">
        <f ca="1">-(+'Financial Quarterly Holdco'!AE61+'Financial Quarterly Holdco'!AE62)-(+'Financial Quarterly offshore'!AE62+'Financial Quarterly offshore'!AE63)-(+'Financial Quarterly onshore'!AE62+'Financial Quarterly onshore'!AE63)</f>
        <v>#N/A</v>
      </c>
      <c r="AF28" s="291" t="e">
        <f ca="1">-(+'Financial Quarterly Holdco'!AF61+'Financial Quarterly Holdco'!AF62)-(+'Financial Quarterly offshore'!AF62+'Financial Quarterly offshore'!AF63)-(+'Financial Quarterly onshore'!AF62+'Financial Quarterly onshore'!AF63)</f>
        <v>#N/A</v>
      </c>
      <c r="AG28" s="291" t="e">
        <f ca="1">-(+'Financial Quarterly Holdco'!AG61+'Financial Quarterly Holdco'!AG62)-(+'Financial Quarterly offshore'!AG62+'Financial Quarterly offshore'!AG63)-(+'Financial Quarterly onshore'!AG62+'Financial Quarterly onshore'!AG63)</f>
        <v>#N/A</v>
      </c>
    </row>
    <row r="29" spans="3:33" ht="14.4" outlineLevel="1">
      <c r="C29" s="34"/>
    </row>
    <row r="30" spans="3:33" outlineLevel="1">
      <c r="C30" s="209" t="str">
        <f>CONCATENATE("Last ",D11," quarters (annualized)")</f>
        <v>Last 4 quarters (annualized)</v>
      </c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09"/>
      <c r="Y30" s="209"/>
      <c r="Z30" s="209"/>
      <c r="AA30" s="209"/>
      <c r="AB30" s="209"/>
      <c r="AC30" s="209"/>
      <c r="AD30" s="209"/>
      <c r="AE30" s="209"/>
      <c r="AF30" s="209"/>
      <c r="AG30" s="209"/>
    </row>
    <row r="31" spans="3:33" outlineLevel="1">
      <c r="C31" s="291" t="s">
        <v>789</v>
      </c>
      <c r="D31" s="291">
        <f ca="1">IFERROR(OFFSET(D18,0,-$D$11+1,1,1)*1,"na")</f>
        <v>0</v>
      </c>
      <c r="E31" s="291">
        <f t="shared" ref="E31:AB31" ca="1" si="16">IFERROR(OFFSET(E18,0,-$D$11+1,1,1)*1,"na")</f>
        <v>0</v>
      </c>
      <c r="F31" s="291" t="str">
        <f t="shared" ca="1" si="16"/>
        <v>na</v>
      </c>
      <c r="G31" s="291">
        <f t="shared" ca="1" si="16"/>
        <v>0</v>
      </c>
      <c r="H31" s="291">
        <f t="shared" ca="1" si="16"/>
        <v>0</v>
      </c>
      <c r="I31" s="291">
        <f t="shared" ca="1" si="16"/>
        <v>0</v>
      </c>
      <c r="J31" s="291">
        <f t="shared" ca="1" si="16"/>
        <v>0</v>
      </c>
      <c r="K31" s="291">
        <f t="shared" ca="1" si="16"/>
        <v>0</v>
      </c>
      <c r="L31" s="291">
        <f t="shared" ca="1" si="16"/>
        <v>0</v>
      </c>
      <c r="M31" s="291">
        <f t="shared" ca="1" si="16"/>
        <v>0</v>
      </c>
      <c r="N31" s="291">
        <f t="shared" ca="1" si="16"/>
        <v>0</v>
      </c>
      <c r="O31" s="291">
        <f t="shared" ca="1" si="16"/>
        <v>0</v>
      </c>
      <c r="P31" s="291">
        <f t="shared" ca="1" si="16"/>
        <v>0</v>
      </c>
      <c r="Q31" s="291">
        <f t="shared" ca="1" si="16"/>
        <v>0</v>
      </c>
      <c r="R31" s="291">
        <f t="shared" ca="1" si="16"/>
        <v>0</v>
      </c>
      <c r="S31" s="291">
        <f t="shared" ca="1" si="16"/>
        <v>0</v>
      </c>
      <c r="T31" s="291">
        <f t="shared" ca="1" si="16"/>
        <v>0</v>
      </c>
      <c r="U31" s="291">
        <f t="shared" ca="1" si="16"/>
        <v>0</v>
      </c>
      <c r="V31" s="291">
        <f t="shared" ca="1" si="16"/>
        <v>0</v>
      </c>
      <c r="W31" s="291">
        <f t="shared" ca="1" si="16"/>
        <v>0</v>
      </c>
      <c r="X31" s="291">
        <f t="shared" ca="1" si="16"/>
        <v>0</v>
      </c>
      <c r="Y31" s="291">
        <f t="shared" ca="1" si="16"/>
        <v>0</v>
      </c>
      <c r="Z31" s="291">
        <f t="shared" ca="1" si="16"/>
        <v>0</v>
      </c>
      <c r="AA31" s="291">
        <f t="shared" ca="1" si="16"/>
        <v>0</v>
      </c>
      <c r="AB31" s="291">
        <f t="shared" ca="1" si="16"/>
        <v>0</v>
      </c>
      <c r="AC31" s="291">
        <f t="shared" ref="AC31:AF31" ca="1" si="17">IFERROR(OFFSET(AC18,0,-$D$11+1,1,1)*1,"na")</f>
        <v>0</v>
      </c>
      <c r="AD31" s="291">
        <f t="shared" ca="1" si="17"/>
        <v>0</v>
      </c>
      <c r="AE31" s="291">
        <f t="shared" ca="1" si="17"/>
        <v>0</v>
      </c>
      <c r="AF31" s="291" t="str">
        <f t="shared" ca="1" si="17"/>
        <v>na</v>
      </c>
      <c r="AG31" s="291" t="str">
        <f t="shared" ref="AG31" ca="1" si="18">IFERROR(OFFSET(AG18,0,-$D$11+1,1,1)*1,"na")</f>
        <v>na</v>
      </c>
    </row>
    <row r="32" spans="3:33" outlineLevel="1">
      <c r="C32" s="291" t="s">
        <v>770</v>
      </c>
      <c r="D32" s="291">
        <f ca="1">IFERROR(SUM(OFFSET(D21,0,0,1,-$D$11))/$D$11*4,"na")</f>
        <v>0</v>
      </c>
      <c r="E32" s="291">
        <f t="shared" ref="E32:AB39" ca="1" si="19">IFERROR(SUM(OFFSET(E21,0,0,1,-$D$11))/$D$11*4,"na")</f>
        <v>0</v>
      </c>
      <c r="F32" s="291">
        <f t="shared" ca="1" si="19"/>
        <v>0</v>
      </c>
      <c r="G32" s="291">
        <f t="shared" ca="1" si="19"/>
        <v>0</v>
      </c>
      <c r="H32" s="291">
        <f t="shared" ca="1" si="19"/>
        <v>0</v>
      </c>
      <c r="I32" s="291">
        <f t="shared" ca="1" si="19"/>
        <v>0</v>
      </c>
      <c r="J32" s="291">
        <f t="shared" ca="1" si="19"/>
        <v>0</v>
      </c>
      <c r="K32" s="291">
        <f t="shared" ca="1" si="19"/>
        <v>0</v>
      </c>
      <c r="L32" s="291">
        <f t="shared" ca="1" si="19"/>
        <v>0</v>
      </c>
      <c r="M32" s="291">
        <f t="shared" ca="1" si="19"/>
        <v>0</v>
      </c>
      <c r="N32" s="291">
        <f t="shared" ca="1" si="19"/>
        <v>0</v>
      </c>
      <c r="O32" s="291">
        <f t="shared" ca="1" si="19"/>
        <v>0</v>
      </c>
      <c r="P32" s="291">
        <f t="shared" ca="1" si="19"/>
        <v>0</v>
      </c>
      <c r="Q32" s="291">
        <f t="shared" ca="1" si="19"/>
        <v>0</v>
      </c>
      <c r="R32" s="291">
        <f t="shared" ca="1" si="19"/>
        <v>0</v>
      </c>
      <c r="S32" s="291">
        <f t="shared" ca="1" si="19"/>
        <v>0</v>
      </c>
      <c r="T32" s="291">
        <f t="shared" ca="1" si="19"/>
        <v>0</v>
      </c>
      <c r="U32" s="291">
        <f t="shared" ca="1" si="19"/>
        <v>0</v>
      </c>
      <c r="V32" s="291">
        <f t="shared" ca="1" si="19"/>
        <v>0</v>
      </c>
      <c r="W32" s="291">
        <f t="shared" ca="1" si="19"/>
        <v>0</v>
      </c>
      <c r="X32" s="291">
        <f t="shared" ca="1" si="19"/>
        <v>0</v>
      </c>
      <c r="Y32" s="291">
        <f t="shared" ca="1" si="19"/>
        <v>0</v>
      </c>
      <c r="Z32" s="291">
        <f t="shared" ca="1" si="19"/>
        <v>0</v>
      </c>
      <c r="AA32" s="291">
        <f t="shared" ca="1" si="19"/>
        <v>0</v>
      </c>
      <c r="AB32" s="291" t="str">
        <f t="shared" ca="1" si="19"/>
        <v>na</v>
      </c>
      <c r="AC32" s="291" t="str">
        <f t="shared" ref="AC32:AF32" ca="1" si="20">IFERROR(SUM(OFFSET(AC21,0,0,1,-$D$11))/$D$11*4,"na")</f>
        <v>na</v>
      </c>
      <c r="AD32" s="291" t="str">
        <f t="shared" ca="1" si="20"/>
        <v>na</v>
      </c>
      <c r="AE32" s="291" t="str">
        <f t="shared" ca="1" si="20"/>
        <v>na</v>
      </c>
      <c r="AF32" s="291" t="str">
        <f t="shared" ca="1" si="20"/>
        <v>na</v>
      </c>
      <c r="AG32" s="291" t="str">
        <f t="shared" ref="AG32" ca="1" si="21">IFERROR(SUM(OFFSET(AG21,0,0,1,-$D$11))/$D$11*4,"na")</f>
        <v>na</v>
      </c>
    </row>
    <row r="33" spans="2:33" outlineLevel="1">
      <c r="C33" s="291" t="s">
        <v>783</v>
      </c>
      <c r="D33" s="291">
        <f t="shared" ref="D33:S39" ca="1" si="22">IFERROR(SUM(OFFSET(D22,0,0,1,-$D$11))/$D$11*4,"na")</f>
        <v>0</v>
      </c>
      <c r="E33" s="291">
        <f t="shared" ca="1" si="22"/>
        <v>0</v>
      </c>
      <c r="F33" s="291">
        <f t="shared" ca="1" si="22"/>
        <v>0</v>
      </c>
      <c r="G33" s="291">
        <f t="shared" ca="1" si="22"/>
        <v>0</v>
      </c>
      <c r="H33" s="291">
        <f t="shared" ca="1" si="22"/>
        <v>0</v>
      </c>
      <c r="I33" s="291">
        <f t="shared" ca="1" si="22"/>
        <v>0</v>
      </c>
      <c r="J33" s="291">
        <f t="shared" ca="1" si="22"/>
        <v>0</v>
      </c>
      <c r="K33" s="291">
        <f t="shared" ca="1" si="22"/>
        <v>0</v>
      </c>
      <c r="L33" s="291">
        <f t="shared" ca="1" si="22"/>
        <v>0</v>
      </c>
      <c r="M33" s="291">
        <f t="shared" ca="1" si="22"/>
        <v>0</v>
      </c>
      <c r="N33" s="291">
        <f t="shared" ca="1" si="22"/>
        <v>0</v>
      </c>
      <c r="O33" s="291">
        <f t="shared" ca="1" si="22"/>
        <v>0</v>
      </c>
      <c r="P33" s="291">
        <f t="shared" ca="1" si="22"/>
        <v>0</v>
      </c>
      <c r="Q33" s="291">
        <f t="shared" ca="1" si="22"/>
        <v>0</v>
      </c>
      <c r="R33" s="291">
        <f t="shared" ca="1" si="22"/>
        <v>0</v>
      </c>
      <c r="S33" s="291">
        <f t="shared" ca="1" si="22"/>
        <v>0</v>
      </c>
      <c r="T33" s="291">
        <f t="shared" ca="1" si="19"/>
        <v>0</v>
      </c>
      <c r="U33" s="291">
        <f t="shared" ca="1" si="19"/>
        <v>0</v>
      </c>
      <c r="V33" s="291">
        <f t="shared" ca="1" si="19"/>
        <v>0</v>
      </c>
      <c r="W33" s="291">
        <f t="shared" ca="1" si="19"/>
        <v>0</v>
      </c>
      <c r="X33" s="291">
        <f t="shared" ca="1" si="19"/>
        <v>0</v>
      </c>
      <c r="Y33" s="291">
        <f t="shared" ca="1" si="19"/>
        <v>0</v>
      </c>
      <c r="Z33" s="291">
        <f t="shared" ca="1" si="19"/>
        <v>0</v>
      </c>
      <c r="AA33" s="291">
        <f t="shared" ca="1" si="19"/>
        <v>0</v>
      </c>
      <c r="AB33" s="291" t="str">
        <f t="shared" ca="1" si="19"/>
        <v>na</v>
      </c>
      <c r="AC33" s="291" t="str">
        <f t="shared" ref="AC33:AF33" ca="1" si="23">IFERROR(SUM(OFFSET(AC22,0,0,1,-$D$11))/$D$11*4,"na")</f>
        <v>na</v>
      </c>
      <c r="AD33" s="291" t="str">
        <f t="shared" ca="1" si="23"/>
        <v>na</v>
      </c>
      <c r="AE33" s="291" t="str">
        <f t="shared" ca="1" si="23"/>
        <v>na</v>
      </c>
      <c r="AF33" s="291" t="str">
        <f t="shared" ca="1" si="23"/>
        <v>na</v>
      </c>
      <c r="AG33" s="291" t="str">
        <f t="shared" ref="AG33" ca="1" si="24">IFERROR(SUM(OFFSET(AG22,0,0,1,-$D$11))/$D$11*4,"na")</f>
        <v>na</v>
      </c>
    </row>
    <row r="34" spans="2:33" outlineLevel="1">
      <c r="C34" s="291" t="s">
        <v>684</v>
      </c>
      <c r="D34" s="291">
        <f t="shared" ca="1" si="22"/>
        <v>0</v>
      </c>
      <c r="E34" s="291">
        <f t="shared" ca="1" si="19"/>
        <v>0</v>
      </c>
      <c r="F34" s="291">
        <f t="shared" ca="1" si="19"/>
        <v>0</v>
      </c>
      <c r="G34" s="291">
        <f t="shared" ca="1" si="19"/>
        <v>0</v>
      </c>
      <c r="H34" s="291">
        <f t="shared" ca="1" si="19"/>
        <v>0</v>
      </c>
      <c r="I34" s="291">
        <f t="shared" ca="1" si="19"/>
        <v>0</v>
      </c>
      <c r="J34" s="291">
        <f t="shared" ca="1" si="19"/>
        <v>0</v>
      </c>
      <c r="K34" s="291">
        <f t="shared" ca="1" si="19"/>
        <v>0</v>
      </c>
      <c r="L34" s="291">
        <f t="shared" ca="1" si="19"/>
        <v>0</v>
      </c>
      <c r="M34" s="291">
        <f t="shared" ca="1" si="19"/>
        <v>0</v>
      </c>
      <c r="N34" s="291">
        <f t="shared" ca="1" si="19"/>
        <v>0</v>
      </c>
      <c r="O34" s="291">
        <f t="shared" ca="1" si="19"/>
        <v>0</v>
      </c>
      <c r="P34" s="291">
        <f t="shared" ca="1" si="19"/>
        <v>0</v>
      </c>
      <c r="Q34" s="291">
        <f t="shared" ca="1" si="19"/>
        <v>0</v>
      </c>
      <c r="R34" s="291">
        <f t="shared" ca="1" si="19"/>
        <v>0</v>
      </c>
      <c r="S34" s="291">
        <f t="shared" ca="1" si="19"/>
        <v>0</v>
      </c>
      <c r="T34" s="291">
        <f t="shared" ca="1" si="19"/>
        <v>0</v>
      </c>
      <c r="U34" s="291">
        <f t="shared" ca="1" si="19"/>
        <v>0</v>
      </c>
      <c r="V34" s="291">
        <f t="shared" ca="1" si="19"/>
        <v>0</v>
      </c>
      <c r="W34" s="291">
        <f t="shared" ca="1" si="19"/>
        <v>0</v>
      </c>
      <c r="X34" s="291">
        <f t="shared" ca="1" si="19"/>
        <v>0</v>
      </c>
      <c r="Y34" s="291">
        <f t="shared" ca="1" si="19"/>
        <v>0</v>
      </c>
      <c r="Z34" s="291">
        <f t="shared" ca="1" si="19"/>
        <v>0</v>
      </c>
      <c r="AA34" s="291">
        <f t="shared" ca="1" si="19"/>
        <v>0</v>
      </c>
      <c r="AB34" s="291" t="str">
        <f t="shared" ca="1" si="19"/>
        <v>na</v>
      </c>
      <c r="AC34" s="291" t="str">
        <f t="shared" ref="AC34:AF34" ca="1" si="25">IFERROR(SUM(OFFSET(AC23,0,0,1,-$D$11))/$D$11*4,"na")</f>
        <v>na</v>
      </c>
      <c r="AD34" s="291" t="str">
        <f t="shared" ca="1" si="25"/>
        <v>na</v>
      </c>
      <c r="AE34" s="291" t="str">
        <f t="shared" ca="1" si="25"/>
        <v>na</v>
      </c>
      <c r="AF34" s="291" t="str">
        <f t="shared" ca="1" si="25"/>
        <v>na</v>
      </c>
      <c r="AG34" s="291" t="str">
        <f t="shared" ref="AG34" ca="1" si="26">IFERROR(SUM(OFFSET(AG23,0,0,1,-$D$11))/$D$11*4,"na")</f>
        <v>na</v>
      </c>
    </row>
    <row r="35" spans="2:33" outlineLevel="1">
      <c r="C35" s="291" t="s">
        <v>776</v>
      </c>
      <c r="D35" s="291">
        <f t="shared" ca="1" si="22"/>
        <v>0</v>
      </c>
      <c r="E35" s="291">
        <f t="shared" ca="1" si="19"/>
        <v>0</v>
      </c>
      <c r="F35" s="291">
        <f t="shared" ca="1" si="19"/>
        <v>0</v>
      </c>
      <c r="G35" s="291">
        <f t="shared" ca="1" si="19"/>
        <v>0</v>
      </c>
      <c r="H35" s="291">
        <f t="shared" ca="1" si="19"/>
        <v>0</v>
      </c>
      <c r="I35" s="291">
        <f t="shared" ca="1" si="19"/>
        <v>0</v>
      </c>
      <c r="J35" s="291">
        <f t="shared" ca="1" si="19"/>
        <v>0</v>
      </c>
      <c r="K35" s="291">
        <f t="shared" ca="1" si="19"/>
        <v>0</v>
      </c>
      <c r="L35" s="291">
        <f t="shared" ca="1" si="19"/>
        <v>0</v>
      </c>
      <c r="M35" s="291">
        <f t="shared" ca="1" si="19"/>
        <v>0</v>
      </c>
      <c r="N35" s="291">
        <f t="shared" ca="1" si="19"/>
        <v>0</v>
      </c>
      <c r="O35" s="291">
        <f t="shared" ca="1" si="19"/>
        <v>0</v>
      </c>
      <c r="P35" s="291">
        <f t="shared" ca="1" si="19"/>
        <v>0</v>
      </c>
      <c r="Q35" s="291">
        <f t="shared" ca="1" si="19"/>
        <v>0</v>
      </c>
      <c r="R35" s="291">
        <f t="shared" ca="1" si="19"/>
        <v>0</v>
      </c>
      <c r="S35" s="291">
        <f t="shared" ca="1" si="19"/>
        <v>0</v>
      </c>
      <c r="T35" s="291">
        <f t="shared" ca="1" si="19"/>
        <v>0</v>
      </c>
      <c r="U35" s="291">
        <f t="shared" ca="1" si="19"/>
        <v>0</v>
      </c>
      <c r="V35" s="291">
        <f t="shared" ca="1" si="19"/>
        <v>0</v>
      </c>
      <c r="W35" s="291">
        <f t="shared" ca="1" si="19"/>
        <v>0</v>
      </c>
      <c r="X35" s="291">
        <f t="shared" ca="1" si="19"/>
        <v>0</v>
      </c>
      <c r="Y35" s="291">
        <f t="shared" ca="1" si="19"/>
        <v>0</v>
      </c>
      <c r="Z35" s="291">
        <f t="shared" ca="1" si="19"/>
        <v>0</v>
      </c>
      <c r="AA35" s="291">
        <f t="shared" ca="1" si="19"/>
        <v>0</v>
      </c>
      <c r="AB35" s="291" t="str">
        <f t="shared" ca="1" si="19"/>
        <v>na</v>
      </c>
      <c r="AC35" s="291" t="str">
        <f t="shared" ref="AC35:AF35" ca="1" si="27">IFERROR(SUM(OFFSET(AC24,0,0,1,-$D$11))/$D$11*4,"na")</f>
        <v>na</v>
      </c>
      <c r="AD35" s="291" t="str">
        <f t="shared" ca="1" si="27"/>
        <v>na</v>
      </c>
      <c r="AE35" s="291" t="str">
        <f t="shared" ca="1" si="27"/>
        <v>na</v>
      </c>
      <c r="AF35" s="291" t="str">
        <f t="shared" ca="1" si="27"/>
        <v>na</v>
      </c>
      <c r="AG35" s="291" t="str">
        <f t="shared" ref="AG35" ca="1" si="28">IFERROR(SUM(OFFSET(AG24,0,0,1,-$D$11))/$D$11*4,"na")</f>
        <v>na</v>
      </c>
    </row>
    <row r="36" spans="2:33" outlineLevel="1">
      <c r="C36" s="291" t="s">
        <v>772</v>
      </c>
      <c r="D36" s="291">
        <f t="shared" ca="1" si="22"/>
        <v>0</v>
      </c>
      <c r="E36" s="291">
        <f t="shared" ca="1" si="19"/>
        <v>0</v>
      </c>
      <c r="F36" s="291">
        <f t="shared" ca="1" si="19"/>
        <v>0</v>
      </c>
      <c r="G36" s="291">
        <f t="shared" ca="1" si="19"/>
        <v>0</v>
      </c>
      <c r="H36" s="291">
        <f t="shared" ca="1" si="19"/>
        <v>0</v>
      </c>
      <c r="I36" s="291">
        <f t="shared" ca="1" si="19"/>
        <v>0</v>
      </c>
      <c r="J36" s="291">
        <f t="shared" ca="1" si="19"/>
        <v>0</v>
      </c>
      <c r="K36" s="291">
        <f t="shared" ca="1" si="19"/>
        <v>0</v>
      </c>
      <c r="L36" s="291">
        <f t="shared" ca="1" si="19"/>
        <v>0</v>
      </c>
      <c r="M36" s="291">
        <f t="shared" ca="1" si="19"/>
        <v>0</v>
      </c>
      <c r="N36" s="291">
        <f t="shared" ca="1" si="19"/>
        <v>0</v>
      </c>
      <c r="O36" s="291">
        <f t="shared" ca="1" si="19"/>
        <v>0</v>
      </c>
      <c r="P36" s="291">
        <f t="shared" ca="1" si="19"/>
        <v>0</v>
      </c>
      <c r="Q36" s="291">
        <f t="shared" ca="1" si="19"/>
        <v>0</v>
      </c>
      <c r="R36" s="291">
        <f t="shared" ca="1" si="19"/>
        <v>0</v>
      </c>
      <c r="S36" s="291">
        <f t="shared" ca="1" si="19"/>
        <v>0</v>
      </c>
      <c r="T36" s="291">
        <f t="shared" ca="1" si="19"/>
        <v>0</v>
      </c>
      <c r="U36" s="291">
        <f t="shared" ca="1" si="19"/>
        <v>0</v>
      </c>
      <c r="V36" s="291">
        <f t="shared" ca="1" si="19"/>
        <v>0</v>
      </c>
      <c r="W36" s="291">
        <f t="shared" ca="1" si="19"/>
        <v>0</v>
      </c>
      <c r="X36" s="291">
        <f t="shared" ca="1" si="19"/>
        <v>0</v>
      </c>
      <c r="Y36" s="291">
        <f t="shared" ca="1" si="19"/>
        <v>0</v>
      </c>
      <c r="Z36" s="291">
        <f t="shared" ca="1" si="19"/>
        <v>0</v>
      </c>
      <c r="AA36" s="291">
        <f t="shared" ca="1" si="19"/>
        <v>0</v>
      </c>
      <c r="AB36" s="291">
        <f t="shared" ca="1" si="19"/>
        <v>0</v>
      </c>
      <c r="AC36" s="291" t="str">
        <f t="shared" ref="AC36:AF36" ca="1" si="29">IFERROR(SUM(OFFSET(AC25,0,0,1,-$D$11))/$D$11*4,"na")</f>
        <v>na</v>
      </c>
      <c r="AD36" s="291" t="str">
        <f t="shared" ca="1" si="29"/>
        <v>na</v>
      </c>
      <c r="AE36" s="291" t="str">
        <f t="shared" ca="1" si="29"/>
        <v>na</v>
      </c>
      <c r="AF36" s="291" t="str">
        <f t="shared" ca="1" si="29"/>
        <v>na</v>
      </c>
      <c r="AG36" s="291" t="str">
        <f t="shared" ref="AG36" ca="1" si="30">IFERROR(SUM(OFFSET(AG25,0,0,1,-$D$11))/$D$11*4,"na")</f>
        <v>na</v>
      </c>
    </row>
    <row r="37" spans="2:33" outlineLevel="1">
      <c r="C37" s="291" t="s">
        <v>773</v>
      </c>
      <c r="D37" s="291">
        <f t="shared" ca="1" si="22"/>
        <v>0</v>
      </c>
      <c r="E37" s="291">
        <f t="shared" ca="1" si="19"/>
        <v>0</v>
      </c>
      <c r="F37" s="291">
        <f t="shared" ca="1" si="19"/>
        <v>0</v>
      </c>
      <c r="G37" s="291">
        <f t="shared" ca="1" si="19"/>
        <v>0</v>
      </c>
      <c r="H37" s="291">
        <f t="shared" ca="1" si="19"/>
        <v>0</v>
      </c>
      <c r="I37" s="291">
        <f t="shared" ca="1" si="19"/>
        <v>0</v>
      </c>
      <c r="J37" s="291">
        <f t="shared" ca="1" si="19"/>
        <v>0</v>
      </c>
      <c r="K37" s="291">
        <f t="shared" ca="1" si="19"/>
        <v>0</v>
      </c>
      <c r="L37" s="291">
        <f t="shared" ca="1" si="19"/>
        <v>0</v>
      </c>
      <c r="M37" s="291">
        <f t="shared" ca="1" si="19"/>
        <v>0</v>
      </c>
      <c r="N37" s="291">
        <f t="shared" ca="1" si="19"/>
        <v>0</v>
      </c>
      <c r="O37" s="291">
        <f t="shared" ca="1" si="19"/>
        <v>0</v>
      </c>
      <c r="P37" s="291">
        <f t="shared" ca="1" si="19"/>
        <v>0</v>
      </c>
      <c r="Q37" s="291">
        <f t="shared" ca="1" si="19"/>
        <v>0</v>
      </c>
      <c r="R37" s="291">
        <f t="shared" ca="1" si="19"/>
        <v>0</v>
      </c>
      <c r="S37" s="291">
        <f t="shared" ca="1" si="19"/>
        <v>0</v>
      </c>
      <c r="T37" s="291">
        <f t="shared" ca="1" si="19"/>
        <v>0</v>
      </c>
      <c r="U37" s="291">
        <f t="shared" ca="1" si="19"/>
        <v>0</v>
      </c>
      <c r="V37" s="291">
        <f t="shared" ca="1" si="19"/>
        <v>0</v>
      </c>
      <c r="W37" s="291">
        <f t="shared" ca="1" si="19"/>
        <v>0</v>
      </c>
      <c r="X37" s="291">
        <f t="shared" ca="1" si="19"/>
        <v>0</v>
      </c>
      <c r="Y37" s="291">
        <f t="shared" ca="1" si="19"/>
        <v>0</v>
      </c>
      <c r="Z37" s="291">
        <f t="shared" ca="1" si="19"/>
        <v>0</v>
      </c>
      <c r="AA37" s="291">
        <f t="shared" ca="1" si="19"/>
        <v>0</v>
      </c>
      <c r="AB37" s="291">
        <f t="shared" ca="1" si="19"/>
        <v>0</v>
      </c>
      <c r="AC37" s="291" t="str">
        <f t="shared" ref="AC37:AF37" ca="1" si="31">IFERROR(SUM(OFFSET(AC26,0,0,1,-$D$11))/$D$11*4,"na")</f>
        <v>na</v>
      </c>
      <c r="AD37" s="291" t="str">
        <f t="shared" ca="1" si="31"/>
        <v>na</v>
      </c>
      <c r="AE37" s="291" t="str">
        <f t="shared" ca="1" si="31"/>
        <v>na</v>
      </c>
      <c r="AF37" s="291" t="str">
        <f t="shared" ca="1" si="31"/>
        <v>na</v>
      </c>
      <c r="AG37" s="291" t="str">
        <f t="shared" ref="AG37" ca="1" si="32">IFERROR(SUM(OFFSET(AG26,0,0,1,-$D$11))/$D$11*4,"na")</f>
        <v>na</v>
      </c>
    </row>
    <row r="38" spans="2:33" outlineLevel="1">
      <c r="C38" s="291" t="s">
        <v>774</v>
      </c>
      <c r="D38" s="291">
        <f t="shared" ca="1" si="22"/>
        <v>0</v>
      </c>
      <c r="E38" s="291">
        <f t="shared" ca="1" si="19"/>
        <v>0</v>
      </c>
      <c r="F38" s="291">
        <f t="shared" ca="1" si="19"/>
        <v>0</v>
      </c>
      <c r="G38" s="291">
        <f t="shared" ca="1" si="19"/>
        <v>0</v>
      </c>
      <c r="H38" s="291">
        <f t="shared" ca="1" si="19"/>
        <v>0</v>
      </c>
      <c r="I38" s="291">
        <f t="shared" ca="1" si="19"/>
        <v>0</v>
      </c>
      <c r="J38" s="291">
        <f t="shared" ca="1" si="19"/>
        <v>0</v>
      </c>
      <c r="K38" s="291">
        <f t="shared" ca="1" si="19"/>
        <v>0</v>
      </c>
      <c r="L38" s="291">
        <f t="shared" ca="1" si="19"/>
        <v>0</v>
      </c>
      <c r="M38" s="291">
        <f t="shared" ca="1" si="19"/>
        <v>0</v>
      </c>
      <c r="N38" s="291">
        <f t="shared" ca="1" si="19"/>
        <v>0</v>
      </c>
      <c r="O38" s="291">
        <f t="shared" ca="1" si="19"/>
        <v>0</v>
      </c>
      <c r="P38" s="291">
        <f t="shared" ca="1" si="19"/>
        <v>0</v>
      </c>
      <c r="Q38" s="291">
        <f t="shared" ca="1" si="19"/>
        <v>0</v>
      </c>
      <c r="R38" s="291">
        <f t="shared" ca="1" si="19"/>
        <v>0</v>
      </c>
      <c r="S38" s="291">
        <f t="shared" ca="1" si="19"/>
        <v>0</v>
      </c>
      <c r="T38" s="291">
        <f t="shared" ca="1" si="19"/>
        <v>0</v>
      </c>
      <c r="U38" s="291">
        <f t="shared" ca="1" si="19"/>
        <v>0</v>
      </c>
      <c r="V38" s="291">
        <f t="shared" ca="1" si="19"/>
        <v>0</v>
      </c>
      <c r="W38" s="291">
        <f t="shared" ca="1" si="19"/>
        <v>0</v>
      </c>
      <c r="X38" s="291">
        <f t="shared" ca="1" si="19"/>
        <v>0</v>
      </c>
      <c r="Y38" s="291">
        <f t="shared" ca="1" si="19"/>
        <v>0</v>
      </c>
      <c r="Z38" s="291">
        <f t="shared" ca="1" si="19"/>
        <v>0</v>
      </c>
      <c r="AA38" s="291">
        <f t="shared" ca="1" si="19"/>
        <v>0</v>
      </c>
      <c r="AB38" s="291">
        <f t="shared" ca="1" si="19"/>
        <v>0</v>
      </c>
      <c r="AC38" s="291">
        <f t="shared" ref="AC38:AF38" ca="1" si="33">IFERROR(SUM(OFFSET(AC27,0,0,1,-$D$11))/$D$11*4,"na")</f>
        <v>0</v>
      </c>
      <c r="AD38" s="291">
        <f t="shared" ca="1" si="33"/>
        <v>0</v>
      </c>
      <c r="AE38" s="291">
        <f t="shared" ca="1" si="33"/>
        <v>0</v>
      </c>
      <c r="AF38" s="291">
        <f t="shared" ca="1" si="33"/>
        <v>0</v>
      </c>
      <c r="AG38" s="291">
        <f t="shared" ref="AG38" ca="1" si="34">IFERROR(SUM(OFFSET(AG27,0,0,1,-$D$11))/$D$11*4,"na")</f>
        <v>0</v>
      </c>
    </row>
    <row r="39" spans="2:33" outlineLevel="1">
      <c r="C39" s="291" t="s">
        <v>775</v>
      </c>
      <c r="D39" s="291">
        <f t="shared" ca="1" si="22"/>
        <v>0</v>
      </c>
      <c r="E39" s="291">
        <f t="shared" ca="1" si="19"/>
        <v>0</v>
      </c>
      <c r="F39" s="291">
        <f t="shared" ca="1" si="19"/>
        <v>0</v>
      </c>
      <c r="G39" s="291">
        <f t="shared" ca="1" si="19"/>
        <v>0</v>
      </c>
      <c r="H39" s="291">
        <f t="shared" ca="1" si="19"/>
        <v>0</v>
      </c>
      <c r="I39" s="291">
        <f t="shared" ca="1" si="19"/>
        <v>0</v>
      </c>
      <c r="J39" s="291">
        <f t="shared" ca="1" si="19"/>
        <v>0</v>
      </c>
      <c r="K39" s="291">
        <f t="shared" ca="1" si="19"/>
        <v>0</v>
      </c>
      <c r="L39" s="291">
        <f t="shared" ca="1" si="19"/>
        <v>0</v>
      </c>
      <c r="M39" s="291">
        <f t="shared" ca="1" si="19"/>
        <v>0</v>
      </c>
      <c r="N39" s="291">
        <f t="shared" ca="1" si="19"/>
        <v>0</v>
      </c>
      <c r="O39" s="291">
        <f t="shared" ca="1" si="19"/>
        <v>0</v>
      </c>
      <c r="P39" s="291">
        <f t="shared" ca="1" si="19"/>
        <v>0</v>
      </c>
      <c r="Q39" s="291">
        <f t="shared" ca="1" si="19"/>
        <v>0</v>
      </c>
      <c r="R39" s="291">
        <f t="shared" ca="1" si="19"/>
        <v>0</v>
      </c>
      <c r="S39" s="291">
        <f t="shared" ca="1" si="19"/>
        <v>0</v>
      </c>
      <c r="T39" s="291">
        <f t="shared" ca="1" si="19"/>
        <v>0</v>
      </c>
      <c r="U39" s="291">
        <f t="shared" ca="1" si="19"/>
        <v>0</v>
      </c>
      <c r="V39" s="291">
        <f t="shared" ca="1" si="19"/>
        <v>0</v>
      </c>
      <c r="W39" s="291">
        <f t="shared" ca="1" si="19"/>
        <v>0</v>
      </c>
      <c r="X39" s="291">
        <f t="shared" ca="1" si="19"/>
        <v>0</v>
      </c>
      <c r="Y39" s="291">
        <f t="shared" ca="1" si="19"/>
        <v>0</v>
      </c>
      <c r="Z39" s="291">
        <f t="shared" ca="1" si="19"/>
        <v>0</v>
      </c>
      <c r="AA39" s="291">
        <f t="shared" ca="1" si="19"/>
        <v>0</v>
      </c>
      <c r="AB39" s="291">
        <f t="shared" ca="1" si="19"/>
        <v>0</v>
      </c>
      <c r="AC39" s="291" t="str">
        <f t="shared" ref="AC39:AF39" ca="1" si="35">IFERROR(SUM(OFFSET(AC28,0,0,1,-$D$11))/$D$11*4,"na")</f>
        <v>na</v>
      </c>
      <c r="AD39" s="291" t="str">
        <f t="shared" ca="1" si="35"/>
        <v>na</v>
      </c>
      <c r="AE39" s="291" t="str">
        <f t="shared" ca="1" si="35"/>
        <v>na</v>
      </c>
      <c r="AF39" s="291" t="str">
        <f t="shared" ca="1" si="35"/>
        <v>na</v>
      </c>
      <c r="AG39" s="291" t="str">
        <f t="shared" ref="AG39" ca="1" si="36">IFERROR(SUM(OFFSET(AG28,0,0,1,-$D$11))/$D$11*4,"na")</f>
        <v>na</v>
      </c>
    </row>
    <row r="40" spans="2:33" ht="14.4" outlineLevel="1">
      <c r="C40" s="1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</row>
    <row r="41" spans="2:33" ht="16.600000000000001">
      <c r="B41" s="196" t="str">
        <f>CONCATENATE("Project ",project_name," covenant testing")</f>
        <v>Project  covenant testing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</row>
    <row r="42" spans="2:33">
      <c r="B42" s="198" t="s">
        <v>1036</v>
      </c>
      <c r="C42" s="198"/>
      <c r="D42" s="198">
        <f>D$4</f>
        <v>43555</v>
      </c>
      <c r="E42" s="198">
        <f t="shared" ref="E42:AG42" si="37">E$4</f>
        <v>43646</v>
      </c>
      <c r="F42" s="198">
        <f t="shared" si="37"/>
        <v>43738</v>
      </c>
      <c r="G42" s="198">
        <f t="shared" si="37"/>
        <v>43830</v>
      </c>
      <c r="H42" s="198">
        <f t="shared" si="37"/>
        <v>43921</v>
      </c>
      <c r="I42" s="198">
        <f t="shared" si="37"/>
        <v>44012</v>
      </c>
      <c r="J42" s="198">
        <f t="shared" si="37"/>
        <v>44104</v>
      </c>
      <c r="K42" s="198">
        <f t="shared" si="37"/>
        <v>44196</v>
      </c>
      <c r="L42" s="198">
        <f t="shared" si="37"/>
        <v>44286</v>
      </c>
      <c r="M42" s="198">
        <f t="shared" si="37"/>
        <v>44377</v>
      </c>
      <c r="N42" s="198">
        <f t="shared" si="37"/>
        <v>44469</v>
      </c>
      <c r="O42" s="198">
        <f t="shared" si="37"/>
        <v>44561</v>
      </c>
      <c r="P42" s="198">
        <f t="shared" si="37"/>
        <v>44651</v>
      </c>
      <c r="Q42" s="198">
        <f t="shared" si="37"/>
        <v>44742</v>
      </c>
      <c r="R42" s="198">
        <f t="shared" si="37"/>
        <v>44834</v>
      </c>
      <c r="S42" s="198">
        <f t="shared" si="37"/>
        <v>44926</v>
      </c>
      <c r="T42" s="198">
        <f t="shared" si="37"/>
        <v>45016</v>
      </c>
      <c r="U42" s="198">
        <f t="shared" si="37"/>
        <v>45107</v>
      </c>
      <c r="V42" s="198">
        <f t="shared" si="37"/>
        <v>45199</v>
      </c>
      <c r="W42" s="198">
        <f t="shared" si="37"/>
        <v>45291</v>
      </c>
      <c r="X42" s="198">
        <f t="shared" si="37"/>
        <v>45382</v>
      </c>
      <c r="Y42" s="198">
        <f t="shared" si="37"/>
        <v>45473</v>
      </c>
      <c r="Z42" s="198">
        <f t="shared" si="37"/>
        <v>45565</v>
      </c>
      <c r="AA42" s="198">
        <f t="shared" si="37"/>
        <v>45657</v>
      </c>
      <c r="AB42" s="198">
        <f t="shared" si="37"/>
        <v>45747</v>
      </c>
      <c r="AC42" s="198">
        <f t="shared" si="37"/>
        <v>45838</v>
      </c>
      <c r="AD42" s="198">
        <f t="shared" si="37"/>
        <v>45930</v>
      </c>
      <c r="AE42" s="198">
        <f t="shared" si="37"/>
        <v>46022</v>
      </c>
      <c r="AF42" s="198">
        <f t="shared" si="37"/>
        <v>46112</v>
      </c>
      <c r="AG42" s="198">
        <f t="shared" si="37"/>
        <v>46203</v>
      </c>
    </row>
    <row r="43" spans="2:33" s="107" customFormat="1" ht="15.15" outlineLevel="1">
      <c r="B43" s="180" t="s">
        <v>1035</v>
      </c>
      <c r="C43" s="180" t="s">
        <v>767</v>
      </c>
      <c r="D43" s="261" t="str">
        <f>IF($D$12&gt;D$4,"na",(D15-(D19&lt;0)*D19)/INDEX(D$32:D$34,MATCH($B44,$C$32:$C$34,0)))</f>
        <v>na</v>
      </c>
      <c r="E43" s="261" t="str">
        <f t="shared" ref="E43:AB43" si="38">IF($D$12&gt;E$4,"na",(E15-(E19&lt;0)*E19)/INDEX(E$32:E$34,MATCH($B44,$C$32:$C$34,0)))</f>
        <v>na</v>
      </c>
      <c r="F43" s="261" t="str">
        <f t="shared" si="38"/>
        <v>na</v>
      </c>
      <c r="G43" s="261" t="e">
        <f t="shared" ca="1" si="38"/>
        <v>#DIV/0!</v>
      </c>
      <c r="H43" s="261" t="e">
        <f t="shared" ca="1" si="38"/>
        <v>#DIV/0!</v>
      </c>
      <c r="I43" s="261" t="e">
        <f t="shared" ca="1" si="38"/>
        <v>#DIV/0!</v>
      </c>
      <c r="J43" s="261" t="e">
        <f t="shared" ca="1" si="38"/>
        <v>#DIV/0!</v>
      </c>
      <c r="K43" s="261" t="e">
        <f t="shared" ca="1" si="38"/>
        <v>#DIV/0!</v>
      </c>
      <c r="L43" s="261" t="e">
        <f t="shared" ca="1" si="38"/>
        <v>#DIV/0!</v>
      </c>
      <c r="M43" s="261" t="e">
        <f t="shared" ca="1" si="38"/>
        <v>#DIV/0!</v>
      </c>
      <c r="N43" s="261" t="e">
        <f t="shared" ca="1" si="38"/>
        <v>#DIV/0!</v>
      </c>
      <c r="O43" s="261" t="e">
        <f t="shared" ca="1" si="38"/>
        <v>#DIV/0!</v>
      </c>
      <c r="P43" s="261" t="e">
        <f t="shared" ca="1" si="38"/>
        <v>#DIV/0!</v>
      </c>
      <c r="Q43" s="261" t="e">
        <f t="shared" ca="1" si="38"/>
        <v>#DIV/0!</v>
      </c>
      <c r="R43" s="261" t="e">
        <f t="shared" ca="1" si="38"/>
        <v>#DIV/0!</v>
      </c>
      <c r="S43" s="261" t="e">
        <f t="shared" ca="1" si="38"/>
        <v>#DIV/0!</v>
      </c>
      <c r="T43" s="261" t="e">
        <f t="shared" ca="1" si="38"/>
        <v>#DIV/0!</v>
      </c>
      <c r="U43" s="261" t="e">
        <f t="shared" ca="1" si="38"/>
        <v>#DIV/0!</v>
      </c>
      <c r="V43" s="261" t="e">
        <f t="shared" ca="1" si="38"/>
        <v>#DIV/0!</v>
      </c>
      <c r="W43" s="261" t="e">
        <f t="shared" ca="1" si="38"/>
        <v>#DIV/0!</v>
      </c>
      <c r="X43" s="261" t="e">
        <f t="shared" ca="1" si="38"/>
        <v>#DIV/0!</v>
      </c>
      <c r="Y43" s="261" t="e">
        <f t="shared" ca="1" si="38"/>
        <v>#DIV/0!</v>
      </c>
      <c r="Z43" s="261" t="e">
        <f t="shared" ca="1" si="38"/>
        <v>#DIV/0!</v>
      </c>
      <c r="AA43" s="261" t="e">
        <f t="shared" ca="1" si="38"/>
        <v>#DIV/0!</v>
      </c>
      <c r="AB43" s="261" t="e">
        <f t="shared" ca="1" si="38"/>
        <v>#N/A</v>
      </c>
      <c r="AC43" s="261" t="e">
        <f t="shared" ref="AC43:AF43" ca="1" si="39">IF($D$12&gt;AC$4,"na",(AC15-(AC19&lt;0)*AC19)/INDEX(AC$32:AC$34,MATCH($B44,$C$32:$C$34,0)))</f>
        <v>#N/A</v>
      </c>
      <c r="AD43" s="261" t="e">
        <f t="shared" ca="1" si="39"/>
        <v>#N/A</v>
      </c>
      <c r="AE43" s="261" t="e">
        <f t="shared" ca="1" si="39"/>
        <v>#N/A</v>
      </c>
      <c r="AF43" s="261" t="e">
        <f t="shared" ca="1" si="39"/>
        <v>#N/A</v>
      </c>
      <c r="AG43" s="261" t="e">
        <f t="shared" ref="AG43" ca="1" si="40">IF($D$12&gt;AG$4,"na",(AG15-(AG19&lt;0)*AG19)/INDEX(AG$32:AG$34,MATCH($B44,$C$32:$C$34,0)))</f>
        <v>#N/A</v>
      </c>
    </row>
    <row r="44" spans="2:33" s="106" customFormat="1" ht="15.15" outlineLevel="1">
      <c r="B44" s="197" t="s">
        <v>771</v>
      </c>
      <c r="C44" s="28" t="s">
        <v>765</v>
      </c>
      <c r="D44" s="306">
        <v>5.5</v>
      </c>
      <c r="E44" s="306">
        <v>5.5</v>
      </c>
      <c r="F44" s="306">
        <v>5</v>
      </c>
      <c r="G44" s="306">
        <v>5</v>
      </c>
      <c r="H44" s="306">
        <v>5</v>
      </c>
      <c r="I44" s="306">
        <v>5</v>
      </c>
      <c r="J44" s="306">
        <v>5</v>
      </c>
      <c r="K44" s="306">
        <v>5</v>
      </c>
      <c r="L44" s="306">
        <v>5</v>
      </c>
      <c r="M44" s="306">
        <v>5</v>
      </c>
      <c r="N44" s="306">
        <v>5</v>
      </c>
      <c r="O44" s="306">
        <v>5</v>
      </c>
      <c r="P44" s="306">
        <v>5</v>
      </c>
      <c r="Q44" s="306">
        <v>5</v>
      </c>
      <c r="R44" s="306">
        <v>5</v>
      </c>
      <c r="S44" s="306">
        <v>5</v>
      </c>
      <c r="T44" s="306">
        <v>5</v>
      </c>
      <c r="U44" s="306">
        <v>5</v>
      </c>
      <c r="V44" s="306">
        <v>5</v>
      </c>
      <c r="W44" s="306">
        <v>5</v>
      </c>
      <c r="X44" s="306">
        <v>5</v>
      </c>
      <c r="Y44" s="306">
        <v>5</v>
      </c>
      <c r="Z44" s="306">
        <v>5</v>
      </c>
      <c r="AA44" s="306">
        <v>5</v>
      </c>
      <c r="AB44" s="306">
        <v>5</v>
      </c>
      <c r="AC44" s="306">
        <v>5</v>
      </c>
      <c r="AD44" s="306">
        <v>5</v>
      </c>
      <c r="AE44" s="306">
        <v>5</v>
      </c>
      <c r="AF44" s="306">
        <v>5</v>
      </c>
      <c r="AG44" s="306">
        <v>5</v>
      </c>
    </row>
    <row r="45" spans="2:33" s="108" customFormat="1" ht="15.15" outlineLevel="1">
      <c r="B45" s="28"/>
      <c r="C45" s="183" t="s">
        <v>766</v>
      </c>
      <c r="D45" s="185" t="str">
        <f>IFERROR(D44/D43-1,"na")</f>
        <v>na</v>
      </c>
      <c r="E45" s="185" t="str">
        <f t="shared" ref="E45:AB45" si="41">IFERROR(E44/E43-1,"na")</f>
        <v>na</v>
      </c>
      <c r="F45" s="185" t="str">
        <f t="shared" si="41"/>
        <v>na</v>
      </c>
      <c r="G45" s="183" t="str">
        <f t="shared" ca="1" si="41"/>
        <v>na</v>
      </c>
      <c r="H45" s="183" t="str">
        <f t="shared" ca="1" si="41"/>
        <v>na</v>
      </c>
      <c r="I45" s="183" t="str">
        <f t="shared" ca="1" si="41"/>
        <v>na</v>
      </c>
      <c r="J45" s="183" t="str">
        <f t="shared" ca="1" si="41"/>
        <v>na</v>
      </c>
      <c r="K45" s="183" t="str">
        <f t="shared" ca="1" si="41"/>
        <v>na</v>
      </c>
      <c r="L45" s="183" t="str">
        <f t="shared" ca="1" si="41"/>
        <v>na</v>
      </c>
      <c r="M45" s="183" t="str">
        <f t="shared" ca="1" si="41"/>
        <v>na</v>
      </c>
      <c r="N45" s="183" t="str">
        <f t="shared" ca="1" si="41"/>
        <v>na</v>
      </c>
      <c r="O45" s="183" t="str">
        <f t="shared" ca="1" si="41"/>
        <v>na</v>
      </c>
      <c r="P45" s="183" t="str">
        <f t="shared" ca="1" si="41"/>
        <v>na</v>
      </c>
      <c r="Q45" s="183" t="str">
        <f t="shared" ca="1" si="41"/>
        <v>na</v>
      </c>
      <c r="R45" s="183" t="str">
        <f t="shared" ca="1" si="41"/>
        <v>na</v>
      </c>
      <c r="S45" s="183" t="str">
        <f t="shared" ca="1" si="41"/>
        <v>na</v>
      </c>
      <c r="T45" s="183" t="str">
        <f t="shared" ca="1" si="41"/>
        <v>na</v>
      </c>
      <c r="U45" s="183" t="str">
        <f t="shared" ca="1" si="41"/>
        <v>na</v>
      </c>
      <c r="V45" s="183" t="str">
        <f t="shared" ca="1" si="41"/>
        <v>na</v>
      </c>
      <c r="W45" s="183" t="str">
        <f t="shared" ca="1" si="41"/>
        <v>na</v>
      </c>
      <c r="X45" s="183" t="str">
        <f t="shared" ca="1" si="41"/>
        <v>na</v>
      </c>
      <c r="Y45" s="183" t="str">
        <f t="shared" ca="1" si="41"/>
        <v>na</v>
      </c>
      <c r="Z45" s="183" t="str">
        <f t="shared" ca="1" si="41"/>
        <v>na</v>
      </c>
      <c r="AA45" s="183" t="str">
        <f t="shared" ca="1" si="41"/>
        <v>na</v>
      </c>
      <c r="AB45" s="183" t="str">
        <f t="shared" ca="1" si="41"/>
        <v>na</v>
      </c>
      <c r="AC45" s="183" t="str">
        <f t="shared" ref="AC45:AF45" ca="1" si="42">IFERROR(AC44/AC43-1,"na")</f>
        <v>na</v>
      </c>
      <c r="AD45" s="183" t="str">
        <f t="shared" ca="1" si="42"/>
        <v>na</v>
      </c>
      <c r="AE45" s="183" t="str">
        <f t="shared" ca="1" si="42"/>
        <v>na</v>
      </c>
      <c r="AF45" s="183" t="str">
        <f t="shared" ca="1" si="42"/>
        <v>na</v>
      </c>
      <c r="AG45" s="183" t="str">
        <f t="shared" ref="AG45" ca="1" si="43">IFERROR(AG44/AG43-1,"na")</f>
        <v>na</v>
      </c>
    </row>
    <row r="46" spans="2:33" ht="14.4" outlineLevel="1">
      <c r="B46" s="1"/>
      <c r="C46" s="34"/>
    </row>
    <row r="47" spans="2:33" s="107" customFormat="1" ht="15.15">
      <c r="B47" s="180"/>
      <c r="C47" s="180" t="s">
        <v>764</v>
      </c>
      <c r="D47" s="261" t="str">
        <f t="shared" ref="D47:AB47" si="44">IF($D$12&gt;D$4,"na",(D15-D19)/INDEX(D$32:D$34,MATCH($B48,$C$32:$C$34,0)))</f>
        <v>na</v>
      </c>
      <c r="E47" s="261" t="str">
        <f t="shared" si="44"/>
        <v>na</v>
      </c>
      <c r="F47" s="261" t="str">
        <f t="shared" si="44"/>
        <v>na</v>
      </c>
      <c r="G47" s="261" t="e">
        <f t="shared" ca="1" si="44"/>
        <v>#DIV/0!</v>
      </c>
      <c r="H47" s="261" t="e">
        <f t="shared" ca="1" si="44"/>
        <v>#DIV/0!</v>
      </c>
      <c r="I47" s="261" t="e">
        <f t="shared" ca="1" si="44"/>
        <v>#DIV/0!</v>
      </c>
      <c r="J47" s="261" t="e">
        <f t="shared" ca="1" si="44"/>
        <v>#DIV/0!</v>
      </c>
      <c r="K47" s="261" t="e">
        <f t="shared" ca="1" si="44"/>
        <v>#DIV/0!</v>
      </c>
      <c r="L47" s="261" t="e">
        <f t="shared" ca="1" si="44"/>
        <v>#DIV/0!</v>
      </c>
      <c r="M47" s="261" t="e">
        <f t="shared" ca="1" si="44"/>
        <v>#DIV/0!</v>
      </c>
      <c r="N47" s="261" t="e">
        <f t="shared" ca="1" si="44"/>
        <v>#DIV/0!</v>
      </c>
      <c r="O47" s="261" t="e">
        <f t="shared" ca="1" si="44"/>
        <v>#DIV/0!</v>
      </c>
      <c r="P47" s="261" t="e">
        <f t="shared" ca="1" si="44"/>
        <v>#DIV/0!</v>
      </c>
      <c r="Q47" s="261" t="e">
        <f t="shared" ca="1" si="44"/>
        <v>#DIV/0!</v>
      </c>
      <c r="R47" s="261" t="e">
        <f t="shared" ca="1" si="44"/>
        <v>#DIV/0!</v>
      </c>
      <c r="S47" s="261" t="e">
        <f t="shared" ca="1" si="44"/>
        <v>#DIV/0!</v>
      </c>
      <c r="T47" s="261" t="e">
        <f t="shared" ca="1" si="44"/>
        <v>#DIV/0!</v>
      </c>
      <c r="U47" s="261" t="e">
        <f t="shared" ca="1" si="44"/>
        <v>#DIV/0!</v>
      </c>
      <c r="V47" s="261" t="e">
        <f t="shared" ca="1" si="44"/>
        <v>#DIV/0!</v>
      </c>
      <c r="W47" s="261" t="e">
        <f t="shared" ca="1" si="44"/>
        <v>#DIV/0!</v>
      </c>
      <c r="X47" s="261" t="e">
        <f t="shared" ca="1" si="44"/>
        <v>#DIV/0!</v>
      </c>
      <c r="Y47" s="261" t="e">
        <f t="shared" ca="1" si="44"/>
        <v>#DIV/0!</v>
      </c>
      <c r="Z47" s="261" t="e">
        <f t="shared" ca="1" si="44"/>
        <v>#DIV/0!</v>
      </c>
      <c r="AA47" s="261" t="e">
        <f t="shared" ca="1" si="44"/>
        <v>#DIV/0!</v>
      </c>
      <c r="AB47" s="261" t="e">
        <f t="shared" ca="1" si="44"/>
        <v>#N/A</v>
      </c>
      <c r="AC47" s="261" t="e">
        <f t="shared" ref="AC47:AF47" ca="1" si="45">IF($D$12&gt;AC$4,"na",(AC15-AC19)/INDEX(AC$32:AC$34,MATCH($B48,$C$32:$C$34,0)))</f>
        <v>#N/A</v>
      </c>
      <c r="AD47" s="261" t="e">
        <f t="shared" ca="1" si="45"/>
        <v>#N/A</v>
      </c>
      <c r="AE47" s="261" t="e">
        <f t="shared" ca="1" si="45"/>
        <v>#N/A</v>
      </c>
      <c r="AF47" s="261" t="e">
        <f t="shared" ca="1" si="45"/>
        <v>#N/A</v>
      </c>
      <c r="AG47" s="261" t="e">
        <f t="shared" ref="AG47" ca="1" si="46">IF($D$12&gt;AG$4,"na",(AG15-AG19)/INDEX(AG$32:AG$34,MATCH($B48,$C$32:$C$34,0)))</f>
        <v>#N/A</v>
      </c>
    </row>
    <row r="48" spans="2:33" s="106" customFormat="1" ht="15.15">
      <c r="B48" s="197" t="s">
        <v>771</v>
      </c>
      <c r="C48" s="94" t="s">
        <v>765</v>
      </c>
      <c r="D48" s="306">
        <v>7</v>
      </c>
      <c r="E48" s="306">
        <v>7</v>
      </c>
      <c r="F48" s="306">
        <v>7</v>
      </c>
      <c r="G48" s="306">
        <v>5.5</v>
      </c>
      <c r="H48" s="306">
        <v>5.5</v>
      </c>
      <c r="I48" s="306">
        <v>5.5</v>
      </c>
      <c r="J48" s="306">
        <v>5.5</v>
      </c>
      <c r="K48" s="306">
        <v>5.5</v>
      </c>
      <c r="L48" s="306">
        <v>5</v>
      </c>
      <c r="M48" s="306">
        <v>5</v>
      </c>
      <c r="N48" s="306">
        <v>5</v>
      </c>
      <c r="O48" s="306">
        <v>5</v>
      </c>
      <c r="P48" s="306">
        <v>4.5</v>
      </c>
      <c r="Q48" s="306">
        <v>4.5</v>
      </c>
      <c r="R48" s="306">
        <v>4.5</v>
      </c>
      <c r="S48" s="306">
        <v>4.5</v>
      </c>
      <c r="T48" s="306">
        <v>4.5</v>
      </c>
      <c r="U48" s="306">
        <v>4.5</v>
      </c>
      <c r="V48" s="306">
        <v>4.5</v>
      </c>
      <c r="W48" s="306">
        <v>4.5</v>
      </c>
      <c r="X48" s="306">
        <v>3</v>
      </c>
      <c r="Y48" s="306">
        <v>3</v>
      </c>
      <c r="Z48" s="306">
        <v>3</v>
      </c>
      <c r="AA48" s="306">
        <v>3</v>
      </c>
      <c r="AB48" s="306" t="e">
        <v>#N/A</v>
      </c>
      <c r="AC48" s="306" t="e">
        <v>#N/A</v>
      </c>
      <c r="AD48" s="306">
        <v>3</v>
      </c>
      <c r="AE48" s="306">
        <v>3</v>
      </c>
      <c r="AF48" s="306" t="e">
        <v>#N/A</v>
      </c>
      <c r="AG48" s="306" t="e">
        <v>#N/A</v>
      </c>
    </row>
    <row r="49" spans="2:33" s="108" customFormat="1" ht="15.15">
      <c r="B49" s="28"/>
      <c r="C49" s="183" t="s">
        <v>766</v>
      </c>
      <c r="D49" s="185" t="str">
        <f t="shared" ref="D49:AB49" si="47">IFERROR(D48/D47-1,"na")</f>
        <v>na</v>
      </c>
      <c r="E49" s="185" t="str">
        <f t="shared" si="47"/>
        <v>na</v>
      </c>
      <c r="F49" s="185" t="str">
        <f t="shared" si="47"/>
        <v>na</v>
      </c>
      <c r="G49" s="183" t="str">
        <f t="shared" ca="1" si="47"/>
        <v>na</v>
      </c>
      <c r="H49" s="183" t="str">
        <f t="shared" ca="1" si="47"/>
        <v>na</v>
      </c>
      <c r="I49" s="183" t="str">
        <f t="shared" ca="1" si="47"/>
        <v>na</v>
      </c>
      <c r="J49" s="183" t="str">
        <f t="shared" ca="1" si="47"/>
        <v>na</v>
      </c>
      <c r="K49" s="183" t="str">
        <f t="shared" ca="1" si="47"/>
        <v>na</v>
      </c>
      <c r="L49" s="183" t="str">
        <f t="shared" ca="1" si="47"/>
        <v>na</v>
      </c>
      <c r="M49" s="183" t="str">
        <f t="shared" ca="1" si="47"/>
        <v>na</v>
      </c>
      <c r="N49" s="183" t="str">
        <f t="shared" ca="1" si="47"/>
        <v>na</v>
      </c>
      <c r="O49" s="183" t="str">
        <f t="shared" ca="1" si="47"/>
        <v>na</v>
      </c>
      <c r="P49" s="183" t="str">
        <f t="shared" ca="1" si="47"/>
        <v>na</v>
      </c>
      <c r="Q49" s="183" t="str">
        <f t="shared" ca="1" si="47"/>
        <v>na</v>
      </c>
      <c r="R49" s="183" t="str">
        <f t="shared" ca="1" si="47"/>
        <v>na</v>
      </c>
      <c r="S49" s="183" t="str">
        <f t="shared" ca="1" si="47"/>
        <v>na</v>
      </c>
      <c r="T49" s="183" t="str">
        <f t="shared" ca="1" si="47"/>
        <v>na</v>
      </c>
      <c r="U49" s="183" t="str">
        <f t="shared" ca="1" si="47"/>
        <v>na</v>
      </c>
      <c r="V49" s="183" t="str">
        <f t="shared" ca="1" si="47"/>
        <v>na</v>
      </c>
      <c r="W49" s="183" t="str">
        <f t="shared" ca="1" si="47"/>
        <v>na</v>
      </c>
      <c r="X49" s="183" t="str">
        <f t="shared" ca="1" si="47"/>
        <v>na</v>
      </c>
      <c r="Y49" s="183" t="str">
        <f t="shared" ca="1" si="47"/>
        <v>na</v>
      </c>
      <c r="Z49" s="183" t="str">
        <f t="shared" ca="1" si="47"/>
        <v>na</v>
      </c>
      <c r="AA49" s="183" t="str">
        <f t="shared" ca="1" si="47"/>
        <v>na</v>
      </c>
      <c r="AB49" s="183" t="str">
        <f t="shared" ca="1" si="47"/>
        <v>na</v>
      </c>
      <c r="AC49" s="183" t="str">
        <f t="shared" ref="AC49:AF49" ca="1" si="48">IFERROR(AC48/AC47-1,"na")</f>
        <v>na</v>
      </c>
      <c r="AD49" s="183" t="str">
        <f t="shared" ca="1" si="48"/>
        <v>na</v>
      </c>
      <c r="AE49" s="183" t="str">
        <f t="shared" ca="1" si="48"/>
        <v>na</v>
      </c>
      <c r="AF49" s="183" t="str">
        <f t="shared" ca="1" si="48"/>
        <v>na</v>
      </c>
      <c r="AG49" s="183" t="str">
        <f t="shared" ref="AG49" ca="1" si="49">IFERROR(AG48/AG47-1,"na")</f>
        <v>na</v>
      </c>
    </row>
    <row r="50" spans="2:33" ht="14.4">
      <c r="B50" s="1"/>
      <c r="C50" s="1"/>
    </row>
    <row r="51" spans="2:33" outlineLevel="1">
      <c r="B51" s="198" t="s">
        <v>1037</v>
      </c>
      <c r="C51" s="198"/>
      <c r="D51" s="198">
        <f>D$4</f>
        <v>43555</v>
      </c>
      <c r="E51" s="198">
        <f t="shared" ref="E51:AG51" si="50">E$4</f>
        <v>43646</v>
      </c>
      <c r="F51" s="198">
        <f t="shared" si="50"/>
        <v>43738</v>
      </c>
      <c r="G51" s="198">
        <f t="shared" si="50"/>
        <v>43830</v>
      </c>
      <c r="H51" s="198">
        <f t="shared" si="50"/>
        <v>43921</v>
      </c>
      <c r="I51" s="198">
        <f t="shared" si="50"/>
        <v>44012</v>
      </c>
      <c r="J51" s="198">
        <f t="shared" si="50"/>
        <v>44104</v>
      </c>
      <c r="K51" s="198">
        <f t="shared" si="50"/>
        <v>44196</v>
      </c>
      <c r="L51" s="198">
        <f t="shared" si="50"/>
        <v>44286</v>
      </c>
      <c r="M51" s="198">
        <f t="shared" si="50"/>
        <v>44377</v>
      </c>
      <c r="N51" s="198">
        <f t="shared" si="50"/>
        <v>44469</v>
      </c>
      <c r="O51" s="198">
        <f t="shared" si="50"/>
        <v>44561</v>
      </c>
      <c r="P51" s="198">
        <f t="shared" si="50"/>
        <v>44651</v>
      </c>
      <c r="Q51" s="198">
        <f t="shared" si="50"/>
        <v>44742</v>
      </c>
      <c r="R51" s="198">
        <f t="shared" si="50"/>
        <v>44834</v>
      </c>
      <c r="S51" s="198">
        <f t="shared" si="50"/>
        <v>44926</v>
      </c>
      <c r="T51" s="198">
        <f t="shared" si="50"/>
        <v>45016</v>
      </c>
      <c r="U51" s="198">
        <f t="shared" si="50"/>
        <v>45107</v>
      </c>
      <c r="V51" s="198">
        <f t="shared" si="50"/>
        <v>45199</v>
      </c>
      <c r="W51" s="198">
        <f t="shared" si="50"/>
        <v>45291</v>
      </c>
      <c r="X51" s="198">
        <f t="shared" si="50"/>
        <v>45382</v>
      </c>
      <c r="Y51" s="198">
        <f t="shared" si="50"/>
        <v>45473</v>
      </c>
      <c r="Z51" s="198">
        <f t="shared" si="50"/>
        <v>45565</v>
      </c>
      <c r="AA51" s="198">
        <f t="shared" si="50"/>
        <v>45657</v>
      </c>
      <c r="AB51" s="198">
        <f t="shared" si="50"/>
        <v>45747</v>
      </c>
      <c r="AC51" s="198">
        <f t="shared" si="50"/>
        <v>45838</v>
      </c>
      <c r="AD51" s="198">
        <f t="shared" si="50"/>
        <v>45930</v>
      </c>
      <c r="AE51" s="198">
        <f t="shared" si="50"/>
        <v>46022</v>
      </c>
      <c r="AF51" s="198">
        <f t="shared" si="50"/>
        <v>46112</v>
      </c>
      <c r="AG51" s="198">
        <f t="shared" si="50"/>
        <v>46203</v>
      </c>
    </row>
    <row r="52" spans="2:33" s="107" customFormat="1" ht="15.15" outlineLevel="1">
      <c r="B52" s="180" t="s">
        <v>1035</v>
      </c>
      <c r="C52" s="180" t="s">
        <v>768</v>
      </c>
      <c r="D52" s="261" t="str">
        <f>IF($D$12&gt;D$4,"na",(D17-(D19&lt;0)*D19)/INDEX(D$32:D$34,MATCH($B53,$C$32:$C$34,0)))</f>
        <v>na</v>
      </c>
      <c r="E52" s="261" t="str">
        <f t="shared" ref="E52:AB52" si="51">IF($D$12&gt;E$4,"na",(E17-(E19&lt;0)*E19)/INDEX(E$32:E$34,MATCH($B53,$C$32:$C$34,0)))</f>
        <v>na</v>
      </c>
      <c r="F52" s="261" t="str">
        <f t="shared" si="51"/>
        <v>na</v>
      </c>
      <c r="G52" s="261" t="e">
        <f t="shared" ca="1" si="51"/>
        <v>#DIV/0!</v>
      </c>
      <c r="H52" s="261" t="e">
        <f t="shared" ca="1" si="51"/>
        <v>#DIV/0!</v>
      </c>
      <c r="I52" s="261" t="e">
        <f t="shared" ca="1" si="51"/>
        <v>#DIV/0!</v>
      </c>
      <c r="J52" s="261" t="e">
        <f t="shared" ca="1" si="51"/>
        <v>#DIV/0!</v>
      </c>
      <c r="K52" s="261" t="e">
        <f t="shared" ca="1" si="51"/>
        <v>#DIV/0!</v>
      </c>
      <c r="L52" s="261" t="e">
        <f t="shared" ca="1" si="51"/>
        <v>#DIV/0!</v>
      </c>
      <c r="M52" s="261" t="e">
        <f t="shared" ca="1" si="51"/>
        <v>#DIV/0!</v>
      </c>
      <c r="N52" s="261" t="e">
        <f t="shared" ca="1" si="51"/>
        <v>#DIV/0!</v>
      </c>
      <c r="O52" s="261" t="e">
        <f t="shared" ca="1" si="51"/>
        <v>#DIV/0!</v>
      </c>
      <c r="P52" s="261" t="e">
        <f t="shared" ca="1" si="51"/>
        <v>#DIV/0!</v>
      </c>
      <c r="Q52" s="261" t="e">
        <f t="shared" ca="1" si="51"/>
        <v>#DIV/0!</v>
      </c>
      <c r="R52" s="261" t="e">
        <f t="shared" ca="1" si="51"/>
        <v>#DIV/0!</v>
      </c>
      <c r="S52" s="261" t="e">
        <f t="shared" ca="1" si="51"/>
        <v>#DIV/0!</v>
      </c>
      <c r="T52" s="261" t="e">
        <f t="shared" ca="1" si="51"/>
        <v>#DIV/0!</v>
      </c>
      <c r="U52" s="261" t="e">
        <f t="shared" ca="1" si="51"/>
        <v>#DIV/0!</v>
      </c>
      <c r="V52" s="261" t="e">
        <f t="shared" ca="1" si="51"/>
        <v>#DIV/0!</v>
      </c>
      <c r="W52" s="261" t="e">
        <f t="shared" ca="1" si="51"/>
        <v>#DIV/0!</v>
      </c>
      <c r="X52" s="261" t="e">
        <f t="shared" ca="1" si="51"/>
        <v>#DIV/0!</v>
      </c>
      <c r="Y52" s="261" t="e">
        <f t="shared" ca="1" si="51"/>
        <v>#DIV/0!</v>
      </c>
      <c r="Z52" s="261" t="e">
        <f t="shared" ca="1" si="51"/>
        <v>#DIV/0!</v>
      </c>
      <c r="AA52" s="261" t="e">
        <f t="shared" ca="1" si="51"/>
        <v>#DIV/0!</v>
      </c>
      <c r="AB52" s="261" t="e">
        <f t="shared" ca="1" si="51"/>
        <v>#N/A</v>
      </c>
      <c r="AC52" s="261" t="e">
        <f t="shared" ref="AC52:AF52" ca="1" si="52">IF($D$12&gt;AC$4,"na",(AC17-(AC19&lt;0)*AC19)/INDEX(AC$32:AC$34,MATCH($B53,$C$32:$C$34,0)))</f>
        <v>#N/A</v>
      </c>
      <c r="AD52" s="261" t="e">
        <f t="shared" ca="1" si="52"/>
        <v>#N/A</v>
      </c>
      <c r="AE52" s="261" t="e">
        <f t="shared" ca="1" si="52"/>
        <v>#N/A</v>
      </c>
      <c r="AF52" s="261" t="e">
        <f t="shared" ca="1" si="52"/>
        <v>#N/A</v>
      </c>
      <c r="AG52" s="261" t="e">
        <f t="shared" ref="AG52" ca="1" si="53">IF($D$12&gt;AG$4,"na",(AG17-(AG19&lt;0)*AG19)/INDEX(AG$32:AG$34,MATCH($B53,$C$32:$C$34,0)))</f>
        <v>#N/A</v>
      </c>
    </row>
    <row r="53" spans="2:33" s="106" customFormat="1" ht="15.15" outlineLevel="1">
      <c r="B53" s="197" t="s">
        <v>771</v>
      </c>
      <c r="C53" s="28" t="s">
        <v>765</v>
      </c>
      <c r="D53" s="306">
        <v>5</v>
      </c>
      <c r="E53" s="306">
        <v>4.5</v>
      </c>
      <c r="F53" s="306">
        <v>4.5</v>
      </c>
      <c r="G53" s="306">
        <v>4</v>
      </c>
      <c r="H53" s="306">
        <v>4</v>
      </c>
      <c r="I53" s="306">
        <v>3.75</v>
      </c>
      <c r="J53" s="306">
        <v>3.75</v>
      </c>
      <c r="K53" s="306">
        <v>3.5</v>
      </c>
      <c r="L53" s="306">
        <v>3.25</v>
      </c>
      <c r="M53" s="306">
        <v>3.25</v>
      </c>
      <c r="N53" s="306">
        <v>3</v>
      </c>
      <c r="O53" s="306">
        <v>3</v>
      </c>
      <c r="P53" s="306">
        <v>3</v>
      </c>
      <c r="Q53" s="306">
        <v>3</v>
      </c>
      <c r="R53" s="306">
        <v>3</v>
      </c>
      <c r="S53" s="306">
        <v>3</v>
      </c>
      <c r="T53" s="306">
        <v>3</v>
      </c>
      <c r="U53" s="306">
        <v>3</v>
      </c>
      <c r="V53" s="306">
        <v>3</v>
      </c>
      <c r="W53" s="306">
        <v>3</v>
      </c>
      <c r="X53" s="306">
        <v>3</v>
      </c>
      <c r="Y53" s="306">
        <v>3</v>
      </c>
      <c r="Z53" s="306">
        <v>3</v>
      </c>
      <c r="AA53" s="306">
        <v>3</v>
      </c>
      <c r="AB53" s="306">
        <v>3</v>
      </c>
      <c r="AC53" s="306">
        <v>3</v>
      </c>
      <c r="AD53" s="306">
        <v>3</v>
      </c>
      <c r="AE53" s="306">
        <v>3</v>
      </c>
      <c r="AF53" s="306">
        <v>3</v>
      </c>
      <c r="AG53" s="306">
        <v>3</v>
      </c>
    </row>
    <row r="54" spans="2:33" s="108" customFormat="1" ht="15.15" outlineLevel="1">
      <c r="B54" s="28"/>
      <c r="C54" s="183" t="s">
        <v>766</v>
      </c>
      <c r="D54" s="185" t="str">
        <f t="shared" ref="D54:AB54" si="54">IFERROR(D53/D52-1,"na")</f>
        <v>na</v>
      </c>
      <c r="E54" s="185" t="str">
        <f t="shared" si="54"/>
        <v>na</v>
      </c>
      <c r="F54" s="185" t="str">
        <f t="shared" si="54"/>
        <v>na</v>
      </c>
      <c r="G54" s="183" t="str">
        <f t="shared" ca="1" si="54"/>
        <v>na</v>
      </c>
      <c r="H54" s="183" t="str">
        <f t="shared" ca="1" si="54"/>
        <v>na</v>
      </c>
      <c r="I54" s="183" t="str">
        <f t="shared" ca="1" si="54"/>
        <v>na</v>
      </c>
      <c r="J54" s="183" t="str">
        <f t="shared" ca="1" si="54"/>
        <v>na</v>
      </c>
      <c r="K54" s="183" t="str">
        <f t="shared" ca="1" si="54"/>
        <v>na</v>
      </c>
      <c r="L54" s="183" t="str">
        <f t="shared" ca="1" si="54"/>
        <v>na</v>
      </c>
      <c r="M54" s="183" t="str">
        <f t="shared" ca="1" si="54"/>
        <v>na</v>
      </c>
      <c r="N54" s="183" t="str">
        <f t="shared" ca="1" si="54"/>
        <v>na</v>
      </c>
      <c r="O54" s="183" t="str">
        <f t="shared" ca="1" si="54"/>
        <v>na</v>
      </c>
      <c r="P54" s="183" t="str">
        <f t="shared" ca="1" si="54"/>
        <v>na</v>
      </c>
      <c r="Q54" s="183" t="str">
        <f t="shared" ca="1" si="54"/>
        <v>na</v>
      </c>
      <c r="R54" s="183" t="str">
        <f t="shared" ca="1" si="54"/>
        <v>na</v>
      </c>
      <c r="S54" s="183" t="str">
        <f t="shared" ca="1" si="54"/>
        <v>na</v>
      </c>
      <c r="T54" s="183" t="str">
        <f t="shared" ca="1" si="54"/>
        <v>na</v>
      </c>
      <c r="U54" s="183" t="str">
        <f t="shared" ca="1" si="54"/>
        <v>na</v>
      </c>
      <c r="V54" s="183" t="str">
        <f t="shared" ca="1" si="54"/>
        <v>na</v>
      </c>
      <c r="W54" s="183" t="str">
        <f t="shared" ca="1" si="54"/>
        <v>na</v>
      </c>
      <c r="X54" s="183" t="str">
        <f t="shared" ca="1" si="54"/>
        <v>na</v>
      </c>
      <c r="Y54" s="183" t="str">
        <f t="shared" ca="1" si="54"/>
        <v>na</v>
      </c>
      <c r="Z54" s="183" t="str">
        <f t="shared" ca="1" si="54"/>
        <v>na</v>
      </c>
      <c r="AA54" s="183" t="str">
        <f t="shared" ca="1" si="54"/>
        <v>na</v>
      </c>
      <c r="AB54" s="183" t="str">
        <f t="shared" ca="1" si="54"/>
        <v>na</v>
      </c>
      <c r="AC54" s="183" t="str">
        <f t="shared" ref="AC54:AF54" ca="1" si="55">IFERROR(AC53/AC52-1,"na")</f>
        <v>na</v>
      </c>
      <c r="AD54" s="183" t="str">
        <f t="shared" ca="1" si="55"/>
        <v>na</v>
      </c>
      <c r="AE54" s="183" t="str">
        <f t="shared" ca="1" si="55"/>
        <v>na</v>
      </c>
      <c r="AF54" s="183" t="str">
        <f t="shared" ca="1" si="55"/>
        <v>na</v>
      </c>
      <c r="AG54" s="183" t="str">
        <f t="shared" ref="AG54" ca="1" si="56">IFERROR(AG53/AG52-1,"na")</f>
        <v>na</v>
      </c>
    </row>
    <row r="55" spans="2:33" ht="14.4" outlineLevel="1">
      <c r="B55" s="1"/>
      <c r="C55" s="34"/>
    </row>
    <row r="56" spans="2:33" s="107" customFormat="1" ht="15.15" outlineLevel="1">
      <c r="B56" s="180"/>
      <c r="C56" s="180" t="s">
        <v>769</v>
      </c>
      <c r="D56" s="261" t="str">
        <f t="shared" ref="D56:AB56" si="57">IF($D$12&gt;D$4,"na",(D17-D19)/INDEX(D$32:D$34,MATCH($B57,$C$32:$C$34,0)))</f>
        <v>na</v>
      </c>
      <c r="E56" s="261" t="str">
        <f t="shared" si="57"/>
        <v>na</v>
      </c>
      <c r="F56" s="261" t="str">
        <f t="shared" si="57"/>
        <v>na</v>
      </c>
      <c r="G56" s="261" t="e">
        <f t="shared" ca="1" si="57"/>
        <v>#DIV/0!</v>
      </c>
      <c r="H56" s="261" t="e">
        <f t="shared" ca="1" si="57"/>
        <v>#DIV/0!</v>
      </c>
      <c r="I56" s="261" t="e">
        <f t="shared" ca="1" si="57"/>
        <v>#DIV/0!</v>
      </c>
      <c r="J56" s="261" t="e">
        <f t="shared" ca="1" si="57"/>
        <v>#DIV/0!</v>
      </c>
      <c r="K56" s="261" t="e">
        <f t="shared" ca="1" si="57"/>
        <v>#DIV/0!</v>
      </c>
      <c r="L56" s="261" t="e">
        <f t="shared" ca="1" si="57"/>
        <v>#DIV/0!</v>
      </c>
      <c r="M56" s="261" t="e">
        <f t="shared" ca="1" si="57"/>
        <v>#DIV/0!</v>
      </c>
      <c r="N56" s="261" t="e">
        <f t="shared" ca="1" si="57"/>
        <v>#DIV/0!</v>
      </c>
      <c r="O56" s="261" t="e">
        <f t="shared" ca="1" si="57"/>
        <v>#DIV/0!</v>
      </c>
      <c r="P56" s="261" t="e">
        <f t="shared" ca="1" si="57"/>
        <v>#DIV/0!</v>
      </c>
      <c r="Q56" s="261" t="e">
        <f t="shared" ca="1" si="57"/>
        <v>#DIV/0!</v>
      </c>
      <c r="R56" s="261" t="e">
        <f t="shared" ca="1" si="57"/>
        <v>#DIV/0!</v>
      </c>
      <c r="S56" s="261" t="e">
        <f t="shared" ca="1" si="57"/>
        <v>#DIV/0!</v>
      </c>
      <c r="T56" s="261" t="e">
        <f t="shared" ca="1" si="57"/>
        <v>#DIV/0!</v>
      </c>
      <c r="U56" s="261" t="e">
        <f t="shared" ca="1" si="57"/>
        <v>#DIV/0!</v>
      </c>
      <c r="V56" s="261" t="e">
        <f t="shared" ca="1" si="57"/>
        <v>#DIV/0!</v>
      </c>
      <c r="W56" s="261" t="e">
        <f t="shared" ca="1" si="57"/>
        <v>#DIV/0!</v>
      </c>
      <c r="X56" s="261" t="e">
        <f t="shared" ca="1" si="57"/>
        <v>#DIV/0!</v>
      </c>
      <c r="Y56" s="261" t="e">
        <f t="shared" ca="1" si="57"/>
        <v>#DIV/0!</v>
      </c>
      <c r="Z56" s="261" t="e">
        <f t="shared" ca="1" si="57"/>
        <v>#DIV/0!</v>
      </c>
      <c r="AA56" s="261" t="e">
        <f t="shared" ca="1" si="57"/>
        <v>#DIV/0!</v>
      </c>
      <c r="AB56" s="261" t="e">
        <f t="shared" ca="1" si="57"/>
        <v>#N/A</v>
      </c>
      <c r="AC56" s="261" t="e">
        <f t="shared" ref="AC56:AF56" ca="1" si="58">IF($D$12&gt;AC$4,"na",(AC17-AC19)/INDEX(AC$32:AC$34,MATCH($B57,$C$32:$C$34,0)))</f>
        <v>#N/A</v>
      </c>
      <c r="AD56" s="261" t="e">
        <f t="shared" ca="1" si="58"/>
        <v>#N/A</v>
      </c>
      <c r="AE56" s="261" t="e">
        <f t="shared" ca="1" si="58"/>
        <v>#N/A</v>
      </c>
      <c r="AF56" s="261" t="e">
        <f t="shared" ca="1" si="58"/>
        <v>#N/A</v>
      </c>
      <c r="AG56" s="261" t="e">
        <f t="shared" ref="AG56" ca="1" si="59">IF($D$12&gt;AG$4,"na",(AG17-AG19)/INDEX(AG$32:AG$34,MATCH($B57,$C$32:$C$34,0)))</f>
        <v>#N/A</v>
      </c>
    </row>
    <row r="57" spans="2:33" s="106" customFormat="1" ht="15.15" outlineLevel="1">
      <c r="B57" s="197" t="s">
        <v>771</v>
      </c>
      <c r="C57" s="94" t="s">
        <v>765</v>
      </c>
      <c r="D57" s="306">
        <v>1</v>
      </c>
      <c r="E57" s="306">
        <v>1</v>
      </c>
      <c r="F57" s="306">
        <v>1</v>
      </c>
      <c r="G57" s="306">
        <v>1</v>
      </c>
      <c r="H57" s="306">
        <v>1</v>
      </c>
      <c r="I57" s="306">
        <v>1</v>
      </c>
      <c r="J57" s="306">
        <v>1</v>
      </c>
      <c r="K57" s="306">
        <v>1</v>
      </c>
      <c r="L57" s="306">
        <v>1</v>
      </c>
      <c r="M57" s="306">
        <v>1</v>
      </c>
      <c r="N57" s="306">
        <v>1</v>
      </c>
      <c r="O57" s="306">
        <v>1</v>
      </c>
      <c r="P57" s="306">
        <v>1</v>
      </c>
      <c r="Q57" s="306">
        <v>1</v>
      </c>
      <c r="R57" s="306">
        <v>1</v>
      </c>
      <c r="S57" s="306">
        <v>1</v>
      </c>
      <c r="T57" s="306">
        <v>1</v>
      </c>
      <c r="U57" s="306">
        <v>1</v>
      </c>
      <c r="V57" s="306">
        <v>1</v>
      </c>
      <c r="W57" s="306">
        <v>1</v>
      </c>
      <c r="X57" s="306">
        <v>1</v>
      </c>
      <c r="Y57" s="306">
        <v>1</v>
      </c>
      <c r="Z57" s="306">
        <v>1</v>
      </c>
      <c r="AA57" s="306">
        <v>1</v>
      </c>
      <c r="AB57" s="306">
        <v>1</v>
      </c>
      <c r="AC57" s="306">
        <v>1</v>
      </c>
      <c r="AD57" s="306">
        <v>1</v>
      </c>
      <c r="AE57" s="306">
        <v>1</v>
      </c>
      <c r="AF57" s="306">
        <v>1</v>
      </c>
      <c r="AG57" s="306">
        <v>1</v>
      </c>
    </row>
    <row r="58" spans="2:33" s="108" customFormat="1" ht="15.15" outlineLevel="1">
      <c r="B58" s="28"/>
      <c r="C58" s="183" t="s">
        <v>766</v>
      </c>
      <c r="D58" s="185" t="str">
        <f t="shared" ref="D58:AB58" si="60">IFERROR(D57/D56-1,"na")</f>
        <v>na</v>
      </c>
      <c r="E58" s="185" t="str">
        <f t="shared" si="60"/>
        <v>na</v>
      </c>
      <c r="F58" s="185" t="str">
        <f t="shared" si="60"/>
        <v>na</v>
      </c>
      <c r="G58" s="183" t="str">
        <f t="shared" ca="1" si="60"/>
        <v>na</v>
      </c>
      <c r="H58" s="183" t="str">
        <f t="shared" ca="1" si="60"/>
        <v>na</v>
      </c>
      <c r="I58" s="183" t="str">
        <f t="shared" ca="1" si="60"/>
        <v>na</v>
      </c>
      <c r="J58" s="183" t="str">
        <f t="shared" ca="1" si="60"/>
        <v>na</v>
      </c>
      <c r="K58" s="183" t="str">
        <f t="shared" ca="1" si="60"/>
        <v>na</v>
      </c>
      <c r="L58" s="183" t="str">
        <f t="shared" ca="1" si="60"/>
        <v>na</v>
      </c>
      <c r="M58" s="183" t="str">
        <f t="shared" ca="1" si="60"/>
        <v>na</v>
      </c>
      <c r="N58" s="183" t="str">
        <f t="shared" ca="1" si="60"/>
        <v>na</v>
      </c>
      <c r="O58" s="183" t="str">
        <f t="shared" ca="1" si="60"/>
        <v>na</v>
      </c>
      <c r="P58" s="183" t="str">
        <f t="shared" ca="1" si="60"/>
        <v>na</v>
      </c>
      <c r="Q58" s="183" t="str">
        <f t="shared" ca="1" si="60"/>
        <v>na</v>
      </c>
      <c r="R58" s="183" t="str">
        <f t="shared" ca="1" si="60"/>
        <v>na</v>
      </c>
      <c r="S58" s="183" t="str">
        <f t="shared" ca="1" si="60"/>
        <v>na</v>
      </c>
      <c r="T58" s="183" t="str">
        <f t="shared" ca="1" si="60"/>
        <v>na</v>
      </c>
      <c r="U58" s="183" t="str">
        <f t="shared" ca="1" si="60"/>
        <v>na</v>
      </c>
      <c r="V58" s="183" t="str">
        <f t="shared" ca="1" si="60"/>
        <v>na</v>
      </c>
      <c r="W58" s="183" t="str">
        <f t="shared" ca="1" si="60"/>
        <v>na</v>
      </c>
      <c r="X58" s="183" t="str">
        <f t="shared" ca="1" si="60"/>
        <v>na</v>
      </c>
      <c r="Y58" s="183" t="str">
        <f t="shared" ca="1" si="60"/>
        <v>na</v>
      </c>
      <c r="Z58" s="183" t="str">
        <f t="shared" ca="1" si="60"/>
        <v>na</v>
      </c>
      <c r="AA58" s="183" t="str">
        <f t="shared" ca="1" si="60"/>
        <v>na</v>
      </c>
      <c r="AB58" s="183" t="str">
        <f t="shared" ca="1" si="60"/>
        <v>na</v>
      </c>
      <c r="AC58" s="183" t="str">
        <f t="shared" ref="AC58:AF58" ca="1" si="61">IFERROR(AC57/AC56-1,"na")</f>
        <v>na</v>
      </c>
      <c r="AD58" s="183" t="str">
        <f t="shared" ca="1" si="61"/>
        <v>na</v>
      </c>
      <c r="AE58" s="183" t="str">
        <f t="shared" ca="1" si="61"/>
        <v>na</v>
      </c>
      <c r="AF58" s="183" t="str">
        <f t="shared" ca="1" si="61"/>
        <v>na</v>
      </c>
      <c r="AG58" s="183" t="str">
        <f t="shared" ref="AG58" ca="1" si="62">IFERROR(AG57/AG56-1,"na")</f>
        <v>na</v>
      </c>
    </row>
    <row r="59" spans="2:33" ht="14.4" outlineLevel="1">
      <c r="B59" s="1"/>
      <c r="C59" s="109"/>
    </row>
    <row r="60" spans="2:33">
      <c r="B60" s="198" t="s">
        <v>1038</v>
      </c>
      <c r="C60" s="198"/>
      <c r="D60" s="198">
        <f>D$4</f>
        <v>43555</v>
      </c>
      <c r="E60" s="198">
        <f t="shared" ref="E60:AG60" si="63">E$4</f>
        <v>43646</v>
      </c>
      <c r="F60" s="198">
        <f t="shared" si="63"/>
        <v>43738</v>
      </c>
      <c r="G60" s="198">
        <f t="shared" si="63"/>
        <v>43830</v>
      </c>
      <c r="H60" s="198">
        <f t="shared" si="63"/>
        <v>43921</v>
      </c>
      <c r="I60" s="198">
        <f t="shared" si="63"/>
        <v>44012</v>
      </c>
      <c r="J60" s="198">
        <f t="shared" si="63"/>
        <v>44104</v>
      </c>
      <c r="K60" s="198">
        <f t="shared" si="63"/>
        <v>44196</v>
      </c>
      <c r="L60" s="198">
        <f t="shared" si="63"/>
        <v>44286</v>
      </c>
      <c r="M60" s="198">
        <f t="shared" si="63"/>
        <v>44377</v>
      </c>
      <c r="N60" s="198">
        <f t="shared" si="63"/>
        <v>44469</v>
      </c>
      <c r="O60" s="198">
        <f t="shared" si="63"/>
        <v>44561</v>
      </c>
      <c r="P60" s="198">
        <f t="shared" si="63"/>
        <v>44651</v>
      </c>
      <c r="Q60" s="198">
        <f t="shared" si="63"/>
        <v>44742</v>
      </c>
      <c r="R60" s="198">
        <f t="shared" si="63"/>
        <v>44834</v>
      </c>
      <c r="S60" s="198">
        <f t="shared" si="63"/>
        <v>44926</v>
      </c>
      <c r="T60" s="198">
        <f t="shared" si="63"/>
        <v>45016</v>
      </c>
      <c r="U60" s="198">
        <f t="shared" si="63"/>
        <v>45107</v>
      </c>
      <c r="V60" s="198">
        <f t="shared" si="63"/>
        <v>45199</v>
      </c>
      <c r="W60" s="198">
        <f t="shared" si="63"/>
        <v>45291</v>
      </c>
      <c r="X60" s="198">
        <f t="shared" si="63"/>
        <v>45382</v>
      </c>
      <c r="Y60" s="198">
        <f t="shared" si="63"/>
        <v>45473</v>
      </c>
      <c r="Z60" s="198">
        <f t="shared" si="63"/>
        <v>45565</v>
      </c>
      <c r="AA60" s="198">
        <f t="shared" si="63"/>
        <v>45657</v>
      </c>
      <c r="AB60" s="198">
        <f t="shared" si="63"/>
        <v>45747</v>
      </c>
      <c r="AC60" s="198">
        <f t="shared" si="63"/>
        <v>45838</v>
      </c>
      <c r="AD60" s="198">
        <f t="shared" si="63"/>
        <v>45930</v>
      </c>
      <c r="AE60" s="198">
        <f t="shared" si="63"/>
        <v>46022</v>
      </c>
      <c r="AF60" s="198">
        <f t="shared" si="63"/>
        <v>46112</v>
      </c>
      <c r="AG60" s="198">
        <f t="shared" si="63"/>
        <v>46203</v>
      </c>
    </row>
    <row r="61" spans="2:33" s="107" customFormat="1" ht="15.15">
      <c r="B61" s="180" t="s">
        <v>1035</v>
      </c>
      <c r="C61" s="180" t="s">
        <v>777</v>
      </c>
      <c r="D61" s="261" t="str">
        <f t="shared" ref="D61:AB61" si="64">IF($D$12&gt;D$4,"na",INDEX(D$32:D$34,MATCH($B62,$C$32:$C$34,0))/D36)</f>
        <v>na</v>
      </c>
      <c r="E61" s="261" t="str">
        <f t="shared" si="64"/>
        <v>na</v>
      </c>
      <c r="F61" s="261" t="str">
        <f t="shared" si="64"/>
        <v>na</v>
      </c>
      <c r="G61" s="261" t="e">
        <f t="shared" ca="1" si="64"/>
        <v>#DIV/0!</v>
      </c>
      <c r="H61" s="261" t="e">
        <f t="shared" ca="1" si="64"/>
        <v>#DIV/0!</v>
      </c>
      <c r="I61" s="261" t="e">
        <f t="shared" ca="1" si="64"/>
        <v>#DIV/0!</v>
      </c>
      <c r="J61" s="261" t="e">
        <f t="shared" ca="1" si="64"/>
        <v>#DIV/0!</v>
      </c>
      <c r="K61" s="261" t="e">
        <f t="shared" ca="1" si="64"/>
        <v>#DIV/0!</v>
      </c>
      <c r="L61" s="261" t="e">
        <f t="shared" ca="1" si="64"/>
        <v>#DIV/0!</v>
      </c>
      <c r="M61" s="261" t="e">
        <f t="shared" ca="1" si="64"/>
        <v>#DIV/0!</v>
      </c>
      <c r="N61" s="261" t="e">
        <f t="shared" ca="1" si="64"/>
        <v>#DIV/0!</v>
      </c>
      <c r="O61" s="261" t="e">
        <f t="shared" ca="1" si="64"/>
        <v>#DIV/0!</v>
      </c>
      <c r="P61" s="261" t="e">
        <f t="shared" ca="1" si="64"/>
        <v>#DIV/0!</v>
      </c>
      <c r="Q61" s="261" t="e">
        <f t="shared" ca="1" si="64"/>
        <v>#DIV/0!</v>
      </c>
      <c r="R61" s="261" t="e">
        <f t="shared" ca="1" si="64"/>
        <v>#DIV/0!</v>
      </c>
      <c r="S61" s="261" t="e">
        <f t="shared" ca="1" si="64"/>
        <v>#DIV/0!</v>
      </c>
      <c r="T61" s="261" t="e">
        <f t="shared" ca="1" si="64"/>
        <v>#DIV/0!</v>
      </c>
      <c r="U61" s="261" t="e">
        <f t="shared" ca="1" si="64"/>
        <v>#DIV/0!</v>
      </c>
      <c r="V61" s="261" t="e">
        <f t="shared" ca="1" si="64"/>
        <v>#DIV/0!</v>
      </c>
      <c r="W61" s="261" t="e">
        <f t="shared" ca="1" si="64"/>
        <v>#DIV/0!</v>
      </c>
      <c r="X61" s="261" t="e">
        <f t="shared" ca="1" si="64"/>
        <v>#DIV/0!</v>
      </c>
      <c r="Y61" s="261" t="e">
        <f t="shared" ca="1" si="64"/>
        <v>#DIV/0!</v>
      </c>
      <c r="Z61" s="261" t="e">
        <f t="shared" ca="1" si="64"/>
        <v>#DIV/0!</v>
      </c>
      <c r="AA61" s="261" t="e">
        <f t="shared" ca="1" si="64"/>
        <v>#DIV/0!</v>
      </c>
      <c r="AB61" s="261" t="e">
        <f t="shared" ca="1" si="64"/>
        <v>#VALUE!</v>
      </c>
      <c r="AC61" s="261" t="e">
        <f t="shared" ref="AC61:AF61" ca="1" si="65">IF($D$12&gt;AC$4,"na",INDEX(AC$32:AC$34,MATCH($B62,$C$32:$C$34,0))/AC36)</f>
        <v>#VALUE!</v>
      </c>
      <c r="AD61" s="261" t="e">
        <f t="shared" ca="1" si="65"/>
        <v>#VALUE!</v>
      </c>
      <c r="AE61" s="261" t="e">
        <f t="shared" ca="1" si="65"/>
        <v>#VALUE!</v>
      </c>
      <c r="AF61" s="261" t="e">
        <f t="shared" ca="1" si="65"/>
        <v>#VALUE!</v>
      </c>
      <c r="AG61" s="261" t="e">
        <f t="shared" ref="AG61" ca="1" si="66">IF($D$12&gt;AG$4,"na",INDEX(AG$32:AG$34,MATCH($B62,$C$32:$C$34,0))/AG36)</f>
        <v>#VALUE!</v>
      </c>
    </row>
    <row r="62" spans="2:33" s="106" customFormat="1" ht="15.15">
      <c r="B62" s="197" t="s">
        <v>771</v>
      </c>
      <c r="C62" s="28" t="s">
        <v>765</v>
      </c>
      <c r="D62" s="306"/>
      <c r="E62" s="306"/>
      <c r="F62" s="306"/>
      <c r="G62" s="409"/>
      <c r="H62" s="409"/>
      <c r="I62" s="409"/>
      <c r="J62" s="409"/>
      <c r="K62" s="409"/>
      <c r="L62" s="409"/>
      <c r="M62" s="409"/>
      <c r="N62" s="409"/>
      <c r="O62" s="409"/>
      <c r="P62" s="409"/>
      <c r="Q62" s="409"/>
      <c r="R62" s="409"/>
      <c r="S62" s="409"/>
      <c r="T62" s="409"/>
      <c r="U62" s="409"/>
      <c r="V62" s="409"/>
      <c r="W62" s="409"/>
      <c r="X62" s="409"/>
      <c r="Y62" s="409"/>
      <c r="Z62" s="409"/>
      <c r="AA62" s="409"/>
      <c r="AB62" s="409"/>
      <c r="AC62" s="409"/>
      <c r="AD62" s="409"/>
      <c r="AE62" s="409"/>
      <c r="AF62" s="409"/>
      <c r="AG62" s="409"/>
    </row>
    <row r="63" spans="2:33" s="108" customFormat="1" ht="15.15">
      <c r="B63" s="28"/>
      <c r="C63" s="183" t="s">
        <v>766</v>
      </c>
      <c r="D63" s="185" t="str">
        <f>IFERROR(D61/D62-1,"na")</f>
        <v>na</v>
      </c>
      <c r="E63" s="185" t="str">
        <f t="shared" ref="E63:AB63" si="67">IFERROR(E61/E62-1,"na")</f>
        <v>na</v>
      </c>
      <c r="F63" s="185" t="str">
        <f t="shared" si="67"/>
        <v>na</v>
      </c>
      <c r="G63" s="183" t="str">
        <f t="shared" ca="1" si="67"/>
        <v>na</v>
      </c>
      <c r="H63" s="183" t="str">
        <f t="shared" ca="1" si="67"/>
        <v>na</v>
      </c>
      <c r="I63" s="183" t="str">
        <f t="shared" ca="1" si="67"/>
        <v>na</v>
      </c>
      <c r="J63" s="183" t="str">
        <f t="shared" ca="1" si="67"/>
        <v>na</v>
      </c>
      <c r="K63" s="183" t="str">
        <f t="shared" ca="1" si="67"/>
        <v>na</v>
      </c>
      <c r="L63" s="183" t="str">
        <f t="shared" ca="1" si="67"/>
        <v>na</v>
      </c>
      <c r="M63" s="183" t="str">
        <f t="shared" ca="1" si="67"/>
        <v>na</v>
      </c>
      <c r="N63" s="183" t="str">
        <f t="shared" ca="1" si="67"/>
        <v>na</v>
      </c>
      <c r="O63" s="183" t="str">
        <f t="shared" ca="1" si="67"/>
        <v>na</v>
      </c>
      <c r="P63" s="183" t="str">
        <f t="shared" ca="1" si="67"/>
        <v>na</v>
      </c>
      <c r="Q63" s="183" t="str">
        <f t="shared" ca="1" si="67"/>
        <v>na</v>
      </c>
      <c r="R63" s="183" t="str">
        <f t="shared" ca="1" si="67"/>
        <v>na</v>
      </c>
      <c r="S63" s="183" t="str">
        <f t="shared" ca="1" si="67"/>
        <v>na</v>
      </c>
      <c r="T63" s="183" t="str">
        <f t="shared" ca="1" si="67"/>
        <v>na</v>
      </c>
      <c r="U63" s="183" t="str">
        <f t="shared" ca="1" si="67"/>
        <v>na</v>
      </c>
      <c r="V63" s="183" t="str">
        <f t="shared" ca="1" si="67"/>
        <v>na</v>
      </c>
      <c r="W63" s="183" t="str">
        <f t="shared" ca="1" si="67"/>
        <v>na</v>
      </c>
      <c r="X63" s="183" t="str">
        <f t="shared" ca="1" si="67"/>
        <v>na</v>
      </c>
      <c r="Y63" s="183" t="str">
        <f t="shared" ca="1" si="67"/>
        <v>na</v>
      </c>
      <c r="Z63" s="183" t="str">
        <f t="shared" ca="1" si="67"/>
        <v>na</v>
      </c>
      <c r="AA63" s="183" t="str">
        <f t="shared" ca="1" si="67"/>
        <v>na</v>
      </c>
      <c r="AB63" s="183" t="str">
        <f t="shared" ca="1" si="67"/>
        <v>na</v>
      </c>
      <c r="AC63" s="183" t="str">
        <f t="shared" ref="AC63:AF63" ca="1" si="68">IFERROR(AC61/AC62-1,"na")</f>
        <v>na</v>
      </c>
      <c r="AD63" s="183" t="str">
        <f t="shared" ca="1" si="68"/>
        <v>na</v>
      </c>
      <c r="AE63" s="183" t="str">
        <f t="shared" ca="1" si="68"/>
        <v>na</v>
      </c>
      <c r="AF63" s="183" t="str">
        <f t="shared" ca="1" si="68"/>
        <v>na</v>
      </c>
      <c r="AG63" s="183" t="str">
        <f t="shared" ref="AG63" ca="1" si="69">IFERROR(AG61/AG62-1,"na")</f>
        <v>na</v>
      </c>
    </row>
    <row r="64" spans="2:33" ht="14.4">
      <c r="B64" s="1"/>
      <c r="C64" s="34"/>
    </row>
    <row r="65" spans="2:33" s="107" customFormat="1" ht="15.15">
      <c r="B65" s="180"/>
      <c r="C65" s="180" t="s">
        <v>779</v>
      </c>
      <c r="D65" s="261" t="str">
        <f t="shared" ref="D65:AB65" si="70">IF($D$12&gt;D$4,"na",INDEX(D$32:D$34,MATCH($B66,$C$32:$C$34,0))/(D36+D38))</f>
        <v>na</v>
      </c>
      <c r="E65" s="261" t="str">
        <f t="shared" si="70"/>
        <v>na</v>
      </c>
      <c r="F65" s="261" t="str">
        <f t="shared" si="70"/>
        <v>na</v>
      </c>
      <c r="G65" s="261" t="e">
        <f ca="1">IF($D$12&gt;G$4,"na",INDEX(G$32:G$34,MATCH($B66,$C$32:$C$34,0))/(G36+G38))</f>
        <v>#DIV/0!</v>
      </c>
      <c r="H65" s="261" t="e">
        <f t="shared" ca="1" si="70"/>
        <v>#DIV/0!</v>
      </c>
      <c r="I65" s="261" t="e">
        <f t="shared" ca="1" si="70"/>
        <v>#DIV/0!</v>
      </c>
      <c r="J65" s="261" t="e">
        <f t="shared" ca="1" si="70"/>
        <v>#DIV/0!</v>
      </c>
      <c r="K65" s="261" t="e">
        <f t="shared" ca="1" si="70"/>
        <v>#DIV/0!</v>
      </c>
      <c r="L65" s="261" t="e">
        <f t="shared" ca="1" si="70"/>
        <v>#DIV/0!</v>
      </c>
      <c r="M65" s="261" t="e">
        <f t="shared" ca="1" si="70"/>
        <v>#DIV/0!</v>
      </c>
      <c r="N65" s="261" t="e">
        <f t="shared" ca="1" si="70"/>
        <v>#DIV/0!</v>
      </c>
      <c r="O65" s="261" t="e">
        <f t="shared" ca="1" si="70"/>
        <v>#DIV/0!</v>
      </c>
      <c r="P65" s="261" t="e">
        <f t="shared" ca="1" si="70"/>
        <v>#DIV/0!</v>
      </c>
      <c r="Q65" s="261" t="e">
        <f t="shared" ca="1" si="70"/>
        <v>#DIV/0!</v>
      </c>
      <c r="R65" s="261" t="e">
        <f t="shared" ca="1" si="70"/>
        <v>#DIV/0!</v>
      </c>
      <c r="S65" s="261" t="e">
        <f t="shared" ca="1" si="70"/>
        <v>#DIV/0!</v>
      </c>
      <c r="T65" s="261" t="e">
        <f t="shared" ca="1" si="70"/>
        <v>#DIV/0!</v>
      </c>
      <c r="U65" s="261" t="e">
        <f t="shared" ca="1" si="70"/>
        <v>#DIV/0!</v>
      </c>
      <c r="V65" s="261" t="e">
        <f t="shared" ca="1" si="70"/>
        <v>#DIV/0!</v>
      </c>
      <c r="W65" s="261" t="e">
        <f t="shared" ca="1" si="70"/>
        <v>#DIV/0!</v>
      </c>
      <c r="X65" s="261" t="e">
        <f t="shared" ca="1" si="70"/>
        <v>#DIV/0!</v>
      </c>
      <c r="Y65" s="261" t="e">
        <f t="shared" ca="1" si="70"/>
        <v>#DIV/0!</v>
      </c>
      <c r="Z65" s="261" t="e">
        <f t="shared" ca="1" si="70"/>
        <v>#DIV/0!</v>
      </c>
      <c r="AA65" s="261" t="e">
        <f t="shared" ca="1" si="70"/>
        <v>#DIV/0!</v>
      </c>
      <c r="AB65" s="261" t="e">
        <f t="shared" ca="1" si="70"/>
        <v>#VALUE!</v>
      </c>
      <c r="AC65" s="261" t="e">
        <f t="shared" ref="AC65:AF65" ca="1" si="71">IF($D$12&gt;AC$4,"na",INDEX(AC$32:AC$34,MATCH($B66,$C$32:$C$34,0))/(AC36+AC38))</f>
        <v>#VALUE!</v>
      </c>
      <c r="AD65" s="261" t="e">
        <f t="shared" ca="1" si="71"/>
        <v>#VALUE!</v>
      </c>
      <c r="AE65" s="261" t="e">
        <f t="shared" ca="1" si="71"/>
        <v>#VALUE!</v>
      </c>
      <c r="AF65" s="261" t="e">
        <f t="shared" ca="1" si="71"/>
        <v>#VALUE!</v>
      </c>
      <c r="AG65" s="261" t="e">
        <f t="shared" ref="AG65" ca="1" si="72">IF($D$12&gt;AG$4,"na",INDEX(AG$32:AG$34,MATCH($B66,$C$32:$C$34,0))/(AG36+AG38))</f>
        <v>#VALUE!</v>
      </c>
    </row>
    <row r="66" spans="2:33" s="106" customFormat="1" ht="15.15">
      <c r="B66" s="197" t="s">
        <v>782</v>
      </c>
      <c r="C66" s="28" t="s">
        <v>765</v>
      </c>
      <c r="D66" s="306"/>
      <c r="E66" s="306"/>
      <c r="F66" s="306"/>
      <c r="G66" s="306"/>
      <c r="H66" s="306"/>
      <c r="I66" s="306"/>
      <c r="J66" s="306"/>
      <c r="K66" s="306"/>
      <c r="L66" s="306"/>
      <c r="M66" s="306"/>
      <c r="N66" s="306"/>
      <c r="O66" s="306"/>
      <c r="P66" s="306"/>
      <c r="Q66" s="306"/>
      <c r="R66" s="306"/>
      <c r="S66" s="306"/>
      <c r="T66" s="306"/>
      <c r="U66" s="306"/>
      <c r="V66" s="306"/>
      <c r="W66" s="306"/>
      <c r="X66" s="306"/>
      <c r="Y66" s="306"/>
      <c r="Z66" s="306"/>
      <c r="AA66" s="306"/>
      <c r="AB66" s="306"/>
      <c r="AC66" s="306"/>
      <c r="AD66" s="306"/>
      <c r="AE66" s="306"/>
      <c r="AF66" s="306"/>
      <c r="AG66" s="306"/>
    </row>
    <row r="67" spans="2:33" s="108" customFormat="1" ht="15.15">
      <c r="B67" s="28"/>
      <c r="C67" s="183" t="s">
        <v>766</v>
      </c>
      <c r="D67" s="185" t="str">
        <f>IFERROR(D65/D66-1,"na")</f>
        <v>na</v>
      </c>
      <c r="E67" s="185" t="str">
        <f t="shared" ref="E67:AB67" si="73">IFERROR(E65/E66-1,"na")</f>
        <v>na</v>
      </c>
      <c r="F67" s="185" t="str">
        <f t="shared" si="73"/>
        <v>na</v>
      </c>
      <c r="G67" s="183" t="str">
        <f t="shared" ca="1" si="73"/>
        <v>na</v>
      </c>
      <c r="H67" s="183" t="str">
        <f t="shared" ca="1" si="73"/>
        <v>na</v>
      </c>
      <c r="I67" s="183" t="str">
        <f t="shared" ca="1" si="73"/>
        <v>na</v>
      </c>
      <c r="J67" s="183" t="str">
        <f t="shared" ca="1" si="73"/>
        <v>na</v>
      </c>
      <c r="K67" s="183" t="str">
        <f t="shared" ca="1" si="73"/>
        <v>na</v>
      </c>
      <c r="L67" s="183" t="str">
        <f t="shared" ca="1" si="73"/>
        <v>na</v>
      </c>
      <c r="M67" s="183" t="str">
        <f t="shared" ca="1" si="73"/>
        <v>na</v>
      </c>
      <c r="N67" s="183" t="str">
        <f t="shared" ca="1" si="73"/>
        <v>na</v>
      </c>
      <c r="O67" s="183" t="str">
        <f t="shared" ca="1" si="73"/>
        <v>na</v>
      </c>
      <c r="P67" s="183" t="str">
        <f t="shared" ca="1" si="73"/>
        <v>na</v>
      </c>
      <c r="Q67" s="183" t="str">
        <f t="shared" ca="1" si="73"/>
        <v>na</v>
      </c>
      <c r="R67" s="183" t="str">
        <f t="shared" ca="1" si="73"/>
        <v>na</v>
      </c>
      <c r="S67" s="183" t="str">
        <f t="shared" ca="1" si="73"/>
        <v>na</v>
      </c>
      <c r="T67" s="183" t="str">
        <f t="shared" ca="1" si="73"/>
        <v>na</v>
      </c>
      <c r="U67" s="183" t="str">
        <f t="shared" ca="1" si="73"/>
        <v>na</v>
      </c>
      <c r="V67" s="183" t="str">
        <f t="shared" ca="1" si="73"/>
        <v>na</v>
      </c>
      <c r="W67" s="183" t="str">
        <f t="shared" ca="1" si="73"/>
        <v>na</v>
      </c>
      <c r="X67" s="183" t="str">
        <f t="shared" ca="1" si="73"/>
        <v>na</v>
      </c>
      <c r="Y67" s="183" t="str">
        <f t="shared" ca="1" si="73"/>
        <v>na</v>
      </c>
      <c r="Z67" s="183" t="str">
        <f t="shared" ca="1" si="73"/>
        <v>na</v>
      </c>
      <c r="AA67" s="183" t="str">
        <f t="shared" ca="1" si="73"/>
        <v>na</v>
      </c>
      <c r="AB67" s="183" t="str">
        <f t="shared" ca="1" si="73"/>
        <v>na</v>
      </c>
      <c r="AC67" s="183" t="str">
        <f t="shared" ref="AC67:AF67" ca="1" si="74">IFERROR(AC65/AC66-1,"na")</f>
        <v>na</v>
      </c>
      <c r="AD67" s="183" t="str">
        <f t="shared" ca="1" si="74"/>
        <v>na</v>
      </c>
      <c r="AE67" s="183" t="str">
        <f t="shared" ca="1" si="74"/>
        <v>na</v>
      </c>
      <c r="AF67" s="183" t="str">
        <f t="shared" ca="1" si="74"/>
        <v>na</v>
      </c>
      <c r="AG67" s="183" t="str">
        <f t="shared" ref="AG67" ca="1" si="75">IFERROR(AG65/AG66-1,"na")</f>
        <v>na</v>
      </c>
    </row>
    <row r="68" spans="2:33" ht="14.4">
      <c r="B68" s="1"/>
    </row>
    <row r="69" spans="2:33" s="107" customFormat="1" ht="15.15">
      <c r="B69" s="180"/>
      <c r="C69" s="180" t="s">
        <v>787</v>
      </c>
      <c r="D69" s="261" t="str">
        <f t="shared" ref="D69:AB69" si="76">IF($D$12&gt;D$4,"na",(INDEX(D$32:D$34,MATCH($B70,$C$32:$C$34,0))+D31)/(D36+D38))</f>
        <v>na</v>
      </c>
      <c r="E69" s="261" t="str">
        <f t="shared" si="76"/>
        <v>na</v>
      </c>
      <c r="F69" s="261" t="str">
        <f t="shared" si="76"/>
        <v>na</v>
      </c>
      <c r="G69" s="261" t="e">
        <f t="shared" ca="1" si="76"/>
        <v>#DIV/0!</v>
      </c>
      <c r="H69" s="261" t="e">
        <f t="shared" ca="1" si="76"/>
        <v>#DIV/0!</v>
      </c>
      <c r="I69" s="261" t="e">
        <f t="shared" ca="1" si="76"/>
        <v>#DIV/0!</v>
      </c>
      <c r="J69" s="261" t="e">
        <f t="shared" ca="1" si="76"/>
        <v>#DIV/0!</v>
      </c>
      <c r="K69" s="261" t="e">
        <f t="shared" ca="1" si="76"/>
        <v>#DIV/0!</v>
      </c>
      <c r="L69" s="261" t="e">
        <f t="shared" ca="1" si="76"/>
        <v>#DIV/0!</v>
      </c>
      <c r="M69" s="261" t="e">
        <f t="shared" ca="1" si="76"/>
        <v>#DIV/0!</v>
      </c>
      <c r="N69" s="261" t="e">
        <f t="shared" ca="1" si="76"/>
        <v>#DIV/0!</v>
      </c>
      <c r="O69" s="261" t="e">
        <f t="shared" ca="1" si="76"/>
        <v>#DIV/0!</v>
      </c>
      <c r="P69" s="261" t="e">
        <f t="shared" ca="1" si="76"/>
        <v>#DIV/0!</v>
      </c>
      <c r="Q69" s="261" t="e">
        <f t="shared" ca="1" si="76"/>
        <v>#DIV/0!</v>
      </c>
      <c r="R69" s="261" t="e">
        <f t="shared" ca="1" si="76"/>
        <v>#DIV/0!</v>
      </c>
      <c r="S69" s="261" t="e">
        <f t="shared" ca="1" si="76"/>
        <v>#DIV/0!</v>
      </c>
      <c r="T69" s="261" t="e">
        <f t="shared" ca="1" si="76"/>
        <v>#DIV/0!</v>
      </c>
      <c r="U69" s="261" t="e">
        <f t="shared" ca="1" si="76"/>
        <v>#DIV/0!</v>
      </c>
      <c r="V69" s="261" t="e">
        <f t="shared" ca="1" si="76"/>
        <v>#DIV/0!</v>
      </c>
      <c r="W69" s="261" t="e">
        <f t="shared" ca="1" si="76"/>
        <v>#DIV/0!</v>
      </c>
      <c r="X69" s="261" t="e">
        <f t="shared" ca="1" si="76"/>
        <v>#DIV/0!</v>
      </c>
      <c r="Y69" s="261" t="e">
        <f t="shared" ca="1" si="76"/>
        <v>#DIV/0!</v>
      </c>
      <c r="Z69" s="261" t="e">
        <f t="shared" ca="1" si="76"/>
        <v>#DIV/0!</v>
      </c>
      <c r="AA69" s="261" t="e">
        <f t="shared" ca="1" si="76"/>
        <v>#DIV/0!</v>
      </c>
      <c r="AB69" s="261" t="e">
        <f t="shared" ca="1" si="76"/>
        <v>#VALUE!</v>
      </c>
      <c r="AC69" s="261" t="e">
        <f t="shared" ref="AC69:AF69" ca="1" si="77">IF($D$12&gt;AC$4,"na",(INDEX(AC$32:AC$34,MATCH($B70,$C$32:$C$34,0))+AC31)/(AC36+AC38))</f>
        <v>#VALUE!</v>
      </c>
      <c r="AD69" s="261" t="e">
        <f t="shared" ca="1" si="77"/>
        <v>#VALUE!</v>
      </c>
      <c r="AE69" s="261" t="e">
        <f t="shared" ca="1" si="77"/>
        <v>#VALUE!</v>
      </c>
      <c r="AF69" s="261" t="e">
        <f t="shared" ca="1" si="77"/>
        <v>#VALUE!</v>
      </c>
      <c r="AG69" s="261" t="e">
        <f t="shared" ref="AG69" ca="1" si="78">IF($D$12&gt;AG$4,"na",(INDEX(AG$32:AG$34,MATCH($B70,$C$32:$C$34,0))+AG31)/(AG36+AG38))</f>
        <v>#VALUE!</v>
      </c>
    </row>
    <row r="70" spans="2:33" s="106" customFormat="1" ht="15.15">
      <c r="B70" s="197" t="s">
        <v>782</v>
      </c>
      <c r="C70" s="28" t="s">
        <v>765</v>
      </c>
      <c r="D70" s="306">
        <v>1.05</v>
      </c>
      <c r="E70" s="306">
        <v>1.05</v>
      </c>
      <c r="F70" s="306">
        <v>1.05</v>
      </c>
      <c r="G70" s="306">
        <v>1.05</v>
      </c>
      <c r="H70" s="306">
        <v>1.05</v>
      </c>
      <c r="I70" s="306">
        <v>1.05</v>
      </c>
      <c r="J70" s="306">
        <v>1.05</v>
      </c>
      <c r="K70" s="306">
        <v>1.05</v>
      </c>
      <c r="L70" s="306">
        <v>1.05</v>
      </c>
      <c r="M70" s="306">
        <v>1.05</v>
      </c>
      <c r="N70" s="306">
        <v>1.05</v>
      </c>
      <c r="O70" s="306">
        <v>1.05</v>
      </c>
      <c r="P70" s="306">
        <v>1.05</v>
      </c>
      <c r="Q70" s="306">
        <v>1.05</v>
      </c>
      <c r="R70" s="306">
        <v>1.05</v>
      </c>
      <c r="S70" s="306">
        <v>1.05</v>
      </c>
      <c r="T70" s="306">
        <v>1.05</v>
      </c>
      <c r="U70" s="306">
        <v>1.05</v>
      </c>
      <c r="V70" s="306">
        <v>1.05</v>
      </c>
      <c r="W70" s="306">
        <v>1.05</v>
      </c>
      <c r="X70" s="306">
        <v>1.05</v>
      </c>
      <c r="Y70" s="306">
        <v>1.05</v>
      </c>
      <c r="Z70" s="306">
        <v>1.05</v>
      </c>
      <c r="AA70" s="306">
        <v>1.05</v>
      </c>
      <c r="AB70" s="306">
        <v>1.05</v>
      </c>
      <c r="AC70" s="306">
        <v>1.05</v>
      </c>
      <c r="AD70" s="306">
        <v>1.05</v>
      </c>
      <c r="AE70" s="306">
        <v>1.05</v>
      </c>
      <c r="AF70" s="306">
        <v>1.05</v>
      </c>
      <c r="AG70" s="306">
        <v>1.05</v>
      </c>
    </row>
    <row r="71" spans="2:33" s="108" customFormat="1" ht="15.15">
      <c r="B71" s="28"/>
      <c r="C71" s="183" t="s">
        <v>766</v>
      </c>
      <c r="D71" s="185" t="str">
        <f>IFERROR(D69/D70-1,"na")</f>
        <v>na</v>
      </c>
      <c r="E71" s="185" t="str">
        <f t="shared" ref="E71:AB71" si="79">IFERROR(E69/E70-1,"na")</f>
        <v>na</v>
      </c>
      <c r="F71" s="185" t="str">
        <f t="shared" si="79"/>
        <v>na</v>
      </c>
      <c r="G71" s="183" t="str">
        <f t="shared" ca="1" si="79"/>
        <v>na</v>
      </c>
      <c r="H71" s="183" t="str">
        <f t="shared" ca="1" si="79"/>
        <v>na</v>
      </c>
      <c r="I71" s="183" t="str">
        <f t="shared" ca="1" si="79"/>
        <v>na</v>
      </c>
      <c r="J71" s="183" t="str">
        <f t="shared" ca="1" si="79"/>
        <v>na</v>
      </c>
      <c r="K71" s="183" t="str">
        <f t="shared" ca="1" si="79"/>
        <v>na</v>
      </c>
      <c r="L71" s="183" t="str">
        <f t="shared" ca="1" si="79"/>
        <v>na</v>
      </c>
      <c r="M71" s="183" t="str">
        <f t="shared" ca="1" si="79"/>
        <v>na</v>
      </c>
      <c r="N71" s="183" t="str">
        <f t="shared" ca="1" si="79"/>
        <v>na</v>
      </c>
      <c r="O71" s="183" t="str">
        <f t="shared" ca="1" si="79"/>
        <v>na</v>
      </c>
      <c r="P71" s="183" t="str">
        <f t="shared" ca="1" si="79"/>
        <v>na</v>
      </c>
      <c r="Q71" s="183" t="str">
        <f t="shared" ca="1" si="79"/>
        <v>na</v>
      </c>
      <c r="R71" s="183" t="str">
        <f t="shared" ca="1" si="79"/>
        <v>na</v>
      </c>
      <c r="S71" s="183" t="str">
        <f t="shared" ca="1" si="79"/>
        <v>na</v>
      </c>
      <c r="T71" s="183" t="str">
        <f t="shared" ca="1" si="79"/>
        <v>na</v>
      </c>
      <c r="U71" s="183" t="str">
        <f t="shared" ca="1" si="79"/>
        <v>na</v>
      </c>
      <c r="V71" s="183" t="str">
        <f t="shared" ca="1" si="79"/>
        <v>na</v>
      </c>
      <c r="W71" s="183" t="str">
        <f t="shared" ca="1" si="79"/>
        <v>na</v>
      </c>
      <c r="X71" s="183" t="str">
        <f t="shared" ca="1" si="79"/>
        <v>na</v>
      </c>
      <c r="Y71" s="183" t="str">
        <f t="shared" ca="1" si="79"/>
        <v>na</v>
      </c>
      <c r="Z71" s="183" t="str">
        <f t="shared" ca="1" si="79"/>
        <v>na</v>
      </c>
      <c r="AA71" s="183" t="str">
        <f t="shared" ca="1" si="79"/>
        <v>na</v>
      </c>
      <c r="AB71" s="183" t="str">
        <f t="shared" ca="1" si="79"/>
        <v>na</v>
      </c>
      <c r="AC71" s="183" t="str">
        <f t="shared" ref="AC71:AF71" ca="1" si="80">IFERROR(AC69/AC70-1,"na")</f>
        <v>na</v>
      </c>
      <c r="AD71" s="183" t="str">
        <f t="shared" ca="1" si="80"/>
        <v>na</v>
      </c>
      <c r="AE71" s="183" t="str">
        <f t="shared" ca="1" si="80"/>
        <v>na</v>
      </c>
      <c r="AF71" s="183" t="str">
        <f t="shared" ca="1" si="80"/>
        <v>na</v>
      </c>
      <c r="AG71" s="183" t="str">
        <f t="shared" ref="AG71" ca="1" si="81">IFERROR(AG69/AG70-1,"na")</f>
        <v>na</v>
      </c>
    </row>
    <row r="72" spans="2:33" s="28" customFormat="1" outlineLevel="1"/>
    <row r="73" spans="2:33" s="107" customFormat="1" ht="15.15" outlineLevel="1">
      <c r="B73" s="180"/>
      <c r="C73" s="180" t="s">
        <v>778</v>
      </c>
      <c r="D73" s="261" t="str">
        <f t="shared" ref="D73:AB73" si="82">IF($D$12&gt;D$4,"na",INDEX(D$32:D$34,MATCH($B74,$C$32:$C$34,0))/(D37))</f>
        <v>na</v>
      </c>
      <c r="E73" s="261" t="str">
        <f t="shared" si="82"/>
        <v>na</v>
      </c>
      <c r="F73" s="261" t="str">
        <f t="shared" si="82"/>
        <v>na</v>
      </c>
      <c r="G73" s="261" t="e">
        <f t="shared" ca="1" si="82"/>
        <v>#DIV/0!</v>
      </c>
      <c r="H73" s="261" t="e">
        <f t="shared" ca="1" si="82"/>
        <v>#DIV/0!</v>
      </c>
      <c r="I73" s="261" t="e">
        <f t="shared" ca="1" si="82"/>
        <v>#DIV/0!</v>
      </c>
      <c r="J73" s="261" t="e">
        <f t="shared" ca="1" si="82"/>
        <v>#DIV/0!</v>
      </c>
      <c r="K73" s="261" t="e">
        <f t="shared" ca="1" si="82"/>
        <v>#DIV/0!</v>
      </c>
      <c r="L73" s="261" t="e">
        <f t="shared" ca="1" si="82"/>
        <v>#DIV/0!</v>
      </c>
      <c r="M73" s="261" t="e">
        <f t="shared" ca="1" si="82"/>
        <v>#DIV/0!</v>
      </c>
      <c r="N73" s="261" t="e">
        <f t="shared" ca="1" si="82"/>
        <v>#DIV/0!</v>
      </c>
      <c r="O73" s="261" t="e">
        <f t="shared" ca="1" si="82"/>
        <v>#DIV/0!</v>
      </c>
      <c r="P73" s="261" t="e">
        <f t="shared" ca="1" si="82"/>
        <v>#DIV/0!</v>
      </c>
      <c r="Q73" s="261" t="e">
        <f t="shared" ca="1" si="82"/>
        <v>#DIV/0!</v>
      </c>
      <c r="R73" s="261" t="e">
        <f t="shared" ca="1" si="82"/>
        <v>#DIV/0!</v>
      </c>
      <c r="S73" s="261" t="e">
        <f t="shared" ca="1" si="82"/>
        <v>#DIV/0!</v>
      </c>
      <c r="T73" s="261" t="e">
        <f t="shared" ca="1" si="82"/>
        <v>#DIV/0!</v>
      </c>
      <c r="U73" s="261" t="e">
        <f t="shared" ca="1" si="82"/>
        <v>#DIV/0!</v>
      </c>
      <c r="V73" s="261" t="e">
        <f t="shared" ca="1" si="82"/>
        <v>#DIV/0!</v>
      </c>
      <c r="W73" s="261" t="e">
        <f t="shared" ca="1" si="82"/>
        <v>#DIV/0!</v>
      </c>
      <c r="X73" s="261" t="e">
        <f t="shared" ca="1" si="82"/>
        <v>#DIV/0!</v>
      </c>
      <c r="Y73" s="261" t="e">
        <f t="shared" ca="1" si="82"/>
        <v>#DIV/0!</v>
      </c>
      <c r="Z73" s="261" t="e">
        <f t="shared" ca="1" si="82"/>
        <v>#DIV/0!</v>
      </c>
      <c r="AA73" s="261" t="e">
        <f t="shared" ca="1" si="82"/>
        <v>#DIV/0!</v>
      </c>
      <c r="AB73" s="261" t="e">
        <f t="shared" ca="1" si="82"/>
        <v>#VALUE!</v>
      </c>
      <c r="AC73" s="261" t="e">
        <f t="shared" ref="AC73:AF73" ca="1" si="83">IF($D$12&gt;AC$4,"na",INDEX(AC$32:AC$34,MATCH($B74,$C$32:$C$34,0))/(AC37))</f>
        <v>#VALUE!</v>
      </c>
      <c r="AD73" s="261" t="e">
        <f t="shared" ca="1" si="83"/>
        <v>#VALUE!</v>
      </c>
      <c r="AE73" s="261" t="e">
        <f t="shared" ca="1" si="83"/>
        <v>#VALUE!</v>
      </c>
      <c r="AF73" s="261" t="e">
        <f t="shared" ca="1" si="83"/>
        <v>#VALUE!</v>
      </c>
      <c r="AG73" s="261" t="e">
        <f t="shared" ref="AG73" ca="1" si="84">IF($D$12&gt;AG$4,"na",INDEX(AG$32:AG$34,MATCH($B74,$C$32:$C$34,0))/(AG37))</f>
        <v>#VALUE!</v>
      </c>
    </row>
    <row r="74" spans="2:33" s="106" customFormat="1" ht="15.15" outlineLevel="1">
      <c r="B74" s="197" t="s">
        <v>771</v>
      </c>
      <c r="C74" s="28" t="s">
        <v>765</v>
      </c>
      <c r="D74" s="306">
        <v>5</v>
      </c>
      <c r="E74" s="306">
        <v>5</v>
      </c>
      <c r="F74" s="306">
        <v>5</v>
      </c>
      <c r="G74" s="306">
        <v>5</v>
      </c>
      <c r="H74" s="306">
        <v>5</v>
      </c>
      <c r="I74" s="306">
        <v>5</v>
      </c>
      <c r="J74" s="306">
        <v>5</v>
      </c>
      <c r="K74" s="306">
        <v>5</v>
      </c>
      <c r="L74" s="306">
        <v>5</v>
      </c>
      <c r="M74" s="306">
        <v>5</v>
      </c>
      <c r="N74" s="306">
        <v>5</v>
      </c>
      <c r="O74" s="306">
        <v>5</v>
      </c>
      <c r="P74" s="306">
        <v>5</v>
      </c>
      <c r="Q74" s="306">
        <v>5</v>
      </c>
      <c r="R74" s="306">
        <v>5</v>
      </c>
      <c r="S74" s="306">
        <v>5</v>
      </c>
      <c r="T74" s="306">
        <v>5</v>
      </c>
      <c r="U74" s="306">
        <v>5</v>
      </c>
      <c r="V74" s="306">
        <v>5</v>
      </c>
      <c r="W74" s="306">
        <v>5</v>
      </c>
      <c r="X74" s="306">
        <v>5</v>
      </c>
      <c r="Y74" s="306">
        <v>5</v>
      </c>
      <c r="Z74" s="306">
        <v>5</v>
      </c>
      <c r="AA74" s="306">
        <v>5</v>
      </c>
      <c r="AB74" s="306">
        <v>5</v>
      </c>
      <c r="AC74" s="306">
        <v>5</v>
      </c>
      <c r="AD74" s="306">
        <v>5</v>
      </c>
      <c r="AE74" s="306">
        <v>5</v>
      </c>
      <c r="AF74" s="306">
        <v>5</v>
      </c>
      <c r="AG74" s="306">
        <v>5</v>
      </c>
    </row>
    <row r="75" spans="2:33" s="108" customFormat="1" ht="15.15" outlineLevel="1">
      <c r="B75" s="28"/>
      <c r="C75" s="183" t="s">
        <v>766</v>
      </c>
      <c r="D75" s="185" t="str">
        <f>IFERROR(D73/D74-1,"na")</f>
        <v>na</v>
      </c>
      <c r="E75" s="185" t="str">
        <f t="shared" ref="E75:AB75" si="85">IFERROR(E73/E74-1,"na")</f>
        <v>na</v>
      </c>
      <c r="F75" s="185" t="str">
        <f t="shared" si="85"/>
        <v>na</v>
      </c>
      <c r="G75" s="183" t="str">
        <f t="shared" ca="1" si="85"/>
        <v>na</v>
      </c>
      <c r="H75" s="183" t="str">
        <f t="shared" ca="1" si="85"/>
        <v>na</v>
      </c>
      <c r="I75" s="183" t="str">
        <f t="shared" ca="1" si="85"/>
        <v>na</v>
      </c>
      <c r="J75" s="183" t="str">
        <f t="shared" ca="1" si="85"/>
        <v>na</v>
      </c>
      <c r="K75" s="183" t="str">
        <f t="shared" ca="1" si="85"/>
        <v>na</v>
      </c>
      <c r="L75" s="183" t="str">
        <f t="shared" ca="1" si="85"/>
        <v>na</v>
      </c>
      <c r="M75" s="183" t="str">
        <f t="shared" ca="1" si="85"/>
        <v>na</v>
      </c>
      <c r="N75" s="183" t="str">
        <f t="shared" ca="1" si="85"/>
        <v>na</v>
      </c>
      <c r="O75" s="183" t="str">
        <f t="shared" ca="1" si="85"/>
        <v>na</v>
      </c>
      <c r="P75" s="183" t="str">
        <f t="shared" ca="1" si="85"/>
        <v>na</v>
      </c>
      <c r="Q75" s="183" t="str">
        <f t="shared" ca="1" si="85"/>
        <v>na</v>
      </c>
      <c r="R75" s="183" t="str">
        <f t="shared" ca="1" si="85"/>
        <v>na</v>
      </c>
      <c r="S75" s="183" t="str">
        <f t="shared" ca="1" si="85"/>
        <v>na</v>
      </c>
      <c r="T75" s="183" t="str">
        <f t="shared" ca="1" si="85"/>
        <v>na</v>
      </c>
      <c r="U75" s="183" t="str">
        <f t="shared" ca="1" si="85"/>
        <v>na</v>
      </c>
      <c r="V75" s="183" t="str">
        <f t="shared" ca="1" si="85"/>
        <v>na</v>
      </c>
      <c r="W75" s="183" t="str">
        <f t="shared" ca="1" si="85"/>
        <v>na</v>
      </c>
      <c r="X75" s="183" t="str">
        <f t="shared" ca="1" si="85"/>
        <v>na</v>
      </c>
      <c r="Y75" s="183" t="str">
        <f t="shared" ca="1" si="85"/>
        <v>na</v>
      </c>
      <c r="Z75" s="183" t="str">
        <f t="shared" ca="1" si="85"/>
        <v>na</v>
      </c>
      <c r="AA75" s="183" t="str">
        <f t="shared" ca="1" si="85"/>
        <v>na</v>
      </c>
      <c r="AB75" s="183" t="str">
        <f t="shared" ca="1" si="85"/>
        <v>na</v>
      </c>
      <c r="AC75" s="183" t="str">
        <f t="shared" ref="AC75:AF75" ca="1" si="86">IFERROR(AC73/AC74-1,"na")</f>
        <v>na</v>
      </c>
      <c r="AD75" s="183" t="str">
        <f t="shared" ca="1" si="86"/>
        <v>na</v>
      </c>
      <c r="AE75" s="183" t="str">
        <f t="shared" ca="1" si="86"/>
        <v>na</v>
      </c>
      <c r="AF75" s="183" t="str">
        <f t="shared" ca="1" si="86"/>
        <v>na</v>
      </c>
      <c r="AG75" s="183" t="str">
        <f t="shared" ref="AG75" ca="1" si="87">IFERROR(AG73/AG74-1,"na")</f>
        <v>na</v>
      </c>
    </row>
    <row r="76" spans="2:33" ht="14.4" outlineLevel="1">
      <c r="B76" s="1"/>
    </row>
    <row r="77" spans="2:33" s="107" customFormat="1" ht="15.15" outlineLevel="1">
      <c r="B77" s="180"/>
      <c r="C77" s="180" t="s">
        <v>780</v>
      </c>
      <c r="D77" s="261" t="str">
        <f t="shared" ref="D77:AB77" si="88">IF($D$12&gt;D$4,"na",INDEX(D$32:D$34,MATCH($B78,$C$32:$C$34,0))/(D37+D38+D39))</f>
        <v>na</v>
      </c>
      <c r="E77" s="261" t="str">
        <f t="shared" si="88"/>
        <v>na</v>
      </c>
      <c r="F77" s="261" t="str">
        <f t="shared" si="88"/>
        <v>na</v>
      </c>
      <c r="G77" s="261" t="e">
        <f t="shared" ca="1" si="88"/>
        <v>#DIV/0!</v>
      </c>
      <c r="H77" s="261" t="e">
        <f t="shared" ca="1" si="88"/>
        <v>#DIV/0!</v>
      </c>
      <c r="I77" s="261" t="e">
        <f t="shared" ca="1" si="88"/>
        <v>#DIV/0!</v>
      </c>
      <c r="J77" s="261" t="e">
        <f t="shared" ca="1" si="88"/>
        <v>#DIV/0!</v>
      </c>
      <c r="K77" s="261" t="e">
        <f t="shared" ca="1" si="88"/>
        <v>#DIV/0!</v>
      </c>
      <c r="L77" s="261" t="e">
        <f t="shared" ca="1" si="88"/>
        <v>#DIV/0!</v>
      </c>
      <c r="M77" s="261" t="e">
        <f t="shared" ca="1" si="88"/>
        <v>#DIV/0!</v>
      </c>
      <c r="N77" s="261" t="e">
        <f t="shared" ca="1" si="88"/>
        <v>#DIV/0!</v>
      </c>
      <c r="O77" s="261" t="e">
        <f t="shared" ca="1" si="88"/>
        <v>#DIV/0!</v>
      </c>
      <c r="P77" s="261" t="e">
        <f t="shared" ca="1" si="88"/>
        <v>#DIV/0!</v>
      </c>
      <c r="Q77" s="261" t="e">
        <f t="shared" ca="1" si="88"/>
        <v>#DIV/0!</v>
      </c>
      <c r="R77" s="261" t="e">
        <f t="shared" ca="1" si="88"/>
        <v>#DIV/0!</v>
      </c>
      <c r="S77" s="261" t="e">
        <f t="shared" ca="1" si="88"/>
        <v>#DIV/0!</v>
      </c>
      <c r="T77" s="261" t="e">
        <f t="shared" ca="1" si="88"/>
        <v>#DIV/0!</v>
      </c>
      <c r="U77" s="261" t="e">
        <f t="shared" ca="1" si="88"/>
        <v>#DIV/0!</v>
      </c>
      <c r="V77" s="261" t="e">
        <f t="shared" ca="1" si="88"/>
        <v>#DIV/0!</v>
      </c>
      <c r="W77" s="261" t="e">
        <f t="shared" ca="1" si="88"/>
        <v>#DIV/0!</v>
      </c>
      <c r="X77" s="261" t="e">
        <f t="shared" ca="1" si="88"/>
        <v>#DIV/0!</v>
      </c>
      <c r="Y77" s="261" t="e">
        <f t="shared" ca="1" si="88"/>
        <v>#DIV/0!</v>
      </c>
      <c r="Z77" s="261" t="e">
        <f t="shared" ca="1" si="88"/>
        <v>#DIV/0!</v>
      </c>
      <c r="AA77" s="261" t="e">
        <f t="shared" ca="1" si="88"/>
        <v>#DIV/0!</v>
      </c>
      <c r="AB77" s="261" t="e">
        <f t="shared" ca="1" si="88"/>
        <v>#VALUE!</v>
      </c>
      <c r="AC77" s="261" t="e">
        <f t="shared" ref="AC77:AF77" ca="1" si="89">IF($D$12&gt;AC$4,"na",INDEX(AC$32:AC$34,MATCH($B78,$C$32:$C$34,0))/(AC37+AC38+AC39))</f>
        <v>#VALUE!</v>
      </c>
      <c r="AD77" s="261" t="e">
        <f t="shared" ca="1" si="89"/>
        <v>#VALUE!</v>
      </c>
      <c r="AE77" s="261" t="e">
        <f t="shared" ca="1" si="89"/>
        <v>#VALUE!</v>
      </c>
      <c r="AF77" s="261" t="e">
        <f t="shared" ca="1" si="89"/>
        <v>#VALUE!</v>
      </c>
      <c r="AG77" s="261" t="e">
        <f t="shared" ref="AG77" ca="1" si="90">IF($D$12&gt;AG$4,"na",INDEX(AG$32:AG$34,MATCH($B78,$C$32:$C$34,0))/(AG37+AG38+AG39))</f>
        <v>#VALUE!</v>
      </c>
    </row>
    <row r="78" spans="2:33" s="106" customFormat="1" ht="15.15" outlineLevel="1">
      <c r="B78" s="197" t="s">
        <v>771</v>
      </c>
      <c r="C78" s="94" t="s">
        <v>765</v>
      </c>
      <c r="D78" s="306">
        <v>1.5</v>
      </c>
      <c r="E78" s="306">
        <v>1.5</v>
      </c>
      <c r="F78" s="306">
        <v>1.5</v>
      </c>
      <c r="G78" s="306">
        <v>1.5</v>
      </c>
      <c r="H78" s="306">
        <v>1.5</v>
      </c>
      <c r="I78" s="306">
        <v>1.5</v>
      </c>
      <c r="J78" s="306">
        <v>1.5</v>
      </c>
      <c r="K78" s="306">
        <v>1.5</v>
      </c>
      <c r="L78" s="306">
        <v>1.5</v>
      </c>
      <c r="M78" s="306">
        <v>1.5</v>
      </c>
      <c r="N78" s="306">
        <v>1.5</v>
      </c>
      <c r="O78" s="306">
        <v>1.5</v>
      </c>
      <c r="P78" s="306">
        <v>1.5</v>
      </c>
      <c r="Q78" s="306">
        <v>1.5</v>
      </c>
      <c r="R78" s="306">
        <v>1.5</v>
      </c>
      <c r="S78" s="306">
        <v>1.5</v>
      </c>
      <c r="T78" s="306">
        <v>1.5</v>
      </c>
      <c r="U78" s="306">
        <v>1.5</v>
      </c>
      <c r="V78" s="306">
        <v>1.5</v>
      </c>
      <c r="W78" s="306">
        <v>1.5</v>
      </c>
      <c r="X78" s="306">
        <v>1.5</v>
      </c>
      <c r="Y78" s="306">
        <v>1.5</v>
      </c>
      <c r="Z78" s="306">
        <v>1.5</v>
      </c>
      <c r="AA78" s="306">
        <v>1.5</v>
      </c>
      <c r="AB78" s="306">
        <v>1.5</v>
      </c>
      <c r="AC78" s="306">
        <v>1.5</v>
      </c>
      <c r="AD78" s="306">
        <v>1.5</v>
      </c>
      <c r="AE78" s="306">
        <v>1.5</v>
      </c>
      <c r="AF78" s="306">
        <v>1.5</v>
      </c>
      <c r="AG78" s="306">
        <v>1.5</v>
      </c>
    </row>
    <row r="79" spans="2:33" s="108" customFormat="1" ht="15.15" outlineLevel="1">
      <c r="B79" s="28"/>
      <c r="C79" s="183" t="s">
        <v>766</v>
      </c>
      <c r="D79" s="185" t="str">
        <f>IFERROR(D77/D78-1,"na")</f>
        <v>na</v>
      </c>
      <c r="E79" s="185" t="str">
        <f t="shared" ref="E79:AB79" si="91">IFERROR(E77/E78-1,"na")</f>
        <v>na</v>
      </c>
      <c r="F79" s="185" t="str">
        <f t="shared" si="91"/>
        <v>na</v>
      </c>
      <c r="G79" s="183" t="str">
        <f t="shared" ca="1" si="91"/>
        <v>na</v>
      </c>
      <c r="H79" s="183" t="str">
        <f t="shared" ca="1" si="91"/>
        <v>na</v>
      </c>
      <c r="I79" s="183" t="str">
        <f t="shared" ca="1" si="91"/>
        <v>na</v>
      </c>
      <c r="J79" s="183" t="str">
        <f t="shared" ca="1" si="91"/>
        <v>na</v>
      </c>
      <c r="K79" s="183" t="str">
        <f t="shared" ca="1" si="91"/>
        <v>na</v>
      </c>
      <c r="L79" s="183" t="str">
        <f t="shared" ca="1" si="91"/>
        <v>na</v>
      </c>
      <c r="M79" s="183" t="str">
        <f t="shared" ca="1" si="91"/>
        <v>na</v>
      </c>
      <c r="N79" s="183" t="str">
        <f t="shared" ca="1" si="91"/>
        <v>na</v>
      </c>
      <c r="O79" s="183" t="str">
        <f t="shared" ca="1" si="91"/>
        <v>na</v>
      </c>
      <c r="P79" s="183" t="str">
        <f t="shared" ca="1" si="91"/>
        <v>na</v>
      </c>
      <c r="Q79" s="183" t="str">
        <f t="shared" ca="1" si="91"/>
        <v>na</v>
      </c>
      <c r="R79" s="183" t="str">
        <f t="shared" ca="1" si="91"/>
        <v>na</v>
      </c>
      <c r="S79" s="183" t="str">
        <f t="shared" ca="1" si="91"/>
        <v>na</v>
      </c>
      <c r="T79" s="183" t="str">
        <f t="shared" ca="1" si="91"/>
        <v>na</v>
      </c>
      <c r="U79" s="183" t="str">
        <f t="shared" ca="1" si="91"/>
        <v>na</v>
      </c>
      <c r="V79" s="183" t="str">
        <f t="shared" ca="1" si="91"/>
        <v>na</v>
      </c>
      <c r="W79" s="183" t="str">
        <f t="shared" ca="1" si="91"/>
        <v>na</v>
      </c>
      <c r="X79" s="183" t="str">
        <f t="shared" ca="1" si="91"/>
        <v>na</v>
      </c>
      <c r="Y79" s="183" t="str">
        <f t="shared" ca="1" si="91"/>
        <v>na</v>
      </c>
      <c r="Z79" s="183" t="str">
        <f t="shared" ca="1" si="91"/>
        <v>na</v>
      </c>
      <c r="AA79" s="183" t="str">
        <f t="shared" ca="1" si="91"/>
        <v>na</v>
      </c>
      <c r="AB79" s="183" t="str">
        <f t="shared" ca="1" si="91"/>
        <v>na</v>
      </c>
      <c r="AC79" s="183" t="str">
        <f t="shared" ref="AC79:AF79" ca="1" si="92">IFERROR(AC77/AC78-1,"na")</f>
        <v>na</v>
      </c>
      <c r="AD79" s="183" t="str">
        <f t="shared" ca="1" si="92"/>
        <v>na</v>
      </c>
      <c r="AE79" s="183" t="str">
        <f t="shared" ca="1" si="92"/>
        <v>na</v>
      </c>
      <c r="AF79" s="183" t="str">
        <f t="shared" ca="1" si="92"/>
        <v>na</v>
      </c>
      <c r="AG79" s="183" t="str">
        <f t="shared" ref="AG79" ca="1" si="93">IFERROR(AG77/AG78-1,"na")</f>
        <v>na</v>
      </c>
    </row>
    <row r="80" spans="2:33" ht="14.4">
      <c r="B80" s="1"/>
    </row>
    <row r="81" spans="2:33" s="107" customFormat="1" ht="15.15" outlineLevel="1">
      <c r="B81" s="180"/>
      <c r="C81" s="180" t="s">
        <v>788</v>
      </c>
      <c r="D81" s="261" t="str">
        <f t="shared" ref="D81:AB81" si="94">IF($D$12&gt;D$4,"na",(INDEX(D$32:D$34,MATCH($B82,$C$32:$C$34,0))+D31)/(D37+D38+D39))</f>
        <v>na</v>
      </c>
      <c r="E81" s="261" t="str">
        <f t="shared" si="94"/>
        <v>na</v>
      </c>
      <c r="F81" s="261" t="str">
        <f t="shared" si="94"/>
        <v>na</v>
      </c>
      <c r="G81" s="261" t="e">
        <f t="shared" ca="1" si="94"/>
        <v>#DIV/0!</v>
      </c>
      <c r="H81" s="261" t="e">
        <f t="shared" ca="1" si="94"/>
        <v>#DIV/0!</v>
      </c>
      <c r="I81" s="261" t="e">
        <f t="shared" ca="1" si="94"/>
        <v>#DIV/0!</v>
      </c>
      <c r="J81" s="261" t="e">
        <f t="shared" ca="1" si="94"/>
        <v>#DIV/0!</v>
      </c>
      <c r="K81" s="261" t="e">
        <f t="shared" ca="1" si="94"/>
        <v>#DIV/0!</v>
      </c>
      <c r="L81" s="261" t="e">
        <f t="shared" ca="1" si="94"/>
        <v>#DIV/0!</v>
      </c>
      <c r="M81" s="261" t="e">
        <f t="shared" ca="1" si="94"/>
        <v>#DIV/0!</v>
      </c>
      <c r="N81" s="261" t="e">
        <f t="shared" ca="1" si="94"/>
        <v>#DIV/0!</v>
      </c>
      <c r="O81" s="261" t="e">
        <f t="shared" ca="1" si="94"/>
        <v>#DIV/0!</v>
      </c>
      <c r="P81" s="261" t="e">
        <f t="shared" ca="1" si="94"/>
        <v>#DIV/0!</v>
      </c>
      <c r="Q81" s="261" t="e">
        <f t="shared" ca="1" si="94"/>
        <v>#DIV/0!</v>
      </c>
      <c r="R81" s="261" t="e">
        <f t="shared" ca="1" si="94"/>
        <v>#DIV/0!</v>
      </c>
      <c r="S81" s="261" t="e">
        <f t="shared" ca="1" si="94"/>
        <v>#DIV/0!</v>
      </c>
      <c r="T81" s="261" t="e">
        <f t="shared" ca="1" si="94"/>
        <v>#DIV/0!</v>
      </c>
      <c r="U81" s="261" t="e">
        <f t="shared" ca="1" si="94"/>
        <v>#DIV/0!</v>
      </c>
      <c r="V81" s="261" t="e">
        <f t="shared" ca="1" si="94"/>
        <v>#DIV/0!</v>
      </c>
      <c r="W81" s="261" t="e">
        <f t="shared" ca="1" si="94"/>
        <v>#DIV/0!</v>
      </c>
      <c r="X81" s="261" t="e">
        <f t="shared" ca="1" si="94"/>
        <v>#DIV/0!</v>
      </c>
      <c r="Y81" s="261" t="e">
        <f t="shared" ca="1" si="94"/>
        <v>#DIV/0!</v>
      </c>
      <c r="Z81" s="261" t="e">
        <f t="shared" ca="1" si="94"/>
        <v>#DIV/0!</v>
      </c>
      <c r="AA81" s="261" t="e">
        <f t="shared" ca="1" si="94"/>
        <v>#DIV/0!</v>
      </c>
      <c r="AB81" s="261" t="e">
        <f t="shared" ca="1" si="94"/>
        <v>#VALUE!</v>
      </c>
      <c r="AC81" s="261" t="e">
        <f t="shared" ref="AC81:AF81" ca="1" si="95">IF($D$12&gt;AC$4,"na",(INDEX(AC$32:AC$34,MATCH($B82,$C$32:$C$34,0))+AC31)/(AC37+AC38+AC39))</f>
        <v>#VALUE!</v>
      </c>
      <c r="AD81" s="261" t="e">
        <f t="shared" ca="1" si="95"/>
        <v>#VALUE!</v>
      </c>
      <c r="AE81" s="261" t="e">
        <f t="shared" ca="1" si="95"/>
        <v>#VALUE!</v>
      </c>
      <c r="AF81" s="261" t="e">
        <f t="shared" ca="1" si="95"/>
        <v>#VALUE!</v>
      </c>
      <c r="AG81" s="261" t="e">
        <f t="shared" ref="AG81" ca="1" si="96">IF($D$12&gt;AG$4,"na",(INDEX(AG$32:AG$34,MATCH($B82,$C$32:$C$34,0))+AG31)/(AG37+AG38+AG39))</f>
        <v>#VALUE!</v>
      </c>
    </row>
    <row r="82" spans="2:33" s="106" customFormat="1" ht="15.15" outlineLevel="1">
      <c r="B82" s="197" t="s">
        <v>782</v>
      </c>
      <c r="C82" s="94" t="s">
        <v>765</v>
      </c>
      <c r="D82" s="306">
        <v>1.1000000000000001</v>
      </c>
      <c r="E82" s="306">
        <v>1.1000000000000001</v>
      </c>
      <c r="F82" s="306">
        <v>1.1000000000000001</v>
      </c>
      <c r="G82" s="306">
        <v>1.1000000000000001</v>
      </c>
      <c r="H82" s="306">
        <v>1.1000000000000001</v>
      </c>
      <c r="I82" s="306">
        <v>1.1000000000000001</v>
      </c>
      <c r="J82" s="306">
        <v>1.1000000000000001</v>
      </c>
      <c r="K82" s="306">
        <v>1.1000000000000001</v>
      </c>
      <c r="L82" s="306">
        <v>1.1000000000000001</v>
      </c>
      <c r="M82" s="306">
        <v>1.1000000000000001</v>
      </c>
      <c r="N82" s="306">
        <v>1.1000000000000001</v>
      </c>
      <c r="O82" s="306">
        <v>1.1000000000000001</v>
      </c>
      <c r="P82" s="306">
        <v>1.1000000000000001</v>
      </c>
      <c r="Q82" s="306">
        <v>1.1000000000000001</v>
      </c>
      <c r="R82" s="306">
        <v>1.1000000000000001</v>
      </c>
      <c r="S82" s="306">
        <v>1.1000000000000001</v>
      </c>
      <c r="T82" s="306">
        <v>1.1000000000000001</v>
      </c>
      <c r="U82" s="306">
        <v>1.1000000000000001</v>
      </c>
      <c r="V82" s="306">
        <v>1.1000000000000001</v>
      </c>
      <c r="W82" s="306">
        <v>1.1000000000000001</v>
      </c>
      <c r="X82" s="306">
        <v>1.1000000000000001</v>
      </c>
      <c r="Y82" s="306">
        <v>1.1000000000000001</v>
      </c>
      <c r="Z82" s="306">
        <v>1.1000000000000001</v>
      </c>
      <c r="AA82" s="306">
        <v>1.1000000000000001</v>
      </c>
      <c r="AB82" s="306">
        <v>1.1000000000000001</v>
      </c>
      <c r="AC82" s="306">
        <v>1.1000000000000001</v>
      </c>
      <c r="AD82" s="306">
        <v>1.1000000000000001</v>
      </c>
      <c r="AE82" s="306">
        <v>1.1000000000000001</v>
      </c>
      <c r="AF82" s="306">
        <v>1.1000000000000001</v>
      </c>
      <c r="AG82" s="306">
        <v>1.1000000000000001</v>
      </c>
    </row>
    <row r="83" spans="2:33" s="108" customFormat="1" ht="15.15" outlineLevel="1">
      <c r="B83" s="28"/>
      <c r="C83" s="183" t="s">
        <v>766</v>
      </c>
      <c r="D83" s="185" t="str">
        <f>IFERROR(D81/D82-1,"na")</f>
        <v>na</v>
      </c>
      <c r="E83" s="185" t="str">
        <f t="shared" ref="E83:AB83" si="97">IFERROR(E81/E82-1,"na")</f>
        <v>na</v>
      </c>
      <c r="F83" s="185" t="str">
        <f t="shared" si="97"/>
        <v>na</v>
      </c>
      <c r="G83" s="183" t="str">
        <f t="shared" ca="1" si="97"/>
        <v>na</v>
      </c>
      <c r="H83" s="183" t="str">
        <f t="shared" ca="1" si="97"/>
        <v>na</v>
      </c>
      <c r="I83" s="183" t="str">
        <f t="shared" ca="1" si="97"/>
        <v>na</v>
      </c>
      <c r="J83" s="183" t="str">
        <f t="shared" ca="1" si="97"/>
        <v>na</v>
      </c>
      <c r="K83" s="183" t="str">
        <f t="shared" ca="1" si="97"/>
        <v>na</v>
      </c>
      <c r="L83" s="183" t="str">
        <f t="shared" ca="1" si="97"/>
        <v>na</v>
      </c>
      <c r="M83" s="183" t="str">
        <f t="shared" ca="1" si="97"/>
        <v>na</v>
      </c>
      <c r="N83" s="183" t="str">
        <f t="shared" ca="1" si="97"/>
        <v>na</v>
      </c>
      <c r="O83" s="183" t="str">
        <f t="shared" ca="1" si="97"/>
        <v>na</v>
      </c>
      <c r="P83" s="183" t="str">
        <f t="shared" ca="1" si="97"/>
        <v>na</v>
      </c>
      <c r="Q83" s="183" t="str">
        <f t="shared" ca="1" si="97"/>
        <v>na</v>
      </c>
      <c r="R83" s="183" t="str">
        <f t="shared" ca="1" si="97"/>
        <v>na</v>
      </c>
      <c r="S83" s="183" t="str">
        <f t="shared" ca="1" si="97"/>
        <v>na</v>
      </c>
      <c r="T83" s="183" t="str">
        <f t="shared" ca="1" si="97"/>
        <v>na</v>
      </c>
      <c r="U83" s="183" t="str">
        <f t="shared" ca="1" si="97"/>
        <v>na</v>
      </c>
      <c r="V83" s="183" t="str">
        <f t="shared" ca="1" si="97"/>
        <v>na</v>
      </c>
      <c r="W83" s="183" t="str">
        <f t="shared" ca="1" si="97"/>
        <v>na</v>
      </c>
      <c r="X83" s="183" t="str">
        <f t="shared" ca="1" si="97"/>
        <v>na</v>
      </c>
      <c r="Y83" s="183" t="str">
        <f t="shared" ca="1" si="97"/>
        <v>na</v>
      </c>
      <c r="Z83" s="183" t="str">
        <f t="shared" ca="1" si="97"/>
        <v>na</v>
      </c>
      <c r="AA83" s="183" t="str">
        <f t="shared" ca="1" si="97"/>
        <v>na</v>
      </c>
      <c r="AB83" s="183" t="str">
        <f t="shared" ca="1" si="97"/>
        <v>na</v>
      </c>
      <c r="AC83" s="183" t="str">
        <f t="shared" ref="AC83:AF83" ca="1" si="98">IFERROR(AC81/AC82-1,"na")</f>
        <v>na</v>
      </c>
      <c r="AD83" s="183" t="str">
        <f t="shared" ca="1" si="98"/>
        <v>na</v>
      </c>
      <c r="AE83" s="183" t="str">
        <f t="shared" ca="1" si="98"/>
        <v>na</v>
      </c>
      <c r="AF83" s="183" t="str">
        <f t="shared" ca="1" si="98"/>
        <v>na</v>
      </c>
      <c r="AG83" s="183" t="str">
        <f t="shared" ref="AG83" ca="1" si="99">IFERROR(AG81/AG82-1,"na")</f>
        <v>na</v>
      </c>
    </row>
    <row r="84" spans="2:33" s="28" customFormat="1" outlineLevel="1"/>
    <row r="85" spans="2:33" s="107" customFormat="1" ht="15.15" outlineLevel="1">
      <c r="B85" s="34"/>
      <c r="C85" s="180" t="s">
        <v>781</v>
      </c>
      <c r="D85" s="227" t="str">
        <f>IF($D$12&gt;D$4,"na",D35)</f>
        <v>na</v>
      </c>
      <c r="E85" s="227" t="str">
        <f t="shared" ref="E85:AB85" si="100">IF($D$12&gt;E$4,"na",E35)</f>
        <v>na</v>
      </c>
      <c r="F85" s="227" t="str">
        <f t="shared" si="100"/>
        <v>na</v>
      </c>
      <c r="G85" s="180">
        <f t="shared" ca="1" si="100"/>
        <v>0</v>
      </c>
      <c r="H85" s="180">
        <f t="shared" ca="1" si="100"/>
        <v>0</v>
      </c>
      <c r="I85" s="180">
        <f t="shared" ca="1" si="100"/>
        <v>0</v>
      </c>
      <c r="J85" s="180">
        <f t="shared" ca="1" si="100"/>
        <v>0</v>
      </c>
      <c r="K85" s="180">
        <f t="shared" ca="1" si="100"/>
        <v>0</v>
      </c>
      <c r="L85" s="180">
        <f t="shared" ca="1" si="100"/>
        <v>0</v>
      </c>
      <c r="M85" s="180">
        <f t="shared" ca="1" si="100"/>
        <v>0</v>
      </c>
      <c r="N85" s="180">
        <f t="shared" ca="1" si="100"/>
        <v>0</v>
      </c>
      <c r="O85" s="180">
        <f t="shared" ca="1" si="100"/>
        <v>0</v>
      </c>
      <c r="P85" s="180">
        <f t="shared" ca="1" si="100"/>
        <v>0</v>
      </c>
      <c r="Q85" s="180">
        <f t="shared" ca="1" si="100"/>
        <v>0</v>
      </c>
      <c r="R85" s="180">
        <f t="shared" ca="1" si="100"/>
        <v>0</v>
      </c>
      <c r="S85" s="180">
        <f t="shared" ca="1" si="100"/>
        <v>0</v>
      </c>
      <c r="T85" s="180">
        <f t="shared" ca="1" si="100"/>
        <v>0</v>
      </c>
      <c r="U85" s="180">
        <f t="shared" ca="1" si="100"/>
        <v>0</v>
      </c>
      <c r="V85" s="180">
        <f t="shared" ca="1" si="100"/>
        <v>0</v>
      </c>
      <c r="W85" s="180">
        <f t="shared" ca="1" si="100"/>
        <v>0</v>
      </c>
      <c r="X85" s="180">
        <f t="shared" ca="1" si="100"/>
        <v>0</v>
      </c>
      <c r="Y85" s="180">
        <f t="shared" ca="1" si="100"/>
        <v>0</v>
      </c>
      <c r="Z85" s="180">
        <f t="shared" ca="1" si="100"/>
        <v>0</v>
      </c>
      <c r="AA85" s="180">
        <f t="shared" ca="1" si="100"/>
        <v>0</v>
      </c>
      <c r="AB85" s="180" t="str">
        <f t="shared" ca="1" si="100"/>
        <v>na</v>
      </c>
      <c r="AC85" s="180" t="str">
        <f t="shared" ref="AC85:AF85" ca="1" si="101">IF($D$12&gt;AC$4,"na",AC35)</f>
        <v>na</v>
      </c>
      <c r="AD85" s="180" t="str">
        <f t="shared" ca="1" si="101"/>
        <v>na</v>
      </c>
      <c r="AE85" s="180" t="str">
        <f t="shared" ca="1" si="101"/>
        <v>na</v>
      </c>
      <c r="AF85" s="180" t="str">
        <f t="shared" ca="1" si="101"/>
        <v>na</v>
      </c>
      <c r="AG85" s="180" t="str">
        <f t="shared" ref="AG85" ca="1" si="102">IF($D$12&gt;AG$4,"na",AG35)</f>
        <v>na</v>
      </c>
    </row>
    <row r="86" spans="2:33" s="106" customFormat="1" ht="15.15" outlineLevel="1">
      <c r="B86" s="94"/>
      <c r="C86" s="28" t="s">
        <v>765</v>
      </c>
      <c r="D86" s="197">
        <v>7000000</v>
      </c>
      <c r="E86" s="197">
        <v>7000000</v>
      </c>
      <c r="F86" s="197">
        <v>7000000</v>
      </c>
      <c r="G86" s="197">
        <v>7000000</v>
      </c>
      <c r="H86" s="197">
        <v>7000000</v>
      </c>
      <c r="I86" s="197">
        <v>7000000</v>
      </c>
      <c r="J86" s="197">
        <v>7000000</v>
      </c>
      <c r="K86" s="197">
        <v>7000000</v>
      </c>
      <c r="L86" s="197">
        <v>7000000</v>
      </c>
      <c r="M86" s="197">
        <v>7000000</v>
      </c>
      <c r="N86" s="197">
        <v>7000000</v>
      </c>
      <c r="O86" s="197">
        <v>7000000</v>
      </c>
      <c r="P86" s="197">
        <v>7000000</v>
      </c>
      <c r="Q86" s="197">
        <v>7000000</v>
      </c>
      <c r="R86" s="197">
        <v>7000000</v>
      </c>
      <c r="S86" s="197">
        <v>7000000</v>
      </c>
      <c r="T86" s="197">
        <v>7000000</v>
      </c>
      <c r="U86" s="197">
        <v>7000000</v>
      </c>
      <c r="V86" s="197">
        <v>7000000</v>
      </c>
      <c r="W86" s="197">
        <v>7000000</v>
      </c>
      <c r="X86" s="197">
        <v>7000000</v>
      </c>
      <c r="Y86" s="197">
        <v>7000000</v>
      </c>
      <c r="Z86" s="197">
        <v>7000000</v>
      </c>
      <c r="AA86" s="197">
        <v>7000000</v>
      </c>
      <c r="AB86" s="197">
        <v>7000000</v>
      </c>
      <c r="AC86" s="197">
        <v>7000000</v>
      </c>
      <c r="AD86" s="197">
        <v>7000000</v>
      </c>
      <c r="AE86" s="197">
        <v>7000000</v>
      </c>
      <c r="AF86" s="197">
        <v>7000000</v>
      </c>
      <c r="AG86" s="197">
        <v>7000000</v>
      </c>
    </row>
    <row r="87" spans="2:33" s="183" customFormat="1" outlineLevel="1">
      <c r="C87" s="183" t="s">
        <v>766</v>
      </c>
      <c r="D87" s="185" t="str">
        <f t="shared" ref="D87:AB87" si="103">IFERROR(D86/D85-1,"na")</f>
        <v>na</v>
      </c>
      <c r="E87" s="185" t="str">
        <f t="shared" si="103"/>
        <v>na</v>
      </c>
      <c r="F87" s="185" t="str">
        <f t="shared" si="103"/>
        <v>na</v>
      </c>
      <c r="G87" s="183" t="str">
        <f t="shared" ca="1" si="103"/>
        <v>na</v>
      </c>
      <c r="H87" s="183" t="str">
        <f t="shared" ca="1" si="103"/>
        <v>na</v>
      </c>
      <c r="I87" s="183" t="str">
        <f t="shared" ca="1" si="103"/>
        <v>na</v>
      </c>
      <c r="J87" s="183" t="str">
        <f t="shared" ca="1" si="103"/>
        <v>na</v>
      </c>
      <c r="K87" s="183" t="str">
        <f t="shared" ca="1" si="103"/>
        <v>na</v>
      </c>
      <c r="L87" s="183" t="str">
        <f t="shared" ca="1" si="103"/>
        <v>na</v>
      </c>
      <c r="M87" s="183" t="str">
        <f t="shared" ca="1" si="103"/>
        <v>na</v>
      </c>
      <c r="N87" s="183" t="str">
        <f t="shared" ca="1" si="103"/>
        <v>na</v>
      </c>
      <c r="O87" s="183" t="str">
        <f t="shared" ca="1" si="103"/>
        <v>na</v>
      </c>
      <c r="P87" s="183" t="str">
        <f t="shared" ca="1" si="103"/>
        <v>na</v>
      </c>
      <c r="Q87" s="183" t="str">
        <f t="shared" ca="1" si="103"/>
        <v>na</v>
      </c>
      <c r="R87" s="183" t="str">
        <f t="shared" ca="1" si="103"/>
        <v>na</v>
      </c>
      <c r="S87" s="183" t="str">
        <f t="shared" ca="1" si="103"/>
        <v>na</v>
      </c>
      <c r="T87" s="183" t="str">
        <f t="shared" ca="1" si="103"/>
        <v>na</v>
      </c>
      <c r="U87" s="183" t="str">
        <f t="shared" ca="1" si="103"/>
        <v>na</v>
      </c>
      <c r="V87" s="183" t="str">
        <f t="shared" ca="1" si="103"/>
        <v>na</v>
      </c>
      <c r="W87" s="183" t="str">
        <f t="shared" ca="1" si="103"/>
        <v>na</v>
      </c>
      <c r="X87" s="183" t="str">
        <f t="shared" ca="1" si="103"/>
        <v>na</v>
      </c>
      <c r="Y87" s="183" t="str">
        <f t="shared" ca="1" si="103"/>
        <v>na</v>
      </c>
      <c r="Z87" s="183" t="str">
        <f t="shared" ca="1" si="103"/>
        <v>na</v>
      </c>
      <c r="AA87" s="183" t="str">
        <f t="shared" ca="1" si="103"/>
        <v>na</v>
      </c>
      <c r="AB87" s="183" t="str">
        <f t="shared" ca="1" si="103"/>
        <v>na</v>
      </c>
      <c r="AC87" s="183" t="str">
        <f t="shared" ref="AC87:AF87" ca="1" si="104">IFERROR(AC86/AC85-1,"na")</f>
        <v>na</v>
      </c>
      <c r="AD87" s="183" t="str">
        <f t="shared" ca="1" si="104"/>
        <v>na</v>
      </c>
      <c r="AE87" s="183" t="str">
        <f t="shared" ca="1" si="104"/>
        <v>na</v>
      </c>
      <c r="AF87" s="183" t="str">
        <f t="shared" ca="1" si="104"/>
        <v>na</v>
      </c>
      <c r="AG87" s="183" t="str">
        <f t="shared" ref="AG87" ca="1" si="105">IFERROR(AG86/AG85-1,"na")</f>
        <v>na</v>
      </c>
    </row>
    <row r="88" spans="2:33" ht="14.4">
      <c r="B88" s="1"/>
    </row>
  </sheetData>
  <phoneticPr fontId="52" type="noConversion"/>
  <conditionalFormatting sqref="D5:AF6">
    <cfRule type="cellIs" dxfId="124" priority="8" operator="equal">
      <formula>TRUE</formula>
    </cfRule>
  </conditionalFormatting>
  <conditionalFormatting sqref="D45:AF45 D87:AF87 D49:AF49 D54:AF54 D58:AF58 D63:AF63 D67:AF67 D71:AF71 D75:AF75 D79:AF79 D83:AF83">
    <cfRule type="cellIs" dxfId="123" priority="7" operator="lessThan">
      <formula>0</formula>
    </cfRule>
  </conditionalFormatting>
  <conditionalFormatting sqref="D5:AF6">
    <cfRule type="cellIs" dxfId="122" priority="6" operator="equal">
      <formula>TRUE</formula>
    </cfRule>
  </conditionalFormatting>
  <conditionalFormatting sqref="D5:AF6">
    <cfRule type="cellIs" dxfId="121" priority="5" operator="equal">
      <formula>TRUE</formula>
    </cfRule>
  </conditionalFormatting>
  <conditionalFormatting sqref="AG5:AG6">
    <cfRule type="cellIs" dxfId="120" priority="4" operator="equal">
      <formula>TRUE</formula>
    </cfRule>
  </conditionalFormatting>
  <conditionalFormatting sqref="AG45 AG87 AG49 AG54 AG58 AG63 AG67 AG71 AG75 AG79 AG83">
    <cfRule type="cellIs" dxfId="119" priority="3" operator="lessThan">
      <formula>0</formula>
    </cfRule>
  </conditionalFormatting>
  <conditionalFormatting sqref="AG5:AG6">
    <cfRule type="cellIs" dxfId="118" priority="2" operator="equal">
      <formula>TRUE</formula>
    </cfRule>
  </conditionalFormatting>
  <conditionalFormatting sqref="AG5:AG6">
    <cfRule type="cellIs" dxfId="117" priority="1" operator="equal">
      <formula>TRUE</formula>
    </cfRule>
  </conditionalFormatting>
  <dataValidations disablePrompts="1" count="2">
    <dataValidation type="list" allowBlank="1" showInputMessage="1" showErrorMessage="1" sqref="B86">
      <formula1>$C$21:$C$23</formula1>
    </dataValidation>
    <dataValidation type="list" allowBlank="1" showInputMessage="1" showErrorMessage="1" sqref="B44 B82 B70 B78 B74 B66 B62 B57 B53 B48">
      <formula1>$C$32:$C$34</formula1>
    </dataValidation>
  </dataValidation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8961" r:id="rId4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292608</xdr:colOff>
                    <xdr:row>2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62" r:id="rId5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292608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002060"/>
  </sheetPr>
  <dimension ref="A1"/>
  <sheetViews>
    <sheetView workbookViewId="0">
      <selection activeCell="E19" sqref="E19"/>
    </sheetView>
  </sheetViews>
  <sheetFormatPr defaultRowHeight="13.7"/>
  <sheetData/>
  <phoneticPr fontId="5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00B0F0"/>
  </sheetPr>
  <dimension ref="A1:S22"/>
  <sheetViews>
    <sheetView zoomScale="85" zoomScaleNormal="85" workbookViewId="0">
      <pane xSplit="4" ySplit="11" topLeftCell="E15" activePane="bottomRight" state="frozen"/>
      <selection activeCell="E19" sqref="E19"/>
      <selection pane="topRight" activeCell="E19" sqref="E19"/>
      <selection pane="bottomLeft" activeCell="E19" sqref="E19"/>
      <selection pane="bottomRight" activeCell="I20" sqref="I20"/>
    </sheetView>
  </sheetViews>
  <sheetFormatPr defaultColWidth="9.140625" defaultRowHeight="13.7" outlineLevelRow="1" outlineLevelCol="1"/>
  <cols>
    <col min="1" max="2" width="2" style="28" customWidth="1"/>
    <col min="3" max="3" width="49.42578125" style="28" bestFit="1" customWidth="1"/>
    <col min="4" max="4" width="21.85546875" style="28" customWidth="1"/>
    <col min="5" max="5" width="14.42578125" style="28" customWidth="1"/>
    <col min="6" max="6" width="16.5703125" style="28" customWidth="1"/>
    <col min="7" max="7" width="17.140625" style="28" customWidth="1"/>
    <col min="8" max="8" width="17.7109375" style="28" customWidth="1"/>
    <col min="9" max="11" width="17.5703125" style="28" customWidth="1"/>
    <col min="12" max="17" width="17.5703125" style="28" customWidth="1" outlineLevel="1"/>
    <col min="18" max="19" width="13.7109375" style="28" customWidth="1"/>
    <col min="20" max="20" width="15.5703125" style="28" customWidth="1"/>
    <col min="21" max="21" width="14.28515625" style="28" customWidth="1"/>
    <col min="22" max="23" width="9.85546875" style="28" bestFit="1" customWidth="1"/>
    <col min="24" max="16384" width="9.140625" style="28"/>
  </cols>
  <sheetData>
    <row r="1" spans="1:19" ht="14.4" outlineLevel="1">
      <c r="A1" s="18"/>
      <c r="B1" s="18"/>
      <c r="C1" s="24" t="s">
        <v>870</v>
      </c>
      <c r="D1" s="89">
        <f>DATE('Control Panel'!B12,'Control Panel'!B6,'Control Panel'!B7)</f>
        <v>43830</v>
      </c>
      <c r="E1" s="24"/>
      <c r="F1" s="18" t="s">
        <v>689</v>
      </c>
      <c r="G1" s="5">
        <f>'Control Panel'!B11</f>
        <v>43466</v>
      </c>
      <c r="H1" s="18"/>
      <c r="I1" s="18" t="s">
        <v>691</v>
      </c>
      <c r="J1" s="5">
        <f>'Control Panel'!B9</f>
        <v>43465</v>
      </c>
      <c r="K1" s="18"/>
      <c r="L1" s="18"/>
      <c r="M1" s="18"/>
      <c r="N1" s="18"/>
      <c r="O1" s="18"/>
      <c r="P1" s="18"/>
      <c r="Q1" s="18"/>
      <c r="R1" s="18"/>
      <c r="S1" s="18"/>
    </row>
    <row r="2" spans="1:19" ht="14.4" outlineLevel="1">
      <c r="A2" s="18"/>
      <c r="B2" s="18"/>
      <c r="C2" s="24" t="s">
        <v>871</v>
      </c>
      <c r="D2" s="24">
        <f>'Financial summary'!E5</f>
        <v>1</v>
      </c>
      <c r="E2" s="24" t="str">
        <f>INDEX(D18:D21,D2)</f>
        <v>Sponsor base</v>
      </c>
      <c r="F2" s="18"/>
      <c r="G2" s="18"/>
      <c r="H2" s="18"/>
      <c r="I2" s="18" t="s">
        <v>693</v>
      </c>
      <c r="J2" s="27">
        <f>D1-YEAR(E4)</f>
        <v>41816</v>
      </c>
      <c r="K2" s="18"/>
      <c r="L2" s="18"/>
      <c r="M2" s="18"/>
      <c r="N2" s="18"/>
      <c r="O2" s="18"/>
      <c r="P2" s="18"/>
      <c r="Q2" s="18"/>
      <c r="R2" s="18"/>
      <c r="S2" s="18"/>
    </row>
    <row r="3" spans="1:19" ht="14.4" outlineLevel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93"/>
      <c r="S3" s="93"/>
    </row>
    <row r="4" spans="1:19" ht="14.4" outlineLevel="1">
      <c r="A4" s="1"/>
      <c r="B4" s="1"/>
      <c r="C4" s="1"/>
      <c r="D4" s="1"/>
      <c r="E4" s="90">
        <f>DATE('Control Panel'!B4,'Control Panel'!$B$6,'Control Panel'!$B$7)</f>
        <v>42004</v>
      </c>
      <c r="F4" s="91">
        <f t="shared" ref="F4:Q4" si="0">IF(stub_switch,(IF(EOMONTH(E4,12)&lt;$J$1,EOMONTH(E4,12),IF(E4=$J$1,EOMONTH(D4,12),IF(E4&gt;$J$1,EOMONTH(E4,12),$J$1)))),EOMONTH(E4,12))</f>
        <v>42369</v>
      </c>
      <c r="G4" s="91">
        <f t="shared" si="0"/>
        <v>42735</v>
      </c>
      <c r="H4" s="91">
        <f t="shared" si="0"/>
        <v>43100</v>
      </c>
      <c r="I4" s="91">
        <f t="shared" si="0"/>
        <v>43465</v>
      </c>
      <c r="J4" s="91">
        <f t="shared" si="0"/>
        <v>43830</v>
      </c>
      <c r="K4" s="91">
        <f t="shared" si="0"/>
        <v>44196</v>
      </c>
      <c r="L4" s="91">
        <f t="shared" si="0"/>
        <v>44561</v>
      </c>
      <c r="M4" s="91">
        <f t="shared" si="0"/>
        <v>44926</v>
      </c>
      <c r="N4" s="91">
        <f t="shared" si="0"/>
        <v>45291</v>
      </c>
      <c r="O4" s="91">
        <f t="shared" si="0"/>
        <v>45657</v>
      </c>
      <c r="P4" s="91">
        <f t="shared" si="0"/>
        <v>46022</v>
      </c>
      <c r="Q4" s="91">
        <f t="shared" si="0"/>
        <v>46387</v>
      </c>
      <c r="R4" s="92" t="s">
        <v>918</v>
      </c>
      <c r="S4" s="92" t="s">
        <v>919</v>
      </c>
    </row>
    <row r="5" spans="1:19" ht="14.4" outlineLevel="1">
      <c r="A5" s="1"/>
      <c r="B5" s="1"/>
      <c r="C5" s="1" t="s">
        <v>694</v>
      </c>
      <c r="D5" s="1"/>
      <c r="E5" s="1" t="b">
        <f>AND(E4&gt;$G$1,E4&lt;=DATE('Control Panel'!$B$13,'Control Panel'!$B$6,'Control Panel'!$B$7))</f>
        <v>0</v>
      </c>
      <c r="F5" s="1" t="b">
        <f>AND(F4&gt;$G$1,F4&lt;=DATE('Control Panel'!$B$13,'Control Panel'!$B$6,'Control Panel'!$B$7))</f>
        <v>0</v>
      </c>
      <c r="G5" s="1" t="b">
        <f>AND(G4&gt;$G$1,G4&lt;=DATE('Control Panel'!$B$13,'Control Panel'!$B$6,'Control Panel'!$B$7))</f>
        <v>0</v>
      </c>
      <c r="H5" s="1" t="b">
        <f>AND(H4&gt;$G$1,H4&lt;=DATE('Control Panel'!$B$13,'Control Panel'!$B$6,'Control Panel'!$B$7))</f>
        <v>0</v>
      </c>
      <c r="I5" s="1" t="b">
        <f>AND(I4&gt;$G$1,I4&lt;=DATE('Control Panel'!$B$13,'Control Panel'!$B$6,'Control Panel'!$B$7))</f>
        <v>0</v>
      </c>
      <c r="J5" s="1" t="b">
        <f>AND(J4&gt;$G$1,J4&lt;=DATE('Control Panel'!$B$13,'Control Panel'!$B$6,'Control Panel'!$B$7))</f>
        <v>1</v>
      </c>
      <c r="K5" s="1" t="b">
        <f>AND(K4&gt;$G$1,K4&lt;=DATE('Control Panel'!$B$13,'Control Panel'!$B$6,'Control Panel'!$B$7))</f>
        <v>1</v>
      </c>
      <c r="L5" s="1" t="b">
        <f>AND(L4&gt;$G$1,L4&lt;=DATE('Control Panel'!$B$13,'Control Panel'!$B$6,'Control Panel'!$B$7))</f>
        <v>1</v>
      </c>
      <c r="M5" s="1" t="b">
        <f>AND(M4&gt;$G$1,M4&lt;=DATE('Control Panel'!$B$13,'Control Panel'!$B$6,'Control Panel'!$B$7))</f>
        <v>1</v>
      </c>
      <c r="N5" s="1" t="b">
        <f>AND(N4&gt;$G$1,N4&lt;=DATE('Control Panel'!$B$13,'Control Panel'!$B$6,'Control Panel'!$B$7))</f>
        <v>1</v>
      </c>
      <c r="O5" s="1" t="b">
        <f>AND(O4&gt;$G$1,O4&lt;=DATE('Control Panel'!$B$13,'Control Panel'!$B$6,'Control Panel'!$B$7))</f>
        <v>1</v>
      </c>
      <c r="P5" s="1" t="b">
        <f>AND(P4&gt;$G$1,P4&lt;=DATE('Control Panel'!$B$13,'Control Panel'!$B$6,'Control Panel'!$B$7))</f>
        <v>0</v>
      </c>
      <c r="Q5" s="1" t="b">
        <f>AND(Q4&gt;$G$1,Q4&lt;=DATE('Control Panel'!$B$13,'Control Panel'!$B$6,'Control Panel'!$B$7))</f>
        <v>0</v>
      </c>
      <c r="R5" s="93"/>
      <c r="S5" s="93"/>
    </row>
    <row r="6" spans="1:19" ht="14.4" outlineLevel="1">
      <c r="A6" s="1"/>
      <c r="B6" s="1"/>
      <c r="C6" s="1" t="s">
        <v>687</v>
      </c>
      <c r="D6" s="1"/>
      <c r="E6" s="1" t="b">
        <f>E4=$J$1</f>
        <v>0</v>
      </c>
      <c r="F6" s="1" t="b">
        <f t="shared" ref="F6:Q6" si="1">F4=$J$1</f>
        <v>0</v>
      </c>
      <c r="G6" s="1" t="b">
        <f t="shared" si="1"/>
        <v>0</v>
      </c>
      <c r="H6" s="1" t="b">
        <f t="shared" si="1"/>
        <v>0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93"/>
      <c r="S6" s="93"/>
    </row>
    <row r="7" spans="1:19" ht="14.4" outlineLevel="1">
      <c r="A7" s="1"/>
      <c r="B7" s="1"/>
      <c r="C7" s="1" t="s">
        <v>695</v>
      </c>
      <c r="D7" s="1"/>
      <c r="E7" s="1"/>
      <c r="F7" s="1">
        <f>F4-E4</f>
        <v>365</v>
      </c>
      <c r="G7" s="1">
        <f t="shared" ref="G7:Q7" si="2">G4-F4</f>
        <v>366</v>
      </c>
      <c r="H7" s="1">
        <f t="shared" si="2"/>
        <v>365</v>
      </c>
      <c r="I7" s="1">
        <f t="shared" si="2"/>
        <v>365</v>
      </c>
      <c r="J7" s="1">
        <f t="shared" si="2"/>
        <v>365</v>
      </c>
      <c r="K7" s="1">
        <f t="shared" si="2"/>
        <v>366</v>
      </c>
      <c r="L7" s="1">
        <f t="shared" si="2"/>
        <v>365</v>
      </c>
      <c r="M7" s="1">
        <f t="shared" si="2"/>
        <v>365</v>
      </c>
      <c r="N7" s="1">
        <f t="shared" si="2"/>
        <v>365</v>
      </c>
      <c r="O7" s="1">
        <f t="shared" si="2"/>
        <v>366</v>
      </c>
      <c r="P7" s="1">
        <f t="shared" si="2"/>
        <v>365</v>
      </c>
      <c r="Q7" s="1">
        <f t="shared" si="2"/>
        <v>365</v>
      </c>
      <c r="R7" s="93"/>
      <c r="S7" s="93"/>
    </row>
    <row r="8" spans="1:19" ht="14.4" outlineLevel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93"/>
      <c r="S8" s="93"/>
    </row>
    <row r="9" spans="1:19" ht="16.600000000000001">
      <c r="A9" s="196" t="str">
        <f>CONCATENATE("Project ",project_name," - Financing Assumptions")</f>
        <v>Project  - Financing Assumptions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38"/>
      <c r="S9" s="38"/>
    </row>
    <row r="10" spans="1:19">
      <c r="A10" s="177" t="s">
        <v>1022</v>
      </c>
      <c r="B10" s="209"/>
      <c r="C10" s="209"/>
      <c r="D10" s="198"/>
      <c r="E10" s="198">
        <f>E4</f>
        <v>42004</v>
      </c>
      <c r="F10" s="198">
        <f t="shared" ref="F10:Q10" si="3">F4</f>
        <v>42369</v>
      </c>
      <c r="G10" s="198">
        <f t="shared" si="3"/>
        <v>42735</v>
      </c>
      <c r="H10" s="198">
        <f t="shared" si="3"/>
        <v>43100</v>
      </c>
      <c r="I10" s="198">
        <f t="shared" si="3"/>
        <v>43465</v>
      </c>
      <c r="J10" s="198">
        <f t="shared" si="3"/>
        <v>43830</v>
      </c>
      <c r="K10" s="198">
        <f t="shared" si="3"/>
        <v>44196</v>
      </c>
      <c r="L10" s="198">
        <f t="shared" si="3"/>
        <v>44561</v>
      </c>
      <c r="M10" s="198">
        <f t="shared" si="3"/>
        <v>44926</v>
      </c>
      <c r="N10" s="198">
        <f t="shared" si="3"/>
        <v>45291</v>
      </c>
      <c r="O10" s="198">
        <f t="shared" si="3"/>
        <v>45657</v>
      </c>
      <c r="P10" s="198">
        <f t="shared" si="3"/>
        <v>46022</v>
      </c>
      <c r="Q10" s="198">
        <f t="shared" si="3"/>
        <v>46387</v>
      </c>
      <c r="R10" s="791" t="s">
        <v>1053</v>
      </c>
      <c r="S10" s="791"/>
    </row>
    <row r="11" spans="1:19">
      <c r="A11" s="284"/>
      <c r="B11" s="209"/>
      <c r="C11" s="209"/>
      <c r="D11" s="178"/>
      <c r="E11" s="178" t="str">
        <f>IF(E5,"Projection",IF(E6,"Stub","Historic"))</f>
        <v>Historic</v>
      </c>
      <c r="F11" s="178" t="str">
        <f t="shared" ref="F11:Q11" si="4">IF(F5,"Projection",IF(F6,"Stub","Historic"))</f>
        <v>Historic</v>
      </c>
      <c r="G11" s="178" t="str">
        <f t="shared" si="4"/>
        <v>Historic</v>
      </c>
      <c r="H11" s="178" t="str">
        <f t="shared" si="4"/>
        <v>Historic</v>
      </c>
      <c r="I11" s="178" t="str">
        <f t="shared" si="4"/>
        <v>Stub</v>
      </c>
      <c r="J11" s="178" t="str">
        <f t="shared" si="4"/>
        <v>Projection</v>
      </c>
      <c r="K11" s="178" t="str">
        <f t="shared" si="4"/>
        <v>Projection</v>
      </c>
      <c r="L11" s="178" t="str">
        <f t="shared" si="4"/>
        <v>Projection</v>
      </c>
      <c r="M11" s="178" t="str">
        <f t="shared" si="4"/>
        <v>Projection</v>
      </c>
      <c r="N11" s="178" t="str">
        <f t="shared" si="4"/>
        <v>Projection</v>
      </c>
      <c r="O11" s="178" t="str">
        <f t="shared" si="4"/>
        <v>Projection</v>
      </c>
      <c r="P11" s="178" t="str">
        <f t="shared" si="4"/>
        <v>Historic</v>
      </c>
      <c r="Q11" s="178" t="str">
        <f t="shared" si="4"/>
        <v>Historic</v>
      </c>
      <c r="R11" s="178" t="str">
        <f>CONCATENATE("'",'Control Panel'!B4-2000,"-'",'Control Panel'!B4-2000+'Control Panel'!B5-1)</f>
        <v>'14-'18</v>
      </c>
      <c r="S11" s="178" t="str">
        <f>CONCATENATE("'",'Control Panel'!B4-2000+'Control Panel'!B5-1,"-'",'Control Panel'!B13-2000)</f>
        <v>'18-'24</v>
      </c>
    </row>
    <row r="12" spans="1:19" ht="16.600000000000001">
      <c r="A12" s="1"/>
      <c r="B12" s="1"/>
      <c r="C12" s="19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38"/>
      <c r="S12" s="38"/>
    </row>
    <row r="13" spans="1:19" ht="14.4">
      <c r="A13" s="180" t="s">
        <v>708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38"/>
      <c r="S13" s="38"/>
    </row>
    <row r="14" spans="1:19" ht="14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38"/>
      <c r="S14" s="38"/>
    </row>
    <row r="15" spans="1:19">
      <c r="A15" s="180"/>
      <c r="B15" s="180" t="s">
        <v>606</v>
      </c>
      <c r="C15" s="180"/>
      <c r="D15" s="180" t="s">
        <v>604</v>
      </c>
      <c r="E15" s="180">
        <f t="shared" ref="E15:L15" si="5">IF(E$5,INDEX(E18:E21,$D$2),E17)</f>
        <v>0</v>
      </c>
      <c r="F15" s="180">
        <f t="shared" si="5"/>
        <v>0</v>
      </c>
      <c r="G15" s="180">
        <f t="shared" si="5"/>
        <v>0</v>
      </c>
      <c r="H15" s="180">
        <f t="shared" si="5"/>
        <v>0</v>
      </c>
      <c r="I15" s="180">
        <f t="shared" si="5"/>
        <v>0</v>
      </c>
      <c r="J15" s="180">
        <f t="shared" si="5"/>
        <v>0</v>
      </c>
      <c r="K15" s="180">
        <f t="shared" si="5"/>
        <v>0</v>
      </c>
      <c r="L15" s="180">
        <f t="shared" si="5"/>
        <v>0</v>
      </c>
      <c r="M15" s="180">
        <f>IF(M$5,INDEX(M18:M21,$D$2),M17)</f>
        <v>0</v>
      </c>
      <c r="N15" s="180">
        <f>IF(N$5,INDEX(N18:N21,$D$2),N17)</f>
        <v>0</v>
      </c>
      <c r="O15" s="180">
        <f>IF(O$5,INDEX(O18:O21,$D$2),O17)</f>
        <v>0</v>
      </c>
      <c r="P15" s="180">
        <f>IF(P$5,INDEX(P18:P21,$D$2),P17)</f>
        <v>0</v>
      </c>
      <c r="Q15" s="180">
        <f>IF(Q$5,INDEX(Q18:Q21,$D$2),Q17)</f>
        <v>0</v>
      </c>
      <c r="R15" s="315" t="str">
        <f>IFERROR((INDEX(15:15,MATCH(DATE('Control Panel'!$B$4+'Control Panel'!$B$5-1,'Control Panel'!$B$6,'Control Panel'!$B$7),'Assumptions Holdco'!$10:$10,0))/INDEX(15:15,MATCH(DATE('Control Panel'!$B$4,'Control Panel'!$B$6,'Control Panel'!$B$7),'Assumptions Holdco'!$10:$10,0)))^(1/('Control Panel'!$B$5-1))-1,"n.a.")</f>
        <v>n.a.</v>
      </c>
      <c r="S15" s="315" t="str">
        <f>IFERROR((INDEX(15:15,MATCH(DATE('Control Panel'!$B$13,'Control Panel'!$B$6,'Control Panel'!$B$7),'Assumptions Holdco'!$10:$10,0))/INDEX(15:15,MATCH(DATE('Control Panel'!$B$4+'Control Panel'!$B$5-1,'Control Panel'!$B$6,'Control Panel'!$B$7),'Assumptions Holdco'!$10:$10,0)))^(1/('Control Panel'!$B$13-'Control Panel'!$B$12+1))-1,"n.a.")</f>
        <v>n.a.</v>
      </c>
    </row>
    <row r="16" spans="1:19" ht="14.4">
      <c r="A16" s="38"/>
      <c r="B16" s="38"/>
      <c r="C16" s="38"/>
      <c r="D16" s="286" t="s">
        <v>920</v>
      </c>
      <c r="E16" s="185" t="str">
        <f>IFERROR(E15/INDEX(15:15,MATCH(DATE(YEAR(E$10)-1,MONTH(E$10),DAY(E$10)),$10:$10,0))-1,"n.a.")</f>
        <v>n.a.</v>
      </c>
      <c r="F16" s="185" t="str">
        <f t="shared" ref="F16:Q16" si="6">IFERROR(F15/INDEX(15:15,MATCH(DATE(YEAR(F$10)-1,MONTH(F$10),DAY(F$10)),$10:$10,0))-1,"n.a.")</f>
        <v>n.a.</v>
      </c>
      <c r="G16" s="185" t="str">
        <f t="shared" si="6"/>
        <v>n.a.</v>
      </c>
      <c r="H16" s="185" t="str">
        <f t="shared" si="6"/>
        <v>n.a.</v>
      </c>
      <c r="I16" s="185" t="str">
        <f t="shared" si="6"/>
        <v>n.a.</v>
      </c>
      <c r="J16" s="185" t="str">
        <f t="shared" si="6"/>
        <v>n.a.</v>
      </c>
      <c r="K16" s="185" t="str">
        <f t="shared" si="6"/>
        <v>n.a.</v>
      </c>
      <c r="L16" s="185" t="str">
        <f t="shared" si="6"/>
        <v>n.a.</v>
      </c>
      <c r="M16" s="185" t="str">
        <f t="shared" si="6"/>
        <v>n.a.</v>
      </c>
      <c r="N16" s="185" t="str">
        <f t="shared" si="6"/>
        <v>n.a.</v>
      </c>
      <c r="O16" s="185" t="str">
        <f t="shared" si="6"/>
        <v>n.a.</v>
      </c>
      <c r="P16" s="185" t="str">
        <f t="shared" si="6"/>
        <v>n.a.</v>
      </c>
      <c r="Q16" s="185" t="str">
        <f t="shared" si="6"/>
        <v>n.a.</v>
      </c>
      <c r="R16" s="38"/>
      <c r="S16" s="38"/>
    </row>
    <row r="17" spans="1:19">
      <c r="A17" s="255"/>
      <c r="B17" s="255"/>
      <c r="C17" s="255"/>
      <c r="D17" s="255" t="s">
        <v>599</v>
      </c>
      <c r="E17" s="255">
        <f>IFERROR((E$4&lt;$D$1)*SUMIF('Historical Holdco'!$A$88:$A$416,"SGA",INDEX('Historical Holdco'!$D$88:$EE$416,0,MATCH(E$4,'Historical BU1'!$D$84:$EE$84,0))),0)</f>
        <v>0</v>
      </c>
      <c r="F17" s="255">
        <f>IFERROR((F$4&lt;$D$1)*SUMIF('Historical Holdco'!$A$88:$A$416,"SGA",INDEX('Historical Holdco'!$D$88:$EE$416,0,MATCH(F$4,'Historical BU1'!$D$84:$EE$84,0))),0)</f>
        <v>0</v>
      </c>
      <c r="G17" s="255">
        <f>IFERROR((G$4&lt;$D$1)*SUMIF('Historical Holdco'!$A$88:$A$416,"SGA",INDEX('Historical Holdco'!$D$88:$EE$416,0,MATCH(G$4,'Historical BU1'!$D$84:$EE$84,0))),0)</f>
        <v>0</v>
      </c>
      <c r="H17" s="255">
        <f>IFERROR((H$4&lt;$D$1)*SUMIF('Historical Holdco'!$A$88:$A$416,"SGA",INDEX('Historical Holdco'!$D$88:$EE$416,0,MATCH(H$4,'Historical BU1'!$D$84:$EE$84,0))),0)</f>
        <v>0</v>
      </c>
      <c r="I17" s="255">
        <f>IFERROR((I$4&lt;$D$1)*SUMIF('Historical Holdco'!$A$88:$A$416,"SGA",INDEX('Historical Holdco'!$D$88:$EE$416,0,MATCH(I$4,'Historical BU1'!$D$84:$EE$84,0))),0)</f>
        <v>0</v>
      </c>
      <c r="J17" s="255">
        <f>IFERROR((J$4&lt;$D$1)*SUMIF('Historical Holdco'!$A$88:$A$416,"SGA",INDEX('Historical Holdco'!$D$88:$EE$416,0,MATCH(J$4,'Historical BU1'!$D$84:$EE$84,0))),0)</f>
        <v>0</v>
      </c>
      <c r="K17" s="255">
        <f>IFERROR((K$4&lt;$D$1)*SUMIF('Historical Holdco'!$A$88:$A$416,"SGA",INDEX('Historical Holdco'!$D$88:$EE$416,0,MATCH(K$4,'Historical BU1'!$D$84:$EE$84,0))),0)</f>
        <v>0</v>
      </c>
      <c r="L17" s="255">
        <f>IFERROR((L$4&lt;$D$1)*SUMIF('Historical Holdco'!$A$88:$A$416,"SGA",INDEX('Historical Holdco'!$D$88:$EE$416,0,MATCH(L$4,'Historical BU1'!$D$84:$EE$84,0))),0)</f>
        <v>0</v>
      </c>
      <c r="M17" s="255">
        <f>IFERROR((M$4&lt;$D$1)*SUMIF('Historical Holdco'!$A$88:$A$416,"SGA",INDEX('Historical Holdco'!$D$88:$EE$416,0,MATCH(M$4,'Historical BU1'!$D$84:$EE$84,0))),0)</f>
        <v>0</v>
      </c>
      <c r="N17" s="255">
        <f>IFERROR((N$4&lt;$D$1)*SUMIF('Historical Holdco'!$A$88:$A$416,"SGA",INDEX('Historical Holdco'!$D$88:$EE$416,0,MATCH(N$4,'Historical BU1'!$D$84:$EE$84,0))),0)</f>
        <v>0</v>
      </c>
      <c r="O17" s="255">
        <f>IFERROR((O$4&lt;$D$1)*SUMIF('Historical Holdco'!$A$88:$A$416,"SGA",INDEX('Historical Holdco'!$D$88:$EE$416,0,MATCH(O$4,'Historical BU1'!$D$84:$EE$84,0))),0)</f>
        <v>0</v>
      </c>
      <c r="P17" s="255">
        <f>IFERROR((P$4&lt;$D$1)*SUMIF('Historical Holdco'!$A$88:$A$416,"SGA",INDEX('Historical Holdco'!$D$88:$EE$416,0,MATCH(P$4,'Historical BU1'!$D$84:$EE$84,0))),0)</f>
        <v>0</v>
      </c>
      <c r="Q17" s="255">
        <f>IFERROR((Q$4&lt;$D$1)*SUMIF('Historical Holdco'!$A$88:$A$416,"SGA",INDEX('Historical Holdco'!$D$88:$EE$416,0,MATCH(Q$4,'Historical BU1'!$D$84:$EE$84,0))),0)</f>
        <v>0</v>
      </c>
      <c r="R17" s="316" t="str">
        <f>IFERROR((INDEX(17:17,MATCH(DATE('Control Panel'!$B$4+'Control Panel'!$B$5-1,'Control Panel'!$B$6,'Control Panel'!$B$7),'Assumptions Holdco'!$10:$10,0))/INDEX(17:17,MATCH(DATE('Control Panel'!$B$4,'Control Panel'!$B$6,'Control Panel'!$B$7),'Assumptions Holdco'!$10:$10,0)))^(1/('Control Panel'!$B$5-1))-1,"n.a.")</f>
        <v>n.a.</v>
      </c>
      <c r="S17" s="314"/>
    </row>
    <row r="18" spans="1:19" ht="14.4">
      <c r="A18" s="1"/>
      <c r="B18" s="1"/>
      <c r="C18" s="1"/>
      <c r="D18" s="197" t="s">
        <v>600</v>
      </c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314"/>
      <c r="S18" s="316" t="str">
        <f>IFERROR((INDEX(18:18,MATCH(DATE('Control Panel'!$B$13,'Control Panel'!$B$6,'Control Panel'!$B$7),'Assumptions Holdco'!$10:$10,0))/INDEX(17:17,MATCH(DATE('Control Panel'!$B$4+'Control Panel'!$B$5-1,'Control Panel'!$B$6,'Control Panel'!$B$7),'Assumptions Holdco'!$10:$10,0)))^(1/('Control Panel'!$B$13-'Control Panel'!$B$12+1))-1,"n.a.")</f>
        <v>n.a.</v>
      </c>
    </row>
    <row r="19" spans="1:19" ht="14.4">
      <c r="A19" s="1"/>
      <c r="B19" s="1"/>
      <c r="C19" s="1"/>
      <c r="D19" s="197" t="s">
        <v>601</v>
      </c>
      <c r="E19" s="197"/>
      <c r="F19" s="197"/>
      <c r="G19" s="197"/>
      <c r="H19" s="197"/>
      <c r="I19" s="197"/>
      <c r="J19" s="197"/>
      <c r="K19" s="197"/>
      <c r="L19" s="197"/>
      <c r="M19" s="197"/>
      <c r="N19" s="197"/>
      <c r="O19" s="197"/>
      <c r="P19" s="197"/>
      <c r="Q19" s="197"/>
      <c r="R19" s="314"/>
      <c r="S19" s="316" t="str">
        <f>IFERROR((INDEX(19:19,MATCH(DATE('Control Panel'!$B$13,'Control Panel'!$B$6,'Control Panel'!$B$7),'Assumptions Holdco'!$10:$10,0))/INDEX(17:17,MATCH(DATE('Control Panel'!$B$4+'Control Panel'!$B$5-1,'Control Panel'!$B$6,'Control Panel'!$B$7),'Assumptions Holdco'!$10:$10,0)))^(1/('Control Panel'!$B$13-'Control Panel'!$B$12+1))-1,"n.a.")</f>
        <v>n.a.</v>
      </c>
    </row>
    <row r="20" spans="1:19" ht="14.4">
      <c r="A20" s="1"/>
      <c r="B20" s="1"/>
      <c r="C20" s="1"/>
      <c r="D20" s="197" t="s">
        <v>602</v>
      </c>
      <c r="E20" s="197"/>
      <c r="F20" s="197"/>
      <c r="G20" s="197"/>
      <c r="H20" s="197"/>
      <c r="I20" s="197"/>
      <c r="J20" s="197"/>
      <c r="K20" s="197"/>
      <c r="L20" s="197"/>
      <c r="M20" s="197"/>
      <c r="N20" s="197"/>
      <c r="O20" s="197"/>
      <c r="P20" s="197"/>
      <c r="Q20" s="197"/>
      <c r="R20" s="314"/>
      <c r="S20" s="316" t="str">
        <f>IFERROR((INDEX(20:20,MATCH(DATE('Control Panel'!$B$13,'Control Panel'!$B$6,'Control Panel'!$B$7),'Assumptions Holdco'!$10:$10,0))/INDEX(17:17,MATCH(DATE('Control Panel'!$B$4+'Control Panel'!$B$5-1,'Control Panel'!$B$6,'Control Panel'!$B$7),'Assumptions Holdco'!$10:$10,0)))^(1/('Control Panel'!$B$13-'Control Panel'!$B$12+1))-1,"n.a.")</f>
        <v>n.a.</v>
      </c>
    </row>
    <row r="21" spans="1:19" ht="14.4">
      <c r="A21" s="1"/>
      <c r="B21" s="1"/>
      <c r="C21" s="1"/>
      <c r="D21" s="197" t="s">
        <v>603</v>
      </c>
      <c r="E21" s="197"/>
      <c r="F21" s="197"/>
      <c r="G21" s="197"/>
      <c r="H21" s="197"/>
      <c r="I21" s="197"/>
      <c r="J21" s="197"/>
      <c r="K21" s="197"/>
      <c r="L21" s="197"/>
      <c r="M21" s="197"/>
      <c r="N21" s="197"/>
      <c r="O21" s="197"/>
      <c r="P21" s="197"/>
      <c r="Q21" s="197"/>
      <c r="R21" s="314"/>
      <c r="S21" s="316" t="str">
        <f>IFERROR((INDEX(21:21,MATCH(DATE('Control Panel'!$B$13,'Control Panel'!$B$6,'Control Panel'!$B$7),'Assumptions Holdco'!$10:$10,0))/INDEX(17:17,MATCH(DATE('Control Panel'!$B$4+'Control Panel'!$B$5-1,'Control Panel'!$B$6,'Control Panel'!$B$7),'Assumptions Holdco'!$10:$10,0)))^(1/('Control Panel'!$B$13-'Control Panel'!$B$12+1))-1,"n.a.")</f>
        <v>n.a.</v>
      </c>
    </row>
    <row r="22" spans="1:19" ht="14.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38"/>
      <c r="S22" s="38"/>
    </row>
  </sheetData>
  <mergeCells count="1">
    <mergeCell ref="R10:S10"/>
  </mergeCells>
  <phoneticPr fontId="52" type="noConversion"/>
  <conditionalFormatting sqref="E5:Q7">
    <cfRule type="cellIs" dxfId="116" priority="1" operator="equal">
      <formula>TRUE</formula>
    </cfRule>
  </conditionalFormatting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4929" r:id="rId4" name="Drop Down 1">
              <controlPr defaultSize="0" autoLine="0" autoPict="0">
                <anchor moveWithCells="1">
                  <from>
                    <xdr:col>2</xdr:col>
                    <xdr:colOff>3136392</xdr:colOff>
                    <xdr:row>9</xdr:row>
                    <xdr:rowOff>64008</xdr:rowOff>
                  </from>
                  <to>
                    <xdr:col>3</xdr:col>
                    <xdr:colOff>1271016</xdr:colOff>
                    <xdr:row>10</xdr:row>
                    <xdr:rowOff>146304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00B0F0"/>
    <pageSetUpPr fitToPage="1"/>
  </sheetPr>
  <dimension ref="B1:AP92"/>
  <sheetViews>
    <sheetView showGridLines="0" view="pageBreakPreview" topLeftCell="C73" zoomScale="90" zoomScaleSheetLayoutView="90" workbookViewId="0">
      <selection activeCell="F76" sqref="F76"/>
    </sheetView>
  </sheetViews>
  <sheetFormatPr defaultColWidth="9.140625" defaultRowHeight="13.7" outlineLevelCol="1"/>
  <cols>
    <col min="1" max="1" width="1.5703125" style="6" customWidth="1"/>
    <col min="2" max="2" width="1.28515625" style="6" customWidth="1"/>
    <col min="3" max="3" width="13.28515625" style="6" customWidth="1"/>
    <col min="4" max="4" width="11.140625" style="6" customWidth="1"/>
    <col min="5" max="5" width="10.42578125" style="6" customWidth="1"/>
    <col min="6" max="6" width="16.42578125" style="6" customWidth="1"/>
    <col min="7" max="7" width="10.42578125" style="6" customWidth="1"/>
    <col min="8" max="8" width="15.42578125" style="6" customWidth="1"/>
    <col min="9" max="9" width="12.28515625" style="6" customWidth="1" outlineLevel="1"/>
    <col min="10" max="11" width="10.42578125" style="6" customWidth="1"/>
    <col min="12" max="12" width="22.5703125" style="6" customWidth="1"/>
    <col min="13" max="19" width="9.85546875" style="6" customWidth="1"/>
    <col min="20" max="20" width="12" style="6" customWidth="1"/>
    <col min="21" max="28" width="9.85546875" style="6" customWidth="1"/>
    <col min="29" max="31" width="9.85546875" style="6" customWidth="1" outlineLevel="1"/>
    <col min="32" max="32" width="11.140625" style="6" customWidth="1" outlineLevel="1"/>
    <col min="33" max="40" width="9.85546875" style="6" customWidth="1" outlineLevel="1"/>
    <col min="41" max="16384" width="9.140625" style="6"/>
  </cols>
  <sheetData>
    <row r="1" spans="2:42" ht="16.600000000000001">
      <c r="B1" s="1"/>
      <c r="C1" s="196" t="str">
        <f>CONCATENATE("Project ",project_name," - Financing Assumptions")</f>
        <v>Project  - Financing Assumptions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2:42" ht="14.4">
      <c r="B2" s="1"/>
      <c r="C2" s="194" t="str">
        <f>CONCATENATE("In ",model_curr," thousand unless otherwise stated")</f>
        <v>In USD thousand unless otherwise stated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2:42" ht="14.4">
      <c r="B3" s="1"/>
      <c r="C3" s="55" t="s">
        <v>38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2:42"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  <c r="AP4" s="198"/>
    </row>
    <row r="5" spans="2:42"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>
        <f>'Financial Quarterly offshore'!D4</f>
        <v>43555</v>
      </c>
      <c r="N5" s="198">
        <f>'Financial Quarterly offshore'!E4</f>
        <v>43646</v>
      </c>
      <c r="O5" s="198">
        <f>'Financial Quarterly offshore'!F4</f>
        <v>43738</v>
      </c>
      <c r="P5" s="198">
        <f>'Financial Quarterly offshore'!G4</f>
        <v>43830</v>
      </c>
      <c r="Q5" s="198">
        <f>'Financial Quarterly offshore'!H4</f>
        <v>43921</v>
      </c>
      <c r="R5" s="198">
        <f>'Financial Quarterly offshore'!I4</f>
        <v>44012</v>
      </c>
      <c r="S5" s="198">
        <f>'Financial Quarterly offshore'!J4</f>
        <v>44104</v>
      </c>
      <c r="T5" s="198">
        <f>'Financial Quarterly offshore'!K4</f>
        <v>44196</v>
      </c>
      <c r="U5" s="198">
        <f>'Financial Quarterly offshore'!L4</f>
        <v>44286</v>
      </c>
      <c r="V5" s="198">
        <f>'Financial Quarterly offshore'!M4</f>
        <v>44377</v>
      </c>
      <c r="W5" s="198">
        <f>'Financial Quarterly offshore'!N4</f>
        <v>44469</v>
      </c>
      <c r="X5" s="198">
        <f>'Financial Quarterly offshore'!O4</f>
        <v>44561</v>
      </c>
      <c r="Y5" s="198">
        <f>'Financial Quarterly offshore'!P4</f>
        <v>44651</v>
      </c>
      <c r="Z5" s="198">
        <f>'Financial Quarterly offshore'!Q4</f>
        <v>44742</v>
      </c>
      <c r="AA5" s="198">
        <f>'Financial Quarterly offshore'!R4</f>
        <v>44834</v>
      </c>
      <c r="AB5" s="198">
        <f>'Financial Quarterly offshore'!S4</f>
        <v>44926</v>
      </c>
      <c r="AC5" s="198">
        <f>'Financial Quarterly offshore'!T4</f>
        <v>45016</v>
      </c>
      <c r="AD5" s="198">
        <f>'Financial Quarterly offshore'!U4</f>
        <v>45107</v>
      </c>
      <c r="AE5" s="198">
        <f>'Financial Quarterly offshore'!V4</f>
        <v>45199</v>
      </c>
      <c r="AF5" s="198">
        <f>'Financial Quarterly offshore'!W4</f>
        <v>45291</v>
      </c>
      <c r="AG5" s="198">
        <f>'Financial Quarterly offshore'!X4</f>
        <v>45382</v>
      </c>
      <c r="AH5" s="198">
        <f>'Financial Quarterly offshore'!Y4</f>
        <v>45473</v>
      </c>
      <c r="AI5" s="198">
        <f>'Financial Quarterly offshore'!Z4</f>
        <v>45565</v>
      </c>
      <c r="AJ5" s="198">
        <f>'Financial Quarterly offshore'!AA4</f>
        <v>45657</v>
      </c>
      <c r="AK5" s="198">
        <f>'Financial Quarterly offshore'!AB4</f>
        <v>45747</v>
      </c>
      <c r="AL5" s="198">
        <f>'Financial Quarterly offshore'!AC4</f>
        <v>45838</v>
      </c>
      <c r="AM5" s="198">
        <f>'Financial Quarterly offshore'!AD4</f>
        <v>45930</v>
      </c>
      <c r="AN5" s="198">
        <f>'Financial Quarterly offshore'!AE4</f>
        <v>46022</v>
      </c>
      <c r="AO5" s="198">
        <f>'Financial Quarterly offshore'!AF4</f>
        <v>46112</v>
      </c>
      <c r="AP5" s="198">
        <f>'Financial Quarterly offshore'!AG4</f>
        <v>46203</v>
      </c>
    </row>
    <row r="6" spans="2:42">
      <c r="C6" s="209" t="s">
        <v>694</v>
      </c>
      <c r="D6" s="209"/>
      <c r="E6" s="209"/>
      <c r="F6" s="209"/>
      <c r="G6" s="209"/>
      <c r="H6" s="209"/>
      <c r="I6" s="209"/>
      <c r="J6" s="209"/>
      <c r="K6" s="209"/>
      <c r="L6" s="209"/>
      <c r="M6" s="209" t="b">
        <f>'Financial Quarterly offshore'!D5</f>
        <v>1</v>
      </c>
      <c r="N6" s="209" t="b">
        <f>'Financial Quarterly offshore'!E5</f>
        <v>1</v>
      </c>
      <c r="O6" s="209" t="b">
        <f>'Financial Quarterly offshore'!F5</f>
        <v>1</v>
      </c>
      <c r="P6" s="209" t="b">
        <f>'Financial Quarterly offshore'!G5</f>
        <v>1</v>
      </c>
      <c r="Q6" s="209" t="b">
        <f>'Financial Quarterly offshore'!H5</f>
        <v>1</v>
      </c>
      <c r="R6" s="209" t="b">
        <f>'Financial Quarterly offshore'!I5</f>
        <v>1</v>
      </c>
      <c r="S6" s="209" t="b">
        <f>'Financial Quarterly offshore'!J5</f>
        <v>1</v>
      </c>
      <c r="T6" s="209" t="b">
        <f>'Financial Quarterly offshore'!K5</f>
        <v>1</v>
      </c>
      <c r="U6" s="209" t="b">
        <f>'Financial Quarterly offshore'!L5</f>
        <v>1</v>
      </c>
      <c r="V6" s="209" t="b">
        <f>'Financial Quarterly offshore'!M5</f>
        <v>1</v>
      </c>
      <c r="W6" s="209" t="b">
        <f>'Financial Quarterly offshore'!N5</f>
        <v>1</v>
      </c>
      <c r="X6" s="209" t="b">
        <f>'Financial Quarterly offshore'!O5</f>
        <v>1</v>
      </c>
      <c r="Y6" s="209" t="b">
        <f>'Financial Quarterly offshore'!P5</f>
        <v>1</v>
      </c>
      <c r="Z6" s="209" t="b">
        <f>'Financial Quarterly offshore'!Q5</f>
        <v>1</v>
      </c>
      <c r="AA6" s="209" t="b">
        <f>'Financial Quarterly offshore'!R5</f>
        <v>1</v>
      </c>
      <c r="AB6" s="209" t="b">
        <f>'Financial Quarterly offshore'!S5</f>
        <v>1</v>
      </c>
      <c r="AC6" s="209" t="b">
        <f>'Financial Quarterly offshore'!T5</f>
        <v>1</v>
      </c>
      <c r="AD6" s="209" t="b">
        <f>'Financial Quarterly offshore'!U5</f>
        <v>1</v>
      </c>
      <c r="AE6" s="209" t="b">
        <f>'Financial Quarterly offshore'!V5</f>
        <v>1</v>
      </c>
      <c r="AF6" s="209" t="b">
        <f>'Financial Quarterly offshore'!W5</f>
        <v>1</v>
      </c>
      <c r="AG6" s="209" t="b">
        <f>'Financial Quarterly offshore'!X5</f>
        <v>1</v>
      </c>
      <c r="AH6" s="209" t="b">
        <f>'Financial Quarterly offshore'!Y5</f>
        <v>1</v>
      </c>
      <c r="AI6" s="209" t="b">
        <f>'Financial Quarterly offshore'!Z5</f>
        <v>1</v>
      </c>
      <c r="AJ6" s="209" t="b">
        <f>'Financial Quarterly offshore'!AA5</f>
        <v>1</v>
      </c>
      <c r="AK6" s="209" t="b">
        <f>'Financial Quarterly offshore'!AB5</f>
        <v>0</v>
      </c>
      <c r="AL6" s="209" t="b">
        <f>'Financial Quarterly offshore'!AC5</f>
        <v>0</v>
      </c>
      <c r="AM6" s="209" t="b">
        <f>'Financial Quarterly offshore'!AD5</f>
        <v>0</v>
      </c>
      <c r="AN6" s="209" t="b">
        <f>'Financial Quarterly offshore'!AE5</f>
        <v>0</v>
      </c>
      <c r="AO6" s="209" t="b">
        <f>'Financial Quarterly offshore'!AF5</f>
        <v>0</v>
      </c>
      <c r="AP6" s="209" t="b">
        <f>'Financial Quarterly offshore'!AG5</f>
        <v>0</v>
      </c>
    </row>
    <row r="7" spans="2:42">
      <c r="C7" s="209" t="s">
        <v>743</v>
      </c>
      <c r="D7" s="209"/>
      <c r="E7" s="209"/>
      <c r="F7" s="209"/>
      <c r="G7" s="209"/>
      <c r="H7" s="209"/>
      <c r="I7" s="209"/>
      <c r="J7" s="209"/>
      <c r="K7" s="209"/>
      <c r="L7" s="209"/>
      <c r="M7" s="209">
        <v>0.25</v>
      </c>
      <c r="N7" s="209">
        <f>+M7+0.25</f>
        <v>0.5</v>
      </c>
      <c r="O7" s="209">
        <f>+N7+0.25</f>
        <v>0.75</v>
      </c>
      <c r="P7" s="209">
        <f t="shared" ref="P7:AG7" si="0">+O7+0.25</f>
        <v>1</v>
      </c>
      <c r="Q7" s="209">
        <f t="shared" si="0"/>
        <v>1.25</v>
      </c>
      <c r="R7" s="209">
        <f t="shared" si="0"/>
        <v>1.5</v>
      </c>
      <c r="S7" s="209">
        <f t="shared" si="0"/>
        <v>1.75</v>
      </c>
      <c r="T7" s="209">
        <f t="shared" si="0"/>
        <v>2</v>
      </c>
      <c r="U7" s="209">
        <f t="shared" si="0"/>
        <v>2.25</v>
      </c>
      <c r="V7" s="209">
        <f t="shared" si="0"/>
        <v>2.5</v>
      </c>
      <c r="W7" s="209">
        <f t="shared" si="0"/>
        <v>2.75</v>
      </c>
      <c r="X7" s="209">
        <f t="shared" si="0"/>
        <v>3</v>
      </c>
      <c r="Y7" s="209">
        <f t="shared" si="0"/>
        <v>3.25</v>
      </c>
      <c r="Z7" s="209">
        <f t="shared" si="0"/>
        <v>3.5</v>
      </c>
      <c r="AA7" s="209">
        <f t="shared" si="0"/>
        <v>3.75</v>
      </c>
      <c r="AB7" s="209">
        <f t="shared" si="0"/>
        <v>4</v>
      </c>
      <c r="AC7" s="209">
        <f t="shared" si="0"/>
        <v>4.25</v>
      </c>
      <c r="AD7" s="209">
        <f t="shared" si="0"/>
        <v>4.5</v>
      </c>
      <c r="AE7" s="209">
        <f t="shared" si="0"/>
        <v>4.75</v>
      </c>
      <c r="AF7" s="209">
        <f t="shared" si="0"/>
        <v>5</v>
      </c>
      <c r="AG7" s="209">
        <f t="shared" si="0"/>
        <v>5.25</v>
      </c>
      <c r="AH7" s="209">
        <f t="shared" ref="AH7" si="1">+AG7+0.25</f>
        <v>5.5</v>
      </c>
      <c r="AI7" s="209">
        <f t="shared" ref="AI7" si="2">+AH7+0.25</f>
        <v>5.75</v>
      </c>
      <c r="AJ7" s="209">
        <f t="shared" ref="AJ7" si="3">+AI7+0.25</f>
        <v>6</v>
      </c>
      <c r="AK7" s="209">
        <f t="shared" ref="AK7" si="4">+AJ7+0.25</f>
        <v>6.25</v>
      </c>
      <c r="AL7" s="209">
        <f t="shared" ref="AL7" si="5">+AK7+0.25</f>
        <v>6.5</v>
      </c>
      <c r="AM7" s="209">
        <f t="shared" ref="AM7" si="6">+AL7+0.25</f>
        <v>6.75</v>
      </c>
      <c r="AN7" s="209">
        <f t="shared" ref="AN7" si="7">+AM7+0.25</f>
        <v>7</v>
      </c>
      <c r="AO7" s="209">
        <f t="shared" ref="AO7:AP7" si="8">+AN7+0.25</f>
        <v>7.25</v>
      </c>
      <c r="AP7" s="209">
        <f t="shared" si="8"/>
        <v>7.5</v>
      </c>
    </row>
    <row r="9" spans="2:42">
      <c r="C9" s="222" t="s">
        <v>24</v>
      </c>
      <c r="D9" s="209"/>
      <c r="E9" s="209"/>
      <c r="F9" s="178"/>
      <c r="G9" s="178"/>
      <c r="H9" s="178"/>
      <c r="I9" s="178"/>
      <c r="J9" s="178"/>
      <c r="L9" s="222"/>
      <c r="M9" s="222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2:42">
      <c r="C10" s="255" t="s">
        <v>25</v>
      </c>
      <c r="F10" s="197"/>
      <c r="H10" s="52" t="s">
        <v>1518</v>
      </c>
      <c r="I10" s="197" t="s">
        <v>1522</v>
      </c>
      <c r="J10" s="68">
        <f>MATCH(I10,'dropdown menu'!F2:F3,0)</f>
        <v>1</v>
      </c>
      <c r="L10" s="57"/>
      <c r="M10" s="57"/>
    </row>
    <row r="11" spans="2:42" ht="14.4">
      <c r="C11" s="197" t="s">
        <v>1494</v>
      </c>
      <c r="D11" s="1"/>
      <c r="E11" s="1"/>
      <c r="F11" s="273">
        <v>2.3400000000000001E-2</v>
      </c>
      <c r="L11" s="59"/>
      <c r="M11" s="59">
        <f>$F$11</f>
        <v>2.3400000000000001E-2</v>
      </c>
      <c r="N11" s="59">
        <f t="shared" ref="N11:AP11" si="9">$F$11</f>
        <v>2.3400000000000001E-2</v>
      </c>
      <c r="O11" s="59">
        <f t="shared" si="9"/>
        <v>2.3400000000000001E-2</v>
      </c>
      <c r="P11" s="59">
        <f t="shared" si="9"/>
        <v>2.3400000000000001E-2</v>
      </c>
      <c r="Q11" s="59">
        <f t="shared" si="9"/>
        <v>2.3400000000000001E-2</v>
      </c>
      <c r="R11" s="59">
        <f t="shared" si="9"/>
        <v>2.3400000000000001E-2</v>
      </c>
      <c r="S11" s="59">
        <f t="shared" si="9"/>
        <v>2.3400000000000001E-2</v>
      </c>
      <c r="T11" s="59">
        <f t="shared" si="9"/>
        <v>2.3400000000000001E-2</v>
      </c>
      <c r="U11" s="59">
        <f t="shared" si="9"/>
        <v>2.3400000000000001E-2</v>
      </c>
      <c r="V11" s="59">
        <f t="shared" si="9"/>
        <v>2.3400000000000001E-2</v>
      </c>
      <c r="W11" s="59">
        <f t="shared" si="9"/>
        <v>2.3400000000000001E-2</v>
      </c>
      <c r="X11" s="59">
        <f t="shared" si="9"/>
        <v>2.3400000000000001E-2</v>
      </c>
      <c r="Y11" s="59">
        <f t="shared" si="9"/>
        <v>2.3400000000000001E-2</v>
      </c>
      <c r="Z11" s="59">
        <f t="shared" si="9"/>
        <v>2.3400000000000001E-2</v>
      </c>
      <c r="AA11" s="59">
        <f t="shared" si="9"/>
        <v>2.3400000000000001E-2</v>
      </c>
      <c r="AB11" s="59">
        <f t="shared" si="9"/>
        <v>2.3400000000000001E-2</v>
      </c>
      <c r="AC11" s="59">
        <f t="shared" si="9"/>
        <v>2.3400000000000001E-2</v>
      </c>
      <c r="AD11" s="59">
        <f t="shared" si="9"/>
        <v>2.3400000000000001E-2</v>
      </c>
      <c r="AE11" s="59">
        <f t="shared" si="9"/>
        <v>2.3400000000000001E-2</v>
      </c>
      <c r="AF11" s="59">
        <f t="shared" si="9"/>
        <v>2.3400000000000001E-2</v>
      </c>
      <c r="AG11" s="59">
        <f t="shared" si="9"/>
        <v>2.3400000000000001E-2</v>
      </c>
      <c r="AH11" s="59">
        <f t="shared" si="9"/>
        <v>2.3400000000000001E-2</v>
      </c>
      <c r="AI11" s="59">
        <f t="shared" si="9"/>
        <v>2.3400000000000001E-2</v>
      </c>
      <c r="AJ11" s="59">
        <f t="shared" si="9"/>
        <v>2.3400000000000001E-2</v>
      </c>
      <c r="AK11" s="59">
        <f t="shared" si="9"/>
        <v>2.3400000000000001E-2</v>
      </c>
      <c r="AL11" s="59">
        <f t="shared" si="9"/>
        <v>2.3400000000000001E-2</v>
      </c>
      <c r="AM11" s="59">
        <f t="shared" si="9"/>
        <v>2.3400000000000001E-2</v>
      </c>
      <c r="AN11" s="59">
        <f t="shared" si="9"/>
        <v>2.3400000000000001E-2</v>
      </c>
      <c r="AO11" s="59">
        <f t="shared" si="9"/>
        <v>2.3400000000000001E-2</v>
      </c>
      <c r="AP11" s="59">
        <f t="shared" si="9"/>
        <v>2.3400000000000001E-2</v>
      </c>
    </row>
    <row r="12" spans="2:42" ht="14.4">
      <c r="C12" s="268" t="s">
        <v>839</v>
      </c>
      <c r="D12" s="1"/>
      <c r="E12" s="1"/>
      <c r="F12" s="273">
        <v>0</v>
      </c>
    </row>
    <row r="13" spans="2:42">
      <c r="C13" s="222" t="s">
        <v>742</v>
      </c>
      <c r="D13" s="209"/>
      <c r="E13" s="209"/>
      <c r="F13" s="178"/>
      <c r="G13" s="178"/>
      <c r="H13" s="178"/>
      <c r="I13" s="178"/>
      <c r="J13" s="178"/>
      <c r="L13" s="222" t="s">
        <v>799</v>
      </c>
      <c r="M13" s="222"/>
      <c r="N13" s="222"/>
      <c r="O13" s="222"/>
      <c r="P13" s="222"/>
      <c r="Q13" s="222"/>
      <c r="R13" s="222"/>
      <c r="S13" s="222"/>
      <c r="T13" s="222"/>
      <c r="U13" s="222"/>
      <c r="V13" s="222"/>
      <c r="W13" s="222"/>
      <c r="X13" s="222"/>
      <c r="Y13" s="222"/>
      <c r="Z13" s="222"/>
      <c r="AA13" s="222"/>
      <c r="AB13" s="222"/>
      <c r="AC13" s="222"/>
      <c r="AD13" s="222"/>
      <c r="AE13" s="222"/>
      <c r="AF13" s="222"/>
      <c r="AG13" s="222"/>
      <c r="AH13" s="222"/>
      <c r="AI13" s="222"/>
      <c r="AJ13" s="222"/>
      <c r="AK13" s="222"/>
      <c r="AL13" s="222"/>
      <c r="AM13" s="222"/>
      <c r="AN13" s="222"/>
      <c r="AO13" s="222"/>
      <c r="AP13" s="222"/>
    </row>
    <row r="14" spans="2:42">
      <c r="C14" s="219" t="s">
        <v>26</v>
      </c>
      <c r="D14" s="214"/>
      <c r="E14" s="214"/>
      <c r="F14" s="219" t="e">
        <f>+F15/$F$10</f>
        <v>#DIV/0!</v>
      </c>
      <c r="H14" s="61" t="s">
        <v>29</v>
      </c>
      <c r="I14" s="62"/>
      <c r="J14" s="63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/>
    </row>
    <row r="15" spans="2:42">
      <c r="C15" s="60" t="s">
        <v>27</v>
      </c>
      <c r="D15" s="22"/>
      <c r="E15" s="22"/>
      <c r="F15" s="197"/>
      <c r="H15" s="397" t="s">
        <v>861</v>
      </c>
      <c r="I15" s="66"/>
      <c r="J15" s="67" t="s">
        <v>30</v>
      </c>
      <c r="L15" s="282" t="s">
        <v>800</v>
      </c>
      <c r="M15" s="282"/>
      <c r="N15" s="255">
        <f>-$F15*N16</f>
        <v>0</v>
      </c>
      <c r="O15" s="255">
        <f t="shared" ref="O15:AP15" si="10">-$F15*O16</f>
        <v>0</v>
      </c>
      <c r="P15" s="255">
        <f t="shared" si="10"/>
        <v>0</v>
      </c>
      <c r="Q15" s="255">
        <f t="shared" si="10"/>
        <v>0</v>
      </c>
      <c r="R15" s="255">
        <f t="shared" si="10"/>
        <v>0</v>
      </c>
      <c r="S15" s="255">
        <f>-$F15*S16</f>
        <v>0</v>
      </c>
      <c r="T15" s="255">
        <f>-$F15*T16</f>
        <v>0</v>
      </c>
      <c r="U15" s="255">
        <f t="shared" si="10"/>
        <v>0</v>
      </c>
      <c r="V15" s="255">
        <f t="shared" si="10"/>
        <v>0</v>
      </c>
      <c r="W15" s="255">
        <f t="shared" si="10"/>
        <v>0</v>
      </c>
      <c r="X15" s="255">
        <f t="shared" si="10"/>
        <v>0</v>
      </c>
      <c r="Y15" s="255">
        <f t="shared" si="10"/>
        <v>0</v>
      </c>
      <c r="Z15" s="255">
        <f t="shared" si="10"/>
        <v>0</v>
      </c>
      <c r="AA15" s="255">
        <f t="shared" si="10"/>
        <v>0</v>
      </c>
      <c r="AB15" s="255">
        <f t="shared" si="10"/>
        <v>0</v>
      </c>
      <c r="AC15" s="255">
        <f t="shared" si="10"/>
        <v>0</v>
      </c>
      <c r="AD15" s="255">
        <f t="shared" si="10"/>
        <v>0</v>
      </c>
      <c r="AE15" s="255">
        <f t="shared" si="10"/>
        <v>0</v>
      </c>
      <c r="AF15" s="255">
        <f t="shared" si="10"/>
        <v>0</v>
      </c>
      <c r="AG15" s="255">
        <f t="shared" si="10"/>
        <v>0</v>
      </c>
      <c r="AH15" s="255">
        <f t="shared" si="10"/>
        <v>0</v>
      </c>
      <c r="AI15" s="255">
        <f t="shared" si="10"/>
        <v>0</v>
      </c>
      <c r="AJ15" s="255">
        <f t="shared" si="10"/>
        <v>0</v>
      </c>
      <c r="AK15" s="255">
        <f t="shared" si="10"/>
        <v>0</v>
      </c>
      <c r="AL15" s="255">
        <f t="shared" si="10"/>
        <v>0</v>
      </c>
      <c r="AM15" s="255">
        <f t="shared" si="10"/>
        <v>0</v>
      </c>
      <c r="AN15" s="255">
        <f t="shared" si="10"/>
        <v>0</v>
      </c>
      <c r="AO15" s="255">
        <f t="shared" si="10"/>
        <v>0</v>
      </c>
      <c r="AP15" s="255">
        <f t="shared" si="10"/>
        <v>0</v>
      </c>
    </row>
    <row r="16" spans="2:42">
      <c r="C16" s="60" t="s">
        <v>804</v>
      </c>
      <c r="D16" s="22"/>
      <c r="E16" s="22"/>
      <c r="F16" s="277" t="s">
        <v>805</v>
      </c>
      <c r="G16" s="68">
        <f>IF(F16="variable",1,0)</f>
        <v>1</v>
      </c>
      <c r="H16" s="69" t="str">
        <f>CONCATENATE("&gt;",I17,"x")</f>
        <v>&gt;5x</v>
      </c>
      <c r="I16" s="278">
        <v>99999</v>
      </c>
      <c r="J16" s="279">
        <v>365</v>
      </c>
      <c r="L16" s="282" t="s">
        <v>801</v>
      </c>
      <c r="M16" s="60"/>
      <c r="N16" s="274">
        <v>0</v>
      </c>
      <c r="O16" s="274">
        <v>0</v>
      </c>
      <c r="P16" s="274">
        <v>5.0251256281407001E-3</v>
      </c>
      <c r="Q16" s="274">
        <v>0</v>
      </c>
      <c r="R16" s="274">
        <v>2.5125628140703519E-2</v>
      </c>
      <c r="S16" s="274">
        <v>0</v>
      </c>
      <c r="T16" s="274">
        <v>2.5125628140703519E-2</v>
      </c>
      <c r="U16" s="274">
        <v>0</v>
      </c>
      <c r="V16" s="274">
        <v>4.5226130653266333E-2</v>
      </c>
      <c r="W16" s="274">
        <v>0</v>
      </c>
      <c r="X16" s="274">
        <v>4.5226130653266333E-2</v>
      </c>
      <c r="Y16" s="274">
        <v>0</v>
      </c>
      <c r="Z16" s="274">
        <v>5.0251256281407038E-2</v>
      </c>
      <c r="AA16" s="274">
        <v>0</v>
      </c>
      <c r="AB16" s="274">
        <v>5.0251256281407038E-2</v>
      </c>
      <c r="AC16" s="274">
        <v>0</v>
      </c>
      <c r="AD16" s="274">
        <v>0.12562814070351758</v>
      </c>
      <c r="AE16" s="274">
        <v>0</v>
      </c>
      <c r="AF16" s="274">
        <v>0.12562814070351758</v>
      </c>
      <c r="AG16" s="274">
        <v>0</v>
      </c>
      <c r="AH16" s="274">
        <v>0.25125628140703515</v>
      </c>
      <c r="AI16" s="274">
        <v>0</v>
      </c>
      <c r="AJ16" s="274">
        <v>0.25125628140703515</v>
      </c>
      <c r="AK16" s="274">
        <v>0</v>
      </c>
      <c r="AL16" s="274">
        <v>0</v>
      </c>
      <c r="AM16" s="274">
        <v>0</v>
      </c>
      <c r="AN16" s="274">
        <v>0</v>
      </c>
      <c r="AO16" s="274">
        <v>0</v>
      </c>
      <c r="AP16" s="274">
        <v>0</v>
      </c>
    </row>
    <row r="17" spans="3:42">
      <c r="C17" s="6" t="s">
        <v>28</v>
      </c>
      <c r="F17" s="275">
        <f>SUMPRODUCT(N16:AO16,$N$7:$AO$7)</f>
        <v>4.8015075376884422</v>
      </c>
      <c r="H17" s="69" t="str">
        <f t="shared" ref="H17:H22" si="11">CONCATENATE(I18,"x&lt;x&lt;=",I17,"x")</f>
        <v>4.5x&lt;x&lt;=5x</v>
      </c>
      <c r="I17" s="407">
        <v>5</v>
      </c>
      <c r="J17" s="279">
        <v>320</v>
      </c>
      <c r="L17" s="282" t="s">
        <v>802</v>
      </c>
      <c r="M17" s="261" t="str">
        <f>CHOOSE($J$10,INDEX('Covenants Consolidated'!D$43:D$87,MATCH('Financing assumptions Holdco'!$H15,'Covenants Consolidated'!$C$43:$C$87,0)),INDEX('Covenants Holdco'!D$43:D$87,MATCH('Financing assumptions Holdco'!$H15,'Covenants Holdco'!$C$43:$C$87,0)))</f>
        <v>na</v>
      </c>
      <c r="N17" s="261" t="str">
        <f>CHOOSE($J$10,INDEX('Covenants Consolidated'!E$43:E$87,MATCH('Financing assumptions Holdco'!$H15,'Covenants Consolidated'!$C$43:$C$87,0)),INDEX('Covenants Holdco'!E$43:E$87,MATCH('Financing assumptions Holdco'!$H15,'Covenants Holdco'!$C$43:$C$87,0)))</f>
        <v>na</v>
      </c>
      <c r="O17" s="261" t="str">
        <f>CHOOSE($J$10,INDEX('Covenants Consolidated'!F$43:F$87,MATCH('Financing assumptions Holdco'!$H15,'Covenants Consolidated'!$C$43:$C$87,0)),INDEX('Covenants Holdco'!F$43:F$87,MATCH('Financing assumptions Holdco'!$H15,'Covenants Holdco'!$C$43:$C$87,0)))</f>
        <v>na</v>
      </c>
      <c r="P17" s="261" t="e">
        <f ca="1">CHOOSE($J$10,INDEX('Covenants Consolidated'!G$43:G$87,MATCH('Financing assumptions Holdco'!$H15,'Covenants Consolidated'!$C$43:$C$87,0)),INDEX('Covenants Holdco'!G$43:G$87,MATCH('Financing assumptions Holdco'!$H15,'Covenants Holdco'!$C$43:$C$87,0)))</f>
        <v>#DIV/0!</v>
      </c>
      <c r="Q17" s="261" t="e">
        <f ca="1">CHOOSE($J$10,INDEX('Covenants Consolidated'!H$43:H$87,MATCH('Financing assumptions Holdco'!$H15,'Covenants Consolidated'!$C$43:$C$87,0)),INDEX('Covenants Holdco'!H$43:H$87,MATCH('Financing assumptions Holdco'!$H15,'Covenants Holdco'!$C$43:$C$87,0)))</f>
        <v>#DIV/0!</v>
      </c>
      <c r="R17" s="261" t="e">
        <f ca="1">CHOOSE($J$10,INDEX('Covenants Consolidated'!I$43:I$87,MATCH('Financing assumptions Holdco'!$H15,'Covenants Consolidated'!$C$43:$C$87,0)),INDEX('Covenants Holdco'!I$43:I$87,MATCH('Financing assumptions Holdco'!$H15,'Covenants Holdco'!$C$43:$C$87,0)))</f>
        <v>#DIV/0!</v>
      </c>
      <c r="S17" s="261" t="e">
        <f ca="1">CHOOSE($J$10,INDEX('Covenants Consolidated'!J$43:J$87,MATCH('Financing assumptions Holdco'!$H15,'Covenants Consolidated'!$C$43:$C$87,0)),INDEX('Covenants Holdco'!J$43:J$87,MATCH('Financing assumptions Holdco'!$H15,'Covenants Holdco'!$C$43:$C$87,0)))</f>
        <v>#DIV/0!</v>
      </c>
      <c r="T17" s="261" t="e">
        <f ca="1">CHOOSE($J$10,INDEX('Covenants Consolidated'!K$43:K$87,MATCH('Financing assumptions Holdco'!$H15,'Covenants Consolidated'!$C$43:$C$87,0)),INDEX('Covenants Holdco'!K$43:K$87,MATCH('Financing assumptions Holdco'!$H15,'Covenants Holdco'!$C$43:$C$87,0)))</f>
        <v>#DIV/0!</v>
      </c>
      <c r="U17" s="261" t="e">
        <f ca="1">CHOOSE($J$10,INDEX('Covenants Consolidated'!L$43:L$87,MATCH('Financing assumptions Holdco'!$H15,'Covenants Consolidated'!$C$43:$C$87,0)),INDEX('Covenants Holdco'!L$43:L$87,MATCH('Financing assumptions Holdco'!$H15,'Covenants Holdco'!$C$43:$C$87,0)))</f>
        <v>#DIV/0!</v>
      </c>
      <c r="V17" s="261" t="e">
        <f ca="1">CHOOSE($J$10,INDEX('Covenants Consolidated'!M$43:M$87,MATCH('Financing assumptions Holdco'!$H15,'Covenants Consolidated'!$C$43:$C$87,0)),INDEX('Covenants Holdco'!M$43:M$87,MATCH('Financing assumptions Holdco'!$H15,'Covenants Holdco'!$C$43:$C$87,0)))</f>
        <v>#DIV/0!</v>
      </c>
      <c r="W17" s="261" t="e">
        <f ca="1">CHOOSE($J$10,INDEX('Covenants Consolidated'!N$43:N$87,MATCH('Financing assumptions Holdco'!$H15,'Covenants Consolidated'!$C$43:$C$87,0)),INDEX('Covenants Holdco'!N$43:N$87,MATCH('Financing assumptions Holdco'!$H15,'Covenants Holdco'!$C$43:$C$87,0)))</f>
        <v>#DIV/0!</v>
      </c>
      <c r="X17" s="261" t="e">
        <f ca="1">CHOOSE($J$10,INDEX('Covenants Consolidated'!O$43:O$87,MATCH('Financing assumptions Holdco'!$H15,'Covenants Consolidated'!$C$43:$C$87,0)),INDEX('Covenants Holdco'!O$43:O$87,MATCH('Financing assumptions Holdco'!$H15,'Covenants Holdco'!$C$43:$C$87,0)))</f>
        <v>#DIV/0!</v>
      </c>
      <c r="Y17" s="261" t="e">
        <f ca="1">CHOOSE($J$10,INDEX('Covenants Consolidated'!P$43:P$87,MATCH('Financing assumptions Holdco'!$H15,'Covenants Consolidated'!$C$43:$C$87,0)),INDEX('Covenants Holdco'!P$43:P$87,MATCH('Financing assumptions Holdco'!$H15,'Covenants Holdco'!$C$43:$C$87,0)))</f>
        <v>#DIV/0!</v>
      </c>
      <c r="Z17" s="261" t="e">
        <f ca="1">CHOOSE($J$10,INDEX('Covenants Consolidated'!Q$43:Q$87,MATCH('Financing assumptions Holdco'!$H15,'Covenants Consolidated'!$C$43:$C$87,0)),INDEX('Covenants Holdco'!Q$43:Q$87,MATCH('Financing assumptions Holdco'!$H15,'Covenants Holdco'!$C$43:$C$87,0)))</f>
        <v>#DIV/0!</v>
      </c>
      <c r="AA17" s="261" t="e">
        <f ca="1">CHOOSE($J$10,INDEX('Covenants Consolidated'!R$43:R$87,MATCH('Financing assumptions Holdco'!$H15,'Covenants Consolidated'!$C$43:$C$87,0)),INDEX('Covenants Holdco'!R$43:R$87,MATCH('Financing assumptions Holdco'!$H15,'Covenants Holdco'!$C$43:$C$87,0)))</f>
        <v>#DIV/0!</v>
      </c>
      <c r="AB17" s="261" t="e">
        <f ca="1">CHOOSE($J$10,INDEX('Covenants Consolidated'!S$43:S$87,MATCH('Financing assumptions Holdco'!$H15,'Covenants Consolidated'!$C$43:$C$87,0)),INDEX('Covenants Holdco'!S$43:S$87,MATCH('Financing assumptions Holdco'!$H15,'Covenants Holdco'!$C$43:$C$87,0)))</f>
        <v>#DIV/0!</v>
      </c>
      <c r="AC17" s="261" t="e">
        <f ca="1">CHOOSE($J$10,INDEX('Covenants Consolidated'!T$43:T$87,MATCH('Financing assumptions Holdco'!$H15,'Covenants Consolidated'!$C$43:$C$87,0)),INDEX('Covenants Holdco'!T$43:T$87,MATCH('Financing assumptions Holdco'!$H15,'Covenants Holdco'!$C$43:$C$87,0)))</f>
        <v>#DIV/0!</v>
      </c>
      <c r="AD17" s="261" t="e">
        <f ca="1">CHOOSE($J$10,INDEX('Covenants Consolidated'!U$43:U$87,MATCH('Financing assumptions Holdco'!$H15,'Covenants Consolidated'!$C$43:$C$87,0)),INDEX('Covenants Holdco'!U$43:U$87,MATCH('Financing assumptions Holdco'!$H15,'Covenants Holdco'!$C$43:$C$87,0)))</f>
        <v>#DIV/0!</v>
      </c>
      <c r="AE17" s="261" t="e">
        <f ca="1">CHOOSE($J$10,INDEX('Covenants Consolidated'!V$43:V$87,MATCH('Financing assumptions Holdco'!$H15,'Covenants Consolidated'!$C$43:$C$87,0)),INDEX('Covenants Holdco'!V$43:V$87,MATCH('Financing assumptions Holdco'!$H15,'Covenants Holdco'!$C$43:$C$87,0)))</f>
        <v>#DIV/0!</v>
      </c>
      <c r="AF17" s="261" t="e">
        <f ca="1">CHOOSE($J$10,INDEX('Covenants Consolidated'!W$43:W$87,MATCH('Financing assumptions Holdco'!$H15,'Covenants Consolidated'!$C$43:$C$87,0)),INDEX('Covenants Holdco'!W$43:W$87,MATCH('Financing assumptions Holdco'!$H15,'Covenants Holdco'!$C$43:$C$87,0)))</f>
        <v>#DIV/0!</v>
      </c>
      <c r="AG17" s="261" t="e">
        <f ca="1">CHOOSE($J$10,INDEX('Covenants Consolidated'!X$43:X$87,MATCH('Financing assumptions Holdco'!$H15,'Covenants Consolidated'!$C$43:$C$87,0)),INDEX('Covenants Holdco'!X$43:X$87,MATCH('Financing assumptions Holdco'!$H15,'Covenants Holdco'!$C$43:$C$87,0)))</f>
        <v>#DIV/0!</v>
      </c>
      <c r="AH17" s="261" t="e">
        <f ca="1">CHOOSE($J$10,INDEX('Covenants Consolidated'!Y$43:Y$87,MATCH('Financing assumptions Holdco'!$H15,'Covenants Consolidated'!$C$43:$C$87,0)),INDEX('Covenants Holdco'!Y$43:Y$87,MATCH('Financing assumptions Holdco'!$H15,'Covenants Holdco'!$C$43:$C$87,0)))</f>
        <v>#DIV/0!</v>
      </c>
      <c r="AI17" s="261" t="e">
        <f ca="1">CHOOSE($J$10,INDEX('Covenants Consolidated'!Z$43:Z$87,MATCH('Financing assumptions Holdco'!$H15,'Covenants Consolidated'!$C$43:$C$87,0)),INDEX('Covenants Holdco'!Z$43:Z$87,MATCH('Financing assumptions Holdco'!$H15,'Covenants Holdco'!$C$43:$C$87,0)))</f>
        <v>#DIV/0!</v>
      </c>
      <c r="AJ17" s="261" t="e">
        <f ca="1">CHOOSE($J$10,INDEX('Covenants Consolidated'!AA$43:AA$87,MATCH('Financing assumptions Holdco'!$H15,'Covenants Consolidated'!$C$43:$C$87,0)),INDEX('Covenants Holdco'!AA$43:AA$87,MATCH('Financing assumptions Holdco'!$H15,'Covenants Holdco'!$C$43:$C$87,0)))</f>
        <v>#DIV/0!</v>
      </c>
      <c r="AK17" s="261" t="e">
        <f ca="1">CHOOSE($J$10,INDEX('Covenants Consolidated'!AB$43:AB$87,MATCH('Financing assumptions Holdco'!$H15,'Covenants Consolidated'!$C$43:$C$87,0)),INDEX('Covenants Holdco'!AB$43:AB$87,MATCH('Financing assumptions Holdco'!$H15,'Covenants Holdco'!$C$43:$C$87,0)))</f>
        <v>#N/A</v>
      </c>
      <c r="AL17" s="261" t="e">
        <f ca="1">CHOOSE($J$10,INDEX('Covenants Consolidated'!AC$43:AC$87,MATCH('Financing assumptions Holdco'!$H15,'Covenants Consolidated'!$C$43:$C$87,0)),INDEX('Covenants Holdco'!AC$43:AC$87,MATCH('Financing assumptions Holdco'!$H15,'Covenants Holdco'!$C$43:$C$87,0)))</f>
        <v>#N/A</v>
      </c>
      <c r="AM17" s="261" t="e">
        <f ca="1">CHOOSE($J$10,INDEX('Covenants Consolidated'!AD$43:AD$87,MATCH('Financing assumptions Holdco'!$H15,'Covenants Consolidated'!$C$43:$C$87,0)),INDEX('Covenants Holdco'!AD$43:AD$87,MATCH('Financing assumptions Holdco'!$H15,'Covenants Holdco'!$C$43:$C$87,0)))</f>
        <v>#N/A</v>
      </c>
      <c r="AN17" s="261" t="e">
        <f ca="1">CHOOSE($J$10,INDEX('Covenants Consolidated'!AE$43:AE$87,MATCH('Financing assumptions Holdco'!$H15,'Covenants Consolidated'!$C$43:$C$87,0)),INDEX('Covenants Holdco'!AE$43:AE$87,MATCH('Financing assumptions Holdco'!$H15,'Covenants Holdco'!$C$43:$C$87,0)))</f>
        <v>#N/A</v>
      </c>
      <c r="AO17" s="261" t="e">
        <f ca="1">CHOOSE($J$10,INDEX('Covenants Consolidated'!AF$43:AF$87,MATCH('Financing assumptions Holdco'!$H15,'Covenants Consolidated'!$C$43:$C$87,0)),INDEX('Covenants Holdco'!AF$43:AF$87,MATCH('Financing assumptions Holdco'!$H15,'Covenants Holdco'!$C$43:$C$87,0)))</f>
        <v>#N/A</v>
      </c>
      <c r="AP17" s="261" t="e">
        <f ca="1">CHOOSE($J$10,INDEX('Covenants Consolidated'!AG$43:AG$87,MATCH('Financing assumptions Holdco'!$H15,'Covenants Consolidated'!$C$43:$C$87,0)),INDEX('Covenants Holdco'!AG$43:AG$87,MATCH('Financing assumptions Holdco'!$H15,'Covenants Holdco'!$C$43:$C$87,0)))</f>
        <v>#N/A</v>
      </c>
    </row>
    <row r="18" spans="3:42">
      <c r="C18" s="58" t="s">
        <v>903</v>
      </c>
      <c r="D18" s="22"/>
      <c r="E18" s="22"/>
      <c r="F18" s="276">
        <v>365</v>
      </c>
      <c r="H18" s="69" t="str">
        <f t="shared" si="11"/>
        <v>4x&lt;x&lt;=4.5x</v>
      </c>
      <c r="I18" s="407">
        <v>4.5</v>
      </c>
      <c r="J18" s="279">
        <v>290</v>
      </c>
      <c r="L18" s="282" t="s">
        <v>803</v>
      </c>
      <c r="M18" s="183">
        <f>IFERROR(INDEX($J16:$J23,MATCH(L17,$I16:$I23,-1)),$F18)/10000+$G16*M$11</f>
        <v>5.9899999999999995E-2</v>
      </c>
      <c r="N18" s="183">
        <f t="shared" ref="N18:AG18" si="12">IFERROR(INDEX($J16:$J23,MATCH(M17,$I16:$I23,-1)),$F18)/10000+$G16*N$11</f>
        <v>5.9899999999999995E-2</v>
      </c>
      <c r="O18" s="183">
        <f>IFERROR(INDEX($J16:$J23,MATCH(N17,$I16:$I23,-1)),$F18)/10000+$G16*O$11</f>
        <v>5.9899999999999995E-2</v>
      </c>
      <c r="P18" s="183">
        <f t="shared" si="12"/>
        <v>5.9899999999999995E-2</v>
      </c>
      <c r="Q18" s="183">
        <f t="shared" ca="1" si="12"/>
        <v>5.9899999999999995E-2</v>
      </c>
      <c r="R18" s="183">
        <f t="shared" ca="1" si="12"/>
        <v>5.9899999999999995E-2</v>
      </c>
      <c r="S18" s="183">
        <f t="shared" ca="1" si="12"/>
        <v>5.9899999999999995E-2</v>
      </c>
      <c r="T18" s="183">
        <f t="shared" ca="1" si="12"/>
        <v>5.9899999999999995E-2</v>
      </c>
      <c r="U18" s="183">
        <f t="shared" ca="1" si="12"/>
        <v>5.9899999999999995E-2</v>
      </c>
      <c r="V18" s="183">
        <f t="shared" ca="1" si="12"/>
        <v>5.9899999999999995E-2</v>
      </c>
      <c r="W18" s="183">
        <f t="shared" ca="1" si="12"/>
        <v>5.9899999999999995E-2</v>
      </c>
      <c r="X18" s="183">
        <f t="shared" ca="1" si="12"/>
        <v>5.9899999999999995E-2</v>
      </c>
      <c r="Y18" s="183">
        <f t="shared" ca="1" si="12"/>
        <v>5.9899999999999995E-2</v>
      </c>
      <c r="Z18" s="183">
        <f t="shared" ca="1" si="12"/>
        <v>5.9899999999999995E-2</v>
      </c>
      <c r="AA18" s="183">
        <f t="shared" ca="1" si="12"/>
        <v>5.9899999999999995E-2</v>
      </c>
      <c r="AB18" s="183">
        <f t="shared" ca="1" si="12"/>
        <v>5.9899999999999995E-2</v>
      </c>
      <c r="AC18" s="183">
        <f t="shared" ca="1" si="12"/>
        <v>5.9899999999999995E-2</v>
      </c>
      <c r="AD18" s="183">
        <f t="shared" ca="1" si="12"/>
        <v>5.9899999999999995E-2</v>
      </c>
      <c r="AE18" s="183">
        <f t="shared" ca="1" si="12"/>
        <v>5.9899999999999995E-2</v>
      </c>
      <c r="AF18" s="183">
        <f t="shared" ca="1" si="12"/>
        <v>5.9899999999999995E-2</v>
      </c>
      <c r="AG18" s="183">
        <f t="shared" ca="1" si="12"/>
        <v>5.9899999999999995E-2</v>
      </c>
      <c r="AH18" s="183">
        <f t="shared" ref="AH18" ca="1" si="13">IFERROR(INDEX($J16:$J23,MATCH(AG17,$I16:$I23,-1)),$F18)/10000+$G16*AH$11</f>
        <v>5.9899999999999995E-2</v>
      </c>
      <c r="AI18" s="183">
        <f t="shared" ref="AI18" ca="1" si="14">IFERROR(INDEX($J16:$J23,MATCH(AH17,$I16:$I23,-1)),$F18)/10000+$G16*AI$11</f>
        <v>5.9899999999999995E-2</v>
      </c>
      <c r="AJ18" s="183">
        <f t="shared" ref="AJ18" ca="1" si="15">IFERROR(INDEX($J16:$J23,MATCH(AI17,$I16:$I23,-1)),$F18)/10000+$G16*AJ$11</f>
        <v>5.9899999999999995E-2</v>
      </c>
      <c r="AK18" s="183">
        <f t="shared" ref="AK18" ca="1" si="16">IFERROR(INDEX($J16:$J23,MATCH(AJ17,$I16:$I23,-1)),$F18)/10000+$G16*AK$11</f>
        <v>5.9899999999999995E-2</v>
      </c>
      <c r="AL18" s="183">
        <f t="shared" ref="AL18" ca="1" si="17">IFERROR(INDEX($J16:$J23,MATCH(AK17,$I16:$I23,-1)),$F18)/10000+$G16*AL$11</f>
        <v>5.9899999999999995E-2</v>
      </c>
      <c r="AM18" s="183">
        <f t="shared" ref="AM18" ca="1" si="18">IFERROR(INDEX($J16:$J23,MATCH(AL17,$I16:$I23,-1)),$F18)/10000+$G16*AM$11</f>
        <v>5.9899999999999995E-2</v>
      </c>
      <c r="AN18" s="183">
        <f t="shared" ref="AN18" ca="1" si="19">IFERROR(INDEX($J16:$J23,MATCH(AM17,$I16:$I23,-1)),$F18)/10000+$G16*AN$11</f>
        <v>5.9899999999999995E-2</v>
      </c>
      <c r="AO18" s="183">
        <f t="shared" ref="AO18:AP18" ca="1" si="20">IFERROR(INDEX($J16:$J23,MATCH(AN17,$I16:$I23,-1)),$F18)/10000+$G16*AO$11</f>
        <v>5.9899999999999995E-2</v>
      </c>
      <c r="AP18" s="183">
        <f t="shared" ca="1" si="20"/>
        <v>5.9899999999999995E-2</v>
      </c>
    </row>
    <row r="19" spans="3:42">
      <c r="C19" s="58"/>
      <c r="D19" s="22"/>
      <c r="E19" s="22"/>
      <c r="F19" s="410"/>
      <c r="H19" s="69" t="str">
        <f t="shared" si="11"/>
        <v>3.25x&lt;x&lt;=4x</v>
      </c>
      <c r="I19" s="407">
        <v>4</v>
      </c>
      <c r="J19" s="279">
        <v>260</v>
      </c>
      <c r="L19" s="282"/>
      <c r="M19" s="183"/>
      <c r="N19" s="183"/>
      <c r="O19" s="183"/>
      <c r="P19" s="183"/>
      <c r="Q19" s="183"/>
      <c r="R19" s="183"/>
      <c r="S19" s="183"/>
      <c r="T19" s="183"/>
      <c r="U19" s="183"/>
      <c r="V19" s="183"/>
      <c r="W19" s="183"/>
      <c r="X19" s="183"/>
      <c r="Y19" s="183"/>
      <c r="Z19" s="183"/>
      <c r="AA19" s="183"/>
      <c r="AB19" s="183"/>
      <c r="AC19" s="183"/>
      <c r="AD19" s="183"/>
      <c r="AE19" s="183"/>
      <c r="AF19" s="183"/>
      <c r="AG19" s="183"/>
      <c r="AH19" s="183"/>
      <c r="AI19" s="183"/>
      <c r="AJ19" s="183"/>
      <c r="AK19" s="183"/>
      <c r="AL19" s="183"/>
      <c r="AM19" s="183"/>
      <c r="AN19" s="183"/>
      <c r="AO19" s="183"/>
      <c r="AP19" s="183"/>
    </row>
    <row r="20" spans="3:42">
      <c r="C20" s="58"/>
      <c r="D20" s="22"/>
      <c r="E20" s="22"/>
      <c r="F20" s="410"/>
      <c r="H20" s="69" t="str">
        <f t="shared" si="11"/>
        <v>2.25x&lt;x&lt;=3.25x</v>
      </c>
      <c r="I20" s="407">
        <v>3.25</v>
      </c>
      <c r="J20" s="279">
        <v>210</v>
      </c>
      <c r="L20" s="282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3"/>
      <c r="AL20" s="183"/>
      <c r="AM20" s="183"/>
      <c r="AN20" s="183"/>
      <c r="AO20" s="183"/>
      <c r="AP20" s="183"/>
    </row>
    <row r="21" spans="3:42">
      <c r="C21" s="58"/>
      <c r="D21" s="22"/>
      <c r="E21" s="22"/>
      <c r="F21" s="410"/>
      <c r="H21" s="69" t="str">
        <f t="shared" si="11"/>
        <v>2.24x&lt;x&lt;=2.25x</v>
      </c>
      <c r="I21" s="407">
        <v>2.25</v>
      </c>
      <c r="J21" s="279">
        <v>210</v>
      </c>
      <c r="L21" s="282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</row>
    <row r="22" spans="3:42">
      <c r="C22" s="58" t="s">
        <v>740</v>
      </c>
      <c r="D22" s="22"/>
      <c r="E22" s="22"/>
      <c r="F22" s="276">
        <v>0</v>
      </c>
      <c r="H22" s="69" t="str">
        <f t="shared" si="11"/>
        <v>2x&lt;x&lt;=2.24x</v>
      </c>
      <c r="I22" s="407">
        <v>2.2400000000000002</v>
      </c>
      <c r="J22" s="279">
        <v>210</v>
      </c>
      <c r="L22" s="60"/>
      <c r="M22" s="60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  <c r="AA22" s="64"/>
      <c r="AB22" s="64"/>
      <c r="AC22" s="64"/>
      <c r="AD22" s="64"/>
      <c r="AE22" s="64"/>
      <c r="AF22" s="64"/>
      <c r="AG22" s="64"/>
      <c r="AH22" s="64"/>
      <c r="AI22" s="64"/>
      <c r="AJ22" s="64"/>
      <c r="AK22" s="64"/>
      <c r="AL22" s="64"/>
      <c r="AM22" s="64"/>
      <c r="AN22" s="64"/>
      <c r="AO22" s="64"/>
      <c r="AP22" s="64"/>
    </row>
    <row r="23" spans="3:42">
      <c r="C23" s="12" t="s">
        <v>701</v>
      </c>
      <c r="F23" s="269">
        <f>F15+SUM(M15:AO15)</f>
        <v>0</v>
      </c>
      <c r="H23" s="73" t="str">
        <f>CONCATENATE("&lt;",I23,"x")</f>
        <v>&lt;2x</v>
      </c>
      <c r="I23" s="408">
        <v>2</v>
      </c>
      <c r="J23" s="281">
        <v>210</v>
      </c>
      <c r="L23" s="60"/>
      <c r="M23" s="60"/>
      <c r="O23" s="74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</row>
    <row r="24" spans="3:42" ht="14.4">
      <c r="C24" s="57"/>
      <c r="D24" s="1"/>
      <c r="E24" s="1"/>
      <c r="F24" s="75"/>
    </row>
    <row r="25" spans="3:42">
      <c r="C25" s="222" t="s">
        <v>744</v>
      </c>
      <c r="D25" s="209"/>
      <c r="E25" s="209"/>
      <c r="F25" s="178"/>
      <c r="G25" s="178"/>
      <c r="H25" s="178"/>
      <c r="I25" s="178"/>
      <c r="J25" s="178"/>
      <c r="L25" s="222" t="s">
        <v>799</v>
      </c>
      <c r="M25" s="222"/>
      <c r="N25" s="222"/>
      <c r="O25" s="222"/>
      <c r="P25" s="222"/>
      <c r="Q25" s="222"/>
      <c r="R25" s="222"/>
      <c r="S25" s="222"/>
      <c r="T25" s="222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2"/>
      <c r="AI25" s="222"/>
      <c r="AJ25" s="222"/>
      <c r="AK25" s="222"/>
      <c r="AL25" s="222"/>
      <c r="AM25" s="222"/>
      <c r="AN25" s="222"/>
      <c r="AO25" s="222"/>
      <c r="AP25" s="222"/>
    </row>
    <row r="26" spans="3:42">
      <c r="C26" s="219" t="s">
        <v>26</v>
      </c>
      <c r="D26" s="214"/>
      <c r="E26" s="214"/>
      <c r="F26" s="219" t="e">
        <f>+F27/$F$10</f>
        <v>#DIV/0!</v>
      </c>
      <c r="H26" s="61" t="s">
        <v>795</v>
      </c>
      <c r="I26" s="62"/>
      <c r="J26" s="63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</row>
    <row r="27" spans="3:42">
      <c r="C27" s="60" t="s">
        <v>27</v>
      </c>
      <c r="D27" s="22"/>
      <c r="E27" s="22"/>
      <c r="F27" s="197"/>
      <c r="H27" s="397" t="s">
        <v>861</v>
      </c>
      <c r="I27" s="66"/>
      <c r="J27" s="67" t="s">
        <v>30</v>
      </c>
      <c r="L27" s="282" t="s">
        <v>800</v>
      </c>
      <c r="M27" s="282"/>
      <c r="N27" s="255">
        <f>-$F27*N28</f>
        <v>0</v>
      </c>
      <c r="O27" s="255">
        <f t="shared" ref="O27:AP27" si="21">-$F27*O28</f>
        <v>0</v>
      </c>
      <c r="P27" s="255">
        <f t="shared" si="21"/>
        <v>0</v>
      </c>
      <c r="Q27" s="255">
        <f t="shared" si="21"/>
        <v>0</v>
      </c>
      <c r="R27" s="255">
        <f t="shared" si="21"/>
        <v>0</v>
      </c>
      <c r="S27" s="255">
        <f t="shared" si="21"/>
        <v>0</v>
      </c>
      <c r="T27" s="255">
        <f t="shared" si="21"/>
        <v>0</v>
      </c>
      <c r="U27" s="255">
        <f t="shared" si="21"/>
        <v>0</v>
      </c>
      <c r="V27" s="255">
        <f t="shared" si="21"/>
        <v>0</v>
      </c>
      <c r="W27" s="255">
        <f t="shared" si="21"/>
        <v>0</v>
      </c>
      <c r="X27" s="255">
        <f t="shared" si="21"/>
        <v>0</v>
      </c>
      <c r="Y27" s="255">
        <f t="shared" si="21"/>
        <v>0</v>
      </c>
      <c r="Z27" s="255">
        <f t="shared" si="21"/>
        <v>0</v>
      </c>
      <c r="AA27" s="255">
        <f t="shared" si="21"/>
        <v>0</v>
      </c>
      <c r="AB27" s="255">
        <f t="shared" si="21"/>
        <v>0</v>
      </c>
      <c r="AC27" s="255">
        <f t="shared" si="21"/>
        <v>0</v>
      </c>
      <c r="AD27" s="255">
        <f t="shared" si="21"/>
        <v>0</v>
      </c>
      <c r="AE27" s="255">
        <f t="shared" si="21"/>
        <v>0</v>
      </c>
      <c r="AF27" s="255">
        <f t="shared" si="21"/>
        <v>0</v>
      </c>
      <c r="AG27" s="255">
        <f t="shared" si="21"/>
        <v>0</v>
      </c>
      <c r="AH27" s="255">
        <f t="shared" si="21"/>
        <v>0</v>
      </c>
      <c r="AI27" s="255">
        <f t="shared" si="21"/>
        <v>0</v>
      </c>
      <c r="AJ27" s="255">
        <f t="shared" si="21"/>
        <v>0</v>
      </c>
      <c r="AK27" s="255">
        <f t="shared" si="21"/>
        <v>0</v>
      </c>
      <c r="AL27" s="255">
        <f t="shared" si="21"/>
        <v>0</v>
      </c>
      <c r="AM27" s="255">
        <f t="shared" si="21"/>
        <v>0</v>
      </c>
      <c r="AN27" s="255">
        <f t="shared" si="21"/>
        <v>0</v>
      </c>
      <c r="AO27" s="255">
        <f t="shared" si="21"/>
        <v>0</v>
      </c>
      <c r="AP27" s="255">
        <f t="shared" si="21"/>
        <v>0</v>
      </c>
    </row>
    <row r="28" spans="3:42">
      <c r="C28" s="60" t="s">
        <v>804</v>
      </c>
      <c r="D28" s="22"/>
      <c r="E28" s="22"/>
      <c r="F28" s="277" t="s">
        <v>805</v>
      </c>
      <c r="G28" s="68">
        <f>IF(F28="variable",1,0)</f>
        <v>1</v>
      </c>
      <c r="H28" s="69" t="str">
        <f>CONCATENATE("&gt;",I29,"x")</f>
        <v>&gt;4.25x</v>
      </c>
      <c r="I28" s="278">
        <v>99999</v>
      </c>
      <c r="J28" s="279">
        <v>0</v>
      </c>
      <c r="L28" s="282" t="s">
        <v>801</v>
      </c>
      <c r="M28" s="60"/>
      <c r="N28" s="274">
        <v>0</v>
      </c>
      <c r="O28" s="274">
        <v>0</v>
      </c>
      <c r="P28" s="274">
        <f>1/3</f>
        <v>0.33333333333333331</v>
      </c>
      <c r="Q28" s="274">
        <v>0</v>
      </c>
      <c r="R28" s="274">
        <v>0</v>
      </c>
      <c r="S28" s="274">
        <v>0</v>
      </c>
      <c r="T28" s="274">
        <f>1/3</f>
        <v>0.33333333333333331</v>
      </c>
      <c r="U28" s="274">
        <v>0</v>
      </c>
      <c r="V28" s="274">
        <v>0</v>
      </c>
      <c r="W28" s="274">
        <v>0</v>
      </c>
      <c r="X28" s="274">
        <f>1/3</f>
        <v>0.33333333333333331</v>
      </c>
      <c r="Y28" s="274">
        <v>0</v>
      </c>
      <c r="Z28" s="274">
        <v>0</v>
      </c>
      <c r="AA28" s="274">
        <v>0</v>
      </c>
      <c r="AB28" s="274">
        <v>0</v>
      </c>
      <c r="AC28" s="274">
        <v>0</v>
      </c>
      <c r="AD28" s="274">
        <v>0</v>
      </c>
      <c r="AE28" s="274">
        <v>0</v>
      </c>
      <c r="AF28" s="274">
        <v>0</v>
      </c>
      <c r="AG28" s="274">
        <v>0</v>
      </c>
      <c r="AH28" s="274">
        <v>0</v>
      </c>
      <c r="AI28" s="274">
        <v>0</v>
      </c>
      <c r="AJ28" s="274">
        <v>0</v>
      </c>
      <c r="AK28" s="274">
        <v>0</v>
      </c>
      <c r="AL28" s="274">
        <v>0</v>
      </c>
      <c r="AM28" s="274">
        <v>0</v>
      </c>
      <c r="AN28" s="274">
        <v>0</v>
      </c>
      <c r="AO28" s="274">
        <v>0</v>
      </c>
      <c r="AP28" s="274">
        <v>0</v>
      </c>
    </row>
    <row r="29" spans="3:42">
      <c r="C29" s="6" t="s">
        <v>28</v>
      </c>
      <c r="F29" s="275">
        <f>SUMPRODUCT(N28:AO28,$N$7:$AO$7)</f>
        <v>2</v>
      </c>
      <c r="H29" s="69" t="str">
        <f>CONCATENATE(I30,"x&lt;x&lt;=",I29,"x")</f>
        <v>3.5x&lt;x&lt;=4.25x</v>
      </c>
      <c r="I29" s="407">
        <v>4.25</v>
      </c>
      <c r="J29" s="279">
        <v>0</v>
      </c>
      <c r="L29" s="282" t="s">
        <v>802</v>
      </c>
      <c r="M29" s="261" t="str">
        <f>CHOOSE($J$10,INDEX('Covenants Consolidated'!D$43:D$87,MATCH('Financing assumptions Holdco'!$H27,'Covenants Consolidated'!$C$43:$C$87,0)),INDEX('Covenants Holdco'!D$43:D$87,MATCH('Financing assumptions Holdco'!$H27,'Covenants Holdco'!$C$43:$C$87,0)))</f>
        <v>na</v>
      </c>
      <c r="N29" s="261" t="str">
        <f>CHOOSE($J$10,INDEX('Covenants Consolidated'!E$43:E$87,MATCH('Financing assumptions Holdco'!$H27,'Covenants Consolidated'!$C$43:$C$87,0)),INDEX('Covenants Holdco'!E$43:E$87,MATCH('Financing assumptions Holdco'!$H27,'Covenants Holdco'!$C$43:$C$87,0)))</f>
        <v>na</v>
      </c>
      <c r="O29" s="261" t="str">
        <f>CHOOSE($J$10,INDEX('Covenants Consolidated'!F$43:F$87,MATCH('Financing assumptions Holdco'!$H27,'Covenants Consolidated'!$C$43:$C$87,0)),INDEX('Covenants Holdco'!F$43:F$87,MATCH('Financing assumptions Holdco'!$H27,'Covenants Holdco'!$C$43:$C$87,0)))</f>
        <v>na</v>
      </c>
      <c r="P29" s="261" t="e">
        <f ca="1">CHOOSE($J$10,INDEX('Covenants Consolidated'!G$43:G$87,MATCH('Financing assumptions Holdco'!$H27,'Covenants Consolidated'!$C$43:$C$87,0)),INDEX('Covenants Holdco'!G$43:G$87,MATCH('Financing assumptions Holdco'!$H27,'Covenants Holdco'!$C$43:$C$87,0)))</f>
        <v>#DIV/0!</v>
      </c>
      <c r="Q29" s="261" t="e">
        <f ca="1">CHOOSE($J$10,INDEX('Covenants Consolidated'!H$43:H$87,MATCH('Financing assumptions Holdco'!$H27,'Covenants Consolidated'!$C$43:$C$87,0)),INDEX('Covenants Holdco'!H$43:H$87,MATCH('Financing assumptions Holdco'!$H27,'Covenants Holdco'!$C$43:$C$87,0)))</f>
        <v>#DIV/0!</v>
      </c>
      <c r="R29" s="261" t="e">
        <f ca="1">CHOOSE($J$10,INDEX('Covenants Consolidated'!I$43:I$87,MATCH('Financing assumptions Holdco'!$H27,'Covenants Consolidated'!$C$43:$C$87,0)),INDEX('Covenants Holdco'!I$43:I$87,MATCH('Financing assumptions Holdco'!$H27,'Covenants Holdco'!$C$43:$C$87,0)))</f>
        <v>#DIV/0!</v>
      </c>
      <c r="S29" s="261" t="e">
        <f ca="1">CHOOSE($J$10,INDEX('Covenants Consolidated'!J$43:J$87,MATCH('Financing assumptions Holdco'!$H27,'Covenants Consolidated'!$C$43:$C$87,0)),INDEX('Covenants Holdco'!J$43:J$87,MATCH('Financing assumptions Holdco'!$H27,'Covenants Holdco'!$C$43:$C$87,0)))</f>
        <v>#DIV/0!</v>
      </c>
      <c r="T29" s="261" t="e">
        <f ca="1">CHOOSE($J$10,INDEX('Covenants Consolidated'!K$43:K$87,MATCH('Financing assumptions Holdco'!$H27,'Covenants Consolidated'!$C$43:$C$87,0)),INDEX('Covenants Holdco'!K$43:K$87,MATCH('Financing assumptions Holdco'!$H27,'Covenants Holdco'!$C$43:$C$87,0)))</f>
        <v>#DIV/0!</v>
      </c>
      <c r="U29" s="261" t="e">
        <f ca="1">CHOOSE($J$10,INDEX('Covenants Consolidated'!L$43:L$87,MATCH('Financing assumptions Holdco'!$H27,'Covenants Consolidated'!$C$43:$C$87,0)),INDEX('Covenants Holdco'!L$43:L$87,MATCH('Financing assumptions Holdco'!$H27,'Covenants Holdco'!$C$43:$C$87,0)))</f>
        <v>#DIV/0!</v>
      </c>
      <c r="V29" s="261" t="e">
        <f ca="1">CHOOSE($J$10,INDEX('Covenants Consolidated'!M$43:M$87,MATCH('Financing assumptions Holdco'!$H27,'Covenants Consolidated'!$C$43:$C$87,0)),INDEX('Covenants Holdco'!M$43:M$87,MATCH('Financing assumptions Holdco'!$H27,'Covenants Holdco'!$C$43:$C$87,0)))</f>
        <v>#DIV/0!</v>
      </c>
      <c r="W29" s="261" t="e">
        <f ca="1">CHOOSE($J$10,INDEX('Covenants Consolidated'!N$43:N$87,MATCH('Financing assumptions Holdco'!$H27,'Covenants Consolidated'!$C$43:$C$87,0)),INDEX('Covenants Holdco'!N$43:N$87,MATCH('Financing assumptions Holdco'!$H27,'Covenants Holdco'!$C$43:$C$87,0)))</f>
        <v>#DIV/0!</v>
      </c>
      <c r="X29" s="261" t="e">
        <f ca="1">CHOOSE($J$10,INDEX('Covenants Consolidated'!O$43:O$87,MATCH('Financing assumptions Holdco'!$H27,'Covenants Consolidated'!$C$43:$C$87,0)),INDEX('Covenants Holdco'!O$43:O$87,MATCH('Financing assumptions Holdco'!$H27,'Covenants Holdco'!$C$43:$C$87,0)))</f>
        <v>#DIV/0!</v>
      </c>
      <c r="Y29" s="261" t="e">
        <f ca="1">CHOOSE($J$10,INDEX('Covenants Consolidated'!P$43:P$87,MATCH('Financing assumptions Holdco'!$H27,'Covenants Consolidated'!$C$43:$C$87,0)),INDEX('Covenants Holdco'!P$43:P$87,MATCH('Financing assumptions Holdco'!$H27,'Covenants Holdco'!$C$43:$C$87,0)))</f>
        <v>#DIV/0!</v>
      </c>
      <c r="Z29" s="261" t="e">
        <f ca="1">CHOOSE($J$10,INDEX('Covenants Consolidated'!Q$43:Q$87,MATCH('Financing assumptions Holdco'!$H27,'Covenants Consolidated'!$C$43:$C$87,0)),INDEX('Covenants Holdco'!Q$43:Q$87,MATCH('Financing assumptions Holdco'!$H27,'Covenants Holdco'!$C$43:$C$87,0)))</f>
        <v>#DIV/0!</v>
      </c>
      <c r="AA29" s="261" t="e">
        <f ca="1">CHOOSE($J$10,INDEX('Covenants Consolidated'!R$43:R$87,MATCH('Financing assumptions Holdco'!$H27,'Covenants Consolidated'!$C$43:$C$87,0)),INDEX('Covenants Holdco'!R$43:R$87,MATCH('Financing assumptions Holdco'!$H27,'Covenants Holdco'!$C$43:$C$87,0)))</f>
        <v>#DIV/0!</v>
      </c>
      <c r="AB29" s="261" t="e">
        <f ca="1">CHOOSE($J$10,INDEX('Covenants Consolidated'!S$43:S$87,MATCH('Financing assumptions Holdco'!$H27,'Covenants Consolidated'!$C$43:$C$87,0)),INDEX('Covenants Holdco'!S$43:S$87,MATCH('Financing assumptions Holdco'!$H27,'Covenants Holdco'!$C$43:$C$87,0)))</f>
        <v>#DIV/0!</v>
      </c>
      <c r="AC29" s="261" t="e">
        <f ca="1">CHOOSE($J$10,INDEX('Covenants Consolidated'!T$43:T$87,MATCH('Financing assumptions Holdco'!$H27,'Covenants Consolidated'!$C$43:$C$87,0)),INDEX('Covenants Holdco'!T$43:T$87,MATCH('Financing assumptions Holdco'!$H27,'Covenants Holdco'!$C$43:$C$87,0)))</f>
        <v>#DIV/0!</v>
      </c>
      <c r="AD29" s="261" t="e">
        <f ca="1">CHOOSE($J$10,INDEX('Covenants Consolidated'!U$43:U$87,MATCH('Financing assumptions Holdco'!$H27,'Covenants Consolidated'!$C$43:$C$87,0)),INDEX('Covenants Holdco'!U$43:U$87,MATCH('Financing assumptions Holdco'!$H27,'Covenants Holdco'!$C$43:$C$87,0)))</f>
        <v>#DIV/0!</v>
      </c>
      <c r="AE29" s="261" t="e">
        <f ca="1">CHOOSE($J$10,INDEX('Covenants Consolidated'!V$43:V$87,MATCH('Financing assumptions Holdco'!$H27,'Covenants Consolidated'!$C$43:$C$87,0)),INDEX('Covenants Holdco'!V$43:V$87,MATCH('Financing assumptions Holdco'!$H27,'Covenants Holdco'!$C$43:$C$87,0)))</f>
        <v>#DIV/0!</v>
      </c>
      <c r="AF29" s="261" t="e">
        <f ca="1">CHOOSE($J$10,INDEX('Covenants Consolidated'!W$43:W$87,MATCH('Financing assumptions Holdco'!$H27,'Covenants Consolidated'!$C$43:$C$87,0)),INDEX('Covenants Holdco'!W$43:W$87,MATCH('Financing assumptions Holdco'!$H27,'Covenants Holdco'!$C$43:$C$87,0)))</f>
        <v>#DIV/0!</v>
      </c>
      <c r="AG29" s="261" t="e">
        <f ca="1">CHOOSE($J$10,INDEX('Covenants Consolidated'!X$43:X$87,MATCH('Financing assumptions Holdco'!$H27,'Covenants Consolidated'!$C$43:$C$87,0)),INDEX('Covenants Holdco'!X$43:X$87,MATCH('Financing assumptions Holdco'!$H27,'Covenants Holdco'!$C$43:$C$87,0)))</f>
        <v>#DIV/0!</v>
      </c>
      <c r="AH29" s="261" t="e">
        <f ca="1">CHOOSE($J$10,INDEX('Covenants Consolidated'!Y$43:Y$87,MATCH('Financing assumptions Holdco'!$H27,'Covenants Consolidated'!$C$43:$C$87,0)),INDEX('Covenants Holdco'!Y$43:Y$87,MATCH('Financing assumptions Holdco'!$H27,'Covenants Holdco'!$C$43:$C$87,0)))</f>
        <v>#DIV/0!</v>
      </c>
      <c r="AI29" s="261" t="e">
        <f ca="1">CHOOSE($J$10,INDEX('Covenants Consolidated'!Z$43:Z$87,MATCH('Financing assumptions Holdco'!$H27,'Covenants Consolidated'!$C$43:$C$87,0)),INDEX('Covenants Holdco'!Z$43:Z$87,MATCH('Financing assumptions Holdco'!$H27,'Covenants Holdco'!$C$43:$C$87,0)))</f>
        <v>#DIV/0!</v>
      </c>
      <c r="AJ29" s="261" t="e">
        <f ca="1">CHOOSE($J$10,INDEX('Covenants Consolidated'!AA$43:AA$87,MATCH('Financing assumptions Holdco'!$H27,'Covenants Consolidated'!$C$43:$C$87,0)),INDEX('Covenants Holdco'!AA$43:AA$87,MATCH('Financing assumptions Holdco'!$H27,'Covenants Holdco'!$C$43:$C$87,0)))</f>
        <v>#DIV/0!</v>
      </c>
      <c r="AK29" s="261" t="e">
        <f ca="1">CHOOSE($J$10,INDEX('Covenants Consolidated'!AB$43:AB$87,MATCH('Financing assumptions Holdco'!$H27,'Covenants Consolidated'!$C$43:$C$87,0)),INDEX('Covenants Holdco'!AB$43:AB$87,MATCH('Financing assumptions Holdco'!$H27,'Covenants Holdco'!$C$43:$C$87,0)))</f>
        <v>#N/A</v>
      </c>
      <c r="AL29" s="261" t="e">
        <f ca="1">CHOOSE($J$10,INDEX('Covenants Consolidated'!AC$43:AC$87,MATCH('Financing assumptions Holdco'!$H27,'Covenants Consolidated'!$C$43:$C$87,0)),INDEX('Covenants Holdco'!AC$43:AC$87,MATCH('Financing assumptions Holdco'!$H27,'Covenants Holdco'!$C$43:$C$87,0)))</f>
        <v>#N/A</v>
      </c>
      <c r="AM29" s="261" t="e">
        <f ca="1">CHOOSE($J$10,INDEX('Covenants Consolidated'!AD$43:AD$87,MATCH('Financing assumptions Holdco'!$H27,'Covenants Consolidated'!$C$43:$C$87,0)),INDEX('Covenants Holdco'!AD$43:AD$87,MATCH('Financing assumptions Holdco'!$H27,'Covenants Holdco'!$C$43:$C$87,0)))</f>
        <v>#N/A</v>
      </c>
      <c r="AN29" s="261" t="e">
        <f ca="1">CHOOSE($J$10,INDEX('Covenants Consolidated'!AE$43:AE$87,MATCH('Financing assumptions Holdco'!$H27,'Covenants Consolidated'!$C$43:$C$87,0)),INDEX('Covenants Holdco'!AE$43:AE$87,MATCH('Financing assumptions Holdco'!$H27,'Covenants Holdco'!$C$43:$C$87,0)))</f>
        <v>#N/A</v>
      </c>
      <c r="AO29" s="261" t="e">
        <f ca="1">CHOOSE($J$10,INDEX('Covenants Consolidated'!AF$43:AF$87,MATCH('Financing assumptions Holdco'!$H27,'Covenants Consolidated'!$C$43:$C$87,0)),INDEX('Covenants Holdco'!AF$43:AF$87,MATCH('Financing assumptions Holdco'!$H27,'Covenants Holdco'!$C$43:$C$87,0)))</f>
        <v>#N/A</v>
      </c>
      <c r="AP29" s="261" t="e">
        <f ca="1">CHOOSE($J$10,INDEX('Covenants Consolidated'!AG$43:AG$87,MATCH('Financing assumptions Holdco'!$H27,'Covenants Consolidated'!$C$43:$C$87,0)),INDEX('Covenants Holdco'!AG$43:AG$87,MATCH('Financing assumptions Holdco'!$H27,'Covenants Holdco'!$C$43:$C$87,0)))</f>
        <v>#N/A</v>
      </c>
    </row>
    <row r="30" spans="3:42">
      <c r="C30" s="58" t="s">
        <v>903</v>
      </c>
      <c r="D30" s="22"/>
      <c r="E30" s="22"/>
      <c r="F30" s="276">
        <v>0</v>
      </c>
      <c r="H30" s="69" t="str">
        <f>CONCATENATE(I31,"x&lt;x&lt;=",I30,"x")</f>
        <v>2.99x&lt;x&lt;=3.5x</v>
      </c>
      <c r="I30" s="407">
        <v>3.5</v>
      </c>
      <c r="J30" s="279">
        <v>0</v>
      </c>
      <c r="L30" s="282" t="s">
        <v>803</v>
      </c>
      <c r="M30" s="183">
        <f>IFERROR(INDEX($J28:$J32,MATCH(L29,$I28:$I32,-1)),$F30)/10000+$G28*M$11</f>
        <v>2.3400000000000001E-2</v>
      </c>
      <c r="N30" s="183">
        <f t="shared" ref="N30:AG30" si="22">IFERROR(INDEX($J28:$J32,MATCH(M29,$I28:$I32,-1)),$F30)/10000+$G28*N$11</f>
        <v>2.3400000000000001E-2</v>
      </c>
      <c r="O30" s="183">
        <f t="shared" si="22"/>
        <v>2.3400000000000001E-2</v>
      </c>
      <c r="P30" s="183">
        <f t="shared" si="22"/>
        <v>2.3400000000000001E-2</v>
      </c>
      <c r="Q30" s="183">
        <f t="shared" ca="1" si="22"/>
        <v>2.3400000000000001E-2</v>
      </c>
      <c r="R30" s="183">
        <f t="shared" ca="1" si="22"/>
        <v>2.3400000000000001E-2</v>
      </c>
      <c r="S30" s="183">
        <f t="shared" ca="1" si="22"/>
        <v>2.3400000000000001E-2</v>
      </c>
      <c r="T30" s="183">
        <f t="shared" ca="1" si="22"/>
        <v>2.3400000000000001E-2</v>
      </c>
      <c r="U30" s="183">
        <f t="shared" ca="1" si="22"/>
        <v>2.3400000000000001E-2</v>
      </c>
      <c r="V30" s="183">
        <f t="shared" ca="1" si="22"/>
        <v>2.3400000000000001E-2</v>
      </c>
      <c r="W30" s="183">
        <f t="shared" ca="1" si="22"/>
        <v>2.3400000000000001E-2</v>
      </c>
      <c r="X30" s="183">
        <f t="shared" ca="1" si="22"/>
        <v>2.3400000000000001E-2</v>
      </c>
      <c r="Y30" s="183">
        <f t="shared" ca="1" si="22"/>
        <v>2.3400000000000001E-2</v>
      </c>
      <c r="Z30" s="183">
        <f t="shared" ca="1" si="22"/>
        <v>2.3400000000000001E-2</v>
      </c>
      <c r="AA30" s="183">
        <f t="shared" ca="1" si="22"/>
        <v>2.3400000000000001E-2</v>
      </c>
      <c r="AB30" s="183">
        <f t="shared" ca="1" si="22"/>
        <v>2.3400000000000001E-2</v>
      </c>
      <c r="AC30" s="183">
        <f t="shared" ca="1" si="22"/>
        <v>2.3400000000000001E-2</v>
      </c>
      <c r="AD30" s="183">
        <f t="shared" ca="1" si="22"/>
        <v>2.3400000000000001E-2</v>
      </c>
      <c r="AE30" s="183">
        <f t="shared" ca="1" si="22"/>
        <v>2.3400000000000001E-2</v>
      </c>
      <c r="AF30" s="183">
        <f t="shared" ca="1" si="22"/>
        <v>2.3400000000000001E-2</v>
      </c>
      <c r="AG30" s="183">
        <f t="shared" ca="1" si="22"/>
        <v>2.3400000000000001E-2</v>
      </c>
      <c r="AH30" s="183">
        <f t="shared" ref="AH30" ca="1" si="23">IFERROR(INDEX($J28:$J32,MATCH(AG29,$I28:$I32,-1)),$F30)/10000+$G28*AH$11</f>
        <v>2.3400000000000001E-2</v>
      </c>
      <c r="AI30" s="183">
        <f t="shared" ref="AI30" ca="1" si="24">IFERROR(INDEX($J28:$J32,MATCH(AH29,$I28:$I32,-1)),$F30)/10000+$G28*AI$11</f>
        <v>2.3400000000000001E-2</v>
      </c>
      <c r="AJ30" s="183">
        <f t="shared" ref="AJ30" ca="1" si="25">IFERROR(INDEX($J28:$J32,MATCH(AI29,$I28:$I32,-1)),$F30)/10000+$G28*AJ$11</f>
        <v>2.3400000000000001E-2</v>
      </c>
      <c r="AK30" s="183">
        <f t="shared" ref="AK30" ca="1" si="26">IFERROR(INDEX($J28:$J32,MATCH(AJ29,$I28:$I32,-1)),$F30)/10000+$G28*AK$11</f>
        <v>2.3400000000000001E-2</v>
      </c>
      <c r="AL30" s="183">
        <f t="shared" ref="AL30" ca="1" si="27">IFERROR(INDEX($J28:$J32,MATCH(AK29,$I28:$I32,-1)),$F30)/10000+$G28*AL$11</f>
        <v>2.3400000000000001E-2</v>
      </c>
      <c r="AM30" s="183">
        <f t="shared" ref="AM30" ca="1" si="28">IFERROR(INDEX($J28:$J32,MATCH(AL29,$I28:$I32,-1)),$F30)/10000+$G28*AM$11</f>
        <v>2.3400000000000001E-2</v>
      </c>
      <c r="AN30" s="183">
        <f t="shared" ref="AN30" ca="1" si="29">IFERROR(INDEX($J28:$J32,MATCH(AM29,$I28:$I32,-1)),$F30)/10000+$G28*AN$11</f>
        <v>2.3400000000000001E-2</v>
      </c>
      <c r="AO30" s="183">
        <f t="shared" ref="AO30:AP30" ca="1" si="30">IFERROR(INDEX($J28:$J32,MATCH(AN29,$I28:$I32,-1)),$F30)/10000+$G28*AO$11</f>
        <v>2.3400000000000001E-2</v>
      </c>
      <c r="AP30" s="183">
        <f t="shared" ca="1" si="30"/>
        <v>2.3400000000000001E-2</v>
      </c>
    </row>
    <row r="31" spans="3:42">
      <c r="C31" s="58" t="s">
        <v>740</v>
      </c>
      <c r="D31" s="22"/>
      <c r="E31" s="22"/>
      <c r="F31" s="276">
        <v>0</v>
      </c>
      <c r="H31" s="69" t="str">
        <f>CONCATENATE(I32,"x&lt;x&lt;=",I31,"x")</f>
        <v>2.98x&lt;x&lt;=2.99x</v>
      </c>
      <c r="I31" s="407">
        <v>2.99</v>
      </c>
      <c r="J31" s="279">
        <v>0</v>
      </c>
      <c r="L31" s="60"/>
      <c r="M31" s="60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</row>
    <row r="32" spans="3:42">
      <c r="C32" s="12" t="s">
        <v>701</v>
      </c>
      <c r="F32" s="269">
        <f>F27+SUM(M27:AO27)</f>
        <v>0</v>
      </c>
      <c r="H32" s="73" t="str">
        <f>CONCATENATE("&lt;",I32,"x")</f>
        <v>&lt;2.98x</v>
      </c>
      <c r="I32" s="408">
        <v>2.98</v>
      </c>
      <c r="J32" s="281">
        <v>0</v>
      </c>
      <c r="L32" s="60"/>
      <c r="M32" s="60"/>
      <c r="O32" s="74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</row>
    <row r="33" spans="3:42" ht="14.4">
      <c r="C33" s="57"/>
      <c r="D33" s="1"/>
      <c r="E33" s="1"/>
      <c r="F33" s="75"/>
    </row>
    <row r="34" spans="3:42">
      <c r="C34" s="222" t="s">
        <v>745</v>
      </c>
      <c r="D34" s="209"/>
      <c r="E34" s="209"/>
      <c r="F34" s="178"/>
      <c r="G34" s="178"/>
      <c r="H34" s="178"/>
      <c r="I34" s="178"/>
      <c r="J34" s="178"/>
      <c r="L34" s="222" t="s">
        <v>799</v>
      </c>
      <c r="M34" s="222"/>
      <c r="N34" s="222"/>
      <c r="O34" s="222"/>
      <c r="P34" s="222"/>
      <c r="Q34" s="222"/>
      <c r="R34" s="222"/>
      <c r="S34" s="222"/>
      <c r="T34" s="222"/>
      <c r="U34" s="222"/>
      <c r="V34" s="222"/>
      <c r="W34" s="222"/>
      <c r="X34" s="222"/>
      <c r="Y34" s="222"/>
      <c r="Z34" s="222"/>
      <c r="AA34" s="222"/>
      <c r="AB34" s="222"/>
      <c r="AC34" s="222"/>
      <c r="AD34" s="222"/>
      <c r="AE34" s="222"/>
      <c r="AF34" s="222"/>
      <c r="AG34" s="222"/>
      <c r="AH34" s="222"/>
      <c r="AI34" s="222"/>
      <c r="AJ34" s="222"/>
      <c r="AK34" s="222"/>
      <c r="AL34" s="222"/>
      <c r="AM34" s="222"/>
      <c r="AN34" s="222"/>
      <c r="AO34" s="222"/>
      <c r="AP34" s="222"/>
    </row>
    <row r="35" spans="3:42">
      <c r="C35" s="219" t="s">
        <v>26</v>
      </c>
      <c r="D35" s="214"/>
      <c r="E35" s="214"/>
      <c r="F35" s="219" t="e">
        <f>+F36/$F$10</f>
        <v>#DIV/0!</v>
      </c>
      <c r="H35" s="61" t="s">
        <v>796</v>
      </c>
      <c r="I35" s="62"/>
      <c r="J35" s="63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</row>
    <row r="36" spans="3:42">
      <c r="C36" s="60" t="s">
        <v>27</v>
      </c>
      <c r="D36" s="22"/>
      <c r="E36" s="22"/>
      <c r="F36" s="197">
        <v>0</v>
      </c>
      <c r="H36" s="397" t="s">
        <v>860</v>
      </c>
      <c r="I36" s="66"/>
      <c r="J36" s="67" t="s">
        <v>30</v>
      </c>
      <c r="L36" s="282" t="s">
        <v>800</v>
      </c>
      <c r="M36" s="282"/>
      <c r="N36" s="255">
        <f>-$F36*N37</f>
        <v>0</v>
      </c>
      <c r="O36" s="255">
        <f t="shared" ref="O36:AP36" si="31">-$F36*O37</f>
        <v>0</v>
      </c>
      <c r="P36" s="255">
        <f t="shared" si="31"/>
        <v>0</v>
      </c>
      <c r="Q36" s="255">
        <f t="shared" si="31"/>
        <v>0</v>
      </c>
      <c r="R36" s="255">
        <f t="shared" si="31"/>
        <v>0</v>
      </c>
      <c r="S36" s="255">
        <f t="shared" si="31"/>
        <v>0</v>
      </c>
      <c r="T36" s="255">
        <f t="shared" si="31"/>
        <v>0</v>
      </c>
      <c r="U36" s="255">
        <f t="shared" si="31"/>
        <v>0</v>
      </c>
      <c r="V36" s="255">
        <f t="shared" si="31"/>
        <v>0</v>
      </c>
      <c r="W36" s="255">
        <f t="shared" si="31"/>
        <v>0</v>
      </c>
      <c r="X36" s="255">
        <f t="shared" si="31"/>
        <v>0</v>
      </c>
      <c r="Y36" s="255">
        <f t="shared" si="31"/>
        <v>0</v>
      </c>
      <c r="Z36" s="255">
        <f t="shared" si="31"/>
        <v>0</v>
      </c>
      <c r="AA36" s="255">
        <f t="shared" si="31"/>
        <v>0</v>
      </c>
      <c r="AB36" s="255">
        <f t="shared" si="31"/>
        <v>0</v>
      </c>
      <c r="AC36" s="255">
        <f t="shared" si="31"/>
        <v>0</v>
      </c>
      <c r="AD36" s="255">
        <f t="shared" si="31"/>
        <v>0</v>
      </c>
      <c r="AE36" s="255">
        <f t="shared" si="31"/>
        <v>0</v>
      </c>
      <c r="AF36" s="255">
        <f t="shared" si="31"/>
        <v>0</v>
      </c>
      <c r="AG36" s="255">
        <f t="shared" si="31"/>
        <v>0</v>
      </c>
      <c r="AH36" s="255">
        <f t="shared" si="31"/>
        <v>0</v>
      </c>
      <c r="AI36" s="255">
        <f t="shared" si="31"/>
        <v>0</v>
      </c>
      <c r="AJ36" s="255">
        <f t="shared" si="31"/>
        <v>0</v>
      </c>
      <c r="AK36" s="255">
        <f t="shared" si="31"/>
        <v>0</v>
      </c>
      <c r="AL36" s="255">
        <f t="shared" si="31"/>
        <v>0</v>
      </c>
      <c r="AM36" s="255">
        <f t="shared" si="31"/>
        <v>0</v>
      </c>
      <c r="AN36" s="255">
        <f t="shared" si="31"/>
        <v>0</v>
      </c>
      <c r="AO36" s="255">
        <f t="shared" si="31"/>
        <v>0</v>
      </c>
      <c r="AP36" s="255">
        <f t="shared" si="31"/>
        <v>0</v>
      </c>
    </row>
    <row r="37" spans="3:42">
      <c r="C37" s="60" t="s">
        <v>804</v>
      </c>
      <c r="D37" s="22"/>
      <c r="E37" s="22"/>
      <c r="F37" s="277" t="s">
        <v>805</v>
      </c>
      <c r="G37" s="68">
        <f>IF(F37="variable",1,0)</f>
        <v>1</v>
      </c>
      <c r="H37" s="69" t="str">
        <f>CONCATENATE("&gt;",I38,"x")</f>
        <v>&gt;4x</v>
      </c>
      <c r="I37" s="278">
        <v>99999</v>
      </c>
      <c r="J37" s="279">
        <v>275</v>
      </c>
      <c r="L37" s="282" t="s">
        <v>801</v>
      </c>
      <c r="M37" s="60"/>
      <c r="N37" s="274">
        <v>1.4999999999999999E-2</v>
      </c>
      <c r="O37" s="274">
        <v>1.4999999999999999E-2</v>
      </c>
      <c r="P37" s="274">
        <v>1.4999999999999999E-2</v>
      </c>
      <c r="Q37" s="274">
        <v>1.4999999999999999E-2</v>
      </c>
      <c r="R37" s="274">
        <v>1.4999999999999999E-2</v>
      </c>
      <c r="S37" s="274">
        <v>1.4999999999999999E-2</v>
      </c>
      <c r="T37" s="274">
        <v>1.4999999999999999E-2</v>
      </c>
      <c r="U37" s="274">
        <v>1.4999999999999999E-2</v>
      </c>
      <c r="V37" s="274">
        <v>1.4999999999999999E-2</v>
      </c>
      <c r="W37" s="274">
        <v>1.4999999999999999E-2</v>
      </c>
      <c r="X37" s="274">
        <v>1.4999999999999999E-2</v>
      </c>
      <c r="Y37" s="274">
        <v>1.4999999999999999E-2</v>
      </c>
      <c r="Z37" s="274">
        <v>1.4999999999999999E-2</v>
      </c>
      <c r="AA37" s="274">
        <v>1.4999999999999999E-2</v>
      </c>
      <c r="AB37" s="274">
        <v>1.4999999999999999E-2</v>
      </c>
      <c r="AC37" s="274">
        <v>1.4999999999999999E-2</v>
      </c>
      <c r="AD37" s="274">
        <v>1.4999999999999999E-2</v>
      </c>
      <c r="AE37" s="274">
        <v>1.4999999999999999E-2</v>
      </c>
      <c r="AF37" s="274">
        <v>1.4999999999999999E-2</v>
      </c>
      <c r="AG37" s="274">
        <v>0.71499999999999997</v>
      </c>
      <c r="AH37" s="274">
        <v>0</v>
      </c>
      <c r="AI37" s="274">
        <v>0</v>
      </c>
      <c r="AJ37" s="274">
        <v>0</v>
      </c>
      <c r="AK37" s="274">
        <v>0</v>
      </c>
      <c r="AL37" s="274">
        <v>0</v>
      </c>
      <c r="AM37" s="274">
        <v>0</v>
      </c>
      <c r="AN37" s="274">
        <v>0</v>
      </c>
      <c r="AO37" s="274">
        <v>0</v>
      </c>
      <c r="AP37" s="274">
        <v>0</v>
      </c>
    </row>
    <row r="38" spans="3:42">
      <c r="C38" s="6" t="s">
        <v>28</v>
      </c>
      <c r="F38" s="275">
        <f>SUMPRODUCT(N37:AO37,$N$7:$AO$7)</f>
        <v>4.5374999999999996</v>
      </c>
      <c r="H38" s="69" t="str">
        <f>CONCATENATE(I39,"x&lt;x&lt;=",I38,"x")</f>
        <v>3x&lt;x&lt;=4x</v>
      </c>
      <c r="I38" s="407">
        <v>4</v>
      </c>
      <c r="J38" s="279">
        <v>250</v>
      </c>
      <c r="L38" s="282" t="s">
        <v>802</v>
      </c>
      <c r="M38" s="261" t="str">
        <f>CHOOSE($J$10,INDEX('Covenants Consolidated'!D$43:D$87,MATCH('Financing assumptions Holdco'!$H36,'Covenants Consolidated'!$C$43:$C$87,0)),INDEX('Covenants Holdco'!D$43:D$87,MATCH('Financing assumptions Holdco'!$H36,'Covenants Holdco'!$C$43:$C$87,0)))</f>
        <v>na</v>
      </c>
      <c r="N38" s="261" t="str">
        <f>CHOOSE($J$10,INDEX('Covenants Consolidated'!E$43:E$87,MATCH('Financing assumptions Holdco'!$H36,'Covenants Consolidated'!$C$43:$C$87,0)),INDEX('Covenants Holdco'!E$43:E$87,MATCH('Financing assumptions Holdco'!$H36,'Covenants Holdco'!$C$43:$C$87,0)))</f>
        <v>na</v>
      </c>
      <c r="O38" s="261" t="str">
        <f>CHOOSE($J$10,INDEX('Covenants Consolidated'!F$43:F$87,MATCH('Financing assumptions Holdco'!$H36,'Covenants Consolidated'!$C$43:$C$87,0)),INDEX('Covenants Holdco'!F$43:F$87,MATCH('Financing assumptions Holdco'!$H36,'Covenants Holdco'!$C$43:$C$87,0)))</f>
        <v>na</v>
      </c>
      <c r="P38" s="261" t="e">
        <f ca="1">CHOOSE($J$10,INDEX('Covenants Consolidated'!G$43:G$87,MATCH('Financing assumptions Holdco'!$H36,'Covenants Consolidated'!$C$43:$C$87,0)),INDEX('Covenants Holdco'!G$43:G$87,MATCH('Financing assumptions Holdco'!$H36,'Covenants Holdco'!$C$43:$C$87,0)))</f>
        <v>#DIV/0!</v>
      </c>
      <c r="Q38" s="261" t="e">
        <f ca="1">CHOOSE($J$10,INDEX('Covenants Consolidated'!H$43:H$87,MATCH('Financing assumptions Holdco'!$H36,'Covenants Consolidated'!$C$43:$C$87,0)),INDEX('Covenants Holdco'!H$43:H$87,MATCH('Financing assumptions Holdco'!$H36,'Covenants Holdco'!$C$43:$C$87,0)))</f>
        <v>#DIV/0!</v>
      </c>
      <c r="R38" s="261" t="e">
        <f ca="1">CHOOSE($J$10,INDEX('Covenants Consolidated'!I$43:I$87,MATCH('Financing assumptions Holdco'!$H36,'Covenants Consolidated'!$C$43:$C$87,0)),INDEX('Covenants Holdco'!I$43:I$87,MATCH('Financing assumptions Holdco'!$H36,'Covenants Holdco'!$C$43:$C$87,0)))</f>
        <v>#DIV/0!</v>
      </c>
      <c r="S38" s="261" t="e">
        <f ca="1">CHOOSE($J$10,INDEX('Covenants Consolidated'!J$43:J$87,MATCH('Financing assumptions Holdco'!$H36,'Covenants Consolidated'!$C$43:$C$87,0)),INDEX('Covenants Holdco'!J$43:J$87,MATCH('Financing assumptions Holdco'!$H36,'Covenants Holdco'!$C$43:$C$87,0)))</f>
        <v>#DIV/0!</v>
      </c>
      <c r="T38" s="261" t="e">
        <f ca="1">CHOOSE($J$10,INDEX('Covenants Consolidated'!K$43:K$87,MATCH('Financing assumptions Holdco'!$H36,'Covenants Consolidated'!$C$43:$C$87,0)),INDEX('Covenants Holdco'!K$43:K$87,MATCH('Financing assumptions Holdco'!$H36,'Covenants Holdco'!$C$43:$C$87,0)))</f>
        <v>#DIV/0!</v>
      </c>
      <c r="U38" s="261" t="e">
        <f ca="1">CHOOSE($J$10,INDEX('Covenants Consolidated'!L$43:L$87,MATCH('Financing assumptions Holdco'!$H36,'Covenants Consolidated'!$C$43:$C$87,0)),INDEX('Covenants Holdco'!L$43:L$87,MATCH('Financing assumptions Holdco'!$H36,'Covenants Holdco'!$C$43:$C$87,0)))</f>
        <v>#DIV/0!</v>
      </c>
      <c r="V38" s="261" t="e">
        <f ca="1">CHOOSE($J$10,INDEX('Covenants Consolidated'!M$43:M$87,MATCH('Financing assumptions Holdco'!$H36,'Covenants Consolidated'!$C$43:$C$87,0)),INDEX('Covenants Holdco'!M$43:M$87,MATCH('Financing assumptions Holdco'!$H36,'Covenants Holdco'!$C$43:$C$87,0)))</f>
        <v>#DIV/0!</v>
      </c>
      <c r="W38" s="261" t="e">
        <f ca="1">CHOOSE($J$10,INDEX('Covenants Consolidated'!N$43:N$87,MATCH('Financing assumptions Holdco'!$H36,'Covenants Consolidated'!$C$43:$C$87,0)),INDEX('Covenants Holdco'!N$43:N$87,MATCH('Financing assumptions Holdco'!$H36,'Covenants Holdco'!$C$43:$C$87,0)))</f>
        <v>#DIV/0!</v>
      </c>
      <c r="X38" s="261" t="e">
        <f ca="1">CHOOSE($J$10,INDEX('Covenants Consolidated'!O$43:O$87,MATCH('Financing assumptions Holdco'!$H36,'Covenants Consolidated'!$C$43:$C$87,0)),INDEX('Covenants Holdco'!O$43:O$87,MATCH('Financing assumptions Holdco'!$H36,'Covenants Holdco'!$C$43:$C$87,0)))</f>
        <v>#DIV/0!</v>
      </c>
      <c r="Y38" s="261" t="e">
        <f ca="1">CHOOSE($J$10,INDEX('Covenants Consolidated'!P$43:P$87,MATCH('Financing assumptions Holdco'!$H36,'Covenants Consolidated'!$C$43:$C$87,0)),INDEX('Covenants Holdco'!P$43:P$87,MATCH('Financing assumptions Holdco'!$H36,'Covenants Holdco'!$C$43:$C$87,0)))</f>
        <v>#DIV/0!</v>
      </c>
      <c r="Z38" s="261" t="e">
        <f ca="1">CHOOSE($J$10,INDEX('Covenants Consolidated'!Q$43:Q$87,MATCH('Financing assumptions Holdco'!$H36,'Covenants Consolidated'!$C$43:$C$87,0)),INDEX('Covenants Holdco'!Q$43:Q$87,MATCH('Financing assumptions Holdco'!$H36,'Covenants Holdco'!$C$43:$C$87,0)))</f>
        <v>#DIV/0!</v>
      </c>
      <c r="AA38" s="261" t="e">
        <f ca="1">CHOOSE($J$10,INDEX('Covenants Consolidated'!R$43:R$87,MATCH('Financing assumptions Holdco'!$H36,'Covenants Consolidated'!$C$43:$C$87,0)),INDEX('Covenants Holdco'!R$43:R$87,MATCH('Financing assumptions Holdco'!$H36,'Covenants Holdco'!$C$43:$C$87,0)))</f>
        <v>#DIV/0!</v>
      </c>
      <c r="AB38" s="261" t="e">
        <f ca="1">CHOOSE($J$10,INDEX('Covenants Consolidated'!S$43:S$87,MATCH('Financing assumptions Holdco'!$H36,'Covenants Consolidated'!$C$43:$C$87,0)),INDEX('Covenants Holdco'!S$43:S$87,MATCH('Financing assumptions Holdco'!$H36,'Covenants Holdco'!$C$43:$C$87,0)))</f>
        <v>#DIV/0!</v>
      </c>
      <c r="AC38" s="261" t="e">
        <f ca="1">CHOOSE($J$10,INDEX('Covenants Consolidated'!T$43:T$87,MATCH('Financing assumptions Holdco'!$H36,'Covenants Consolidated'!$C$43:$C$87,0)),INDEX('Covenants Holdco'!T$43:T$87,MATCH('Financing assumptions Holdco'!$H36,'Covenants Holdco'!$C$43:$C$87,0)))</f>
        <v>#DIV/0!</v>
      </c>
      <c r="AD38" s="261" t="e">
        <f ca="1">CHOOSE($J$10,INDEX('Covenants Consolidated'!U$43:U$87,MATCH('Financing assumptions Holdco'!$H36,'Covenants Consolidated'!$C$43:$C$87,0)),INDEX('Covenants Holdco'!U$43:U$87,MATCH('Financing assumptions Holdco'!$H36,'Covenants Holdco'!$C$43:$C$87,0)))</f>
        <v>#DIV/0!</v>
      </c>
      <c r="AE38" s="261" t="e">
        <f ca="1">CHOOSE($J$10,INDEX('Covenants Consolidated'!V$43:V$87,MATCH('Financing assumptions Holdco'!$H36,'Covenants Consolidated'!$C$43:$C$87,0)),INDEX('Covenants Holdco'!V$43:V$87,MATCH('Financing assumptions Holdco'!$H36,'Covenants Holdco'!$C$43:$C$87,0)))</f>
        <v>#DIV/0!</v>
      </c>
      <c r="AF38" s="261" t="e">
        <f ca="1">CHOOSE($J$10,INDEX('Covenants Consolidated'!W$43:W$87,MATCH('Financing assumptions Holdco'!$H36,'Covenants Consolidated'!$C$43:$C$87,0)),INDEX('Covenants Holdco'!W$43:W$87,MATCH('Financing assumptions Holdco'!$H36,'Covenants Holdco'!$C$43:$C$87,0)))</f>
        <v>#DIV/0!</v>
      </c>
      <c r="AG38" s="261" t="e">
        <f ca="1">CHOOSE($J$10,INDEX('Covenants Consolidated'!X$43:X$87,MATCH('Financing assumptions Holdco'!$H36,'Covenants Consolidated'!$C$43:$C$87,0)),INDEX('Covenants Holdco'!X$43:X$87,MATCH('Financing assumptions Holdco'!$H36,'Covenants Holdco'!$C$43:$C$87,0)))</f>
        <v>#DIV/0!</v>
      </c>
      <c r="AH38" s="261" t="e">
        <f ca="1">CHOOSE($J$10,INDEX('Covenants Consolidated'!Y$43:Y$87,MATCH('Financing assumptions Holdco'!$H36,'Covenants Consolidated'!$C$43:$C$87,0)),INDEX('Covenants Holdco'!Y$43:Y$87,MATCH('Financing assumptions Holdco'!$H36,'Covenants Holdco'!$C$43:$C$87,0)))</f>
        <v>#DIV/0!</v>
      </c>
      <c r="AI38" s="261" t="e">
        <f ca="1">CHOOSE($J$10,INDEX('Covenants Consolidated'!Z$43:Z$87,MATCH('Financing assumptions Holdco'!$H36,'Covenants Consolidated'!$C$43:$C$87,0)),INDEX('Covenants Holdco'!Z$43:Z$87,MATCH('Financing assumptions Holdco'!$H36,'Covenants Holdco'!$C$43:$C$87,0)))</f>
        <v>#DIV/0!</v>
      </c>
      <c r="AJ38" s="261" t="e">
        <f ca="1">CHOOSE($J$10,INDEX('Covenants Consolidated'!AA$43:AA$87,MATCH('Financing assumptions Holdco'!$H36,'Covenants Consolidated'!$C$43:$C$87,0)),INDEX('Covenants Holdco'!AA$43:AA$87,MATCH('Financing assumptions Holdco'!$H36,'Covenants Holdco'!$C$43:$C$87,0)))</f>
        <v>#DIV/0!</v>
      </c>
      <c r="AK38" s="261" t="e">
        <f ca="1">CHOOSE($J$10,INDEX('Covenants Consolidated'!AB$43:AB$87,MATCH('Financing assumptions Holdco'!$H36,'Covenants Consolidated'!$C$43:$C$87,0)),INDEX('Covenants Holdco'!AB$43:AB$87,MATCH('Financing assumptions Holdco'!$H36,'Covenants Holdco'!$C$43:$C$87,0)))</f>
        <v>#N/A</v>
      </c>
      <c r="AL38" s="261" t="e">
        <f ca="1">CHOOSE($J$10,INDEX('Covenants Consolidated'!AC$43:AC$87,MATCH('Financing assumptions Holdco'!$H36,'Covenants Consolidated'!$C$43:$C$87,0)),INDEX('Covenants Holdco'!AC$43:AC$87,MATCH('Financing assumptions Holdco'!$H36,'Covenants Holdco'!$C$43:$C$87,0)))</f>
        <v>#N/A</v>
      </c>
      <c r="AM38" s="261" t="e">
        <f ca="1">CHOOSE($J$10,INDEX('Covenants Consolidated'!AD$43:AD$87,MATCH('Financing assumptions Holdco'!$H36,'Covenants Consolidated'!$C$43:$C$87,0)),INDEX('Covenants Holdco'!AD$43:AD$87,MATCH('Financing assumptions Holdco'!$H36,'Covenants Holdco'!$C$43:$C$87,0)))</f>
        <v>#N/A</v>
      </c>
      <c r="AN38" s="261" t="e">
        <f ca="1">CHOOSE($J$10,INDEX('Covenants Consolidated'!AE$43:AE$87,MATCH('Financing assumptions Holdco'!$H36,'Covenants Consolidated'!$C$43:$C$87,0)),INDEX('Covenants Holdco'!AE$43:AE$87,MATCH('Financing assumptions Holdco'!$H36,'Covenants Holdco'!$C$43:$C$87,0)))</f>
        <v>#N/A</v>
      </c>
      <c r="AO38" s="261" t="e">
        <f ca="1">CHOOSE($J$10,INDEX('Covenants Consolidated'!AF$43:AF$87,MATCH('Financing assumptions Holdco'!$H36,'Covenants Consolidated'!$C$43:$C$87,0)),INDEX('Covenants Holdco'!AF$43:AF$87,MATCH('Financing assumptions Holdco'!$H36,'Covenants Holdco'!$C$43:$C$87,0)))</f>
        <v>#N/A</v>
      </c>
      <c r="AP38" s="261" t="e">
        <f ca="1">CHOOSE($J$10,INDEX('Covenants Consolidated'!AG$43:AG$87,MATCH('Financing assumptions Holdco'!$H36,'Covenants Consolidated'!$C$43:$C$87,0)),INDEX('Covenants Holdco'!AG$43:AG$87,MATCH('Financing assumptions Holdco'!$H36,'Covenants Holdco'!$C$43:$C$87,0)))</f>
        <v>#N/A</v>
      </c>
    </row>
    <row r="39" spans="3:42">
      <c r="C39" s="58" t="s">
        <v>903</v>
      </c>
      <c r="D39" s="22"/>
      <c r="E39" s="22"/>
      <c r="F39" s="276">
        <v>450</v>
      </c>
      <c r="H39" s="69" t="str">
        <f>CONCATENATE(I40,"x&lt;x&lt;=",I39,"x")</f>
        <v>2.99x&lt;x&lt;=3x</v>
      </c>
      <c r="I39" s="407">
        <v>3</v>
      </c>
      <c r="J39" s="279">
        <v>250</v>
      </c>
      <c r="L39" s="282" t="s">
        <v>803</v>
      </c>
      <c r="M39" s="183">
        <f>IFERROR(INDEX($J37:$J41,MATCH(L38,$I37:$I41,-1)),$F39)/10000+$G37*M$11</f>
        <v>6.8400000000000002E-2</v>
      </c>
      <c r="N39" s="183">
        <f t="shared" ref="N39:AG39" si="32">IFERROR(INDEX($J37:$J41,MATCH(M38,$I37:$I41,-1)),$F39)/10000+$G37*N$11</f>
        <v>6.8400000000000002E-2</v>
      </c>
      <c r="O39" s="183">
        <f t="shared" si="32"/>
        <v>6.8400000000000002E-2</v>
      </c>
      <c r="P39" s="183">
        <f t="shared" si="32"/>
        <v>6.8400000000000002E-2</v>
      </c>
      <c r="Q39" s="183">
        <f t="shared" ca="1" si="32"/>
        <v>6.8400000000000002E-2</v>
      </c>
      <c r="R39" s="183">
        <f t="shared" ca="1" si="32"/>
        <v>6.8400000000000002E-2</v>
      </c>
      <c r="S39" s="183">
        <f t="shared" ca="1" si="32"/>
        <v>6.8400000000000002E-2</v>
      </c>
      <c r="T39" s="183">
        <f t="shared" ca="1" si="32"/>
        <v>6.8400000000000002E-2</v>
      </c>
      <c r="U39" s="183">
        <f t="shared" ca="1" si="32"/>
        <v>6.8400000000000002E-2</v>
      </c>
      <c r="V39" s="183">
        <f t="shared" ca="1" si="32"/>
        <v>6.8400000000000002E-2</v>
      </c>
      <c r="W39" s="183">
        <f t="shared" ca="1" si="32"/>
        <v>6.8400000000000002E-2</v>
      </c>
      <c r="X39" s="183">
        <f t="shared" ca="1" si="32"/>
        <v>6.8400000000000002E-2</v>
      </c>
      <c r="Y39" s="183">
        <f t="shared" ca="1" si="32"/>
        <v>6.8400000000000002E-2</v>
      </c>
      <c r="Z39" s="183">
        <f t="shared" ca="1" si="32"/>
        <v>6.8400000000000002E-2</v>
      </c>
      <c r="AA39" s="183">
        <f t="shared" ca="1" si="32"/>
        <v>6.8400000000000002E-2</v>
      </c>
      <c r="AB39" s="183">
        <f t="shared" ca="1" si="32"/>
        <v>6.8400000000000002E-2</v>
      </c>
      <c r="AC39" s="183">
        <f t="shared" ca="1" si="32"/>
        <v>6.8400000000000002E-2</v>
      </c>
      <c r="AD39" s="183">
        <f t="shared" ca="1" si="32"/>
        <v>6.8400000000000002E-2</v>
      </c>
      <c r="AE39" s="183">
        <f t="shared" ca="1" si="32"/>
        <v>6.8400000000000002E-2</v>
      </c>
      <c r="AF39" s="183">
        <f t="shared" ca="1" si="32"/>
        <v>6.8400000000000002E-2</v>
      </c>
      <c r="AG39" s="183">
        <f t="shared" ca="1" si="32"/>
        <v>6.8400000000000002E-2</v>
      </c>
      <c r="AH39" s="183">
        <f t="shared" ref="AH39" ca="1" si="33">IFERROR(INDEX($J37:$J41,MATCH(AG38,$I37:$I41,-1)),$F39)/10000+$G37*AH$11</f>
        <v>6.8400000000000002E-2</v>
      </c>
      <c r="AI39" s="183">
        <f t="shared" ref="AI39" ca="1" si="34">IFERROR(INDEX($J37:$J41,MATCH(AH38,$I37:$I41,-1)),$F39)/10000+$G37*AI$11</f>
        <v>6.8400000000000002E-2</v>
      </c>
      <c r="AJ39" s="183">
        <f t="shared" ref="AJ39" ca="1" si="35">IFERROR(INDEX($J37:$J41,MATCH(AI38,$I37:$I41,-1)),$F39)/10000+$G37*AJ$11</f>
        <v>6.8400000000000002E-2</v>
      </c>
      <c r="AK39" s="183">
        <f t="shared" ref="AK39" ca="1" si="36">IFERROR(INDEX($J37:$J41,MATCH(AJ38,$I37:$I41,-1)),$F39)/10000+$G37*AK$11</f>
        <v>6.8400000000000002E-2</v>
      </c>
      <c r="AL39" s="183">
        <f t="shared" ref="AL39" ca="1" si="37">IFERROR(INDEX($J37:$J41,MATCH(AK38,$I37:$I41,-1)),$F39)/10000+$G37*AL$11</f>
        <v>6.8400000000000002E-2</v>
      </c>
      <c r="AM39" s="183">
        <f t="shared" ref="AM39" ca="1" si="38">IFERROR(INDEX($J37:$J41,MATCH(AL38,$I37:$I41,-1)),$F39)/10000+$G37*AM$11</f>
        <v>6.8400000000000002E-2</v>
      </c>
      <c r="AN39" s="183">
        <f t="shared" ref="AN39" ca="1" si="39">IFERROR(INDEX($J37:$J41,MATCH(AM38,$I37:$I41,-1)),$F39)/10000+$G37*AN$11</f>
        <v>6.8400000000000002E-2</v>
      </c>
      <c r="AO39" s="183">
        <f t="shared" ref="AO39:AP39" ca="1" si="40">IFERROR(INDEX($J37:$J41,MATCH(AN38,$I37:$I41,-1)),$F39)/10000+$G37*AO$11</f>
        <v>6.8400000000000002E-2</v>
      </c>
      <c r="AP39" s="183">
        <f t="shared" ca="1" si="40"/>
        <v>6.8400000000000002E-2</v>
      </c>
    </row>
    <row r="40" spans="3:42">
      <c r="C40" s="58" t="s">
        <v>740</v>
      </c>
      <c r="D40" s="22"/>
      <c r="E40" s="22"/>
      <c r="F40" s="276">
        <v>0</v>
      </c>
      <c r="H40" s="69" t="str">
        <f>CONCATENATE(I41,"x&lt;x&lt;=",I40,"x")</f>
        <v>2.98x&lt;x&lt;=2.99x</v>
      </c>
      <c r="I40" s="407">
        <v>2.99</v>
      </c>
      <c r="J40" s="279">
        <v>250</v>
      </c>
      <c r="L40" s="60"/>
      <c r="M40" s="60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</row>
    <row r="41" spans="3:42">
      <c r="C41" s="12" t="s">
        <v>701</v>
      </c>
      <c r="F41" s="269">
        <f>F36+SUM(M36:AO36)</f>
        <v>0</v>
      </c>
      <c r="H41" s="73" t="str">
        <f>CONCATENATE("&lt;",I41,"x")</f>
        <v>&lt;2.98x</v>
      </c>
      <c r="I41" s="408">
        <v>2.98</v>
      </c>
      <c r="J41" s="281">
        <v>250</v>
      </c>
      <c r="L41" s="60"/>
      <c r="M41" s="60"/>
      <c r="O41" s="74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</row>
    <row r="42" spans="3:42">
      <c r="C42" s="12"/>
      <c r="F42" s="72"/>
      <c r="L42" s="60"/>
      <c r="M42" s="60"/>
      <c r="O42" s="74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</row>
    <row r="43" spans="3:42">
      <c r="C43" s="222" t="s">
        <v>752</v>
      </c>
      <c r="D43" s="209"/>
      <c r="E43" s="209"/>
      <c r="F43" s="178"/>
      <c r="G43" s="178"/>
      <c r="H43" s="178"/>
      <c r="I43" s="178"/>
      <c r="J43" s="178"/>
      <c r="L43" s="222" t="s">
        <v>799</v>
      </c>
      <c r="M43" s="222"/>
      <c r="N43" s="222"/>
      <c r="O43" s="222"/>
      <c r="P43" s="222"/>
      <c r="Q43" s="222"/>
      <c r="R43" s="222"/>
      <c r="S43" s="222"/>
      <c r="T43" s="222"/>
      <c r="U43" s="222"/>
      <c r="V43" s="222"/>
      <c r="W43" s="222"/>
      <c r="X43" s="222"/>
      <c r="Y43" s="222"/>
      <c r="Z43" s="222"/>
      <c r="AA43" s="222"/>
      <c r="AB43" s="222"/>
      <c r="AC43" s="222"/>
      <c r="AD43" s="222"/>
      <c r="AE43" s="222"/>
      <c r="AF43" s="222"/>
      <c r="AG43" s="222"/>
      <c r="AH43" s="222"/>
      <c r="AI43" s="222"/>
      <c r="AJ43" s="222"/>
      <c r="AK43" s="222"/>
      <c r="AL43" s="222"/>
      <c r="AM43" s="222"/>
      <c r="AN43" s="222"/>
      <c r="AO43" s="222"/>
      <c r="AP43" s="222"/>
    </row>
    <row r="44" spans="3:42">
      <c r="C44" s="219" t="s">
        <v>26</v>
      </c>
      <c r="D44" s="214"/>
      <c r="E44" s="214"/>
      <c r="F44" s="219" t="e">
        <f>+F45/$F$10</f>
        <v>#DIV/0!</v>
      </c>
      <c r="H44" s="61" t="s">
        <v>797</v>
      </c>
      <c r="I44" s="62"/>
      <c r="J44" s="63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</row>
    <row r="45" spans="3:42">
      <c r="C45" s="60" t="s">
        <v>27</v>
      </c>
      <c r="D45" s="22"/>
      <c r="E45" s="22"/>
      <c r="F45" s="197"/>
      <c r="H45" s="397" t="s">
        <v>860</v>
      </c>
      <c r="I45" s="66"/>
      <c r="J45" s="67" t="s">
        <v>30</v>
      </c>
      <c r="L45" s="282" t="s">
        <v>800</v>
      </c>
      <c r="M45" s="282"/>
      <c r="N45" s="255">
        <f>-$F45*N46</f>
        <v>0</v>
      </c>
      <c r="O45" s="255">
        <f t="shared" ref="O45:AP45" si="41">-$F45*O46</f>
        <v>0</v>
      </c>
      <c r="P45" s="255">
        <f t="shared" si="41"/>
        <v>0</v>
      </c>
      <c r="Q45" s="255">
        <f t="shared" si="41"/>
        <v>0</v>
      </c>
      <c r="R45" s="255">
        <f t="shared" si="41"/>
        <v>0</v>
      </c>
      <c r="S45" s="255">
        <f t="shared" si="41"/>
        <v>0</v>
      </c>
      <c r="T45" s="255">
        <f t="shared" si="41"/>
        <v>0</v>
      </c>
      <c r="U45" s="255">
        <f t="shared" si="41"/>
        <v>0</v>
      </c>
      <c r="V45" s="255">
        <f t="shared" si="41"/>
        <v>0</v>
      </c>
      <c r="W45" s="255">
        <f t="shared" si="41"/>
        <v>0</v>
      </c>
      <c r="X45" s="255">
        <f t="shared" si="41"/>
        <v>0</v>
      </c>
      <c r="Y45" s="255">
        <f t="shared" si="41"/>
        <v>0</v>
      </c>
      <c r="Z45" s="255">
        <f t="shared" si="41"/>
        <v>0</v>
      </c>
      <c r="AA45" s="255">
        <f t="shared" si="41"/>
        <v>0</v>
      </c>
      <c r="AB45" s="255">
        <f t="shared" si="41"/>
        <v>0</v>
      </c>
      <c r="AC45" s="255">
        <f t="shared" si="41"/>
        <v>0</v>
      </c>
      <c r="AD45" s="255">
        <f t="shared" si="41"/>
        <v>0</v>
      </c>
      <c r="AE45" s="255">
        <f t="shared" si="41"/>
        <v>0</v>
      </c>
      <c r="AF45" s="255">
        <f t="shared" si="41"/>
        <v>0</v>
      </c>
      <c r="AG45" s="255">
        <f t="shared" si="41"/>
        <v>0</v>
      </c>
      <c r="AH45" s="255">
        <f t="shared" si="41"/>
        <v>0</v>
      </c>
      <c r="AI45" s="255">
        <f t="shared" si="41"/>
        <v>0</v>
      </c>
      <c r="AJ45" s="255">
        <f t="shared" si="41"/>
        <v>0</v>
      </c>
      <c r="AK45" s="255">
        <f t="shared" si="41"/>
        <v>0</v>
      </c>
      <c r="AL45" s="255">
        <f t="shared" si="41"/>
        <v>0</v>
      </c>
      <c r="AM45" s="255">
        <f t="shared" si="41"/>
        <v>0</v>
      </c>
      <c r="AN45" s="255">
        <f t="shared" si="41"/>
        <v>0</v>
      </c>
      <c r="AO45" s="255">
        <f t="shared" si="41"/>
        <v>0</v>
      </c>
      <c r="AP45" s="255">
        <f t="shared" si="41"/>
        <v>0</v>
      </c>
    </row>
    <row r="46" spans="3:42">
      <c r="C46" s="60" t="s">
        <v>804</v>
      </c>
      <c r="D46" s="22"/>
      <c r="E46" s="22"/>
      <c r="F46" s="277" t="s">
        <v>1527</v>
      </c>
      <c r="G46" s="68">
        <f>IF(F46="variable",1,0)</f>
        <v>0</v>
      </c>
      <c r="H46" s="69" t="str">
        <f>CONCATENATE("&gt;",I47,"x")</f>
        <v>&gt;4x</v>
      </c>
      <c r="I46" s="278">
        <v>99999</v>
      </c>
      <c r="J46" s="279">
        <v>700</v>
      </c>
      <c r="L46" s="282" t="s">
        <v>801</v>
      </c>
      <c r="M46" s="60"/>
      <c r="N46" s="274">
        <v>0</v>
      </c>
      <c r="O46" s="274">
        <v>0</v>
      </c>
      <c r="P46" s="274">
        <v>0</v>
      </c>
      <c r="Q46" s="274">
        <v>0</v>
      </c>
      <c r="R46" s="274">
        <v>0</v>
      </c>
      <c r="S46" s="274">
        <v>0</v>
      </c>
      <c r="T46" s="274">
        <v>0</v>
      </c>
      <c r="U46" s="274">
        <v>0</v>
      </c>
      <c r="V46" s="274">
        <v>0</v>
      </c>
      <c r="W46" s="274">
        <v>0</v>
      </c>
      <c r="X46" s="274">
        <v>0</v>
      </c>
      <c r="Y46" s="274">
        <v>0</v>
      </c>
      <c r="Z46" s="274">
        <v>0</v>
      </c>
      <c r="AA46" s="274">
        <v>0</v>
      </c>
      <c r="AB46" s="274">
        <v>0</v>
      </c>
      <c r="AC46" s="274">
        <v>0</v>
      </c>
      <c r="AD46" s="274">
        <v>0</v>
      </c>
      <c r="AE46" s="274">
        <v>0</v>
      </c>
      <c r="AF46" s="274">
        <v>0</v>
      </c>
      <c r="AG46" s="274">
        <v>0</v>
      </c>
      <c r="AH46" s="274">
        <v>0</v>
      </c>
      <c r="AI46" s="274">
        <v>0</v>
      </c>
      <c r="AJ46" s="274">
        <v>0</v>
      </c>
      <c r="AK46" s="274">
        <v>0</v>
      </c>
      <c r="AL46" s="274">
        <v>0</v>
      </c>
      <c r="AM46" s="274">
        <v>0</v>
      </c>
      <c r="AN46" s="274">
        <v>0</v>
      </c>
      <c r="AO46" s="274">
        <v>1</v>
      </c>
      <c r="AP46" s="274">
        <v>0</v>
      </c>
    </row>
    <row r="47" spans="3:42">
      <c r="C47" s="6" t="s">
        <v>28</v>
      </c>
      <c r="F47" s="275">
        <f>SUMPRODUCT(N46:AO46,$N$7:$AO$7)</f>
        <v>7.25</v>
      </c>
      <c r="H47" s="69" t="str">
        <f>CONCATENATE(I48,"x&lt;x&lt;=",I47,"x")</f>
        <v>3x&lt;x&lt;=4x</v>
      </c>
      <c r="I47" s="407">
        <v>4</v>
      </c>
      <c r="J47" s="279">
        <v>700</v>
      </c>
      <c r="L47" s="282" t="s">
        <v>802</v>
      </c>
      <c r="M47" s="261" t="str">
        <f>CHOOSE($J$10,INDEX('Covenants Consolidated'!D$43:D$87,MATCH('Financing assumptions Holdco'!$H45,'Covenants Consolidated'!$C$43:$C$87,0)),INDEX('Covenants Holdco'!D$43:D$87,MATCH('Financing assumptions Holdco'!$H45,'Covenants Holdco'!$C$43:$C$87,0)))</f>
        <v>na</v>
      </c>
      <c r="N47" s="261" t="str">
        <f>CHOOSE($J$10,INDEX('Covenants Consolidated'!E$43:E$87,MATCH('Financing assumptions Holdco'!$H45,'Covenants Consolidated'!$C$43:$C$87,0)),INDEX('Covenants Holdco'!E$43:E$87,MATCH('Financing assumptions Holdco'!$H45,'Covenants Holdco'!$C$43:$C$87,0)))</f>
        <v>na</v>
      </c>
      <c r="O47" s="261" t="str">
        <f>CHOOSE($J$10,INDEX('Covenants Consolidated'!F$43:F$87,MATCH('Financing assumptions Holdco'!$H45,'Covenants Consolidated'!$C$43:$C$87,0)),INDEX('Covenants Holdco'!F$43:F$87,MATCH('Financing assumptions Holdco'!$H45,'Covenants Holdco'!$C$43:$C$87,0)))</f>
        <v>na</v>
      </c>
      <c r="P47" s="261" t="e">
        <f ca="1">CHOOSE($J$10,INDEX('Covenants Consolidated'!G$43:G$87,MATCH('Financing assumptions Holdco'!$H45,'Covenants Consolidated'!$C$43:$C$87,0)),INDEX('Covenants Holdco'!G$43:G$87,MATCH('Financing assumptions Holdco'!$H45,'Covenants Holdco'!$C$43:$C$87,0)))</f>
        <v>#DIV/0!</v>
      </c>
      <c r="Q47" s="261" t="e">
        <f ca="1">CHOOSE($J$10,INDEX('Covenants Consolidated'!H$43:H$87,MATCH('Financing assumptions Holdco'!$H45,'Covenants Consolidated'!$C$43:$C$87,0)),INDEX('Covenants Holdco'!H$43:H$87,MATCH('Financing assumptions Holdco'!$H45,'Covenants Holdco'!$C$43:$C$87,0)))</f>
        <v>#DIV/0!</v>
      </c>
      <c r="R47" s="261" t="e">
        <f ca="1">CHOOSE($J$10,INDEX('Covenants Consolidated'!I$43:I$87,MATCH('Financing assumptions Holdco'!$H45,'Covenants Consolidated'!$C$43:$C$87,0)),INDEX('Covenants Holdco'!I$43:I$87,MATCH('Financing assumptions Holdco'!$H45,'Covenants Holdco'!$C$43:$C$87,0)))</f>
        <v>#DIV/0!</v>
      </c>
      <c r="S47" s="261" t="e">
        <f ca="1">CHOOSE($J$10,INDEX('Covenants Consolidated'!J$43:J$87,MATCH('Financing assumptions Holdco'!$H45,'Covenants Consolidated'!$C$43:$C$87,0)),INDEX('Covenants Holdco'!J$43:J$87,MATCH('Financing assumptions Holdco'!$H45,'Covenants Holdco'!$C$43:$C$87,0)))</f>
        <v>#DIV/0!</v>
      </c>
      <c r="T47" s="261" t="e">
        <f ca="1">CHOOSE($J$10,INDEX('Covenants Consolidated'!K$43:K$87,MATCH('Financing assumptions Holdco'!$H45,'Covenants Consolidated'!$C$43:$C$87,0)),INDEX('Covenants Holdco'!K$43:K$87,MATCH('Financing assumptions Holdco'!$H45,'Covenants Holdco'!$C$43:$C$87,0)))</f>
        <v>#DIV/0!</v>
      </c>
      <c r="U47" s="261" t="e">
        <f ca="1">CHOOSE($J$10,INDEX('Covenants Consolidated'!L$43:L$87,MATCH('Financing assumptions Holdco'!$H45,'Covenants Consolidated'!$C$43:$C$87,0)),INDEX('Covenants Holdco'!L$43:L$87,MATCH('Financing assumptions Holdco'!$H45,'Covenants Holdco'!$C$43:$C$87,0)))</f>
        <v>#DIV/0!</v>
      </c>
      <c r="V47" s="261" t="e">
        <f ca="1">CHOOSE($J$10,INDEX('Covenants Consolidated'!M$43:M$87,MATCH('Financing assumptions Holdco'!$H45,'Covenants Consolidated'!$C$43:$C$87,0)),INDEX('Covenants Holdco'!M$43:M$87,MATCH('Financing assumptions Holdco'!$H45,'Covenants Holdco'!$C$43:$C$87,0)))</f>
        <v>#DIV/0!</v>
      </c>
      <c r="W47" s="261" t="e">
        <f ca="1">CHOOSE($J$10,INDEX('Covenants Consolidated'!N$43:N$87,MATCH('Financing assumptions Holdco'!$H45,'Covenants Consolidated'!$C$43:$C$87,0)),INDEX('Covenants Holdco'!N$43:N$87,MATCH('Financing assumptions Holdco'!$H45,'Covenants Holdco'!$C$43:$C$87,0)))</f>
        <v>#DIV/0!</v>
      </c>
      <c r="X47" s="261" t="e">
        <f ca="1">CHOOSE($J$10,INDEX('Covenants Consolidated'!O$43:O$87,MATCH('Financing assumptions Holdco'!$H45,'Covenants Consolidated'!$C$43:$C$87,0)),INDEX('Covenants Holdco'!O$43:O$87,MATCH('Financing assumptions Holdco'!$H45,'Covenants Holdco'!$C$43:$C$87,0)))</f>
        <v>#DIV/0!</v>
      </c>
      <c r="Y47" s="261" t="e">
        <f ca="1">CHOOSE($J$10,INDEX('Covenants Consolidated'!P$43:P$87,MATCH('Financing assumptions Holdco'!$H45,'Covenants Consolidated'!$C$43:$C$87,0)),INDEX('Covenants Holdco'!P$43:P$87,MATCH('Financing assumptions Holdco'!$H45,'Covenants Holdco'!$C$43:$C$87,0)))</f>
        <v>#DIV/0!</v>
      </c>
      <c r="Z47" s="261" t="e">
        <f ca="1">CHOOSE($J$10,INDEX('Covenants Consolidated'!Q$43:Q$87,MATCH('Financing assumptions Holdco'!$H45,'Covenants Consolidated'!$C$43:$C$87,0)),INDEX('Covenants Holdco'!Q$43:Q$87,MATCH('Financing assumptions Holdco'!$H45,'Covenants Holdco'!$C$43:$C$87,0)))</f>
        <v>#DIV/0!</v>
      </c>
      <c r="AA47" s="261" t="e">
        <f ca="1">CHOOSE($J$10,INDEX('Covenants Consolidated'!R$43:R$87,MATCH('Financing assumptions Holdco'!$H45,'Covenants Consolidated'!$C$43:$C$87,0)),INDEX('Covenants Holdco'!R$43:R$87,MATCH('Financing assumptions Holdco'!$H45,'Covenants Holdco'!$C$43:$C$87,0)))</f>
        <v>#DIV/0!</v>
      </c>
      <c r="AB47" s="261" t="e">
        <f ca="1">CHOOSE($J$10,INDEX('Covenants Consolidated'!S$43:S$87,MATCH('Financing assumptions Holdco'!$H45,'Covenants Consolidated'!$C$43:$C$87,0)),INDEX('Covenants Holdco'!S$43:S$87,MATCH('Financing assumptions Holdco'!$H45,'Covenants Holdco'!$C$43:$C$87,0)))</f>
        <v>#DIV/0!</v>
      </c>
      <c r="AC47" s="261" t="e">
        <f ca="1">CHOOSE($J$10,INDEX('Covenants Consolidated'!T$43:T$87,MATCH('Financing assumptions Holdco'!$H45,'Covenants Consolidated'!$C$43:$C$87,0)),INDEX('Covenants Holdco'!T$43:T$87,MATCH('Financing assumptions Holdco'!$H45,'Covenants Holdco'!$C$43:$C$87,0)))</f>
        <v>#DIV/0!</v>
      </c>
      <c r="AD47" s="261" t="e">
        <f ca="1">CHOOSE($J$10,INDEX('Covenants Consolidated'!U$43:U$87,MATCH('Financing assumptions Holdco'!$H45,'Covenants Consolidated'!$C$43:$C$87,0)),INDEX('Covenants Holdco'!U$43:U$87,MATCH('Financing assumptions Holdco'!$H45,'Covenants Holdco'!$C$43:$C$87,0)))</f>
        <v>#DIV/0!</v>
      </c>
      <c r="AE47" s="261" t="e">
        <f ca="1">CHOOSE($J$10,INDEX('Covenants Consolidated'!V$43:V$87,MATCH('Financing assumptions Holdco'!$H45,'Covenants Consolidated'!$C$43:$C$87,0)),INDEX('Covenants Holdco'!V$43:V$87,MATCH('Financing assumptions Holdco'!$H45,'Covenants Holdco'!$C$43:$C$87,0)))</f>
        <v>#DIV/0!</v>
      </c>
      <c r="AF47" s="261" t="e">
        <f ca="1">CHOOSE($J$10,INDEX('Covenants Consolidated'!W$43:W$87,MATCH('Financing assumptions Holdco'!$H45,'Covenants Consolidated'!$C$43:$C$87,0)),INDEX('Covenants Holdco'!W$43:W$87,MATCH('Financing assumptions Holdco'!$H45,'Covenants Holdco'!$C$43:$C$87,0)))</f>
        <v>#DIV/0!</v>
      </c>
      <c r="AG47" s="261" t="e">
        <f ca="1">CHOOSE($J$10,INDEX('Covenants Consolidated'!X$43:X$87,MATCH('Financing assumptions Holdco'!$H45,'Covenants Consolidated'!$C$43:$C$87,0)),INDEX('Covenants Holdco'!X$43:X$87,MATCH('Financing assumptions Holdco'!$H45,'Covenants Holdco'!$C$43:$C$87,0)))</f>
        <v>#DIV/0!</v>
      </c>
      <c r="AH47" s="261" t="e">
        <f ca="1">CHOOSE($J$10,INDEX('Covenants Consolidated'!Y$43:Y$87,MATCH('Financing assumptions Holdco'!$H45,'Covenants Consolidated'!$C$43:$C$87,0)),INDEX('Covenants Holdco'!Y$43:Y$87,MATCH('Financing assumptions Holdco'!$H45,'Covenants Holdco'!$C$43:$C$87,0)))</f>
        <v>#DIV/0!</v>
      </c>
      <c r="AI47" s="261" t="e">
        <f ca="1">CHOOSE($J$10,INDEX('Covenants Consolidated'!Z$43:Z$87,MATCH('Financing assumptions Holdco'!$H45,'Covenants Consolidated'!$C$43:$C$87,0)),INDEX('Covenants Holdco'!Z$43:Z$87,MATCH('Financing assumptions Holdco'!$H45,'Covenants Holdco'!$C$43:$C$87,0)))</f>
        <v>#DIV/0!</v>
      </c>
      <c r="AJ47" s="261" t="e">
        <f ca="1">CHOOSE($J$10,INDEX('Covenants Consolidated'!AA$43:AA$87,MATCH('Financing assumptions Holdco'!$H45,'Covenants Consolidated'!$C$43:$C$87,0)),INDEX('Covenants Holdco'!AA$43:AA$87,MATCH('Financing assumptions Holdco'!$H45,'Covenants Holdco'!$C$43:$C$87,0)))</f>
        <v>#DIV/0!</v>
      </c>
      <c r="AK47" s="261" t="e">
        <f ca="1">CHOOSE($J$10,INDEX('Covenants Consolidated'!AB$43:AB$87,MATCH('Financing assumptions Holdco'!$H45,'Covenants Consolidated'!$C$43:$C$87,0)),INDEX('Covenants Holdco'!AB$43:AB$87,MATCH('Financing assumptions Holdco'!$H45,'Covenants Holdco'!$C$43:$C$87,0)))</f>
        <v>#N/A</v>
      </c>
      <c r="AL47" s="261" t="e">
        <f ca="1">CHOOSE($J$10,INDEX('Covenants Consolidated'!AC$43:AC$87,MATCH('Financing assumptions Holdco'!$H45,'Covenants Consolidated'!$C$43:$C$87,0)),INDEX('Covenants Holdco'!AC$43:AC$87,MATCH('Financing assumptions Holdco'!$H45,'Covenants Holdco'!$C$43:$C$87,0)))</f>
        <v>#N/A</v>
      </c>
      <c r="AM47" s="261" t="e">
        <f ca="1">CHOOSE($J$10,INDEX('Covenants Consolidated'!AD$43:AD$87,MATCH('Financing assumptions Holdco'!$H45,'Covenants Consolidated'!$C$43:$C$87,0)),INDEX('Covenants Holdco'!AD$43:AD$87,MATCH('Financing assumptions Holdco'!$H45,'Covenants Holdco'!$C$43:$C$87,0)))</f>
        <v>#N/A</v>
      </c>
      <c r="AN47" s="261" t="e">
        <f ca="1">CHOOSE($J$10,INDEX('Covenants Consolidated'!AE$43:AE$87,MATCH('Financing assumptions Holdco'!$H45,'Covenants Consolidated'!$C$43:$C$87,0)),INDEX('Covenants Holdco'!AE$43:AE$87,MATCH('Financing assumptions Holdco'!$H45,'Covenants Holdco'!$C$43:$C$87,0)))</f>
        <v>#N/A</v>
      </c>
      <c r="AO47" s="261" t="e">
        <f ca="1">CHOOSE($J$10,INDEX('Covenants Consolidated'!AF$43:AF$87,MATCH('Financing assumptions Holdco'!$H45,'Covenants Consolidated'!$C$43:$C$87,0)),INDEX('Covenants Holdco'!AF$43:AF$87,MATCH('Financing assumptions Holdco'!$H45,'Covenants Holdco'!$C$43:$C$87,0)))</f>
        <v>#N/A</v>
      </c>
      <c r="AP47" s="261" t="e">
        <f ca="1">CHOOSE($J$10,INDEX('Covenants Consolidated'!AG$43:AG$87,MATCH('Financing assumptions Holdco'!$H45,'Covenants Consolidated'!$C$43:$C$87,0)),INDEX('Covenants Holdco'!AG$43:AG$87,MATCH('Financing assumptions Holdco'!$H45,'Covenants Holdco'!$C$43:$C$87,0)))</f>
        <v>#N/A</v>
      </c>
    </row>
    <row r="48" spans="3:42">
      <c r="C48" s="58" t="s">
        <v>903</v>
      </c>
      <c r="D48" s="22"/>
      <c r="E48" s="22"/>
      <c r="F48" s="276">
        <v>700</v>
      </c>
      <c r="H48" s="69" t="str">
        <f>CONCATENATE(I49,"x&lt;x&lt;=",I48,"x")</f>
        <v>2.99x&lt;x&lt;=3x</v>
      </c>
      <c r="I48" s="407">
        <v>3</v>
      </c>
      <c r="J48" s="279">
        <v>700</v>
      </c>
      <c r="L48" s="282" t="s">
        <v>803</v>
      </c>
      <c r="M48" s="183">
        <f>IFERROR(INDEX($J46:$J50,MATCH(L47,$I46:$I50,-1)),$F48)/10000+$G46*M$11</f>
        <v>7.0000000000000007E-2</v>
      </c>
      <c r="N48" s="183">
        <f t="shared" ref="N48:AG48" si="42">IFERROR(INDEX($J46:$J50,MATCH(M47,$I46:$I50,-1)),$F48)/10000+$G46*N$11</f>
        <v>7.0000000000000007E-2</v>
      </c>
      <c r="O48" s="183">
        <f t="shared" si="42"/>
        <v>7.0000000000000007E-2</v>
      </c>
      <c r="P48" s="183">
        <f t="shared" si="42"/>
        <v>7.0000000000000007E-2</v>
      </c>
      <c r="Q48" s="183">
        <f t="shared" ca="1" si="42"/>
        <v>7.0000000000000007E-2</v>
      </c>
      <c r="R48" s="183">
        <f t="shared" ca="1" si="42"/>
        <v>7.0000000000000007E-2</v>
      </c>
      <c r="S48" s="183">
        <f t="shared" ca="1" si="42"/>
        <v>7.0000000000000007E-2</v>
      </c>
      <c r="T48" s="183">
        <f t="shared" ca="1" si="42"/>
        <v>7.0000000000000007E-2</v>
      </c>
      <c r="U48" s="183">
        <f t="shared" ca="1" si="42"/>
        <v>7.0000000000000007E-2</v>
      </c>
      <c r="V48" s="183">
        <f t="shared" ca="1" si="42"/>
        <v>7.0000000000000007E-2</v>
      </c>
      <c r="W48" s="183">
        <f t="shared" ca="1" si="42"/>
        <v>7.0000000000000007E-2</v>
      </c>
      <c r="X48" s="183">
        <f t="shared" ca="1" si="42"/>
        <v>7.0000000000000007E-2</v>
      </c>
      <c r="Y48" s="183">
        <f t="shared" ca="1" si="42"/>
        <v>7.0000000000000007E-2</v>
      </c>
      <c r="Z48" s="183">
        <f t="shared" ca="1" si="42"/>
        <v>7.0000000000000007E-2</v>
      </c>
      <c r="AA48" s="183">
        <f t="shared" ca="1" si="42"/>
        <v>7.0000000000000007E-2</v>
      </c>
      <c r="AB48" s="183">
        <f t="shared" ca="1" si="42"/>
        <v>7.0000000000000007E-2</v>
      </c>
      <c r="AC48" s="183">
        <f t="shared" ca="1" si="42"/>
        <v>7.0000000000000007E-2</v>
      </c>
      <c r="AD48" s="183">
        <f t="shared" ca="1" si="42"/>
        <v>7.0000000000000007E-2</v>
      </c>
      <c r="AE48" s="183">
        <f t="shared" ca="1" si="42"/>
        <v>7.0000000000000007E-2</v>
      </c>
      <c r="AF48" s="183">
        <f t="shared" ca="1" si="42"/>
        <v>7.0000000000000007E-2</v>
      </c>
      <c r="AG48" s="183">
        <f t="shared" ca="1" si="42"/>
        <v>7.0000000000000007E-2</v>
      </c>
      <c r="AH48" s="183">
        <f t="shared" ref="AH48" ca="1" si="43">IFERROR(INDEX($J46:$J50,MATCH(AG47,$I46:$I50,-1)),$F48)/10000+$G46*AH$11</f>
        <v>7.0000000000000007E-2</v>
      </c>
      <c r="AI48" s="183">
        <f t="shared" ref="AI48" ca="1" si="44">IFERROR(INDEX($J46:$J50,MATCH(AH47,$I46:$I50,-1)),$F48)/10000+$G46*AI$11</f>
        <v>7.0000000000000007E-2</v>
      </c>
      <c r="AJ48" s="183">
        <f t="shared" ref="AJ48" ca="1" si="45">IFERROR(INDEX($J46:$J50,MATCH(AI47,$I46:$I50,-1)),$F48)/10000+$G46*AJ$11</f>
        <v>7.0000000000000007E-2</v>
      </c>
      <c r="AK48" s="183">
        <f t="shared" ref="AK48" ca="1" si="46">IFERROR(INDEX($J46:$J50,MATCH(AJ47,$I46:$I50,-1)),$F48)/10000+$G46*AK$11</f>
        <v>7.0000000000000007E-2</v>
      </c>
      <c r="AL48" s="183">
        <f t="shared" ref="AL48" ca="1" si="47">IFERROR(INDEX($J46:$J50,MATCH(AK47,$I46:$I50,-1)),$F48)/10000+$G46*AL$11</f>
        <v>7.0000000000000007E-2</v>
      </c>
      <c r="AM48" s="183">
        <f t="shared" ref="AM48" ca="1" si="48">IFERROR(INDEX($J46:$J50,MATCH(AL47,$I46:$I50,-1)),$F48)/10000+$G46*AM$11</f>
        <v>7.0000000000000007E-2</v>
      </c>
      <c r="AN48" s="183">
        <f t="shared" ref="AN48" ca="1" si="49">IFERROR(INDEX($J46:$J50,MATCH(AM47,$I46:$I50,-1)),$F48)/10000+$G46*AN$11</f>
        <v>7.0000000000000007E-2</v>
      </c>
      <c r="AO48" s="183">
        <f t="shared" ref="AO48:AP48" ca="1" si="50">IFERROR(INDEX($J46:$J50,MATCH(AN47,$I46:$I50,-1)),$F48)/10000+$G46*AO$11</f>
        <v>7.0000000000000007E-2</v>
      </c>
      <c r="AP48" s="183">
        <f t="shared" ca="1" si="50"/>
        <v>7.0000000000000007E-2</v>
      </c>
    </row>
    <row r="49" spans="3:42">
      <c r="C49" s="58" t="s">
        <v>740</v>
      </c>
      <c r="D49" s="22"/>
      <c r="E49" s="22"/>
      <c r="F49" s="276">
        <v>600</v>
      </c>
      <c r="H49" s="69" t="str">
        <f>CONCATENATE(I50,"x&lt;x&lt;=",I49,"x")</f>
        <v>2.98x&lt;x&lt;=2.99x</v>
      </c>
      <c r="I49" s="407">
        <v>2.99</v>
      </c>
      <c r="J49" s="279">
        <v>700</v>
      </c>
      <c r="L49" s="60"/>
      <c r="M49" s="60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</row>
    <row r="50" spans="3:42">
      <c r="C50" s="12" t="s">
        <v>701</v>
      </c>
      <c r="F50" s="269">
        <f>F45+SUM(M45:AO45)</f>
        <v>0</v>
      </c>
      <c r="H50" s="73" t="str">
        <f>CONCATENATE("&lt;",I50,"x")</f>
        <v>&lt;2.98x</v>
      </c>
      <c r="I50" s="408">
        <v>2.98</v>
      </c>
      <c r="J50" s="281">
        <v>700</v>
      </c>
      <c r="L50" s="60"/>
      <c r="M50" s="60"/>
      <c r="O50" s="74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  <c r="AK50" s="71"/>
      <c r="AL50" s="71"/>
      <c r="AM50" s="71"/>
      <c r="AN50" s="71"/>
      <c r="AO50" s="71"/>
      <c r="AP50" s="71"/>
    </row>
    <row r="51" spans="3:42">
      <c r="C51" s="12"/>
      <c r="F51" s="72"/>
      <c r="L51" s="60"/>
      <c r="M51" s="60"/>
      <c r="O51" s="74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  <c r="AK51" s="71"/>
      <c r="AL51" s="71"/>
      <c r="AM51" s="71"/>
      <c r="AN51" s="71"/>
      <c r="AO51" s="71"/>
      <c r="AP51" s="71"/>
    </row>
    <row r="52" spans="3:42">
      <c r="C52" s="222" t="s">
        <v>1017</v>
      </c>
      <c r="D52" s="209"/>
      <c r="E52" s="209"/>
      <c r="F52" s="178"/>
      <c r="G52" s="178"/>
      <c r="H52" s="178"/>
      <c r="I52" s="178"/>
      <c r="J52" s="178"/>
      <c r="L52" s="222" t="s">
        <v>1018</v>
      </c>
      <c r="M52" s="222"/>
      <c r="N52" s="222"/>
      <c r="O52" s="222"/>
      <c r="P52" s="222"/>
      <c r="Q52" s="222"/>
      <c r="R52" s="222"/>
      <c r="S52" s="222"/>
      <c r="T52" s="222"/>
      <c r="U52" s="222"/>
      <c r="V52" s="222"/>
      <c r="W52" s="222"/>
      <c r="X52" s="222"/>
      <c r="Y52" s="222"/>
      <c r="Z52" s="222"/>
      <c r="AA52" s="222"/>
      <c r="AB52" s="222"/>
      <c r="AC52" s="222"/>
      <c r="AD52" s="222"/>
      <c r="AE52" s="222"/>
      <c r="AF52" s="222"/>
      <c r="AG52" s="222"/>
      <c r="AH52" s="222"/>
      <c r="AI52" s="222"/>
      <c r="AJ52" s="222"/>
      <c r="AK52" s="222"/>
      <c r="AL52" s="222"/>
      <c r="AM52" s="222"/>
      <c r="AN52" s="222"/>
      <c r="AO52" s="222"/>
      <c r="AP52" s="222"/>
    </row>
    <row r="53" spans="3:42" s="35" customFormat="1">
      <c r="C53" s="219" t="s">
        <v>26</v>
      </c>
      <c r="D53" s="214"/>
      <c r="E53" s="214"/>
      <c r="F53" s="219" t="e">
        <f>+F54/$F$10</f>
        <v>#DIV/0!</v>
      </c>
      <c r="H53" s="61" t="s">
        <v>798</v>
      </c>
      <c r="I53" s="62"/>
      <c r="J53" s="63"/>
      <c r="L53" s="76"/>
      <c r="M53" s="76"/>
      <c r="O53" s="77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</row>
    <row r="54" spans="3:42" s="35" customFormat="1">
      <c r="C54" s="60" t="s">
        <v>27</v>
      </c>
      <c r="D54" s="22"/>
      <c r="E54" s="22"/>
      <c r="F54" s="197"/>
      <c r="H54" s="397" t="s">
        <v>860</v>
      </c>
      <c r="I54" s="66"/>
      <c r="J54" s="67" t="s">
        <v>30</v>
      </c>
      <c r="L54" s="282" t="s">
        <v>802</v>
      </c>
      <c r="M54" s="261" t="str">
        <f>CHOOSE($J$10,INDEX('Covenants Consolidated'!D$43:D$87,MATCH('Financing assumptions Holdco'!$H54,'Covenants Consolidated'!$C$43:$C$87,0)),INDEX('Covenants Holdco'!D$43:D$87,MATCH('Financing assumptions Holdco'!$H54,'Covenants Holdco'!$C$43:$C$87,0)))</f>
        <v>na</v>
      </c>
      <c r="N54" s="261" t="str">
        <f>CHOOSE($J$10,INDEX('Covenants Consolidated'!E$43:E$87,MATCH('Financing assumptions Holdco'!$H54,'Covenants Consolidated'!$C$43:$C$87,0)),INDEX('Covenants Holdco'!E$43:E$87,MATCH('Financing assumptions Holdco'!$H54,'Covenants Holdco'!$C$43:$C$87,0)))</f>
        <v>na</v>
      </c>
      <c r="O54" s="261" t="str">
        <f>CHOOSE($J$10,INDEX('Covenants Consolidated'!F$43:F$87,MATCH('Financing assumptions Holdco'!$H54,'Covenants Consolidated'!$C$43:$C$87,0)),INDEX('Covenants Holdco'!F$43:F$87,MATCH('Financing assumptions Holdco'!$H54,'Covenants Holdco'!$C$43:$C$87,0)))</f>
        <v>na</v>
      </c>
      <c r="P54" s="261" t="e">
        <f ca="1">CHOOSE($J$10,INDEX('Covenants Consolidated'!G$43:G$87,MATCH('Financing assumptions Holdco'!$H54,'Covenants Consolidated'!$C$43:$C$87,0)),INDEX('Covenants Holdco'!G$43:G$87,MATCH('Financing assumptions Holdco'!$H54,'Covenants Holdco'!$C$43:$C$87,0)))</f>
        <v>#DIV/0!</v>
      </c>
      <c r="Q54" s="261" t="e">
        <f ca="1">CHOOSE($J$10,INDEX('Covenants Consolidated'!H$43:H$87,MATCH('Financing assumptions Holdco'!$H54,'Covenants Consolidated'!$C$43:$C$87,0)),INDEX('Covenants Holdco'!H$43:H$87,MATCH('Financing assumptions Holdco'!$H54,'Covenants Holdco'!$C$43:$C$87,0)))</f>
        <v>#DIV/0!</v>
      </c>
      <c r="R54" s="261" t="e">
        <f ca="1">CHOOSE($J$10,INDEX('Covenants Consolidated'!I$43:I$87,MATCH('Financing assumptions Holdco'!$H54,'Covenants Consolidated'!$C$43:$C$87,0)),INDEX('Covenants Holdco'!I$43:I$87,MATCH('Financing assumptions Holdco'!$H54,'Covenants Holdco'!$C$43:$C$87,0)))</f>
        <v>#DIV/0!</v>
      </c>
      <c r="S54" s="261" t="e">
        <f ca="1">CHOOSE($J$10,INDEX('Covenants Consolidated'!J$43:J$87,MATCH('Financing assumptions Holdco'!$H54,'Covenants Consolidated'!$C$43:$C$87,0)),INDEX('Covenants Holdco'!J$43:J$87,MATCH('Financing assumptions Holdco'!$H54,'Covenants Holdco'!$C$43:$C$87,0)))</f>
        <v>#DIV/0!</v>
      </c>
      <c r="T54" s="261" t="e">
        <f ca="1">CHOOSE($J$10,INDEX('Covenants Consolidated'!K$43:K$87,MATCH('Financing assumptions Holdco'!$H54,'Covenants Consolidated'!$C$43:$C$87,0)),INDEX('Covenants Holdco'!K$43:K$87,MATCH('Financing assumptions Holdco'!$H54,'Covenants Holdco'!$C$43:$C$87,0)))</f>
        <v>#DIV/0!</v>
      </c>
      <c r="U54" s="261" t="e">
        <f ca="1">CHOOSE($J$10,INDEX('Covenants Consolidated'!L$43:L$87,MATCH('Financing assumptions Holdco'!$H54,'Covenants Consolidated'!$C$43:$C$87,0)),INDEX('Covenants Holdco'!L$43:L$87,MATCH('Financing assumptions Holdco'!$H54,'Covenants Holdco'!$C$43:$C$87,0)))</f>
        <v>#DIV/0!</v>
      </c>
      <c r="V54" s="261" t="e">
        <f ca="1">CHOOSE($J$10,INDEX('Covenants Consolidated'!M$43:M$87,MATCH('Financing assumptions Holdco'!$H54,'Covenants Consolidated'!$C$43:$C$87,0)),INDEX('Covenants Holdco'!M$43:M$87,MATCH('Financing assumptions Holdco'!$H54,'Covenants Holdco'!$C$43:$C$87,0)))</f>
        <v>#DIV/0!</v>
      </c>
      <c r="W54" s="261" t="e">
        <f ca="1">CHOOSE($J$10,INDEX('Covenants Consolidated'!N$43:N$87,MATCH('Financing assumptions Holdco'!$H54,'Covenants Consolidated'!$C$43:$C$87,0)),INDEX('Covenants Holdco'!N$43:N$87,MATCH('Financing assumptions Holdco'!$H54,'Covenants Holdco'!$C$43:$C$87,0)))</f>
        <v>#DIV/0!</v>
      </c>
      <c r="X54" s="261" t="e">
        <f ca="1">CHOOSE($J$10,INDEX('Covenants Consolidated'!O$43:O$87,MATCH('Financing assumptions Holdco'!$H54,'Covenants Consolidated'!$C$43:$C$87,0)),INDEX('Covenants Holdco'!O$43:O$87,MATCH('Financing assumptions Holdco'!$H54,'Covenants Holdco'!$C$43:$C$87,0)))</f>
        <v>#DIV/0!</v>
      </c>
      <c r="Y54" s="261" t="e">
        <f ca="1">CHOOSE($J$10,INDEX('Covenants Consolidated'!P$43:P$87,MATCH('Financing assumptions Holdco'!$H54,'Covenants Consolidated'!$C$43:$C$87,0)),INDEX('Covenants Holdco'!P$43:P$87,MATCH('Financing assumptions Holdco'!$H54,'Covenants Holdco'!$C$43:$C$87,0)))</f>
        <v>#DIV/0!</v>
      </c>
      <c r="Z54" s="261" t="e">
        <f ca="1">CHOOSE($J$10,INDEX('Covenants Consolidated'!Q$43:Q$87,MATCH('Financing assumptions Holdco'!$H54,'Covenants Consolidated'!$C$43:$C$87,0)),INDEX('Covenants Holdco'!Q$43:Q$87,MATCH('Financing assumptions Holdco'!$H54,'Covenants Holdco'!$C$43:$C$87,0)))</f>
        <v>#DIV/0!</v>
      </c>
      <c r="AA54" s="261" t="e">
        <f ca="1">CHOOSE($J$10,INDEX('Covenants Consolidated'!R$43:R$87,MATCH('Financing assumptions Holdco'!$H54,'Covenants Consolidated'!$C$43:$C$87,0)),INDEX('Covenants Holdco'!R$43:R$87,MATCH('Financing assumptions Holdco'!$H54,'Covenants Holdco'!$C$43:$C$87,0)))</f>
        <v>#DIV/0!</v>
      </c>
      <c r="AB54" s="261" t="e">
        <f ca="1">CHOOSE($J$10,INDEX('Covenants Consolidated'!S$43:S$87,MATCH('Financing assumptions Holdco'!$H54,'Covenants Consolidated'!$C$43:$C$87,0)),INDEX('Covenants Holdco'!S$43:S$87,MATCH('Financing assumptions Holdco'!$H54,'Covenants Holdco'!$C$43:$C$87,0)))</f>
        <v>#DIV/0!</v>
      </c>
      <c r="AC54" s="261" t="e">
        <f ca="1">CHOOSE($J$10,INDEX('Covenants Consolidated'!T$43:T$87,MATCH('Financing assumptions Holdco'!$H54,'Covenants Consolidated'!$C$43:$C$87,0)),INDEX('Covenants Holdco'!T$43:T$87,MATCH('Financing assumptions Holdco'!$H54,'Covenants Holdco'!$C$43:$C$87,0)))</f>
        <v>#DIV/0!</v>
      </c>
      <c r="AD54" s="261" t="e">
        <f ca="1">CHOOSE($J$10,INDEX('Covenants Consolidated'!U$43:U$87,MATCH('Financing assumptions Holdco'!$H54,'Covenants Consolidated'!$C$43:$C$87,0)),INDEX('Covenants Holdco'!U$43:U$87,MATCH('Financing assumptions Holdco'!$H54,'Covenants Holdco'!$C$43:$C$87,0)))</f>
        <v>#DIV/0!</v>
      </c>
      <c r="AE54" s="261" t="e">
        <f ca="1">CHOOSE($J$10,INDEX('Covenants Consolidated'!V$43:V$87,MATCH('Financing assumptions Holdco'!$H54,'Covenants Consolidated'!$C$43:$C$87,0)),INDEX('Covenants Holdco'!V$43:V$87,MATCH('Financing assumptions Holdco'!$H54,'Covenants Holdco'!$C$43:$C$87,0)))</f>
        <v>#DIV/0!</v>
      </c>
      <c r="AF54" s="261" t="e">
        <f ca="1">CHOOSE($J$10,INDEX('Covenants Consolidated'!W$43:W$87,MATCH('Financing assumptions Holdco'!$H54,'Covenants Consolidated'!$C$43:$C$87,0)),INDEX('Covenants Holdco'!W$43:W$87,MATCH('Financing assumptions Holdco'!$H54,'Covenants Holdco'!$C$43:$C$87,0)))</f>
        <v>#DIV/0!</v>
      </c>
      <c r="AG54" s="261" t="e">
        <f ca="1">CHOOSE($J$10,INDEX('Covenants Consolidated'!X$43:X$87,MATCH('Financing assumptions Holdco'!$H54,'Covenants Consolidated'!$C$43:$C$87,0)),INDEX('Covenants Holdco'!X$43:X$87,MATCH('Financing assumptions Holdco'!$H54,'Covenants Holdco'!$C$43:$C$87,0)))</f>
        <v>#DIV/0!</v>
      </c>
      <c r="AH54" s="261" t="e">
        <f ca="1">CHOOSE($J$10,INDEX('Covenants Consolidated'!Y$43:Y$87,MATCH('Financing assumptions Holdco'!$H54,'Covenants Consolidated'!$C$43:$C$87,0)),INDEX('Covenants Holdco'!Y$43:Y$87,MATCH('Financing assumptions Holdco'!$H54,'Covenants Holdco'!$C$43:$C$87,0)))</f>
        <v>#DIV/0!</v>
      </c>
      <c r="AI54" s="261" t="e">
        <f ca="1">CHOOSE($J$10,INDEX('Covenants Consolidated'!Z$43:Z$87,MATCH('Financing assumptions Holdco'!$H54,'Covenants Consolidated'!$C$43:$C$87,0)),INDEX('Covenants Holdco'!Z$43:Z$87,MATCH('Financing assumptions Holdco'!$H54,'Covenants Holdco'!$C$43:$C$87,0)))</f>
        <v>#DIV/0!</v>
      </c>
      <c r="AJ54" s="261" t="e">
        <f ca="1">CHOOSE($J$10,INDEX('Covenants Consolidated'!AA$43:AA$87,MATCH('Financing assumptions Holdco'!$H54,'Covenants Consolidated'!$C$43:$C$87,0)),INDEX('Covenants Holdco'!AA$43:AA$87,MATCH('Financing assumptions Holdco'!$H54,'Covenants Holdco'!$C$43:$C$87,0)))</f>
        <v>#DIV/0!</v>
      </c>
      <c r="AK54" s="261" t="e">
        <f ca="1">CHOOSE($J$10,INDEX('Covenants Consolidated'!AB$43:AB$87,MATCH('Financing assumptions Holdco'!$H54,'Covenants Consolidated'!$C$43:$C$87,0)),INDEX('Covenants Holdco'!AB$43:AB$87,MATCH('Financing assumptions Holdco'!$H54,'Covenants Holdco'!$C$43:$C$87,0)))</f>
        <v>#N/A</v>
      </c>
      <c r="AL54" s="261" t="e">
        <f ca="1">CHOOSE($J$10,INDEX('Covenants Consolidated'!AC$43:AC$87,MATCH('Financing assumptions Holdco'!$H54,'Covenants Consolidated'!$C$43:$C$87,0)),INDEX('Covenants Holdco'!AC$43:AC$87,MATCH('Financing assumptions Holdco'!$H54,'Covenants Holdco'!$C$43:$C$87,0)))</f>
        <v>#N/A</v>
      </c>
      <c r="AM54" s="261" t="e">
        <f ca="1">CHOOSE($J$10,INDEX('Covenants Consolidated'!AD$43:AD$87,MATCH('Financing assumptions Holdco'!$H54,'Covenants Consolidated'!$C$43:$C$87,0)),INDEX('Covenants Holdco'!AD$43:AD$87,MATCH('Financing assumptions Holdco'!$H54,'Covenants Holdco'!$C$43:$C$87,0)))</f>
        <v>#N/A</v>
      </c>
      <c r="AN54" s="261" t="e">
        <f ca="1">CHOOSE($J$10,INDEX('Covenants Consolidated'!AE$43:AE$87,MATCH('Financing assumptions Holdco'!$H54,'Covenants Consolidated'!$C$43:$C$87,0)),INDEX('Covenants Holdco'!AE$43:AE$87,MATCH('Financing assumptions Holdco'!$H54,'Covenants Holdco'!$C$43:$C$87,0)))</f>
        <v>#N/A</v>
      </c>
      <c r="AO54" s="261" t="e">
        <f ca="1">CHOOSE($J$10,INDEX('Covenants Consolidated'!AF$43:AF$87,MATCH('Financing assumptions Holdco'!$H54,'Covenants Consolidated'!$C$43:$C$87,0)),INDEX('Covenants Holdco'!AF$43:AF$87,MATCH('Financing assumptions Holdco'!$H54,'Covenants Holdco'!$C$43:$C$87,0)))</f>
        <v>#N/A</v>
      </c>
      <c r="AP54" s="261" t="e">
        <f ca="1">CHOOSE($J$10,INDEX('Covenants Consolidated'!AG$43:AG$87,MATCH('Financing assumptions Holdco'!$H54,'Covenants Consolidated'!$C$43:$C$87,0)),INDEX('Covenants Holdco'!AG$43:AG$87,MATCH('Financing assumptions Holdco'!$H54,'Covenants Holdco'!$C$43:$C$87,0)))</f>
        <v>#N/A</v>
      </c>
    </row>
    <row r="55" spans="3:42" s="35" customFormat="1">
      <c r="C55" s="58" t="s">
        <v>903</v>
      </c>
      <c r="D55" s="22"/>
      <c r="E55" s="22"/>
      <c r="F55" s="276">
        <v>365</v>
      </c>
      <c r="H55" s="69" t="str">
        <f>CONCATENATE("&gt;",I56,"x")</f>
        <v>&gt;5x</v>
      </c>
      <c r="I55" s="278">
        <v>99999</v>
      </c>
      <c r="J55" s="279">
        <v>365</v>
      </c>
      <c r="L55" s="282" t="s">
        <v>803</v>
      </c>
      <c r="M55" s="183">
        <f>IFERROR(INDEX($J55:$J62,MATCH(L54,$I55:$I62,-1)),$F55)/10000+M$11</f>
        <v>5.9899999999999995E-2</v>
      </c>
      <c r="N55" s="183">
        <f t="shared" ref="N55:AG55" si="51">IFERROR(INDEX($J55:$J62,MATCH(M54,$I55:$I62,-1)),$F55)/10000+N$11</f>
        <v>5.9899999999999995E-2</v>
      </c>
      <c r="O55" s="183">
        <f t="shared" si="51"/>
        <v>5.9899999999999995E-2</v>
      </c>
      <c r="P55" s="183">
        <f t="shared" si="51"/>
        <v>5.9899999999999995E-2</v>
      </c>
      <c r="Q55" s="183">
        <f t="shared" ca="1" si="51"/>
        <v>5.9899999999999995E-2</v>
      </c>
      <c r="R55" s="183">
        <f t="shared" ca="1" si="51"/>
        <v>5.9899999999999995E-2</v>
      </c>
      <c r="S55" s="183">
        <f t="shared" ca="1" si="51"/>
        <v>5.9899999999999995E-2</v>
      </c>
      <c r="T55" s="183">
        <f t="shared" ca="1" si="51"/>
        <v>5.9899999999999995E-2</v>
      </c>
      <c r="U55" s="183">
        <f t="shared" ca="1" si="51"/>
        <v>5.9899999999999995E-2</v>
      </c>
      <c r="V55" s="183">
        <f t="shared" ca="1" si="51"/>
        <v>5.9899999999999995E-2</v>
      </c>
      <c r="W55" s="183">
        <f t="shared" ca="1" si="51"/>
        <v>5.9899999999999995E-2</v>
      </c>
      <c r="X55" s="183">
        <f t="shared" ca="1" si="51"/>
        <v>5.9899999999999995E-2</v>
      </c>
      <c r="Y55" s="183">
        <f t="shared" ca="1" si="51"/>
        <v>5.9899999999999995E-2</v>
      </c>
      <c r="Z55" s="183">
        <f t="shared" ca="1" si="51"/>
        <v>5.9899999999999995E-2</v>
      </c>
      <c r="AA55" s="183">
        <f t="shared" ca="1" si="51"/>
        <v>5.9899999999999995E-2</v>
      </c>
      <c r="AB55" s="183">
        <f t="shared" ca="1" si="51"/>
        <v>5.9899999999999995E-2</v>
      </c>
      <c r="AC55" s="183">
        <f t="shared" ca="1" si="51"/>
        <v>5.9899999999999995E-2</v>
      </c>
      <c r="AD55" s="183">
        <f t="shared" ca="1" si="51"/>
        <v>5.9899999999999995E-2</v>
      </c>
      <c r="AE55" s="183">
        <f t="shared" ca="1" si="51"/>
        <v>5.9899999999999995E-2</v>
      </c>
      <c r="AF55" s="183">
        <f t="shared" ca="1" si="51"/>
        <v>5.9899999999999995E-2</v>
      </c>
      <c r="AG55" s="183">
        <f t="shared" ca="1" si="51"/>
        <v>5.9899999999999995E-2</v>
      </c>
      <c r="AH55" s="183">
        <f t="shared" ref="AH55" ca="1" si="52">IFERROR(INDEX($J55:$J62,MATCH(AG54,$I55:$I62,-1)),$F55)/10000+AH$11</f>
        <v>5.9899999999999995E-2</v>
      </c>
      <c r="AI55" s="183">
        <f t="shared" ref="AI55" ca="1" si="53">IFERROR(INDEX($J55:$J62,MATCH(AH54,$I55:$I62,-1)),$F55)/10000+AI$11</f>
        <v>5.9899999999999995E-2</v>
      </c>
      <c r="AJ55" s="183">
        <f t="shared" ref="AJ55" ca="1" si="54">IFERROR(INDEX($J55:$J62,MATCH(AI54,$I55:$I62,-1)),$F55)/10000+AJ$11</f>
        <v>5.9899999999999995E-2</v>
      </c>
      <c r="AK55" s="183">
        <f t="shared" ref="AK55" ca="1" si="55">IFERROR(INDEX($J55:$J62,MATCH(AJ54,$I55:$I62,-1)),$F55)/10000+AK$11</f>
        <v>5.9899999999999995E-2</v>
      </c>
      <c r="AL55" s="183">
        <f t="shared" ref="AL55" ca="1" si="56">IFERROR(INDEX($J55:$J62,MATCH(AK54,$I55:$I62,-1)),$F55)/10000+AL$11</f>
        <v>5.9899999999999995E-2</v>
      </c>
      <c r="AM55" s="183">
        <f t="shared" ref="AM55" ca="1" si="57">IFERROR(INDEX($J55:$J62,MATCH(AL54,$I55:$I62,-1)),$F55)/10000+AM$11</f>
        <v>5.9899999999999995E-2</v>
      </c>
      <c r="AN55" s="183">
        <f t="shared" ref="AN55" ca="1" si="58">IFERROR(INDEX($J55:$J62,MATCH(AM54,$I55:$I62,-1)),$F55)/10000+AN$11</f>
        <v>5.9899999999999995E-2</v>
      </c>
      <c r="AO55" s="183">
        <f t="shared" ref="AO55:AP55" ca="1" si="59">IFERROR(INDEX($J55:$J62,MATCH(AN54,$I55:$I62,-1)),$F55)/10000+AO$11</f>
        <v>5.9899999999999995E-2</v>
      </c>
      <c r="AP55" s="183">
        <f t="shared" ca="1" si="59"/>
        <v>5.9899999999999995E-2</v>
      </c>
    </row>
    <row r="56" spans="3:42" s="35" customFormat="1">
      <c r="C56" s="58" t="s">
        <v>757</v>
      </c>
      <c r="D56" s="22"/>
      <c r="E56" s="22"/>
      <c r="F56" s="276">
        <f>F55*0.3</f>
        <v>109.5</v>
      </c>
      <c r="H56" s="69" t="str">
        <f t="shared" ref="H56:H61" si="60">CONCATENATE(I57,"x&lt;x&lt;=",I56,"x")</f>
        <v>4.5x&lt;x&lt;=5x</v>
      </c>
      <c r="I56" s="407">
        <v>5</v>
      </c>
      <c r="J56" s="279">
        <v>320</v>
      </c>
      <c r="L56" s="76"/>
      <c r="M56" s="76"/>
      <c r="O56" s="77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</row>
    <row r="57" spans="3:42" s="35" customFormat="1">
      <c r="C57" s="58" t="s">
        <v>858</v>
      </c>
      <c r="D57" s="22"/>
      <c r="E57" s="22"/>
      <c r="F57" s="197"/>
      <c r="H57" s="69" t="str">
        <f t="shared" si="60"/>
        <v>4x&lt;x&lt;=4.5x</v>
      </c>
      <c r="I57" s="407">
        <v>4.5</v>
      </c>
      <c r="J57" s="279">
        <v>290</v>
      </c>
      <c r="L57" s="60"/>
      <c r="M57" s="60"/>
      <c r="O57" s="77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</row>
    <row r="58" spans="3:42" s="35" customFormat="1">
      <c r="C58" s="58"/>
      <c r="D58" s="22"/>
      <c r="E58" s="22"/>
      <c r="F58" s="388"/>
      <c r="H58" s="69" t="str">
        <f t="shared" si="60"/>
        <v>3.25x&lt;x&lt;=4x</v>
      </c>
      <c r="I58" s="407">
        <v>4</v>
      </c>
      <c r="J58" s="279">
        <v>260</v>
      </c>
      <c r="L58" s="60"/>
      <c r="M58" s="60"/>
      <c r="O58" s="77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</row>
    <row r="59" spans="3:42" s="35" customFormat="1">
      <c r="C59" s="58"/>
      <c r="D59" s="22"/>
      <c r="E59" s="22"/>
      <c r="F59" s="388"/>
      <c r="H59" s="69" t="str">
        <f t="shared" si="60"/>
        <v>2.25x&lt;x&lt;=3.25x</v>
      </c>
      <c r="I59" s="407">
        <v>3.25</v>
      </c>
      <c r="J59" s="279">
        <v>210</v>
      </c>
      <c r="L59" s="60"/>
      <c r="M59" s="60"/>
      <c r="O59" s="77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</row>
    <row r="60" spans="3:42" s="35" customFormat="1">
      <c r="C60" s="58"/>
      <c r="D60" s="22"/>
      <c r="E60" s="22"/>
      <c r="F60" s="388"/>
      <c r="H60" s="69" t="str">
        <f t="shared" si="60"/>
        <v>2.24x&lt;x&lt;=2.25x</v>
      </c>
      <c r="I60" s="407">
        <v>2.25</v>
      </c>
      <c r="J60" s="279">
        <v>210</v>
      </c>
      <c r="L60" s="60"/>
      <c r="M60" s="60"/>
      <c r="O60" s="77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</row>
    <row r="61" spans="3:42" s="35" customFormat="1">
      <c r="C61" s="58"/>
      <c r="D61" s="22"/>
      <c r="E61" s="22"/>
      <c r="F61" s="87"/>
      <c r="H61" s="69" t="str">
        <f t="shared" si="60"/>
        <v>2x&lt;x&lt;=2.24x</v>
      </c>
      <c r="I61" s="407">
        <v>2.2400000000000002</v>
      </c>
      <c r="J61" s="279">
        <v>210</v>
      </c>
      <c r="L61" s="60"/>
      <c r="M61" s="60"/>
      <c r="O61" s="77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</row>
    <row r="62" spans="3:42">
      <c r="C62" s="12"/>
      <c r="F62" s="72"/>
      <c r="H62" s="73" t="str">
        <f>CONCATENATE("&lt;",I62,"x")</f>
        <v>&lt;2x</v>
      </c>
      <c r="I62" s="408">
        <v>2</v>
      </c>
      <c r="J62" s="281">
        <v>210</v>
      </c>
      <c r="L62" s="60"/>
      <c r="M62" s="60"/>
      <c r="O62" s="74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  <c r="AA62" s="71"/>
      <c r="AB62" s="71"/>
      <c r="AC62" s="71"/>
      <c r="AD62" s="71"/>
      <c r="AE62" s="71"/>
      <c r="AF62" s="71"/>
      <c r="AG62" s="71"/>
      <c r="AH62" s="71"/>
      <c r="AI62" s="71"/>
      <c r="AJ62" s="71"/>
      <c r="AK62" s="71"/>
      <c r="AL62" s="71"/>
      <c r="AM62" s="71"/>
      <c r="AN62" s="71"/>
    </row>
    <row r="63" spans="3:42">
      <c r="C63" s="12"/>
      <c r="F63" s="72"/>
      <c r="H63" s="22"/>
      <c r="I63" s="70"/>
      <c r="J63" s="79"/>
      <c r="L63" s="76"/>
      <c r="M63" s="76"/>
      <c r="O63" s="74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  <c r="AA63" s="71"/>
      <c r="AB63" s="71"/>
      <c r="AC63" s="71"/>
      <c r="AD63" s="71"/>
      <c r="AE63" s="71"/>
      <c r="AF63" s="71"/>
      <c r="AG63" s="71"/>
      <c r="AH63" s="71"/>
      <c r="AI63" s="71"/>
      <c r="AJ63" s="71"/>
      <c r="AK63" s="71"/>
      <c r="AL63" s="71"/>
      <c r="AM63" s="71"/>
      <c r="AN63" s="71"/>
    </row>
    <row r="64" spans="3:42">
      <c r="C64" s="222" t="s">
        <v>755</v>
      </c>
      <c r="D64" s="209"/>
      <c r="E64" s="209"/>
      <c r="F64" s="178"/>
      <c r="G64" s="178"/>
      <c r="H64" s="178"/>
      <c r="I64" s="178"/>
      <c r="J64" s="178"/>
      <c r="L64" s="76"/>
      <c r="M64" s="76"/>
      <c r="O64" s="74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</row>
    <row r="65" spans="3:40" s="35" customFormat="1">
      <c r="C65" s="219" t="s">
        <v>759</v>
      </c>
      <c r="D65" s="22"/>
      <c r="E65" s="22"/>
      <c r="F65" s="197" t="b">
        <v>0</v>
      </c>
      <c r="L65" s="76"/>
      <c r="M65" s="76"/>
      <c r="O65" s="77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</row>
    <row r="66" spans="3:40" s="35" customFormat="1">
      <c r="C66" s="219" t="s">
        <v>760</v>
      </c>
      <c r="D66" s="22"/>
      <c r="E66" s="22"/>
      <c r="F66" s="274">
        <v>0.24</v>
      </c>
      <c r="L66" s="80"/>
      <c r="M66" s="80"/>
      <c r="O66" s="77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</row>
    <row r="67" spans="3:40">
      <c r="C67" s="12"/>
      <c r="F67" s="72"/>
      <c r="K67" s="35"/>
      <c r="L67" s="35"/>
      <c r="M67" s="35"/>
      <c r="N67" s="35"/>
      <c r="O67" s="77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</row>
    <row r="68" spans="3:40">
      <c r="C68" s="222" t="s">
        <v>1020</v>
      </c>
      <c r="D68" s="222"/>
      <c r="E68" s="222"/>
      <c r="F68" s="222"/>
      <c r="G68" s="222"/>
      <c r="H68" s="222"/>
      <c r="I68" s="222"/>
      <c r="J68" s="222"/>
      <c r="K68" s="222"/>
      <c r="L68" s="222"/>
      <c r="M68" s="222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</row>
    <row r="69" spans="3:40">
      <c r="C69" s="35" t="s">
        <v>904</v>
      </c>
      <c r="F69" s="197" t="b">
        <v>1</v>
      </c>
      <c r="H69" s="61" t="s">
        <v>905</v>
      </c>
      <c r="I69" s="62"/>
      <c r="J69" s="63"/>
      <c r="K69" s="35"/>
      <c r="L69" s="792" t="s">
        <v>906</v>
      </c>
      <c r="M69" s="793"/>
      <c r="N69" s="81"/>
      <c r="O69" s="35"/>
      <c r="P69" s="82"/>
      <c r="Q69" s="82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2"/>
      <c r="AE69" s="82"/>
      <c r="AF69" s="82"/>
      <c r="AG69" s="82"/>
      <c r="AH69" s="82"/>
      <c r="AI69" s="82"/>
      <c r="AJ69" s="82"/>
      <c r="AK69" s="82"/>
      <c r="AL69" s="82"/>
      <c r="AM69" s="82"/>
      <c r="AN69" s="82"/>
    </row>
    <row r="70" spans="3:40">
      <c r="C70" s="35" t="s">
        <v>907</v>
      </c>
      <c r="F70" s="197" t="b">
        <v>1</v>
      </c>
      <c r="H70" s="397" t="s">
        <v>860</v>
      </c>
      <c r="I70" s="66"/>
      <c r="J70" s="67" t="s">
        <v>908</v>
      </c>
      <c r="K70" s="35"/>
      <c r="L70" s="83" t="s">
        <v>909</v>
      </c>
      <c r="M70" s="321">
        <v>1</v>
      </c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</row>
    <row r="71" spans="3:40">
      <c r="C71" s="405" t="s">
        <v>1535</v>
      </c>
      <c r="F71" s="197" t="b">
        <v>0</v>
      </c>
      <c r="H71" s="69" t="str">
        <f>CONCATENATE("&gt;",I72,"x")</f>
        <v>&gt;4.75x</v>
      </c>
      <c r="I71" s="278">
        <v>99999</v>
      </c>
      <c r="J71" s="321">
        <v>0.7</v>
      </c>
      <c r="K71" s="35"/>
      <c r="L71" s="84" t="s">
        <v>911</v>
      </c>
      <c r="M71" s="321">
        <v>0</v>
      </c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</row>
    <row r="72" spans="3:40">
      <c r="C72" s="6" t="s">
        <v>910</v>
      </c>
      <c r="F72" s="283">
        <v>43373</v>
      </c>
      <c r="H72" s="69" t="str">
        <f t="shared" ref="H72:H77" si="61">CONCATENATE(I73,"x&lt;x&lt;=",I72,"x")</f>
        <v>3.75x&lt;x&lt;=4.75x</v>
      </c>
      <c r="I72" s="407">
        <v>4.75</v>
      </c>
      <c r="J72" s="321">
        <v>0.5</v>
      </c>
      <c r="K72" s="35"/>
      <c r="L72" s="84" t="s">
        <v>913</v>
      </c>
      <c r="M72" s="321">
        <v>0</v>
      </c>
      <c r="N72" s="3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  <c r="AG72" s="85"/>
      <c r="AH72" s="85"/>
      <c r="AI72" s="85"/>
      <c r="AJ72" s="85"/>
      <c r="AK72" s="85"/>
      <c r="AL72" s="85"/>
      <c r="AM72" s="85"/>
      <c r="AN72" s="85"/>
    </row>
    <row r="73" spans="3:40">
      <c r="C73" s="6" t="s">
        <v>912</v>
      </c>
      <c r="F73" s="197">
        <v>4</v>
      </c>
      <c r="H73" s="69" t="str">
        <f t="shared" si="61"/>
        <v>2.75x&lt;x&lt;=3.75x</v>
      </c>
      <c r="I73" s="407">
        <v>3.75</v>
      </c>
      <c r="J73" s="321">
        <v>0.25</v>
      </c>
      <c r="K73" s="35"/>
      <c r="L73" s="86" t="s">
        <v>915</v>
      </c>
      <c r="M73" s="322">
        <v>0</v>
      </c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</row>
    <row r="74" spans="3:40">
      <c r="C74" s="6" t="s">
        <v>815</v>
      </c>
      <c r="F74" s="197"/>
      <c r="H74" s="69" t="str">
        <f t="shared" si="61"/>
        <v>2.5x&lt;x&lt;=2.75x</v>
      </c>
      <c r="I74" s="407">
        <v>2.75</v>
      </c>
      <c r="J74" s="321">
        <v>0</v>
      </c>
      <c r="K74" s="35"/>
      <c r="L74" s="402"/>
      <c r="M74" s="403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</row>
    <row r="75" spans="3:40">
      <c r="F75" s="388"/>
      <c r="H75" s="69" t="str">
        <f t="shared" si="61"/>
        <v>2.25x&lt;x&lt;=2.5x</v>
      </c>
      <c r="I75" s="407">
        <v>2.5</v>
      </c>
      <c r="J75" s="321">
        <v>0</v>
      </c>
      <c r="K75" s="35"/>
      <c r="L75" s="402"/>
      <c r="M75" s="403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</row>
    <row r="76" spans="3:40">
      <c r="F76" s="388"/>
      <c r="H76" s="69" t="str">
        <f t="shared" si="61"/>
        <v>2.24x&lt;x&lt;=2.25x</v>
      </c>
      <c r="I76" s="407">
        <v>2.25</v>
      </c>
      <c r="J76" s="321">
        <v>0</v>
      </c>
      <c r="K76" s="35"/>
      <c r="L76" s="402"/>
      <c r="M76" s="403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</row>
    <row r="77" spans="3:40">
      <c r="F77" s="388"/>
      <c r="H77" s="69" t="str">
        <f t="shared" si="61"/>
        <v>2.24x&lt;x&lt;=2.24x</v>
      </c>
      <c r="I77" s="407">
        <v>2.2400000000000002</v>
      </c>
      <c r="J77" s="321">
        <v>0</v>
      </c>
      <c r="K77" s="35"/>
      <c r="L77" s="402"/>
      <c r="M77" s="403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</row>
    <row r="78" spans="3:40" ht="14.4">
      <c r="H78" s="73" t="str">
        <f>CONCATENATE("&lt;",I78,"x")</f>
        <v>&lt;2.24x</v>
      </c>
      <c r="I78" s="408">
        <v>2.2400000000000002</v>
      </c>
      <c r="J78" s="322">
        <v>0</v>
      </c>
      <c r="K78" s="38"/>
      <c r="L78" s="35"/>
      <c r="M78" s="35"/>
      <c r="N78" s="35"/>
      <c r="O78" s="35"/>
      <c r="P78" s="38"/>
      <c r="Q78" s="38"/>
      <c r="R78" s="38"/>
      <c r="S78" s="38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</row>
    <row r="79" spans="3:40">
      <c r="F79" s="87"/>
      <c r="K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</row>
    <row r="80" spans="3:40">
      <c r="C80" s="222" t="s">
        <v>916</v>
      </c>
      <c r="D80" s="209"/>
      <c r="E80" s="209"/>
      <c r="F80" s="178"/>
      <c r="G80" s="178"/>
      <c r="H80" s="178"/>
      <c r="I80" s="178"/>
      <c r="J80" s="178"/>
    </row>
    <row r="81" spans="3:10">
      <c r="C81" s="405" t="s">
        <v>1550</v>
      </c>
      <c r="F81" s="197" t="b">
        <v>1</v>
      </c>
      <c r="H81" s="61" t="s">
        <v>1549</v>
      </c>
      <c r="I81" s="62"/>
      <c r="J81" s="63"/>
    </row>
    <row r="82" spans="3:10" ht="14.4">
      <c r="C82" s="35" t="s">
        <v>1021</v>
      </c>
      <c r="E82" s="8"/>
      <c r="F82" s="35"/>
      <c r="G82" s="88"/>
      <c r="H82" s="397" t="s">
        <v>860</v>
      </c>
      <c r="I82" s="66"/>
      <c r="J82" s="67" t="s">
        <v>1757</v>
      </c>
    </row>
    <row r="83" spans="3:10" ht="14.4">
      <c r="C83" s="218" t="s">
        <v>1477</v>
      </c>
      <c r="F83" s="197" t="b">
        <v>0</v>
      </c>
      <c r="G83" s="1"/>
      <c r="H83" s="69" t="str">
        <f>CONCATENATE("&gt;",I84,"x")</f>
        <v>&gt;3.75x</v>
      </c>
      <c r="I83" s="278">
        <v>99999</v>
      </c>
      <c r="J83" s="321">
        <v>0</v>
      </c>
    </row>
    <row r="84" spans="3:10" ht="14.4">
      <c r="F84" s="1"/>
      <c r="G84" s="1"/>
      <c r="H84" s="69" t="str">
        <f t="shared" ref="H84:H89" si="62">CONCATENATE(I85,"x&lt;x&lt;=",I84,"x")</f>
        <v>2.5x&lt;x&lt;=3.75x</v>
      </c>
      <c r="I84" s="407">
        <v>3.75</v>
      </c>
      <c r="J84" s="321">
        <v>0.5</v>
      </c>
    </row>
    <row r="85" spans="3:10" ht="14.4">
      <c r="F85" s="1"/>
      <c r="G85" s="1"/>
      <c r="H85" s="69" t="str">
        <f t="shared" si="62"/>
        <v>2.24x&lt;x&lt;=2.5x</v>
      </c>
      <c r="I85" s="407">
        <v>2.5</v>
      </c>
      <c r="J85" s="321">
        <v>1</v>
      </c>
    </row>
    <row r="86" spans="3:10" ht="14.4">
      <c r="F86" s="1"/>
      <c r="G86" s="1"/>
      <c r="H86" s="69" t="str">
        <f t="shared" si="62"/>
        <v>2.23x&lt;x&lt;=2.24x</v>
      </c>
      <c r="I86" s="407">
        <v>2.2400000000000002</v>
      </c>
      <c r="J86" s="321">
        <v>1</v>
      </c>
    </row>
    <row r="87" spans="3:10" ht="14.4">
      <c r="F87" s="1"/>
      <c r="G87" s="1"/>
      <c r="H87" s="69" t="str">
        <f t="shared" si="62"/>
        <v>2.22x&lt;x&lt;=2.23x</v>
      </c>
      <c r="I87" s="407">
        <v>2.23</v>
      </c>
      <c r="J87" s="321">
        <v>1</v>
      </c>
    </row>
    <row r="88" spans="3:10" ht="14.4">
      <c r="F88" s="1"/>
      <c r="G88" s="1"/>
      <c r="H88" s="69" t="str">
        <f t="shared" si="62"/>
        <v>2.21x&lt;x&lt;=2.22x</v>
      </c>
      <c r="I88" s="407">
        <v>2.2200000000000002</v>
      </c>
      <c r="J88" s="321">
        <v>1</v>
      </c>
    </row>
    <row r="89" spans="3:10" ht="14.4">
      <c r="F89" s="1"/>
      <c r="G89" s="1"/>
      <c r="H89" s="69" t="str">
        <f t="shared" si="62"/>
        <v>2.2x&lt;x&lt;=2.21x</v>
      </c>
      <c r="I89" s="407">
        <v>2.21</v>
      </c>
      <c r="J89" s="321">
        <v>1</v>
      </c>
    </row>
    <row r="90" spans="3:10" ht="14.4">
      <c r="F90" s="1"/>
      <c r="G90" s="1"/>
      <c r="H90" s="73" t="str">
        <f>CONCATENATE("&lt;",I90,"x")</f>
        <v>&lt;2.2x</v>
      </c>
      <c r="I90" s="408">
        <v>2.2000000000000002</v>
      </c>
      <c r="J90" s="322">
        <v>1</v>
      </c>
    </row>
    <row r="91" spans="3:10" ht="14.4">
      <c r="F91" s="1"/>
      <c r="G91" s="1"/>
    </row>
    <row r="92" spans="3:10" ht="14.4">
      <c r="F92" s="1"/>
      <c r="G92" s="1"/>
    </row>
  </sheetData>
  <mergeCells count="1">
    <mergeCell ref="L69:M69"/>
  </mergeCells>
  <phoneticPr fontId="52" type="noConversion"/>
  <conditionalFormatting sqref="F62:F64 F67 G43:J43 G64:J64 F50:F52 G52:J52 F41:F43 F32 F23">
    <cfRule type="cellIs" dxfId="115" priority="2" operator="notEqual">
      <formula>0</formula>
    </cfRule>
  </conditionalFormatting>
  <dataValidations count="4">
    <dataValidation type="list" allowBlank="1" showInputMessage="1" showErrorMessage="1" sqref="F83 F65 F69:F71 F81">
      <formula1>"TRUE,FALSE"</formula1>
    </dataValidation>
    <dataValidation type="list" allowBlank="1" showInputMessage="1" showErrorMessage="1" sqref="H15 H70 H54 H45 H36 H27 H82">
      <formula1>dropdown_ratio</formula1>
    </dataValidation>
    <dataValidation type="list" allowBlank="1" showInputMessage="1" showErrorMessage="1" sqref="F16 F46 F37 F28">
      <formula1>"Fixed,Variable"</formula1>
    </dataValidation>
    <dataValidation type="list" allowBlank="1" showInputMessage="1" showErrorMessage="1" sqref="I10">
      <formula1>"Consolidated,Holdco"</formula1>
    </dataValidation>
  </dataValidations>
  <printOptions headings="1"/>
  <pageMargins left="0.7" right="0.7" top="0.75" bottom="0.75" header="0.3" footer="0.3"/>
  <pageSetup paperSize="9" scale="33" fitToHeight="0" orientation="landscape" r:id="rId1"/>
  <headerFooter>
    <oddHeader>&amp;L&amp;"-,粗體"CUB projection&amp;R&amp;"-,粗體"CONFIDENTIAL</oddHeader>
    <oddFooter>&amp;L&amp;A&amp;RPage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2817" r:id="rId4" name="Drop Down 1">
              <controlPr defaultSize="0" autoLine="0" autoPict="0">
                <anchor moveWithCells="1">
                  <from>
                    <xdr:col>1</xdr:col>
                    <xdr:colOff>73152</xdr:colOff>
                    <xdr:row>1</xdr:row>
                    <xdr:rowOff>173736</xdr:rowOff>
                  </from>
                  <to>
                    <xdr:col>3</xdr:col>
                    <xdr:colOff>438912</xdr:colOff>
                    <xdr:row>3</xdr:row>
                    <xdr:rowOff>36576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tabColor theme="0"/>
    <pageSetUpPr fitToPage="1"/>
  </sheetPr>
  <dimension ref="C1:AC72"/>
  <sheetViews>
    <sheetView view="pageBreakPreview" topLeftCell="A57" zoomScale="90" zoomScaleNormal="90" zoomScaleSheetLayoutView="90" workbookViewId="0">
      <selection activeCell="K44" sqref="K44"/>
    </sheetView>
  </sheetViews>
  <sheetFormatPr defaultColWidth="9.140625" defaultRowHeight="14.4" outlineLevelRow="1"/>
  <cols>
    <col min="1" max="2" width="3.42578125" style="1" customWidth="1"/>
    <col min="3" max="3" width="9.140625" style="1"/>
    <col min="4" max="4" width="38" style="1" customWidth="1"/>
    <col min="5" max="5" width="15.85546875" style="1" customWidth="1"/>
    <col min="6" max="9" width="13.42578125" style="1" customWidth="1"/>
    <col min="10" max="10" width="15.42578125" style="1" customWidth="1"/>
    <col min="11" max="17" width="13.42578125" style="1" customWidth="1"/>
    <col min="18" max="20" width="10.42578125" style="1" customWidth="1"/>
    <col min="21" max="21" width="11.5703125" style="1" customWidth="1"/>
    <col min="22" max="24" width="10.42578125" style="1" customWidth="1"/>
    <col min="25" max="25" width="11.5703125" style="1" customWidth="1"/>
    <col min="26" max="28" width="10.42578125" style="1" customWidth="1"/>
    <col min="29" max="29" width="11.5703125" style="1" customWidth="1"/>
    <col min="30" max="16384" width="9.140625" style="1"/>
  </cols>
  <sheetData>
    <row r="1" spans="3:29" s="18" customFormat="1" ht="14.6" customHeight="1" outlineLevel="1">
      <c r="C1" s="24" t="s">
        <v>870</v>
      </c>
      <c r="D1" s="24">
        <f>'Control Panel'!B12</f>
        <v>2019</v>
      </c>
      <c r="E1" s="24"/>
      <c r="F1" s="18" t="s">
        <v>689</v>
      </c>
      <c r="G1" s="5">
        <f>'Control Panel'!B9+1</f>
        <v>43466</v>
      </c>
      <c r="I1" s="18" t="s">
        <v>691</v>
      </c>
      <c r="J1" s="5">
        <f>'Control Panel'!B9</f>
        <v>43465</v>
      </c>
      <c r="L1" s="18" t="s">
        <v>705</v>
      </c>
      <c r="M1" s="18">
        <f>'Control Panel'!B13-'Control Panel'!B12+1</f>
        <v>6</v>
      </c>
    </row>
    <row r="2" spans="3:29" s="18" customFormat="1" ht="14.6" customHeight="1" outlineLevel="1">
      <c r="C2" s="24" t="s">
        <v>871</v>
      </c>
      <c r="D2" s="24">
        <f>'Financial summary'!E5</f>
        <v>1</v>
      </c>
      <c r="E2" s="24" t="e">
        <f>INDEX(#REF!,D2)</f>
        <v>#REF!</v>
      </c>
      <c r="I2" s="18" t="s">
        <v>693</v>
      </c>
      <c r="J2" s="27">
        <f>'Control Panel'!B5</f>
        <v>5</v>
      </c>
      <c r="L2" s="18" t="s">
        <v>1555</v>
      </c>
      <c r="M2" s="18">
        <f>stub_quarter+1</f>
        <v>5</v>
      </c>
    </row>
    <row r="3" spans="3:29" ht="14.6" customHeight="1" outlineLevel="1">
      <c r="C3" s="215"/>
    </row>
    <row r="4" spans="3:29" ht="14.6" customHeight="1" outlineLevel="1">
      <c r="C4" s="1" t="s">
        <v>692</v>
      </c>
      <c r="E4" s="1">
        <f>'BS Holdco'!E4</f>
        <v>1</v>
      </c>
      <c r="F4" s="1">
        <f>'BS Holdco'!F4</f>
        <v>2</v>
      </c>
      <c r="G4" s="1">
        <f>'BS Holdco'!G4</f>
        <v>3</v>
      </c>
      <c r="H4" s="1">
        <f>'BS Holdco'!H4</f>
        <v>4</v>
      </c>
      <c r="I4" s="1">
        <f>'BS Holdco'!I4</f>
        <v>5</v>
      </c>
      <c r="J4" s="1">
        <f>'BS Holdco'!J4</f>
        <v>6</v>
      </c>
      <c r="K4" s="1">
        <f>'BS Holdco'!K4</f>
        <v>7</v>
      </c>
      <c r="L4" s="1">
        <f>'BS Holdco'!L4</f>
        <v>8</v>
      </c>
      <c r="M4" s="1">
        <f>'BS Holdco'!M4</f>
        <v>9</v>
      </c>
      <c r="N4" s="1">
        <f>'BS Holdco'!N4</f>
        <v>10</v>
      </c>
      <c r="O4" s="1">
        <f>'BS Holdco'!O4</f>
        <v>11</v>
      </c>
      <c r="P4" s="1">
        <f>'BS Holdco'!P4</f>
        <v>12</v>
      </c>
      <c r="Q4" s="1">
        <f>'BS Holdco'!Q4</f>
        <v>13</v>
      </c>
      <c r="R4" s="1">
        <f>'BS Holdco'!R4</f>
        <v>14</v>
      </c>
      <c r="S4" s="1">
        <f>'BS Holdco'!S4</f>
        <v>15</v>
      </c>
      <c r="T4" s="1">
        <f>'BS Holdco'!T4</f>
        <v>16</v>
      </c>
      <c r="U4" s="1">
        <f>'BS Holdco'!U4</f>
        <v>17</v>
      </c>
    </row>
    <row r="5" spans="3:29" ht="14.6" customHeight="1" outlineLevel="1">
      <c r="C5" s="1" t="s">
        <v>719</v>
      </c>
      <c r="E5" s="29">
        <f>'BS Holdco'!E5</f>
        <v>42004</v>
      </c>
      <c r="F5" s="29">
        <f>'BS Holdco'!F5</f>
        <v>42369</v>
      </c>
      <c r="G5" s="29">
        <f>'BS Holdco'!G5</f>
        <v>42735</v>
      </c>
      <c r="H5" s="29">
        <f>'BS Holdco'!H5</f>
        <v>43100</v>
      </c>
      <c r="I5" s="29">
        <f>'BS Holdco'!I5</f>
        <v>43465</v>
      </c>
      <c r="J5" s="29">
        <f>'BS Holdco'!J5</f>
        <v>43466</v>
      </c>
      <c r="K5" s="29">
        <f>'BS Holdco'!K5</f>
        <v>43830</v>
      </c>
      <c r="L5" s="29">
        <f>'BS Holdco'!L5</f>
        <v>44196</v>
      </c>
      <c r="M5" s="29">
        <f>'BS Holdco'!M5</f>
        <v>44561</v>
      </c>
      <c r="N5" s="29">
        <f>'BS Holdco'!N5</f>
        <v>44926</v>
      </c>
      <c r="O5" s="29">
        <f>'BS Holdco'!O5</f>
        <v>45291</v>
      </c>
      <c r="P5" s="29">
        <f>'BS Holdco'!P5</f>
        <v>45657</v>
      </c>
      <c r="Q5" s="29">
        <f>'BS Holdco'!Q5</f>
        <v>0</v>
      </c>
      <c r="R5" s="29">
        <f>'BS Holdco'!R5</f>
        <v>0</v>
      </c>
      <c r="S5" s="29">
        <f>'BS Holdco'!S5</f>
        <v>0</v>
      </c>
      <c r="T5" s="29">
        <f>'BS Holdco'!T5</f>
        <v>0</v>
      </c>
      <c r="U5" s="29">
        <f>'BS Holdco'!U5</f>
        <v>0</v>
      </c>
      <c r="V5" s="29"/>
      <c r="W5" s="29"/>
      <c r="X5" s="29"/>
      <c r="Y5" s="29"/>
      <c r="Z5" s="29"/>
      <c r="AA5" s="29"/>
      <c r="AB5" s="29"/>
      <c r="AC5" s="29"/>
    </row>
    <row r="6" spans="3:29" ht="14.6" customHeight="1" outlineLevel="1">
      <c r="C6" s="1" t="s">
        <v>686</v>
      </c>
      <c r="E6" s="1" t="b">
        <f>'BS Holdco'!E6</f>
        <v>1</v>
      </c>
      <c r="F6" s="1" t="b">
        <f>'BS Holdco'!F6</f>
        <v>1</v>
      </c>
      <c r="G6" s="29" t="b">
        <f>'BS Holdco'!G6</f>
        <v>1</v>
      </c>
      <c r="H6" s="29" t="b">
        <f>'BS Holdco'!H6</f>
        <v>1</v>
      </c>
      <c r="I6" s="29" t="b">
        <f>'BS Holdco'!I6</f>
        <v>1</v>
      </c>
      <c r="J6" s="29" t="b">
        <f>'BS Holdco'!J6</f>
        <v>0</v>
      </c>
      <c r="K6" s="29" t="b">
        <f>'BS Holdco'!K6</f>
        <v>0</v>
      </c>
      <c r="L6" s="29" t="b">
        <f>'BS Holdco'!L6</f>
        <v>0</v>
      </c>
      <c r="M6" s="29" t="b">
        <f>'BS Holdco'!M6</f>
        <v>0</v>
      </c>
      <c r="N6" s="29" t="b">
        <f>'BS Holdco'!N6</f>
        <v>0</v>
      </c>
      <c r="O6" s="29" t="b">
        <f>'BS Holdco'!O6</f>
        <v>0</v>
      </c>
      <c r="P6" s="29" t="b">
        <f>'BS Holdco'!P6</f>
        <v>0</v>
      </c>
      <c r="Q6" s="29" t="b">
        <f>'BS Holdco'!Q6</f>
        <v>0</v>
      </c>
      <c r="R6" s="29" t="b">
        <f>'BS Holdco'!R6</f>
        <v>0</v>
      </c>
      <c r="S6" s="29" t="b">
        <f>'BS Holdco'!S6</f>
        <v>0</v>
      </c>
      <c r="T6" s="29" t="b">
        <f>'BS Holdco'!T6</f>
        <v>0</v>
      </c>
      <c r="U6" s="29" t="b">
        <f>'BS Holdco'!U6</f>
        <v>0</v>
      </c>
      <c r="V6" s="29"/>
      <c r="W6" s="29"/>
      <c r="X6" s="29"/>
      <c r="Y6" s="29"/>
      <c r="Z6" s="29"/>
      <c r="AA6" s="29"/>
      <c r="AB6" s="29"/>
      <c r="AC6" s="29"/>
    </row>
    <row r="7" spans="3:29" ht="14.6" customHeight="1" outlineLevel="1">
      <c r="C7" s="1" t="s">
        <v>687</v>
      </c>
      <c r="E7" s="1" t="b">
        <f>'BS Holdco'!E7</f>
        <v>0</v>
      </c>
      <c r="F7" s="1" t="b">
        <f>'BS Holdco'!F7</f>
        <v>0</v>
      </c>
      <c r="G7" s="29" t="b">
        <f>'BS Holdco'!G7</f>
        <v>0</v>
      </c>
      <c r="H7" s="29" t="b">
        <f>'BS Holdco'!H7</f>
        <v>0</v>
      </c>
      <c r="I7" s="29" t="b">
        <f>'BS Holdco'!I7</f>
        <v>0</v>
      </c>
      <c r="J7" s="29" t="b">
        <f>'BS Holdco'!J7</f>
        <v>0</v>
      </c>
      <c r="K7" s="29" t="b">
        <f>'BS Holdco'!K7</f>
        <v>0</v>
      </c>
      <c r="L7" s="29" t="b">
        <f>'BS Holdco'!L7</f>
        <v>0</v>
      </c>
      <c r="M7" s="29" t="b">
        <f>'BS Holdco'!M7</f>
        <v>0</v>
      </c>
      <c r="N7" s="29" t="b">
        <f>'BS Holdco'!N7</f>
        <v>0</v>
      </c>
      <c r="O7" s="29" t="b">
        <f>'BS Holdco'!O7</f>
        <v>0</v>
      </c>
      <c r="P7" s="29" t="b">
        <f>'BS Holdco'!P7</f>
        <v>0</v>
      </c>
      <c r="Q7" s="29" t="b">
        <f>'BS Holdco'!Q7</f>
        <v>0</v>
      </c>
      <c r="R7" s="29" t="b">
        <f>'BS Holdco'!R7</f>
        <v>0</v>
      </c>
      <c r="S7" s="29" t="b">
        <f>'BS Holdco'!S7</f>
        <v>0</v>
      </c>
      <c r="T7" s="29" t="b">
        <f>'BS Holdco'!T7</f>
        <v>0</v>
      </c>
      <c r="U7" s="29" t="b">
        <f>'BS Holdco'!U7</f>
        <v>0</v>
      </c>
      <c r="V7" s="29"/>
      <c r="W7" s="29"/>
      <c r="X7" s="29"/>
      <c r="Y7" s="29"/>
      <c r="Z7" s="29"/>
      <c r="AA7" s="29"/>
      <c r="AB7" s="29"/>
      <c r="AC7" s="29"/>
    </row>
    <row r="8" spans="3:29" ht="14.6" customHeight="1" outlineLevel="1">
      <c r="C8" s="1" t="s">
        <v>688</v>
      </c>
      <c r="E8" s="1" t="b">
        <f>'BS Holdco'!E8</f>
        <v>0</v>
      </c>
      <c r="F8" s="1" t="b">
        <f>'BS Holdco'!F8</f>
        <v>0</v>
      </c>
      <c r="G8" s="30" t="b">
        <f>'BS Holdco'!G8</f>
        <v>0</v>
      </c>
      <c r="H8" s="30" t="b">
        <f>'BS Holdco'!H8</f>
        <v>0</v>
      </c>
      <c r="I8" s="30" t="b">
        <f>'BS Holdco'!I8</f>
        <v>0</v>
      </c>
      <c r="J8" s="30" t="b">
        <f>'BS Holdco'!J8</f>
        <v>1</v>
      </c>
      <c r="K8" s="30" t="b">
        <f>'BS Holdco'!K8</f>
        <v>0</v>
      </c>
      <c r="L8" s="30" t="b">
        <f>'BS Holdco'!L8</f>
        <v>0</v>
      </c>
      <c r="M8" s="30" t="b">
        <f>'BS Holdco'!M8</f>
        <v>0</v>
      </c>
      <c r="N8" s="30" t="b">
        <f>'BS Holdco'!N8</f>
        <v>0</v>
      </c>
      <c r="O8" s="30" t="b">
        <f>'BS Holdco'!O8</f>
        <v>0</v>
      </c>
      <c r="P8" s="30" t="b">
        <f>'BS Holdco'!P8</f>
        <v>0</v>
      </c>
      <c r="Q8" s="30" t="b">
        <f>'BS Holdco'!Q8</f>
        <v>0</v>
      </c>
      <c r="R8" s="30" t="b">
        <f>'BS Holdco'!R8</f>
        <v>0</v>
      </c>
      <c r="S8" s="30" t="b">
        <f>'BS Holdco'!S8</f>
        <v>0</v>
      </c>
      <c r="T8" s="30" t="b">
        <f>'BS Holdco'!T8</f>
        <v>0</v>
      </c>
      <c r="U8" s="30" t="b">
        <f>'BS Holdco'!U8</f>
        <v>0</v>
      </c>
      <c r="V8" s="30"/>
      <c r="W8" s="30"/>
      <c r="X8" s="30"/>
      <c r="Y8" s="30"/>
      <c r="Z8" s="30"/>
      <c r="AA8" s="30"/>
      <c r="AB8" s="30"/>
      <c r="AC8" s="30"/>
    </row>
    <row r="9" spans="3:29" ht="14.6" customHeight="1" outlineLevel="1">
      <c r="C9" s="1" t="s">
        <v>694</v>
      </c>
      <c r="E9" s="1" t="b">
        <f>'BS Holdco'!E9</f>
        <v>0</v>
      </c>
      <c r="F9" s="1" t="b">
        <f>'BS Holdco'!F9</f>
        <v>0</v>
      </c>
      <c r="G9" s="30" t="b">
        <f>'BS Holdco'!G9</f>
        <v>0</v>
      </c>
      <c r="H9" s="30" t="b">
        <f>'BS Holdco'!H9</f>
        <v>0</v>
      </c>
      <c r="I9" s="30" t="b">
        <f>'BS Holdco'!I9</f>
        <v>0</v>
      </c>
      <c r="J9" s="30" t="b">
        <f>'BS Holdco'!J9</f>
        <v>0</v>
      </c>
      <c r="K9" s="30" t="b">
        <f>'BS Holdco'!K9</f>
        <v>1</v>
      </c>
      <c r="L9" s="30" t="b">
        <f>'BS Holdco'!L9</f>
        <v>1</v>
      </c>
      <c r="M9" s="30" t="b">
        <f>'BS Holdco'!M9</f>
        <v>1</v>
      </c>
      <c r="N9" s="30" t="b">
        <f>'BS Holdco'!N9</f>
        <v>1</v>
      </c>
      <c r="O9" s="30" t="b">
        <f>'BS Holdco'!O9</f>
        <v>1</v>
      </c>
      <c r="P9" s="30" t="b">
        <f>'BS Holdco'!P9</f>
        <v>1</v>
      </c>
      <c r="Q9" s="30" t="b">
        <f>'BS Holdco'!Q9</f>
        <v>0</v>
      </c>
      <c r="R9" s="30" t="b">
        <f>'BS Holdco'!R9</f>
        <v>0</v>
      </c>
      <c r="S9" s="30" t="b">
        <f>'BS Holdco'!S9</f>
        <v>0</v>
      </c>
      <c r="T9" s="30" t="b">
        <f>'BS Holdco'!T9</f>
        <v>0</v>
      </c>
      <c r="U9" s="30" t="b">
        <f>'BS Holdco'!U9</f>
        <v>0</v>
      </c>
      <c r="V9" s="30"/>
      <c r="W9" s="30"/>
      <c r="X9" s="30"/>
      <c r="Y9" s="30"/>
      <c r="Z9" s="30"/>
      <c r="AA9" s="30"/>
      <c r="AB9" s="30"/>
      <c r="AC9" s="30"/>
    </row>
    <row r="10" spans="3:29" ht="14.6" customHeight="1" outlineLevel="1">
      <c r="E10" s="110">
        <f>'BS Holdco'!E10</f>
        <v>2014</v>
      </c>
      <c r="F10" s="110">
        <f>'BS Holdco'!F10</f>
        <v>2015</v>
      </c>
      <c r="G10" s="110">
        <f>'BS Holdco'!G10</f>
        <v>2016</v>
      </c>
      <c r="H10" s="110">
        <f>'BS Holdco'!H10</f>
        <v>2017</v>
      </c>
      <c r="I10" s="110">
        <f>'BS Holdco'!I10</f>
        <v>2018</v>
      </c>
      <c r="J10" s="110">
        <f>'BS Holdco'!J10</f>
        <v>2019</v>
      </c>
      <c r="K10" s="110">
        <f>'BS Holdco'!K10</f>
        <v>2019</v>
      </c>
      <c r="L10" s="110">
        <f>'BS Holdco'!L10</f>
        <v>2020</v>
      </c>
      <c r="M10" s="110">
        <f>'BS Holdco'!M10</f>
        <v>2021</v>
      </c>
      <c r="N10" s="110">
        <f>'BS Holdco'!N10</f>
        <v>2022</v>
      </c>
      <c r="O10" s="110">
        <f>'BS Holdco'!O10</f>
        <v>2023</v>
      </c>
      <c r="P10" s="110">
        <f>'BS Holdco'!P10</f>
        <v>2024</v>
      </c>
      <c r="Q10" s="110">
        <f>'BS Holdco'!Q10</f>
        <v>1900</v>
      </c>
      <c r="R10" s="110">
        <f>'BS Holdco'!R10</f>
        <v>1900</v>
      </c>
      <c r="S10" s="110">
        <f>'BS Holdco'!S10</f>
        <v>1900</v>
      </c>
      <c r="T10" s="110">
        <f>'BS Holdco'!T10</f>
        <v>1900</v>
      </c>
      <c r="U10" s="110">
        <f>'BS Holdco'!U10</f>
        <v>1900</v>
      </c>
      <c r="V10" s="110"/>
      <c r="W10" s="110"/>
      <c r="X10" s="110"/>
      <c r="Y10" s="110"/>
      <c r="Z10" s="110"/>
      <c r="AA10" s="110"/>
      <c r="AB10" s="110"/>
      <c r="AC10" s="110"/>
    </row>
    <row r="11" spans="3:29" ht="14.6" customHeight="1"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3:29" ht="14.6" customHeight="1"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3:29" ht="14.6" customHeight="1"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3:29" ht="14.6" customHeight="1"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3:29" ht="16.600000000000001">
      <c r="C15" s="223" t="str">
        <f>CONCATENATE("Project ",project_name," - Income Statement")</f>
        <v>Project  - Income Statement</v>
      </c>
      <c r="D15" s="224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3:29">
      <c r="C16" s="194" t="str">
        <f>CONCATENATE("In ",model_curr," thousand unless otherwise stated")</f>
        <v>In USD thousand unless otherwise stated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3:21">
      <c r="C17" s="209"/>
      <c r="D17" s="209"/>
      <c r="E17" s="178" t="str">
        <f>CONCATENATE(YEAR(E5),LEFT(E19,1))</f>
        <v>2014A</v>
      </c>
      <c r="F17" s="178" t="str">
        <f t="shared" ref="F17:U17" si="0">CONCATENATE(YEAR(F5),LEFT(F19,1))</f>
        <v>2015A</v>
      </c>
      <c r="G17" s="178" t="str">
        <f t="shared" si="0"/>
        <v>2016A</v>
      </c>
      <c r="H17" s="178" t="str">
        <f t="shared" si="0"/>
        <v>2017A</v>
      </c>
      <c r="I17" s="178" t="str">
        <f t="shared" si="0"/>
        <v>2018A</v>
      </c>
      <c r="J17" s="178" t="str">
        <f t="shared" si="0"/>
        <v>2019C</v>
      </c>
      <c r="K17" s="178" t="str">
        <f t="shared" si="0"/>
        <v>2019F</v>
      </c>
      <c r="L17" s="178" t="str">
        <f t="shared" si="0"/>
        <v>2020F</v>
      </c>
      <c r="M17" s="178" t="str">
        <f t="shared" si="0"/>
        <v>2021F</v>
      </c>
      <c r="N17" s="178" t="str">
        <f t="shared" si="0"/>
        <v>2022F</v>
      </c>
      <c r="O17" s="178" t="str">
        <f t="shared" si="0"/>
        <v>2023F</v>
      </c>
      <c r="P17" s="178" t="str">
        <f t="shared" si="0"/>
        <v>2024F</v>
      </c>
      <c r="Q17" s="178" t="e">
        <f t="shared" si="0"/>
        <v>#N/A</v>
      </c>
      <c r="R17" s="178" t="e">
        <f t="shared" si="0"/>
        <v>#N/A</v>
      </c>
      <c r="S17" s="178" t="e">
        <f t="shared" si="0"/>
        <v>#N/A</v>
      </c>
      <c r="T17" s="178" t="e">
        <f t="shared" si="0"/>
        <v>#N/A</v>
      </c>
      <c r="U17" s="178" t="e">
        <f t="shared" si="0"/>
        <v>#N/A</v>
      </c>
    </row>
    <row r="18" spans="3:21">
      <c r="C18" s="198"/>
      <c r="D18" s="198"/>
      <c r="E18" s="198">
        <f>E5</f>
        <v>42004</v>
      </c>
      <c r="F18" s="198">
        <f t="shared" ref="F18:U18" si="1">F5</f>
        <v>42369</v>
      </c>
      <c r="G18" s="198">
        <f t="shared" si="1"/>
        <v>42735</v>
      </c>
      <c r="H18" s="198">
        <f t="shared" si="1"/>
        <v>43100</v>
      </c>
      <c r="I18" s="198">
        <f t="shared" si="1"/>
        <v>43465</v>
      </c>
      <c r="J18" s="198">
        <f t="shared" si="1"/>
        <v>43466</v>
      </c>
      <c r="K18" s="198">
        <f t="shared" si="1"/>
        <v>43830</v>
      </c>
      <c r="L18" s="198">
        <f t="shared" si="1"/>
        <v>44196</v>
      </c>
      <c r="M18" s="198">
        <f t="shared" si="1"/>
        <v>44561</v>
      </c>
      <c r="N18" s="198">
        <f t="shared" si="1"/>
        <v>44926</v>
      </c>
      <c r="O18" s="198">
        <f t="shared" si="1"/>
        <v>45291</v>
      </c>
      <c r="P18" s="198">
        <f t="shared" si="1"/>
        <v>45657</v>
      </c>
      <c r="Q18" s="198">
        <f t="shared" si="1"/>
        <v>0</v>
      </c>
      <c r="R18" s="198">
        <f t="shared" si="1"/>
        <v>0</v>
      </c>
      <c r="S18" s="198">
        <f t="shared" si="1"/>
        <v>0</v>
      </c>
      <c r="T18" s="198">
        <f t="shared" si="1"/>
        <v>0</v>
      </c>
      <c r="U18" s="198">
        <f t="shared" si="1"/>
        <v>0</v>
      </c>
    </row>
    <row r="19" spans="3:21" outlineLevel="1">
      <c r="C19" s="209"/>
      <c r="D19" s="209"/>
      <c r="E19" s="178" t="str">
        <f>INDEX($E$11:$E$14,MATCH(TRUE,E6:E9,0))</f>
        <v>Actual</v>
      </c>
      <c r="F19" s="178" t="str">
        <f t="shared" ref="F19:U19" si="2">INDEX($E$11:$E$14,MATCH(TRUE,F6:F9,0))</f>
        <v>Actual</v>
      </c>
      <c r="G19" s="178" t="str">
        <f t="shared" si="2"/>
        <v>Actual</v>
      </c>
      <c r="H19" s="178" t="str">
        <f t="shared" si="2"/>
        <v>Actual</v>
      </c>
      <c r="I19" s="178" t="str">
        <f t="shared" si="2"/>
        <v>Actual</v>
      </c>
      <c r="J19" s="178" t="str">
        <f t="shared" si="2"/>
        <v>Combination</v>
      </c>
      <c r="K19" s="178" t="str">
        <f t="shared" si="2"/>
        <v>Forecast</v>
      </c>
      <c r="L19" s="178" t="str">
        <f t="shared" si="2"/>
        <v>Forecast</v>
      </c>
      <c r="M19" s="178" t="str">
        <f t="shared" si="2"/>
        <v>Forecast</v>
      </c>
      <c r="N19" s="178" t="str">
        <f t="shared" si="2"/>
        <v>Forecast</v>
      </c>
      <c r="O19" s="178" t="str">
        <f t="shared" si="2"/>
        <v>Forecast</v>
      </c>
      <c r="P19" s="178" t="str">
        <f t="shared" si="2"/>
        <v>Forecast</v>
      </c>
      <c r="Q19" s="178" t="e">
        <f t="shared" si="2"/>
        <v>#N/A</v>
      </c>
      <c r="R19" s="178" t="e">
        <f t="shared" si="2"/>
        <v>#N/A</v>
      </c>
      <c r="S19" s="178" t="e">
        <f t="shared" si="2"/>
        <v>#N/A</v>
      </c>
      <c r="T19" s="178" t="e">
        <f t="shared" si="2"/>
        <v>#N/A</v>
      </c>
      <c r="U19" s="178" t="e">
        <f t="shared" si="2"/>
        <v>#N/A</v>
      </c>
    </row>
    <row r="20" spans="3:21" outlineLevel="1" collapsed="1">
      <c r="C20" s="220" t="s">
        <v>873</v>
      </c>
      <c r="D20" s="220"/>
      <c r="E20" s="220">
        <f>OR(E$6,E$7)*Currency_conversion_BU1+IFERROR(INDEX('Control Panel'!$G4:$Z4,MATCH('IS Holdco'!E$5,'Control Panel'!$G$3:$Z$3,0)),0)+E8*D20</f>
        <v>1</v>
      </c>
      <c r="F20" s="220">
        <f>OR(F$6,F$7)*Currency_conversion_BU1+IFERROR(INDEX('Control Panel'!$G4:$Z4,MATCH('IS Holdco'!F$5,'Control Panel'!$G$3:$Z$3,0)),0)+F8*E20</f>
        <v>1</v>
      </c>
      <c r="G20" s="220">
        <f>OR(G$6,G$7)*Currency_conversion_BU1+IFERROR(INDEX('Control Panel'!$G4:$Z4,MATCH('IS Holdco'!G$5,'Control Panel'!$G$3:$Z$3,0)),0)+G8*F20</f>
        <v>1</v>
      </c>
      <c r="H20" s="220">
        <f>OR(H$6,H$7)*Currency_conversion_BU1+IFERROR(INDEX('Control Panel'!$G4:$Z4,MATCH('IS Holdco'!H$5,'Control Panel'!$G$3:$Z$3,0)),0)+H8*G20</f>
        <v>1</v>
      </c>
      <c r="I20" s="220">
        <f>OR(I$6,I$7)*Currency_conversion_BU1+IFERROR(INDEX('Control Panel'!$G4:$Z4,MATCH('IS Holdco'!I$5,'Control Panel'!$G$3:$Z$3,0)),0)+I8*H20</f>
        <v>1</v>
      </c>
      <c r="J20" s="220">
        <f>OR(J$6,J$7)*Currency_conversion_BU1+IFERROR(INDEX('Control Panel'!$G4:$Z4,MATCH('IS Holdco'!J$5,'Control Panel'!$G$3:$Z$3,0)),0)+J8*I20</f>
        <v>1</v>
      </c>
      <c r="K20" s="220">
        <f>OR(K$6,K$7)*Currency_conversion_BU1+IFERROR(INDEX('Control Panel'!$G4:$Z4,MATCH('IS Holdco'!K$5,'Control Panel'!$G$3:$Z$3,0)),0)+K8*J20</f>
        <v>1</v>
      </c>
      <c r="L20" s="220">
        <f>OR(L$6,L$7)*Currency_conversion_BU1+IFERROR(INDEX('Control Panel'!$G4:$Z4,MATCH('IS Holdco'!L$5,'Control Panel'!$G$3:$Z$3,0)),0)+L8*K20</f>
        <v>1</v>
      </c>
      <c r="M20" s="220">
        <f>OR(M$6,M$7)*Currency_conversion_BU1+IFERROR(INDEX('Control Panel'!$G4:$Z4,MATCH('IS Holdco'!M$5,'Control Panel'!$G$3:$Z$3,0)),0)+M8*L20</f>
        <v>1</v>
      </c>
      <c r="N20" s="220">
        <f>OR(N$6,N$7)*Currency_conversion_BU1+IFERROR(INDEX('Control Panel'!$G4:$Z4,MATCH('IS Holdco'!N$5,'Control Panel'!$G$3:$Z$3,0)),0)+N8*M20</f>
        <v>1</v>
      </c>
      <c r="O20" s="220">
        <f>OR(O$6,O$7)*Currency_conversion_BU1+IFERROR(INDEX('Control Panel'!$G4:$Z4,MATCH('IS Holdco'!O$5,'Control Panel'!$G$3:$Z$3,0)),0)+O8*N20</f>
        <v>1</v>
      </c>
      <c r="P20" s="220">
        <f>OR(P$6,P$7)*Currency_conversion_BU1+IFERROR(INDEX('Control Panel'!$G4:$Z4,MATCH('IS Holdco'!P$5,'Control Panel'!$G$3:$Z$3,0)),0)+P8*O20</f>
        <v>1</v>
      </c>
      <c r="Q20" s="220">
        <f>OR(Q$6,Q$7)*Currency_conversion_BU1+IFERROR(INDEX('Control Panel'!$G4:$Z4,MATCH('IS Holdco'!Q$5,'Control Panel'!$G$3:$Z$3,0)),0)+Q8*P20</f>
        <v>0</v>
      </c>
      <c r="R20" s="220">
        <f>OR(R$6,R$7)*Currency_conversion_BU1+IFERROR(INDEX('Control Panel'!$G4:$Z4,MATCH('IS Holdco'!R$5,'Control Panel'!$G$3:$Z$3,0)),0)+R8*Q20</f>
        <v>0</v>
      </c>
      <c r="S20" s="220">
        <f>OR(S$6,S$7)*Currency_conversion_BU1+IFERROR(INDEX('Control Panel'!$G4:$Z4,MATCH('IS Holdco'!S$5,'Control Panel'!$G$3:$Z$3,0)),0)+S8*R20</f>
        <v>0</v>
      </c>
      <c r="T20" s="220">
        <f>OR(T$6,T$7)*Currency_conversion_BU1+IFERROR(INDEX('Control Panel'!$G4:$Z4,MATCH('IS Holdco'!T$5,'Control Panel'!$G$3:$Z$3,0)),0)+T8*S20</f>
        <v>0</v>
      </c>
      <c r="U20" s="220">
        <f>OR(U$6,U$7)*Currency_conversion_BU1+IFERROR(INDEX('Control Panel'!$G4:$Z4,MATCH('IS Holdco'!U$5,'Control Panel'!$G$3:$Z$3,0)),0)+U8*T20</f>
        <v>0</v>
      </c>
    </row>
    <row r="21" spans="3:21" outlineLevel="1">
      <c r="C21" s="220" t="s">
        <v>874</v>
      </c>
      <c r="D21" s="220"/>
      <c r="E21" s="220">
        <f>OR(E$6,E$7)*Currency_conversion_rate_BU2+IFERROR(INDEX('Control Panel'!$G5:$Z5,MATCH('IS Holdco'!E$5,'Control Panel'!$G$3:$Z$3,0)),0)+E8*D21</f>
        <v>1</v>
      </c>
      <c r="F21" s="220">
        <f>OR(F$6,F$7)*Currency_conversion_rate_BU2+IFERROR(INDEX('Control Panel'!$G5:$Z5,MATCH('IS Holdco'!F$5,'Control Panel'!$G$3:$Z$3,0)),0)+F8*E21</f>
        <v>1</v>
      </c>
      <c r="G21" s="220">
        <f>OR(G$6,G$7)*Currency_conversion_rate_BU2+IFERROR(INDEX('Control Panel'!$G5:$Z5,MATCH('IS Holdco'!G$5,'Control Panel'!$G$3:$Z$3,0)),0)+G8*F21</f>
        <v>1</v>
      </c>
      <c r="H21" s="220">
        <f>OR(H$6,H$7)*Currency_conversion_rate_BU2+IFERROR(INDEX('Control Panel'!$G5:$Z5,MATCH('IS Holdco'!H$5,'Control Panel'!$G$3:$Z$3,0)),0)+H8*G21</f>
        <v>1</v>
      </c>
      <c r="I21" s="220">
        <f>OR(I$6,I$7)*Currency_conversion_rate_BU2+IFERROR(INDEX('Control Panel'!$G5:$Z5,MATCH('IS Holdco'!I$5,'Control Panel'!$G$3:$Z$3,0)),0)+I8*H21</f>
        <v>1</v>
      </c>
      <c r="J21" s="220">
        <f>OR(J$6,J$7)*Currency_conversion_rate_BU2+IFERROR(INDEX('Control Panel'!$G5:$Z5,MATCH('IS Holdco'!J$5,'Control Panel'!$G$3:$Z$3,0)),0)+J8*I21</f>
        <v>1</v>
      </c>
      <c r="K21" s="220">
        <f>OR(K$6,K$7)*Currency_conversion_rate_BU2+IFERROR(INDEX('Control Panel'!$G5:$Z5,MATCH('IS Holdco'!K$5,'Control Panel'!$G$3:$Z$3,0)),0)+K8*J21</f>
        <v>1</v>
      </c>
      <c r="L21" s="220">
        <f>OR(L$6,L$7)*Currency_conversion_rate_BU2+IFERROR(INDEX('Control Panel'!$G5:$Z5,MATCH('IS Holdco'!L$5,'Control Panel'!$G$3:$Z$3,0)),0)+L8*K21</f>
        <v>1</v>
      </c>
      <c r="M21" s="220">
        <f>OR(M$6,M$7)*Currency_conversion_rate_BU2+IFERROR(INDEX('Control Panel'!$G5:$Z5,MATCH('IS Holdco'!M$5,'Control Panel'!$G$3:$Z$3,0)),0)+M8*L21</f>
        <v>1</v>
      </c>
      <c r="N21" s="220">
        <f>OR(N$6,N$7)*Currency_conversion_rate_BU2+IFERROR(INDEX('Control Panel'!$G5:$Z5,MATCH('IS Holdco'!N$5,'Control Panel'!$G$3:$Z$3,0)),0)+N8*M21</f>
        <v>1</v>
      </c>
      <c r="O21" s="220">
        <f>OR(O$6,O$7)*Currency_conversion_rate_BU2+IFERROR(INDEX('Control Panel'!$G5:$Z5,MATCH('IS Holdco'!O$5,'Control Panel'!$G$3:$Z$3,0)),0)+O8*N21</f>
        <v>1</v>
      </c>
      <c r="P21" s="220">
        <f>OR(P$6,P$7)*Currency_conversion_rate_BU2+IFERROR(INDEX('Control Panel'!$G5:$Z5,MATCH('IS Holdco'!P$5,'Control Panel'!$G$3:$Z$3,0)),0)+P8*O21</f>
        <v>1</v>
      </c>
      <c r="Q21" s="220">
        <f>OR(Q$6,Q$7)*Currency_conversion_rate_BU2+IFERROR(INDEX('Control Panel'!$G5:$Z5,MATCH('IS Holdco'!Q$5,'Control Panel'!$G$3:$Z$3,0)),0)+Q8*P21</f>
        <v>0</v>
      </c>
      <c r="R21" s="220">
        <f>OR(R$6,R$7)*Currency_conversion_rate_BU2+IFERROR(INDEX('Control Panel'!$G5:$Z5,MATCH('IS Holdco'!R$5,'Control Panel'!$G$3:$Z$3,0)),0)+R8*Q21</f>
        <v>0</v>
      </c>
      <c r="S21" s="220">
        <f>OR(S$6,S$7)*Currency_conversion_rate_BU2+IFERROR(INDEX('Control Panel'!$G5:$Z5,MATCH('IS Holdco'!S$5,'Control Panel'!$G$3:$Z$3,0)),0)+S8*R21</f>
        <v>0</v>
      </c>
      <c r="T21" s="220">
        <f>OR(T$6,T$7)*Currency_conversion_rate_BU2+IFERROR(INDEX('Control Panel'!$G5:$Z5,MATCH('IS Holdco'!T$5,'Control Panel'!$G$3:$Z$3,0)),0)+T8*S21</f>
        <v>0</v>
      </c>
      <c r="U21" s="220">
        <f>OR(U$6,U$7)*Currency_conversion_rate_BU2+IFERROR(INDEX('Control Panel'!$G5:$Z5,MATCH('IS Holdco'!U$5,'Control Panel'!$G$3:$Z$3,0)),0)+U8*T21</f>
        <v>0</v>
      </c>
    </row>
    <row r="22" spans="3:21" outlineLevel="1">
      <c r="C22" s="220" t="s">
        <v>875</v>
      </c>
      <c r="D22" s="220"/>
      <c r="E22" s="220">
        <f>OR(E$6,E$7)*Currency_conversion_rate_other+IFERROR(INDEX('Control Panel'!$G6:$Z6,MATCH('IS Holdco'!E$5,'Control Panel'!$G$3:$Z$3,0)),0)+E8*D22</f>
        <v>1</v>
      </c>
      <c r="F22" s="220">
        <f>OR(F$6,F$7)*Currency_conversion_rate_other+IFERROR(INDEX('Control Panel'!$G6:$Z6,MATCH('IS Holdco'!F$5,'Control Panel'!$G$3:$Z$3,0)),0)+F8*E22</f>
        <v>1</v>
      </c>
      <c r="G22" s="220">
        <f>OR(G$6,G$7)*Currency_conversion_rate_other+IFERROR(INDEX('Control Panel'!$G6:$Z6,MATCH('IS Holdco'!G$5,'Control Panel'!$G$3:$Z$3,0)),0)+G8*F22</f>
        <v>1</v>
      </c>
      <c r="H22" s="220">
        <f>OR(H$6,H$7)*Currency_conversion_rate_other+IFERROR(INDEX('Control Panel'!$G6:$Z6,MATCH('IS Holdco'!H$5,'Control Panel'!$G$3:$Z$3,0)),0)+H8*G22</f>
        <v>1</v>
      </c>
      <c r="I22" s="220">
        <f>OR(I$6,I$7)*Currency_conversion_rate_other+IFERROR(INDEX('Control Panel'!$G6:$Z6,MATCH('IS Holdco'!I$5,'Control Panel'!$G$3:$Z$3,0)),0)+I8*H22</f>
        <v>1</v>
      </c>
      <c r="J22" s="220">
        <f>OR(J$6,J$7)*Currency_conversion_rate_other+IFERROR(INDEX('Control Panel'!$G6:$Z6,MATCH('IS Holdco'!J$5,'Control Panel'!$G$3:$Z$3,0)),0)+J8*I22</f>
        <v>1</v>
      </c>
      <c r="K22" s="220">
        <f>OR(K$6,K$7)*Currency_conversion_rate_other+IFERROR(INDEX('Control Panel'!$G6:$Z6,MATCH('IS Holdco'!K$5,'Control Panel'!$G$3:$Z$3,0)),0)+K8*J22</f>
        <v>1</v>
      </c>
      <c r="L22" s="220">
        <f>OR(L$6,L$7)*Currency_conversion_rate_other+IFERROR(INDEX('Control Panel'!$G6:$Z6,MATCH('IS Holdco'!L$5,'Control Panel'!$G$3:$Z$3,0)),0)+L8*K22</f>
        <v>1</v>
      </c>
      <c r="M22" s="220">
        <f>OR(M$6,M$7)*Currency_conversion_rate_other+IFERROR(INDEX('Control Panel'!$G6:$Z6,MATCH('IS Holdco'!M$5,'Control Panel'!$G$3:$Z$3,0)),0)+M8*L22</f>
        <v>1</v>
      </c>
      <c r="N22" s="220">
        <f>OR(N$6,N$7)*Currency_conversion_rate_other+IFERROR(INDEX('Control Panel'!$G6:$Z6,MATCH('IS Holdco'!N$5,'Control Panel'!$G$3:$Z$3,0)),0)+N8*M22</f>
        <v>1</v>
      </c>
      <c r="O22" s="220">
        <f>OR(O$6,O$7)*Currency_conversion_rate_other+IFERROR(INDEX('Control Panel'!$G6:$Z6,MATCH('IS Holdco'!O$5,'Control Panel'!$G$3:$Z$3,0)),0)+O8*N22</f>
        <v>1</v>
      </c>
      <c r="P22" s="220">
        <f>OR(P$6,P$7)*Currency_conversion_rate_other+IFERROR(INDEX('Control Panel'!$G6:$Z6,MATCH('IS Holdco'!P$5,'Control Panel'!$G$3:$Z$3,0)),0)+P8*O22</f>
        <v>1</v>
      </c>
      <c r="Q22" s="220">
        <f>OR(Q$6,Q$7)*Currency_conversion_rate_other+IFERROR(INDEX('Control Panel'!$G6:$Z6,MATCH('IS Holdco'!Q$5,'Control Panel'!$G$3:$Z$3,0)),0)+Q8*P22</f>
        <v>0</v>
      </c>
      <c r="R22" s="220">
        <f>OR(R$6,R$7)*Currency_conversion_rate_other+IFERROR(INDEX('Control Panel'!$G6:$Z6,MATCH('IS Holdco'!R$5,'Control Panel'!$G$3:$Z$3,0)),0)+R8*Q22</f>
        <v>0</v>
      </c>
      <c r="S22" s="220">
        <f>OR(S$6,S$7)*Currency_conversion_rate_other+IFERROR(INDEX('Control Panel'!$G6:$Z6,MATCH('IS Holdco'!S$5,'Control Panel'!$G$3:$Z$3,0)),0)+S8*R22</f>
        <v>0</v>
      </c>
      <c r="T22" s="220">
        <f>OR(T$6,T$7)*Currency_conversion_rate_other+IFERROR(INDEX('Control Panel'!$G6:$Z6,MATCH('IS Holdco'!T$5,'Control Panel'!$G$3:$Z$3,0)),0)+T8*S22</f>
        <v>0</v>
      </c>
      <c r="U22" s="220">
        <f>OR(U$6,U$7)*Currency_conversion_rate_other+IFERROR(INDEX('Control Panel'!$G6:$Z6,MATCH('IS Holdco'!U$5,'Control Panel'!$G$3:$Z$3,0)),0)+U8*T22</f>
        <v>0</v>
      </c>
    </row>
    <row r="23" spans="3:21" outlineLevel="1"/>
    <row r="24" spans="3:21">
      <c r="C24" s="222" t="str">
        <f>CONCATENATE("Income Statement"," (",model_curr,")")</f>
        <v>Income Statement (USD)</v>
      </c>
      <c r="D24" s="209"/>
      <c r="E24" s="178" t="str">
        <f>E17</f>
        <v>2014A</v>
      </c>
      <c r="F24" s="178" t="str">
        <f t="shared" ref="F24:U24" si="3">F17</f>
        <v>2015A</v>
      </c>
      <c r="G24" s="178" t="str">
        <f t="shared" si="3"/>
        <v>2016A</v>
      </c>
      <c r="H24" s="178" t="str">
        <f t="shared" si="3"/>
        <v>2017A</v>
      </c>
      <c r="I24" s="178" t="str">
        <f t="shared" si="3"/>
        <v>2018A</v>
      </c>
      <c r="J24" s="178" t="str">
        <f t="shared" si="3"/>
        <v>2019C</v>
      </c>
      <c r="K24" s="178" t="str">
        <f t="shared" si="3"/>
        <v>2019F</v>
      </c>
      <c r="L24" s="178" t="str">
        <f t="shared" si="3"/>
        <v>2020F</v>
      </c>
      <c r="M24" s="178" t="str">
        <f t="shared" si="3"/>
        <v>2021F</v>
      </c>
      <c r="N24" s="178" t="str">
        <f t="shared" si="3"/>
        <v>2022F</v>
      </c>
      <c r="O24" s="178" t="str">
        <f t="shared" si="3"/>
        <v>2023F</v>
      </c>
      <c r="P24" s="178" t="str">
        <f t="shared" si="3"/>
        <v>2024F</v>
      </c>
      <c r="Q24" s="178" t="e">
        <f t="shared" si="3"/>
        <v>#N/A</v>
      </c>
      <c r="R24" s="178" t="e">
        <f t="shared" si="3"/>
        <v>#N/A</v>
      </c>
      <c r="S24" s="178" t="e">
        <f t="shared" si="3"/>
        <v>#N/A</v>
      </c>
      <c r="T24" s="178" t="e">
        <f t="shared" si="3"/>
        <v>#N/A</v>
      </c>
      <c r="U24" s="178" t="e">
        <f t="shared" si="3"/>
        <v>#N/A</v>
      </c>
    </row>
    <row r="25" spans="3:21">
      <c r="C25" s="109"/>
      <c r="D25" s="109"/>
      <c r="E25" s="109"/>
      <c r="F25" s="109"/>
      <c r="G25" s="216"/>
      <c r="H25" s="216"/>
      <c r="I25" s="216"/>
      <c r="J25" s="216"/>
      <c r="K25" s="216"/>
      <c r="L25" s="109"/>
      <c r="M25" s="109"/>
      <c r="N25" s="109"/>
      <c r="O25" s="109"/>
      <c r="P25" s="109"/>
      <c r="Q25" s="109"/>
      <c r="R25" s="109"/>
      <c r="S25" s="109"/>
      <c r="T25" s="109"/>
      <c r="U25" s="109"/>
    </row>
    <row r="26" spans="3:21">
      <c r="C26" s="180" t="s">
        <v>1</v>
      </c>
      <c r="D26" s="180"/>
      <c r="E26" s="227">
        <f>E29</f>
        <v>0</v>
      </c>
      <c r="F26" s="227">
        <f t="shared" ref="F26:U26" si="4">F29</f>
        <v>0</v>
      </c>
      <c r="G26" s="227">
        <f t="shared" si="4"/>
        <v>0</v>
      </c>
      <c r="H26" s="227">
        <f t="shared" si="4"/>
        <v>0</v>
      </c>
      <c r="I26" s="227">
        <f t="shared" si="4"/>
        <v>0</v>
      </c>
      <c r="J26" s="227">
        <f t="shared" si="4"/>
        <v>0</v>
      </c>
      <c r="K26" s="227">
        <f t="shared" si="4"/>
        <v>0</v>
      </c>
      <c r="L26" s="227">
        <f t="shared" si="4"/>
        <v>0</v>
      </c>
      <c r="M26" s="227">
        <f t="shared" si="4"/>
        <v>0</v>
      </c>
      <c r="N26" s="227">
        <f t="shared" si="4"/>
        <v>0</v>
      </c>
      <c r="O26" s="227">
        <f t="shared" si="4"/>
        <v>0</v>
      </c>
      <c r="P26" s="227">
        <f t="shared" si="4"/>
        <v>0</v>
      </c>
      <c r="Q26" s="227">
        <f t="shared" si="4"/>
        <v>0</v>
      </c>
      <c r="R26" s="227">
        <f t="shared" si="4"/>
        <v>0</v>
      </c>
      <c r="S26" s="227">
        <f t="shared" si="4"/>
        <v>0</v>
      </c>
      <c r="T26" s="227">
        <f t="shared" si="4"/>
        <v>0</v>
      </c>
      <c r="U26" s="227">
        <f t="shared" si="4"/>
        <v>0</v>
      </c>
    </row>
    <row r="27" spans="3:21">
      <c r="C27" s="183"/>
      <c r="D27" s="221" t="s">
        <v>876</v>
      </c>
      <c r="E27" s="185" t="str">
        <f>IFERROR(E26/INDEX(26:26,MATCH(DATE(YEAR(E$18)-1,MONTH(E$18),DAY(E$18)),$18:$18,0))-1,"n.a.")</f>
        <v>n.a.</v>
      </c>
      <c r="F27" s="185" t="str">
        <f t="shared" ref="F27:U27" si="5">IFERROR(F26/INDEX(26:26,MATCH(DATE(YEAR(F$18)-1,MONTH(F$18),DAY(F$18)),$18:$18,0))-1,"n.a.")</f>
        <v>n.a.</v>
      </c>
      <c r="G27" s="185" t="str">
        <f t="shared" si="5"/>
        <v>n.a.</v>
      </c>
      <c r="H27" s="185" t="str">
        <f t="shared" si="5"/>
        <v>n.a.</v>
      </c>
      <c r="I27" s="185" t="str">
        <f t="shared" si="5"/>
        <v>n.a.</v>
      </c>
      <c r="J27" s="185" t="str">
        <f t="shared" si="5"/>
        <v>n.a.</v>
      </c>
      <c r="K27" s="185" t="str">
        <f t="shared" si="5"/>
        <v>n.a.</v>
      </c>
      <c r="L27" s="185" t="str">
        <f t="shared" si="5"/>
        <v>n.a.</v>
      </c>
      <c r="M27" s="185" t="str">
        <f t="shared" si="5"/>
        <v>n.a.</v>
      </c>
      <c r="N27" s="185" t="str">
        <f t="shared" si="5"/>
        <v>n.a.</v>
      </c>
      <c r="O27" s="185" t="str">
        <f t="shared" si="5"/>
        <v>n.a.</v>
      </c>
      <c r="P27" s="185" t="str">
        <f t="shared" si="5"/>
        <v>n.a.</v>
      </c>
      <c r="Q27" s="185" t="str">
        <f t="shared" si="5"/>
        <v>n.a.</v>
      </c>
      <c r="R27" s="185" t="str">
        <f t="shared" si="5"/>
        <v>n.a.</v>
      </c>
      <c r="S27" s="185" t="str">
        <f t="shared" si="5"/>
        <v>n.a.</v>
      </c>
      <c r="T27" s="185" t="str">
        <f t="shared" si="5"/>
        <v>n.a.</v>
      </c>
      <c r="U27" s="185" t="str">
        <f t="shared" si="5"/>
        <v>n.a.</v>
      </c>
    </row>
    <row r="28" spans="3:21" outlineLevel="1">
      <c r="C28" s="225"/>
      <c r="D28" s="362" t="s">
        <v>1481</v>
      </c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8"/>
      <c r="T28" s="228"/>
      <c r="U28" s="228"/>
    </row>
    <row r="29" spans="3:21" outlineLevel="1">
      <c r="C29" s="225"/>
      <c r="D29" s="361" t="s">
        <v>1491</v>
      </c>
      <c r="E29" s="228">
        <v>0</v>
      </c>
      <c r="F29" s="228">
        <v>0</v>
      </c>
      <c r="G29" s="228">
        <v>0</v>
      </c>
      <c r="H29" s="228">
        <v>0</v>
      </c>
      <c r="I29" s="228">
        <v>0</v>
      </c>
      <c r="J29" s="228">
        <v>0</v>
      </c>
      <c r="K29" s="228">
        <v>0</v>
      </c>
      <c r="L29" s="228">
        <v>0</v>
      </c>
      <c r="M29" s="228">
        <v>0</v>
      </c>
      <c r="N29" s="228">
        <v>0</v>
      </c>
      <c r="O29" s="228">
        <v>0</v>
      </c>
      <c r="P29" s="228">
        <v>0</v>
      </c>
      <c r="Q29" s="228">
        <v>0</v>
      </c>
      <c r="R29" s="228">
        <v>0</v>
      </c>
      <c r="S29" s="228">
        <v>0</v>
      </c>
      <c r="T29" s="228">
        <v>0</v>
      </c>
      <c r="U29" s="228">
        <v>0</v>
      </c>
    </row>
    <row r="30" spans="3:21" outlineLevel="1">
      <c r="C30" s="183"/>
      <c r="D30" s="221" t="s">
        <v>876</v>
      </c>
      <c r="E30" s="185" t="str">
        <f>IFERROR(E29/INDEX(29:29,MATCH(DATE(YEAR(E$18)-1,MONTH(E$18),DAY(E$18)),$18:$18,0))-1,"n.a.")</f>
        <v>n.a.</v>
      </c>
      <c r="F30" s="185" t="str">
        <f t="shared" ref="F30:U30" si="6">IFERROR(F29/INDEX(29:29,MATCH(DATE(YEAR(F$18)-1,MONTH(F$18),DAY(F$18)),$18:$18,0))-1,"n.a.")</f>
        <v>n.a.</v>
      </c>
      <c r="G30" s="185" t="str">
        <f t="shared" si="6"/>
        <v>n.a.</v>
      </c>
      <c r="H30" s="185" t="str">
        <f t="shared" si="6"/>
        <v>n.a.</v>
      </c>
      <c r="I30" s="185" t="str">
        <f t="shared" si="6"/>
        <v>n.a.</v>
      </c>
      <c r="J30" s="185" t="str">
        <f t="shared" si="6"/>
        <v>n.a.</v>
      </c>
      <c r="K30" s="185" t="str">
        <f t="shared" si="6"/>
        <v>n.a.</v>
      </c>
      <c r="L30" s="185" t="str">
        <f t="shared" si="6"/>
        <v>n.a.</v>
      </c>
      <c r="M30" s="185" t="str">
        <f t="shared" si="6"/>
        <v>n.a.</v>
      </c>
      <c r="N30" s="185" t="str">
        <f t="shared" si="6"/>
        <v>n.a.</v>
      </c>
      <c r="O30" s="185" t="str">
        <f t="shared" si="6"/>
        <v>n.a.</v>
      </c>
      <c r="P30" s="185" t="str">
        <f t="shared" si="6"/>
        <v>n.a.</v>
      </c>
      <c r="Q30" s="185" t="str">
        <f t="shared" si="6"/>
        <v>n.a.</v>
      </c>
      <c r="R30" s="185" t="str">
        <f t="shared" si="6"/>
        <v>n.a.</v>
      </c>
      <c r="S30" s="185" t="str">
        <f t="shared" si="6"/>
        <v>n.a.</v>
      </c>
      <c r="T30" s="185" t="str">
        <f t="shared" si="6"/>
        <v>n.a.</v>
      </c>
      <c r="U30" s="185" t="str">
        <f t="shared" si="6"/>
        <v>n.a.</v>
      </c>
    </row>
    <row r="31" spans="3:21" outlineLevel="1" collapsed="1">
      <c r="C31" s="109"/>
      <c r="D31" s="363"/>
      <c r="E31" s="230"/>
      <c r="F31" s="230"/>
      <c r="G31" s="230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</row>
    <row r="32" spans="3:21">
      <c r="C32" s="180" t="s">
        <v>1007</v>
      </c>
      <c r="D32" s="366"/>
      <c r="E32" s="227">
        <f>+E34</f>
        <v>0</v>
      </c>
      <c r="F32" s="227">
        <f t="shared" ref="F32:U32" si="7">+F34</f>
        <v>0</v>
      </c>
      <c r="G32" s="227">
        <f t="shared" si="7"/>
        <v>0</v>
      </c>
      <c r="H32" s="227">
        <f t="shared" si="7"/>
        <v>0</v>
      </c>
      <c r="I32" s="227">
        <f t="shared" si="7"/>
        <v>0</v>
      </c>
      <c r="J32" s="227">
        <f t="shared" si="7"/>
        <v>0</v>
      </c>
      <c r="K32" s="227">
        <f t="shared" si="7"/>
        <v>0</v>
      </c>
      <c r="L32" s="227">
        <f t="shared" si="7"/>
        <v>0</v>
      </c>
      <c r="M32" s="227">
        <f t="shared" si="7"/>
        <v>0</v>
      </c>
      <c r="N32" s="227">
        <f t="shared" si="7"/>
        <v>0</v>
      </c>
      <c r="O32" s="227">
        <f t="shared" si="7"/>
        <v>0</v>
      </c>
      <c r="P32" s="227">
        <f t="shared" si="7"/>
        <v>0</v>
      </c>
      <c r="Q32" s="227">
        <f t="shared" si="7"/>
        <v>0</v>
      </c>
      <c r="R32" s="227">
        <f t="shared" si="7"/>
        <v>0</v>
      </c>
      <c r="S32" s="227">
        <f t="shared" si="7"/>
        <v>0</v>
      </c>
      <c r="T32" s="227">
        <f t="shared" si="7"/>
        <v>0</v>
      </c>
      <c r="U32" s="227">
        <f t="shared" si="7"/>
        <v>0</v>
      </c>
    </row>
    <row r="33" spans="3:21">
      <c r="C33" s="183"/>
      <c r="D33" s="221" t="s">
        <v>877</v>
      </c>
      <c r="E33" s="185" t="str">
        <f>IFERROR(-E32/E$26,"")</f>
        <v/>
      </c>
      <c r="F33" s="185" t="str">
        <f t="shared" ref="F33:U33" si="8">IFERROR(-F32/F$26,"")</f>
        <v/>
      </c>
      <c r="G33" s="185" t="str">
        <f t="shared" si="8"/>
        <v/>
      </c>
      <c r="H33" s="185" t="str">
        <f t="shared" si="8"/>
        <v/>
      </c>
      <c r="I33" s="185" t="str">
        <f t="shared" si="8"/>
        <v/>
      </c>
      <c r="J33" s="185" t="str">
        <f t="shared" si="8"/>
        <v/>
      </c>
      <c r="K33" s="185" t="str">
        <f t="shared" si="8"/>
        <v/>
      </c>
      <c r="L33" s="185" t="str">
        <f t="shared" si="8"/>
        <v/>
      </c>
      <c r="M33" s="185" t="str">
        <f t="shared" si="8"/>
        <v/>
      </c>
      <c r="N33" s="185" t="str">
        <f t="shared" si="8"/>
        <v/>
      </c>
      <c r="O33" s="185" t="str">
        <f t="shared" si="8"/>
        <v/>
      </c>
      <c r="P33" s="185" t="str">
        <f t="shared" si="8"/>
        <v/>
      </c>
      <c r="Q33" s="185" t="str">
        <f t="shared" si="8"/>
        <v/>
      </c>
      <c r="R33" s="185" t="str">
        <f t="shared" si="8"/>
        <v/>
      </c>
      <c r="S33" s="185" t="str">
        <f t="shared" si="8"/>
        <v/>
      </c>
      <c r="T33" s="185" t="str">
        <f t="shared" si="8"/>
        <v/>
      </c>
      <c r="U33" s="185" t="str">
        <f t="shared" si="8"/>
        <v/>
      </c>
    </row>
    <row r="34" spans="3:21" outlineLevel="1">
      <c r="C34" s="225"/>
      <c r="D34" s="361" t="s">
        <v>1479</v>
      </c>
      <c r="E34" s="228">
        <f>-(IFERROR(INDEX('Assumptions Holdco'!15:15,MATCH('IS Holdco'!E$5,'Assumptions Holdco'!4:4,0)),0)*E20)</f>
        <v>0</v>
      </c>
      <c r="F34" s="228">
        <f>-(IFERROR(INDEX('Assumptions Holdco'!15:15,MATCH('IS Holdco'!F$5,'Assumptions Holdco'!4:4,0)),0)*F20)</f>
        <v>0</v>
      </c>
      <c r="G34" s="228">
        <f>-(IFERROR(INDEX('Assumptions Holdco'!15:15,MATCH('IS Holdco'!G$5,'Assumptions Holdco'!4:4,0)),0)*G20)</f>
        <v>0</v>
      </c>
      <c r="H34" s="228">
        <f>-(IFERROR(INDEX('Assumptions Holdco'!15:15,MATCH('IS Holdco'!H$5,'Assumptions Holdco'!4:4,0)),0)*H20)</f>
        <v>0</v>
      </c>
      <c r="I34" s="228">
        <f>-(IFERROR(INDEX('Assumptions Holdco'!15:15,MATCH('IS Holdco'!I$5,'Assumptions Holdco'!4:4,0)),0)*I20)</f>
        <v>0</v>
      </c>
      <c r="J34" s="228">
        <f>-(IFERROR(INDEX('Assumptions Holdco'!15:15,MATCH('IS Holdco'!J$5,'Assumptions Holdco'!4:4,0)),0)*J20)</f>
        <v>0</v>
      </c>
      <c r="K34" s="228">
        <f>-(IFERROR(INDEX('Assumptions Holdco'!15:15,MATCH('IS Holdco'!K$5,'Assumptions Holdco'!4:4,0)),0)*K20)</f>
        <v>0</v>
      </c>
      <c r="L34" s="228">
        <f>-(IFERROR(INDEX('Assumptions Holdco'!15:15,MATCH('IS Holdco'!L$5,'Assumptions Holdco'!4:4,0)),0)*L20)</f>
        <v>0</v>
      </c>
      <c r="M34" s="228">
        <f>-(IFERROR(INDEX('Assumptions Holdco'!15:15,MATCH('IS Holdco'!M$5,'Assumptions Holdco'!4:4,0)),0)*M20)</f>
        <v>0</v>
      </c>
      <c r="N34" s="228">
        <f>-(IFERROR(INDEX('Assumptions Holdco'!15:15,MATCH('IS Holdco'!N$5,'Assumptions Holdco'!4:4,0)),0)*N20)</f>
        <v>0</v>
      </c>
      <c r="O34" s="228">
        <f>-(IFERROR(INDEX('Assumptions Holdco'!15:15,MATCH('IS Holdco'!O$5,'Assumptions Holdco'!4:4,0)),0)*O20)</f>
        <v>0</v>
      </c>
      <c r="P34" s="228">
        <f>-(IFERROR(INDEX('Assumptions Holdco'!15:15,MATCH('IS Holdco'!P$5,'Assumptions Holdco'!4:4,0)),0)*P20)</f>
        <v>0</v>
      </c>
      <c r="Q34" s="228">
        <f>-(IFERROR(INDEX('Assumptions Holdco'!15:15,MATCH('IS Holdco'!Q$5,'Assumptions Holdco'!4:4,0)),0)*Q20)</f>
        <v>0</v>
      </c>
      <c r="R34" s="228">
        <f>-(IFERROR(INDEX('Assumptions Holdco'!15:15,MATCH('IS Holdco'!R$5,'Assumptions Holdco'!4:4,0)),0)*R20)</f>
        <v>0</v>
      </c>
      <c r="S34" s="228">
        <f>-(IFERROR(INDEX('Assumptions Holdco'!15:15,MATCH('IS Holdco'!S$5,'Assumptions Holdco'!4:4,0)),0)*S20)</f>
        <v>0</v>
      </c>
      <c r="T34" s="228">
        <f>-(IFERROR(INDEX('Assumptions Holdco'!15:15,MATCH('IS Holdco'!T$5,'Assumptions Holdco'!4:4,0)),0)*T20)</f>
        <v>0</v>
      </c>
      <c r="U34" s="228">
        <f>-(IFERROR(INDEX('Assumptions Holdco'!15:15,MATCH('IS Holdco'!U$5,'Assumptions Holdco'!4:4,0)),0)*U20)</f>
        <v>0</v>
      </c>
    </row>
    <row r="35" spans="3:21" outlineLevel="1" collapsed="1">
      <c r="C35" s="109"/>
      <c r="D35" s="363"/>
      <c r="E35" s="230"/>
      <c r="F35" s="230"/>
      <c r="G35" s="230"/>
      <c r="H35" s="230"/>
      <c r="I35" s="230"/>
      <c r="J35" s="230"/>
      <c r="K35" s="230"/>
      <c r="L35" s="230"/>
      <c r="M35" s="230"/>
      <c r="N35" s="230"/>
      <c r="O35" s="230"/>
      <c r="P35" s="230"/>
      <c r="Q35" s="230"/>
      <c r="R35" s="230"/>
      <c r="S35" s="230"/>
      <c r="T35" s="230"/>
      <c r="U35" s="230"/>
    </row>
    <row r="36" spans="3:21">
      <c r="C36" s="199" t="s">
        <v>868</v>
      </c>
      <c r="D36" s="364"/>
      <c r="E36" s="259">
        <f>+E32+E26</f>
        <v>0</v>
      </c>
      <c r="F36" s="259">
        <f t="shared" ref="F36:U36" si="9">+F32+F26</f>
        <v>0</v>
      </c>
      <c r="G36" s="259">
        <f t="shared" si="9"/>
        <v>0</v>
      </c>
      <c r="H36" s="259">
        <f t="shared" si="9"/>
        <v>0</v>
      </c>
      <c r="I36" s="259">
        <f t="shared" si="9"/>
        <v>0</v>
      </c>
      <c r="J36" s="259">
        <f t="shared" si="9"/>
        <v>0</v>
      </c>
      <c r="K36" s="259">
        <f t="shared" si="9"/>
        <v>0</v>
      </c>
      <c r="L36" s="259">
        <f t="shared" si="9"/>
        <v>0</v>
      </c>
      <c r="M36" s="259">
        <f t="shared" si="9"/>
        <v>0</v>
      </c>
      <c r="N36" s="259">
        <f t="shared" si="9"/>
        <v>0</v>
      </c>
      <c r="O36" s="259">
        <f t="shared" si="9"/>
        <v>0</v>
      </c>
      <c r="P36" s="259">
        <f t="shared" si="9"/>
        <v>0</v>
      </c>
      <c r="Q36" s="259">
        <f t="shared" si="9"/>
        <v>0</v>
      </c>
      <c r="R36" s="259">
        <f t="shared" si="9"/>
        <v>0</v>
      </c>
      <c r="S36" s="259">
        <f t="shared" si="9"/>
        <v>0</v>
      </c>
      <c r="T36" s="259">
        <f t="shared" si="9"/>
        <v>0</v>
      </c>
      <c r="U36" s="259">
        <f t="shared" si="9"/>
        <v>0</v>
      </c>
    </row>
    <row r="37" spans="3:21">
      <c r="C37" s="183"/>
      <c r="D37" s="221" t="s">
        <v>876</v>
      </c>
      <c r="E37" s="185" t="str">
        <f>IFERROR(E36/INDEX(36:36,MATCH(DATE(YEAR(E$18)-1,MONTH(E$18),DAY(E$18)),$18:$18,0))-1,"n.a.")</f>
        <v>n.a.</v>
      </c>
      <c r="F37" s="185" t="str">
        <f t="shared" ref="F37:U37" si="10">IFERROR(F36/INDEX(36:36,MATCH(DATE(YEAR(F$18)-1,MONTH(F$18),DAY(F$18)),$18:$18,0))-1,"n.a.")</f>
        <v>n.a.</v>
      </c>
      <c r="G37" s="185" t="str">
        <f t="shared" si="10"/>
        <v>n.a.</v>
      </c>
      <c r="H37" s="185" t="str">
        <f t="shared" si="10"/>
        <v>n.a.</v>
      </c>
      <c r="I37" s="185" t="str">
        <f t="shared" si="10"/>
        <v>n.a.</v>
      </c>
      <c r="J37" s="185" t="str">
        <f t="shared" si="10"/>
        <v>n.a.</v>
      </c>
      <c r="K37" s="185" t="str">
        <f>IFERROR(K36/INDEX(36:36,MATCH(DATE(YEAR(K$18)-1,MONTH(K$18),DAY(K$18)),$18:$18,0))-1,"n.a.")</f>
        <v>n.a.</v>
      </c>
      <c r="L37" s="185" t="str">
        <f t="shared" si="10"/>
        <v>n.a.</v>
      </c>
      <c r="M37" s="185" t="str">
        <f t="shared" si="10"/>
        <v>n.a.</v>
      </c>
      <c r="N37" s="185" t="str">
        <f t="shared" si="10"/>
        <v>n.a.</v>
      </c>
      <c r="O37" s="185" t="str">
        <f t="shared" si="10"/>
        <v>n.a.</v>
      </c>
      <c r="P37" s="185" t="str">
        <f t="shared" si="10"/>
        <v>n.a.</v>
      </c>
      <c r="Q37" s="185" t="str">
        <f t="shared" si="10"/>
        <v>n.a.</v>
      </c>
      <c r="R37" s="185" t="str">
        <f t="shared" si="10"/>
        <v>n.a.</v>
      </c>
      <c r="S37" s="185" t="str">
        <f t="shared" si="10"/>
        <v>n.a.</v>
      </c>
      <c r="T37" s="185" t="str">
        <f t="shared" si="10"/>
        <v>n.a.</v>
      </c>
      <c r="U37" s="185" t="str">
        <f t="shared" si="10"/>
        <v>n.a.</v>
      </c>
    </row>
    <row r="38" spans="3:21">
      <c r="C38" s="183"/>
      <c r="D38" s="221" t="s">
        <v>882</v>
      </c>
      <c r="E38" s="185" t="str">
        <f>IFERROR(E36/E$26,"")</f>
        <v/>
      </c>
      <c r="F38" s="185" t="str">
        <f t="shared" ref="F38:U38" si="11">IFERROR(F36/F$26,"")</f>
        <v/>
      </c>
      <c r="G38" s="185" t="str">
        <f t="shared" si="11"/>
        <v/>
      </c>
      <c r="H38" s="185" t="str">
        <f t="shared" si="11"/>
        <v/>
      </c>
      <c r="I38" s="185" t="str">
        <f t="shared" si="11"/>
        <v/>
      </c>
      <c r="J38" s="185" t="str">
        <f t="shared" si="11"/>
        <v/>
      </c>
      <c r="K38" s="185" t="str">
        <f t="shared" si="11"/>
        <v/>
      </c>
      <c r="L38" s="185" t="str">
        <f>IFERROR(L36/L$26,"")</f>
        <v/>
      </c>
      <c r="M38" s="185" t="str">
        <f t="shared" si="11"/>
        <v/>
      </c>
      <c r="N38" s="185" t="str">
        <f t="shared" si="11"/>
        <v/>
      </c>
      <c r="O38" s="185" t="str">
        <f t="shared" si="11"/>
        <v/>
      </c>
      <c r="P38" s="185" t="str">
        <f t="shared" si="11"/>
        <v/>
      </c>
      <c r="Q38" s="185" t="str">
        <f t="shared" si="11"/>
        <v/>
      </c>
      <c r="R38" s="185" t="str">
        <f t="shared" si="11"/>
        <v/>
      </c>
      <c r="S38" s="185" t="str">
        <f t="shared" si="11"/>
        <v/>
      </c>
      <c r="T38" s="185" t="str">
        <f t="shared" si="11"/>
        <v/>
      </c>
      <c r="U38" s="185" t="str">
        <f t="shared" si="11"/>
        <v/>
      </c>
    </row>
    <row r="39" spans="3:21" outlineLevel="1">
      <c r="C39" s="225"/>
      <c r="D39" s="361" t="s">
        <v>1478</v>
      </c>
      <c r="E39" s="228">
        <f>+E34</f>
        <v>0</v>
      </c>
      <c r="F39" s="228">
        <f t="shared" ref="F39:U39" si="12">+F34</f>
        <v>0</v>
      </c>
      <c r="G39" s="228">
        <f t="shared" si="12"/>
        <v>0</v>
      </c>
      <c r="H39" s="228">
        <f t="shared" si="12"/>
        <v>0</v>
      </c>
      <c r="I39" s="228">
        <f t="shared" si="12"/>
        <v>0</v>
      </c>
      <c r="J39" s="228">
        <f t="shared" si="12"/>
        <v>0</v>
      </c>
      <c r="K39" s="228">
        <f t="shared" si="12"/>
        <v>0</v>
      </c>
      <c r="L39" s="228">
        <f t="shared" si="12"/>
        <v>0</v>
      </c>
      <c r="M39" s="228">
        <f t="shared" si="12"/>
        <v>0</v>
      </c>
      <c r="N39" s="228">
        <f t="shared" si="12"/>
        <v>0</v>
      </c>
      <c r="O39" s="228">
        <f t="shared" si="12"/>
        <v>0</v>
      </c>
      <c r="P39" s="228">
        <f t="shared" si="12"/>
        <v>0</v>
      </c>
      <c r="Q39" s="228">
        <f t="shared" si="12"/>
        <v>0</v>
      </c>
      <c r="R39" s="228">
        <f t="shared" si="12"/>
        <v>0</v>
      </c>
      <c r="S39" s="228">
        <f t="shared" si="12"/>
        <v>0</v>
      </c>
      <c r="T39" s="228">
        <f t="shared" si="12"/>
        <v>0</v>
      </c>
      <c r="U39" s="228">
        <f t="shared" si="12"/>
        <v>0</v>
      </c>
    </row>
    <row r="40" spans="3:21" outlineLevel="1">
      <c r="C40" s="183"/>
      <c r="D40" s="221" t="str">
        <f>D38</f>
        <v>Margin %</v>
      </c>
      <c r="E40" s="185" t="e">
        <f>E39/E$29</f>
        <v>#DIV/0!</v>
      </c>
      <c r="F40" s="185" t="e">
        <f t="shared" ref="F40:U40" si="13">F39/F$29</f>
        <v>#DIV/0!</v>
      </c>
      <c r="G40" s="185" t="e">
        <f t="shared" si="13"/>
        <v>#DIV/0!</v>
      </c>
      <c r="H40" s="185" t="e">
        <f t="shared" si="13"/>
        <v>#DIV/0!</v>
      </c>
      <c r="I40" s="185" t="e">
        <f t="shared" si="13"/>
        <v>#DIV/0!</v>
      </c>
      <c r="J40" s="185" t="e">
        <f t="shared" si="13"/>
        <v>#DIV/0!</v>
      </c>
      <c r="K40" s="185" t="e">
        <f t="shared" si="13"/>
        <v>#DIV/0!</v>
      </c>
      <c r="L40" s="185" t="e">
        <f t="shared" si="13"/>
        <v>#DIV/0!</v>
      </c>
      <c r="M40" s="185" t="e">
        <f t="shared" si="13"/>
        <v>#DIV/0!</v>
      </c>
      <c r="N40" s="185" t="e">
        <f t="shared" si="13"/>
        <v>#DIV/0!</v>
      </c>
      <c r="O40" s="185" t="e">
        <f t="shared" si="13"/>
        <v>#DIV/0!</v>
      </c>
      <c r="P40" s="185" t="e">
        <f t="shared" si="13"/>
        <v>#DIV/0!</v>
      </c>
      <c r="Q40" s="185" t="e">
        <f t="shared" si="13"/>
        <v>#DIV/0!</v>
      </c>
      <c r="R40" s="185" t="e">
        <f t="shared" si="13"/>
        <v>#DIV/0!</v>
      </c>
      <c r="S40" s="185" t="e">
        <f t="shared" si="13"/>
        <v>#DIV/0!</v>
      </c>
      <c r="T40" s="185" t="e">
        <f t="shared" si="13"/>
        <v>#DIV/0!</v>
      </c>
      <c r="U40" s="185" t="e">
        <f t="shared" si="13"/>
        <v>#DIV/0!</v>
      </c>
    </row>
    <row r="41" spans="3:21" outlineLevel="1" collapsed="1">
      <c r="C41" s="11"/>
      <c r="D41" s="367"/>
      <c r="E41" s="237"/>
      <c r="F41" s="237"/>
      <c r="G41" s="237"/>
      <c r="H41" s="237"/>
      <c r="I41" s="237"/>
      <c r="J41" s="237"/>
      <c r="K41" s="237"/>
      <c r="L41" s="237"/>
      <c r="M41" s="237"/>
      <c r="N41" s="237"/>
      <c r="O41" s="237"/>
      <c r="P41" s="237"/>
      <c r="Q41" s="237"/>
      <c r="R41" s="237"/>
      <c r="S41" s="237"/>
      <c r="T41" s="237"/>
      <c r="U41" s="237"/>
    </row>
    <row r="42" spans="3:21">
      <c r="C42" s="180" t="s">
        <v>884</v>
      </c>
      <c r="D42" s="366"/>
      <c r="E42" s="227">
        <f>SUM(E44:E45)</f>
        <v>0</v>
      </c>
      <c r="F42" s="227">
        <f t="shared" ref="F42:U42" si="14">SUM(F44:F45)</f>
        <v>0</v>
      </c>
      <c r="G42" s="227">
        <f t="shared" si="14"/>
        <v>0</v>
      </c>
      <c r="H42" s="227">
        <f t="shared" si="14"/>
        <v>0</v>
      </c>
      <c r="I42" s="227">
        <f t="shared" si="14"/>
        <v>0</v>
      </c>
      <c r="J42" s="227">
        <f t="shared" ca="1" si="14"/>
        <v>0</v>
      </c>
      <c r="K42" s="227">
        <f t="shared" ca="1" si="14"/>
        <v>0</v>
      </c>
      <c r="L42" s="227">
        <f ca="1">SUM(L44:L45)</f>
        <v>0</v>
      </c>
      <c r="M42" s="227">
        <f t="shared" ca="1" si="14"/>
        <v>0</v>
      </c>
      <c r="N42" s="227">
        <f t="shared" ca="1" si="14"/>
        <v>0</v>
      </c>
      <c r="O42" s="227">
        <f t="shared" ca="1" si="14"/>
        <v>0</v>
      </c>
      <c r="P42" s="227">
        <f t="shared" ca="1" si="14"/>
        <v>0</v>
      </c>
      <c r="Q42" s="227">
        <f t="shared" si="14"/>
        <v>0</v>
      </c>
      <c r="R42" s="227">
        <f t="shared" si="14"/>
        <v>0</v>
      </c>
      <c r="S42" s="227">
        <f t="shared" si="14"/>
        <v>0</v>
      </c>
      <c r="T42" s="227">
        <f t="shared" si="14"/>
        <v>0</v>
      </c>
      <c r="U42" s="227">
        <f t="shared" si="14"/>
        <v>0</v>
      </c>
    </row>
    <row r="43" spans="3:21">
      <c r="C43" s="183"/>
      <c r="D43" s="221" t="s">
        <v>876</v>
      </c>
      <c r="E43" s="185" t="str">
        <f>IFERROR(E42/INDEX(42:42,MATCH(DATE(YEAR(E$18)-1,MONTH(E$18),DAY(E$18)),$18:$18,0))-1,"n.a.")</f>
        <v>n.a.</v>
      </c>
      <c r="F43" s="185" t="str">
        <f t="shared" ref="F43:U43" si="15">IFERROR(F42/INDEX(42:42,MATCH(DATE(YEAR(F$18)-1,MONTH(F$18),DAY(F$18)),$18:$18,0))-1,"n.a.")</f>
        <v>n.a.</v>
      </c>
      <c r="G43" s="185" t="str">
        <f t="shared" si="15"/>
        <v>n.a.</v>
      </c>
      <c r="H43" s="185" t="str">
        <f t="shared" si="15"/>
        <v>n.a.</v>
      </c>
      <c r="I43" s="185" t="str">
        <f t="shared" si="15"/>
        <v>n.a.</v>
      </c>
      <c r="J43" s="185" t="str">
        <f t="shared" ca="1" si="15"/>
        <v>n.a.</v>
      </c>
      <c r="K43" s="185" t="str">
        <f t="shared" ca="1" si="15"/>
        <v>n.a.</v>
      </c>
      <c r="L43" s="185" t="str">
        <f t="shared" ca="1" si="15"/>
        <v>n.a.</v>
      </c>
      <c r="M43" s="185" t="str">
        <f t="shared" ca="1" si="15"/>
        <v>n.a.</v>
      </c>
      <c r="N43" s="185" t="str">
        <f t="shared" ca="1" si="15"/>
        <v>n.a.</v>
      </c>
      <c r="O43" s="185" t="str">
        <f t="shared" ca="1" si="15"/>
        <v>n.a.</v>
      </c>
      <c r="P43" s="185" t="str">
        <f t="shared" ca="1" si="15"/>
        <v>n.a.</v>
      </c>
      <c r="Q43" s="185" t="str">
        <f t="shared" si="15"/>
        <v>n.a.</v>
      </c>
      <c r="R43" s="185" t="str">
        <f t="shared" si="15"/>
        <v>n.a.</v>
      </c>
      <c r="S43" s="185" t="str">
        <f t="shared" si="15"/>
        <v>n.a.</v>
      </c>
      <c r="T43" s="185" t="str">
        <f t="shared" si="15"/>
        <v>n.a.</v>
      </c>
      <c r="U43" s="185" t="str">
        <f t="shared" si="15"/>
        <v>n.a.</v>
      </c>
    </row>
    <row r="44" spans="3:21" outlineLevel="1">
      <c r="C44" s="225"/>
      <c r="D44" s="392" t="s">
        <v>1733</v>
      </c>
      <c r="E44" s="393">
        <f>E9*Stake_Bu1*'IS offshore'!E90</f>
        <v>0</v>
      </c>
      <c r="F44" s="393">
        <f>F9*Stake_Bu1*'IS offshore'!F90</f>
        <v>0</v>
      </c>
      <c r="G44" s="393">
        <f>G9*Stake_Bu1*'IS offshore'!G90</f>
        <v>0</v>
      </c>
      <c r="H44" s="393">
        <f>H9*Stake_Bu1*'IS offshore'!H90</f>
        <v>0</v>
      </c>
      <c r="I44" s="393">
        <f>I9*Stake_Bu1*'IS offshore'!I90</f>
        <v>0</v>
      </c>
      <c r="J44" s="393">
        <f ca="1">J9*Stake_Bu1*'IS offshore'!J90</f>
        <v>0</v>
      </c>
      <c r="K44" s="393">
        <f ca="1">K9*Stake_Bu1*'IS offshore'!K90</f>
        <v>0</v>
      </c>
      <c r="L44" s="393">
        <f ca="1">L9*Stake_Bu1*'IS offshore'!L90</f>
        <v>0</v>
      </c>
      <c r="M44" s="393">
        <f ca="1">M9*Stake_Bu1*'IS offshore'!M90</f>
        <v>0</v>
      </c>
      <c r="N44" s="393">
        <f ca="1">N9*Stake_Bu1*'IS offshore'!N90</f>
        <v>0</v>
      </c>
      <c r="O44" s="393">
        <f ca="1">O9*Stake_Bu1*'IS offshore'!O90</f>
        <v>0</v>
      </c>
      <c r="P44" s="393">
        <f ca="1">P9*Stake_Bu1*'IS offshore'!P90</f>
        <v>0</v>
      </c>
      <c r="Q44" s="393">
        <f>Q9*Stake_Bu1*'IS offshore'!Q90</f>
        <v>0</v>
      </c>
      <c r="R44" s="393">
        <f>R9*Stake_Bu1*'IS offshore'!R90</f>
        <v>0</v>
      </c>
      <c r="S44" s="393">
        <f>S9*Stake_Bu1*'IS offshore'!S90</f>
        <v>0</v>
      </c>
      <c r="T44" s="393">
        <f>T9*Stake_Bu1*'IS offshore'!T90</f>
        <v>0</v>
      </c>
      <c r="U44" s="393">
        <f>U9*Stake_Bu1*'IS offshore'!U90</f>
        <v>0</v>
      </c>
    </row>
    <row r="45" spans="3:21" outlineLevel="1">
      <c r="C45" s="225"/>
      <c r="D45" s="392" t="s">
        <v>1734</v>
      </c>
      <c r="E45" s="393">
        <f>E9*Stake_Bu2*'IS onshore'!E90</f>
        <v>0</v>
      </c>
      <c r="F45" s="393">
        <f>F9*Stake_Bu2*'IS onshore'!F90</f>
        <v>0</v>
      </c>
      <c r="G45" s="393">
        <f>G9*Stake_Bu2*'IS onshore'!G90</f>
        <v>0</v>
      </c>
      <c r="H45" s="393">
        <f>H9*Stake_Bu2*'IS onshore'!H90</f>
        <v>0</v>
      </c>
      <c r="I45" s="393">
        <f>I9*Stake_Bu2*'IS onshore'!I90</f>
        <v>0</v>
      </c>
      <c r="J45" s="393">
        <f ca="1">J9*Stake_Bu2*'IS onshore'!J90</f>
        <v>0</v>
      </c>
      <c r="K45" s="393">
        <f ca="1">K9*Stake_Bu2*'IS onshore'!K90</f>
        <v>0</v>
      </c>
      <c r="L45" s="393">
        <f ca="1">L9*Stake_Bu2*'IS onshore'!L90</f>
        <v>0</v>
      </c>
      <c r="M45" s="393">
        <f ca="1">M9*Stake_Bu2*'IS onshore'!M90</f>
        <v>0</v>
      </c>
      <c r="N45" s="393">
        <f ca="1">N9*Stake_Bu2*'IS onshore'!N90</f>
        <v>0</v>
      </c>
      <c r="O45" s="393">
        <f ca="1">O9*Stake_Bu2*'IS onshore'!O90</f>
        <v>0</v>
      </c>
      <c r="P45" s="393">
        <f ca="1">P9*Stake_Bu2*'IS onshore'!P90</f>
        <v>0</v>
      </c>
      <c r="Q45" s="393">
        <f>Q9*Stake_Bu2*'IS onshore'!Q90</f>
        <v>0</v>
      </c>
      <c r="R45" s="393">
        <f>R9*Stake_Bu2*'IS onshore'!R90</f>
        <v>0</v>
      </c>
      <c r="S45" s="393">
        <f>S9*Stake_Bu2*'IS onshore'!S90</f>
        <v>0</v>
      </c>
      <c r="T45" s="393">
        <f>T9*Stake_Bu2*'IS onshore'!T90</f>
        <v>0</v>
      </c>
      <c r="U45" s="393">
        <f>U9*Stake_Bu2*'IS onshore'!U90</f>
        <v>0</v>
      </c>
    </row>
    <row r="46" spans="3:21" outlineLevel="1">
      <c r="C46" s="183"/>
      <c r="D46" s="221" t="s">
        <v>876</v>
      </c>
      <c r="E46" s="185" t="str">
        <f>IFERROR(E44/INDEX(44:44,MATCH(DATE(YEAR(E$18)-1,MONTH(E$18),DAY(E$18)),$18:$18,0))-1,"n.a.")</f>
        <v>n.a.</v>
      </c>
      <c r="F46" s="185" t="str">
        <f t="shared" ref="F46:U46" si="16">IFERROR(F44/INDEX(44:44,MATCH(DATE(YEAR(F$18)-1,MONTH(F$18),DAY(F$18)),$18:$18,0))-1,"n.a.")</f>
        <v>n.a.</v>
      </c>
      <c r="G46" s="185" t="str">
        <f t="shared" si="16"/>
        <v>n.a.</v>
      </c>
      <c r="H46" s="185" t="str">
        <f t="shared" si="16"/>
        <v>n.a.</v>
      </c>
      <c r="I46" s="185" t="str">
        <f t="shared" si="16"/>
        <v>n.a.</v>
      </c>
      <c r="J46" s="185" t="str">
        <f t="shared" ca="1" si="16"/>
        <v>n.a.</v>
      </c>
      <c r="K46" s="185" t="str">
        <f t="shared" ca="1" si="16"/>
        <v>n.a.</v>
      </c>
      <c r="L46" s="185" t="str">
        <f t="shared" ca="1" si="16"/>
        <v>n.a.</v>
      </c>
      <c r="M46" s="185" t="str">
        <f t="shared" ca="1" si="16"/>
        <v>n.a.</v>
      </c>
      <c r="N46" s="185" t="str">
        <f t="shared" ca="1" si="16"/>
        <v>n.a.</v>
      </c>
      <c r="O46" s="185" t="str">
        <f t="shared" ca="1" si="16"/>
        <v>n.a.</v>
      </c>
      <c r="P46" s="185" t="str">
        <f t="shared" ca="1" si="16"/>
        <v>n.a.</v>
      </c>
      <c r="Q46" s="185" t="str">
        <f t="shared" si="16"/>
        <v>n.a.</v>
      </c>
      <c r="R46" s="185" t="str">
        <f t="shared" si="16"/>
        <v>n.a.</v>
      </c>
      <c r="S46" s="185" t="str">
        <f t="shared" si="16"/>
        <v>n.a.</v>
      </c>
      <c r="T46" s="185" t="str">
        <f t="shared" si="16"/>
        <v>n.a.</v>
      </c>
      <c r="U46" s="185" t="str">
        <f t="shared" si="16"/>
        <v>n.a.</v>
      </c>
    </row>
    <row r="47" spans="3:21" outlineLevel="1">
      <c r="C47" s="109"/>
      <c r="D47" s="363"/>
      <c r="E47" s="230"/>
      <c r="F47" s="230"/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230"/>
      <c r="R47" s="230"/>
      <c r="S47" s="230"/>
      <c r="T47" s="230"/>
      <c r="U47" s="230"/>
    </row>
    <row r="48" spans="3:21">
      <c r="C48" s="199" t="s">
        <v>3</v>
      </c>
      <c r="D48" s="364"/>
      <c r="E48" s="259">
        <f>E36+E42</f>
        <v>0</v>
      </c>
      <c r="F48" s="259">
        <f t="shared" ref="F48:U48" si="17">F36+F42</f>
        <v>0</v>
      </c>
      <c r="G48" s="259">
        <f t="shared" si="17"/>
        <v>0</v>
      </c>
      <c r="H48" s="259">
        <f t="shared" si="17"/>
        <v>0</v>
      </c>
      <c r="I48" s="259">
        <f t="shared" si="17"/>
        <v>0</v>
      </c>
      <c r="J48" s="259">
        <f t="shared" ca="1" si="17"/>
        <v>0</v>
      </c>
      <c r="K48" s="259">
        <f t="shared" ca="1" si="17"/>
        <v>0</v>
      </c>
      <c r="L48" s="259">
        <f ca="1">L36+L42</f>
        <v>0</v>
      </c>
      <c r="M48" s="259">
        <f t="shared" ca="1" si="17"/>
        <v>0</v>
      </c>
      <c r="N48" s="259">
        <f t="shared" ca="1" si="17"/>
        <v>0</v>
      </c>
      <c r="O48" s="259">
        <f t="shared" ca="1" si="17"/>
        <v>0</v>
      </c>
      <c r="P48" s="259">
        <f t="shared" ca="1" si="17"/>
        <v>0</v>
      </c>
      <c r="Q48" s="259">
        <f t="shared" si="17"/>
        <v>0</v>
      </c>
      <c r="R48" s="259">
        <f t="shared" si="17"/>
        <v>0</v>
      </c>
      <c r="S48" s="259">
        <f t="shared" si="17"/>
        <v>0</v>
      </c>
      <c r="T48" s="259">
        <f t="shared" si="17"/>
        <v>0</v>
      </c>
      <c r="U48" s="259">
        <f t="shared" si="17"/>
        <v>0</v>
      </c>
    </row>
    <row r="49" spans="3:21">
      <c r="C49" s="183"/>
      <c r="D49" s="221" t="s">
        <v>876</v>
      </c>
      <c r="E49" s="185" t="str">
        <f>IFERROR(E48/INDEX(48:48,MATCH(DATE(YEAR(E$18)-1,MONTH(E$18),DAY(E$18)),$18:$18,0))-1,"n.a.")</f>
        <v>n.a.</v>
      </c>
      <c r="F49" s="185" t="str">
        <f t="shared" ref="F49:U49" si="18">IFERROR(F48/INDEX(48:48,MATCH(DATE(YEAR(F$18)-1,MONTH(F$18),DAY(F$18)),$18:$18,0))-1,"n.a.")</f>
        <v>n.a.</v>
      </c>
      <c r="G49" s="185" t="str">
        <f t="shared" si="18"/>
        <v>n.a.</v>
      </c>
      <c r="H49" s="185" t="str">
        <f t="shared" si="18"/>
        <v>n.a.</v>
      </c>
      <c r="I49" s="185" t="str">
        <f t="shared" si="18"/>
        <v>n.a.</v>
      </c>
      <c r="J49" s="185" t="str">
        <f t="shared" ca="1" si="18"/>
        <v>n.a.</v>
      </c>
      <c r="K49" s="185" t="str">
        <f t="shared" ca="1" si="18"/>
        <v>n.a.</v>
      </c>
      <c r="L49" s="185" t="str">
        <f t="shared" ca="1" si="18"/>
        <v>n.a.</v>
      </c>
      <c r="M49" s="185" t="str">
        <f t="shared" ca="1" si="18"/>
        <v>n.a.</v>
      </c>
      <c r="N49" s="185" t="str">
        <f t="shared" ca="1" si="18"/>
        <v>n.a.</v>
      </c>
      <c r="O49" s="185" t="str">
        <f t="shared" ca="1" si="18"/>
        <v>n.a.</v>
      </c>
      <c r="P49" s="185" t="str">
        <f t="shared" ca="1" si="18"/>
        <v>n.a.</v>
      </c>
      <c r="Q49" s="185" t="str">
        <f t="shared" si="18"/>
        <v>n.a.</v>
      </c>
      <c r="R49" s="185" t="str">
        <f t="shared" si="18"/>
        <v>n.a.</v>
      </c>
      <c r="S49" s="185" t="str">
        <f t="shared" si="18"/>
        <v>n.a.</v>
      </c>
      <c r="T49" s="185" t="str">
        <f t="shared" si="18"/>
        <v>n.a.</v>
      </c>
      <c r="U49" s="185" t="str">
        <f t="shared" si="18"/>
        <v>n.a.</v>
      </c>
    </row>
    <row r="50" spans="3:21">
      <c r="C50" s="183"/>
      <c r="D50" s="221" t="s">
        <v>882</v>
      </c>
      <c r="E50" s="185" t="str">
        <f>IFERROR(E48/E$26,"")</f>
        <v/>
      </c>
      <c r="F50" s="185" t="str">
        <f t="shared" ref="F50:U50" si="19">IFERROR(F48/F$26,"")</f>
        <v/>
      </c>
      <c r="G50" s="185" t="str">
        <f t="shared" si="19"/>
        <v/>
      </c>
      <c r="H50" s="185" t="str">
        <f t="shared" si="19"/>
        <v/>
      </c>
      <c r="I50" s="185" t="str">
        <f t="shared" si="19"/>
        <v/>
      </c>
      <c r="J50" s="185" t="str">
        <f t="shared" ca="1" si="19"/>
        <v/>
      </c>
      <c r="K50" s="185" t="str">
        <f t="shared" ca="1" si="19"/>
        <v/>
      </c>
      <c r="L50" s="185" t="str">
        <f t="shared" ca="1" si="19"/>
        <v/>
      </c>
      <c r="M50" s="185" t="str">
        <f t="shared" ca="1" si="19"/>
        <v/>
      </c>
      <c r="N50" s="185" t="str">
        <f t="shared" ca="1" si="19"/>
        <v/>
      </c>
      <c r="O50" s="185" t="str">
        <f t="shared" ca="1" si="19"/>
        <v/>
      </c>
      <c r="P50" s="185" t="str">
        <f t="shared" ca="1" si="19"/>
        <v/>
      </c>
      <c r="Q50" s="185" t="str">
        <f t="shared" si="19"/>
        <v/>
      </c>
      <c r="R50" s="185" t="str">
        <f t="shared" si="19"/>
        <v/>
      </c>
      <c r="S50" s="185" t="str">
        <f t="shared" si="19"/>
        <v/>
      </c>
      <c r="T50" s="185" t="str">
        <f t="shared" si="19"/>
        <v/>
      </c>
      <c r="U50" s="185" t="str">
        <f t="shared" si="19"/>
        <v/>
      </c>
    </row>
    <row r="51" spans="3:21" outlineLevel="1">
      <c r="C51" s="11"/>
      <c r="D51" s="367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</row>
    <row r="52" spans="3:21">
      <c r="C52" s="180" t="s">
        <v>885</v>
      </c>
      <c r="D52" s="366"/>
      <c r="E52" s="389">
        <f>IFERROR(OR(E$6,E$7)*'Historical Holdco'!D28,0)+IFERROR(OR(E$6,E$7)*'Historical Holdco'!D29,0)+E9*SUMIF('Financial Quarterly Holdco'!7:7,E10,'Financial Quarterly Holdco'!93:93)</f>
        <v>0</v>
      </c>
      <c r="F52" s="389">
        <f>IFERROR(OR(F$6,F$7)*'Historical Holdco'!E28,0)+IFERROR(OR(F$6,F$7)*'Historical Holdco'!E29,0)+F9*SUMIF('Financial Quarterly Holdco'!7:7,F10,'Financial Quarterly Holdco'!93:93)</f>
        <v>0</v>
      </c>
      <c r="G52" s="389">
        <f>IFERROR(OR(G$6,G$7)*'Historical Holdco'!F28,0)+IFERROR(OR(G$6,G$7)*'Historical Holdco'!F29,0)+G9*SUMIF('Financial Quarterly Holdco'!7:7,G10,'Financial Quarterly Holdco'!93:93)</f>
        <v>0</v>
      </c>
      <c r="H52" s="389">
        <f>IFERROR(OR(H$6,H$7)*'Historical Holdco'!G28,0)+IFERROR(OR(H$6,H$7)*'Historical Holdco'!G29,0)+H9*SUMIF('Financial Quarterly Holdco'!7:7,H10,'Financial Quarterly Holdco'!93:93)</f>
        <v>0</v>
      </c>
      <c r="I52" s="389">
        <f>IFERROR(OR(I$6,I$7)*'Historical Holdco'!H28,0)+IFERROR(OR(I$6,I$7)*'Historical Holdco'!H29,0)+I9*SUMIF('Financial Quarterly Holdco'!7:7,I10,'Financial Quarterly Holdco'!93:93)</f>
        <v>0</v>
      </c>
      <c r="J52" s="389">
        <f ca="1">IFERROR(OR(J$6,J$7)*'Historical Holdco'!I28,0)+IFERROR(OR(J$6,J$7)*'Historical Holdco'!I29,0)+J9*SUMIF('Financial Quarterly Holdco'!7:7,J10,'Financial Quarterly Holdco'!93:93)</f>
        <v>0</v>
      </c>
      <c r="K52" s="389">
        <f ca="1">IFERROR(OR(K$6,K$7)*'Historical Holdco'!J28,0)+IFERROR(OR(K$6,K$7)*'Historical Holdco'!J29,0)+K9*SUMIF('Financial Quarterly Holdco'!7:7,K10,'Financial Quarterly Holdco'!93:93)</f>
        <v>0</v>
      </c>
      <c r="L52" s="389">
        <f ca="1">IFERROR(OR(L$6,L$7)*'Historical Holdco'!K28,0)+IFERROR(OR(L$6,L$7)*'Historical Holdco'!K29,0)+L9*SUMIF('Financial Quarterly Holdco'!7:7,L10,'Financial Quarterly Holdco'!93:93)</f>
        <v>0</v>
      </c>
      <c r="M52" s="389">
        <f ca="1">IFERROR(OR(M$6,M$7)*'Historical Holdco'!L28,0)+IFERROR(OR(M$6,M$7)*'Historical Holdco'!L29,0)+M9*SUMIF('Financial Quarterly Holdco'!7:7,M10,'Financial Quarterly Holdco'!93:93)</f>
        <v>0</v>
      </c>
      <c r="N52" s="389">
        <f ca="1">IFERROR(OR(N$6,N$7)*'Historical Holdco'!M28,0)+IFERROR(OR(N$6,N$7)*'Historical Holdco'!M29,0)+N9*SUMIF('Financial Quarterly Holdco'!7:7,N10,'Financial Quarterly Holdco'!93:93)</f>
        <v>0</v>
      </c>
      <c r="O52" s="389">
        <f ca="1">IFERROR(OR(O$6,O$7)*'Historical Holdco'!N28,0)+IFERROR(OR(O$6,O$7)*'Historical Holdco'!N29,0)+O9*SUMIF('Financial Quarterly Holdco'!7:7,O10,'Financial Quarterly Holdco'!93:93)</f>
        <v>0</v>
      </c>
      <c r="P52" s="389">
        <f ca="1">IFERROR(OR(P$6,P$7)*'Historical Holdco'!O28,0)+IFERROR(OR(P$6,P$7)*'Historical Holdco'!O29,0)+P9*SUMIF('Financial Quarterly Holdco'!7:7,P10,'Financial Quarterly Holdco'!93:93)</f>
        <v>0</v>
      </c>
      <c r="Q52" s="389">
        <f>IFERROR(OR(Q$6,Q$7)*'Historical Holdco'!P28,0)+IFERROR(OR(Q$6,Q$7)*'Historical Holdco'!P29,0)+Q9*SUMIF('Financial Quarterly Holdco'!7:7,Q10,'Financial Quarterly Holdco'!93:93)</f>
        <v>0</v>
      </c>
      <c r="R52" s="389">
        <f>IFERROR(OR(R$6,R$7)*'Historical Holdco'!Q28,0)+IFERROR(OR(R$6,R$7)*'Historical Holdco'!Q29,0)+R9*SUMIF('Financial Quarterly Holdco'!7:7,R10,'Financial Quarterly Holdco'!93:93)</f>
        <v>0</v>
      </c>
      <c r="S52" s="389">
        <f>IFERROR(OR(S$6,S$7)*'Historical Holdco'!R28,0)+IFERROR(OR(S$6,S$7)*'Historical Holdco'!R29,0)+S9*SUMIF('Financial Quarterly Holdco'!7:7,S10,'Financial Quarterly Holdco'!93:93)</f>
        <v>0</v>
      </c>
      <c r="T52" s="389">
        <f>IFERROR(OR(T$6,T$7)*'Historical Holdco'!S28,0)+IFERROR(OR(T$6,T$7)*'Historical Holdco'!S29,0)+T9*SUMIF('Financial Quarterly Holdco'!7:7,T10,'Financial Quarterly Holdco'!93:93)</f>
        <v>0</v>
      </c>
      <c r="U52" s="389">
        <f>IFERROR(OR(U$6,U$7)*'Historical Holdco'!T28,0)+IFERROR(OR(U$6,U$7)*'Historical Holdco'!T29,0)+U9*SUMIF('Financial Quarterly Holdco'!7:7,U10,'Financial Quarterly Holdco'!93:93)</f>
        <v>0</v>
      </c>
    </row>
    <row r="53" spans="3:21" outlineLevel="1">
      <c r="C53" s="218"/>
      <c r="D53" s="365"/>
      <c r="E53" s="243"/>
      <c r="F53" s="243"/>
      <c r="G53" s="243"/>
      <c r="H53" s="243"/>
      <c r="I53" s="243"/>
      <c r="J53" s="243"/>
      <c r="K53" s="243"/>
      <c r="L53" s="243"/>
      <c r="M53" s="243"/>
      <c r="N53" s="243"/>
      <c r="O53" s="243"/>
      <c r="P53" s="243"/>
      <c r="Q53" s="243"/>
      <c r="R53" s="243"/>
      <c r="S53" s="243"/>
      <c r="T53" s="243"/>
      <c r="U53" s="243"/>
    </row>
    <row r="54" spans="3:21">
      <c r="C54" s="199" t="s">
        <v>886</v>
      </c>
      <c r="D54" s="364"/>
      <c r="E54" s="259">
        <f>E48+E52</f>
        <v>0</v>
      </c>
      <c r="F54" s="259">
        <f t="shared" ref="F54:U54" si="20">F48+F52</f>
        <v>0</v>
      </c>
      <c r="G54" s="259">
        <f t="shared" si="20"/>
        <v>0</v>
      </c>
      <c r="H54" s="259">
        <f t="shared" si="20"/>
        <v>0</v>
      </c>
      <c r="I54" s="259">
        <f t="shared" si="20"/>
        <v>0</v>
      </c>
      <c r="J54" s="259">
        <f t="shared" ca="1" si="20"/>
        <v>0</v>
      </c>
      <c r="K54" s="259">
        <f t="shared" ca="1" si="20"/>
        <v>0</v>
      </c>
      <c r="L54" s="259">
        <f ca="1">L48+L52</f>
        <v>0</v>
      </c>
      <c r="M54" s="259">
        <f t="shared" ca="1" si="20"/>
        <v>0</v>
      </c>
      <c r="N54" s="259">
        <f t="shared" ca="1" si="20"/>
        <v>0</v>
      </c>
      <c r="O54" s="259">
        <f t="shared" ca="1" si="20"/>
        <v>0</v>
      </c>
      <c r="P54" s="259">
        <f t="shared" ca="1" si="20"/>
        <v>0</v>
      </c>
      <c r="Q54" s="259">
        <f t="shared" si="20"/>
        <v>0</v>
      </c>
      <c r="R54" s="259">
        <f t="shared" si="20"/>
        <v>0</v>
      </c>
      <c r="S54" s="259">
        <f t="shared" si="20"/>
        <v>0</v>
      </c>
      <c r="T54" s="259">
        <f t="shared" si="20"/>
        <v>0</v>
      </c>
      <c r="U54" s="259">
        <f t="shared" si="20"/>
        <v>0</v>
      </c>
    </row>
    <row r="55" spans="3:21">
      <c r="C55" s="183"/>
      <c r="D55" s="221" t="s">
        <v>876</v>
      </c>
      <c r="E55" s="185" t="str">
        <f>IFERROR(E54/INDEX(54:54,MATCH(DATE(YEAR(E$18)-1,MONTH(E$18),DAY(E$18)),$18:$18,0))-1,"n.a.")</f>
        <v>n.a.</v>
      </c>
      <c r="F55" s="185" t="str">
        <f t="shared" ref="F55:U55" si="21">IFERROR(F54/INDEX(54:54,MATCH(DATE(YEAR(F$18)-1,MONTH(F$18),DAY(F$18)),$18:$18,0))-1,"n.a.")</f>
        <v>n.a.</v>
      </c>
      <c r="G55" s="185" t="str">
        <f t="shared" si="21"/>
        <v>n.a.</v>
      </c>
      <c r="H55" s="185" t="str">
        <f t="shared" si="21"/>
        <v>n.a.</v>
      </c>
      <c r="I55" s="185" t="str">
        <f t="shared" si="21"/>
        <v>n.a.</v>
      </c>
      <c r="J55" s="185" t="str">
        <f t="shared" ca="1" si="21"/>
        <v>n.a.</v>
      </c>
      <c r="K55" s="185" t="str">
        <f t="shared" ca="1" si="21"/>
        <v>n.a.</v>
      </c>
      <c r="L55" s="185" t="str">
        <f t="shared" ca="1" si="21"/>
        <v>n.a.</v>
      </c>
      <c r="M55" s="185" t="str">
        <f t="shared" ca="1" si="21"/>
        <v>n.a.</v>
      </c>
      <c r="N55" s="185" t="str">
        <f t="shared" ca="1" si="21"/>
        <v>n.a.</v>
      </c>
      <c r="O55" s="185" t="str">
        <f t="shared" ca="1" si="21"/>
        <v>n.a.</v>
      </c>
      <c r="P55" s="185" t="str">
        <f t="shared" ca="1" si="21"/>
        <v>n.a.</v>
      </c>
      <c r="Q55" s="185" t="str">
        <f t="shared" si="21"/>
        <v>n.a.</v>
      </c>
      <c r="R55" s="185" t="str">
        <f t="shared" si="21"/>
        <v>n.a.</v>
      </c>
      <c r="S55" s="185" t="str">
        <f t="shared" si="21"/>
        <v>n.a.</v>
      </c>
      <c r="T55" s="185" t="str">
        <f t="shared" si="21"/>
        <v>n.a.</v>
      </c>
      <c r="U55" s="185" t="str">
        <f t="shared" si="21"/>
        <v>n.a.</v>
      </c>
    </row>
    <row r="56" spans="3:21">
      <c r="C56" s="183"/>
      <c r="D56" s="221" t="s">
        <v>882</v>
      </c>
      <c r="E56" s="185" t="str">
        <f>IFERROR(E54/E$26,"")</f>
        <v/>
      </c>
      <c r="F56" s="185" t="str">
        <f t="shared" ref="F56:U56" si="22">IFERROR(F54/F$26,"")</f>
        <v/>
      </c>
      <c r="G56" s="185" t="str">
        <f t="shared" si="22"/>
        <v/>
      </c>
      <c r="H56" s="185" t="str">
        <f t="shared" si="22"/>
        <v/>
      </c>
      <c r="I56" s="185" t="str">
        <f t="shared" si="22"/>
        <v/>
      </c>
      <c r="J56" s="185" t="str">
        <f t="shared" ca="1" si="22"/>
        <v/>
      </c>
      <c r="K56" s="185" t="str">
        <f t="shared" ca="1" si="22"/>
        <v/>
      </c>
      <c r="L56" s="185" t="str">
        <f t="shared" ca="1" si="22"/>
        <v/>
      </c>
      <c r="M56" s="185" t="str">
        <f t="shared" ca="1" si="22"/>
        <v/>
      </c>
      <c r="N56" s="185" t="str">
        <f t="shared" ca="1" si="22"/>
        <v/>
      </c>
      <c r="O56" s="185" t="str">
        <f t="shared" ca="1" si="22"/>
        <v/>
      </c>
      <c r="P56" s="185" t="str">
        <f t="shared" ca="1" si="22"/>
        <v/>
      </c>
      <c r="Q56" s="185" t="str">
        <f t="shared" si="22"/>
        <v/>
      </c>
      <c r="R56" s="185" t="str">
        <f t="shared" si="22"/>
        <v/>
      </c>
      <c r="S56" s="185" t="str">
        <f t="shared" si="22"/>
        <v/>
      </c>
      <c r="T56" s="185" t="str">
        <f t="shared" si="22"/>
        <v/>
      </c>
      <c r="U56" s="185" t="str">
        <f t="shared" si="22"/>
        <v/>
      </c>
    </row>
    <row r="57" spans="3:21" s="38" customFormat="1" ht="13.7" customHeight="1">
      <c r="C57" s="33"/>
      <c r="D57" s="368"/>
      <c r="E57" s="238"/>
      <c r="F57" s="238"/>
      <c r="G57" s="238"/>
      <c r="H57" s="238"/>
      <c r="I57" s="238"/>
      <c r="J57" s="238"/>
      <c r="K57" s="238"/>
      <c r="L57" s="238"/>
      <c r="M57" s="238"/>
      <c r="N57" s="238"/>
      <c r="O57" s="238"/>
      <c r="P57" s="238"/>
      <c r="Q57" s="238"/>
      <c r="R57" s="238"/>
      <c r="S57" s="238"/>
      <c r="T57" s="238"/>
      <c r="U57" s="238"/>
    </row>
    <row r="58" spans="3:21">
      <c r="C58" s="180" t="s">
        <v>887</v>
      </c>
      <c r="D58" s="366"/>
      <c r="E58" s="227">
        <f>SUM(E60:E63)</f>
        <v>0</v>
      </c>
      <c r="F58" s="227">
        <f t="shared" ref="F58:U58" si="23">SUM(F60:F63)</f>
        <v>0</v>
      </c>
      <c r="G58" s="227">
        <f t="shared" si="23"/>
        <v>0</v>
      </c>
      <c r="H58" s="227">
        <f t="shared" si="23"/>
        <v>0</v>
      </c>
      <c r="I58" s="227">
        <f t="shared" si="23"/>
        <v>0</v>
      </c>
      <c r="J58" s="227">
        <f t="shared" ca="1" si="23"/>
        <v>0</v>
      </c>
      <c r="K58" s="227">
        <f t="shared" ca="1" si="23"/>
        <v>0</v>
      </c>
      <c r="L58" s="227">
        <f t="shared" ca="1" si="23"/>
        <v>0</v>
      </c>
      <c r="M58" s="227">
        <f t="shared" ca="1" si="23"/>
        <v>0</v>
      </c>
      <c r="N58" s="227">
        <f t="shared" ca="1" si="23"/>
        <v>0</v>
      </c>
      <c r="O58" s="227">
        <f t="shared" ca="1" si="23"/>
        <v>0</v>
      </c>
      <c r="P58" s="227">
        <f t="shared" ca="1" si="23"/>
        <v>0</v>
      </c>
      <c r="Q58" s="227">
        <f t="shared" si="23"/>
        <v>0</v>
      </c>
      <c r="R58" s="227">
        <f t="shared" si="23"/>
        <v>0</v>
      </c>
      <c r="S58" s="227">
        <f t="shared" si="23"/>
        <v>0</v>
      </c>
      <c r="T58" s="227">
        <f t="shared" si="23"/>
        <v>0</v>
      </c>
      <c r="U58" s="227">
        <f t="shared" si="23"/>
        <v>0</v>
      </c>
    </row>
    <row r="59" spans="3:21">
      <c r="C59" s="183"/>
      <c r="D59" s="221" t="s">
        <v>888</v>
      </c>
      <c r="E59" s="185" t="str">
        <f>IFERROR(-E58/E54,"")</f>
        <v/>
      </c>
      <c r="F59" s="185" t="str">
        <f t="shared" ref="F59:U59" si="24">IFERROR(-F58/F54,"")</f>
        <v/>
      </c>
      <c r="G59" s="185" t="str">
        <f t="shared" si="24"/>
        <v/>
      </c>
      <c r="H59" s="185" t="str">
        <f t="shared" si="24"/>
        <v/>
      </c>
      <c r="I59" s="185" t="str">
        <f t="shared" si="24"/>
        <v/>
      </c>
      <c r="J59" s="185" t="str">
        <f t="shared" ca="1" si="24"/>
        <v/>
      </c>
      <c r="K59" s="185" t="str">
        <f t="shared" ca="1" si="24"/>
        <v/>
      </c>
      <c r="L59" s="185" t="str">
        <f t="shared" ca="1" si="24"/>
        <v/>
      </c>
      <c r="M59" s="185" t="str">
        <f t="shared" ca="1" si="24"/>
        <v/>
      </c>
      <c r="N59" s="185" t="str">
        <f t="shared" ca="1" si="24"/>
        <v/>
      </c>
      <c r="O59" s="185" t="str">
        <f t="shared" ca="1" si="24"/>
        <v/>
      </c>
      <c r="P59" s="185" t="str">
        <f t="shared" ca="1" si="24"/>
        <v/>
      </c>
      <c r="Q59" s="185" t="str">
        <f t="shared" si="24"/>
        <v/>
      </c>
      <c r="R59" s="185" t="str">
        <f t="shared" si="24"/>
        <v/>
      </c>
      <c r="S59" s="185" t="str">
        <f t="shared" si="24"/>
        <v/>
      </c>
      <c r="T59" s="185" t="str">
        <f t="shared" si="24"/>
        <v/>
      </c>
      <c r="U59" s="185" t="str">
        <f t="shared" si="24"/>
        <v/>
      </c>
    </row>
    <row r="60" spans="3:21">
      <c r="C60" s="183"/>
      <c r="D60" s="392" t="s">
        <v>1736</v>
      </c>
      <c r="E60" s="393">
        <f>E9*SUMIF('Operating quarterly Holdco'!7:7,E10,'Operating quarterly Holdco'!25:25)</f>
        <v>0</v>
      </c>
      <c r="F60" s="393">
        <f>F9*SUMIF('Operating quarterly Holdco'!7:7,F10,'Operating quarterly Holdco'!25:25)</f>
        <v>0</v>
      </c>
      <c r="G60" s="393">
        <f>G9*SUMIF('Operating quarterly Holdco'!7:7,G10,'Operating quarterly Holdco'!25:25)</f>
        <v>0</v>
      </c>
      <c r="H60" s="393">
        <f>H9*SUMIF('Operating quarterly Holdco'!7:7,H10,'Operating quarterly Holdco'!25:25)</f>
        <v>0</v>
      </c>
      <c r="I60" s="393">
        <f>I9*SUMIF('Operating quarterly Holdco'!7:7,I10,'Operating quarterly Holdco'!25:25)</f>
        <v>0</v>
      </c>
      <c r="J60" s="393">
        <f ca="1">J9*SUMIF('Operating quarterly Holdco'!7:7,J10,'Operating quarterly Holdco'!25:25)</f>
        <v>0</v>
      </c>
      <c r="K60" s="393">
        <f ca="1">K9*SUMIF('Operating quarterly Holdco'!7:7,K10,'Operating quarterly Holdco'!25:25)</f>
        <v>0</v>
      </c>
      <c r="L60" s="393">
        <f ca="1">L9*SUMIF('Operating quarterly Holdco'!7:7,L10,'Operating quarterly Holdco'!25:25)</f>
        <v>0</v>
      </c>
      <c r="M60" s="393">
        <f ca="1">M9*SUMIF('Operating quarterly Holdco'!7:7,M10,'Operating quarterly Holdco'!25:25)</f>
        <v>0</v>
      </c>
      <c r="N60" s="393">
        <f ca="1">N9*SUMIF('Operating quarterly Holdco'!7:7,N10,'Operating quarterly Holdco'!25:25)</f>
        <v>0</v>
      </c>
      <c r="O60" s="393">
        <f ca="1">O9*SUMIF('Operating quarterly Holdco'!7:7,O10,'Operating quarterly Holdco'!25:25)</f>
        <v>0</v>
      </c>
      <c r="P60" s="393">
        <f ca="1">P9*SUMIF('Operating quarterly Holdco'!7:7,P10,'Operating quarterly Holdco'!25:25)</f>
        <v>0</v>
      </c>
      <c r="Q60" s="393">
        <f>Q9*SUMIF('Operating quarterly Holdco'!7:7,Q10,'Operating quarterly Holdco'!25:25)</f>
        <v>0</v>
      </c>
      <c r="R60" s="393">
        <f>R9*SUMIF('Operating quarterly Holdco'!7:7,R10,'Operating quarterly Holdco'!25:25)</f>
        <v>0</v>
      </c>
      <c r="S60" s="393">
        <f>S9*SUMIF('Operating quarterly Holdco'!7:7,S10,'Operating quarterly Holdco'!25:25)</f>
        <v>0</v>
      </c>
      <c r="T60" s="393">
        <f>T9*SUMIF('Operating quarterly Holdco'!7:7,T10,'Operating quarterly Holdco'!25:25)</f>
        <v>0</v>
      </c>
      <c r="U60" s="393">
        <f>U9*SUMIF('Operating quarterly Holdco'!7:7,U10,'Operating quarterly Holdco'!25:25)</f>
        <v>0</v>
      </c>
    </row>
    <row r="61" spans="3:21">
      <c r="C61" s="183"/>
      <c r="D61" s="392" t="s">
        <v>1735</v>
      </c>
      <c r="E61" s="393">
        <f>E9*SUMIF('Operating quarterly Holdco'!7:7,E10,'Operating quarterly Holdco'!26:26)</f>
        <v>0</v>
      </c>
      <c r="F61" s="393">
        <f>F9*SUMIF('Operating quarterly Holdco'!7:7,F10,'Operating quarterly Holdco'!26:26)</f>
        <v>0</v>
      </c>
      <c r="G61" s="393">
        <f>G9*SUMIF('Operating quarterly Holdco'!7:7,G10,'Operating quarterly Holdco'!26:26)</f>
        <v>0</v>
      </c>
      <c r="H61" s="393">
        <f>H9*SUMIF('Operating quarterly Holdco'!7:7,H10,'Operating quarterly Holdco'!26:26)</f>
        <v>0</v>
      </c>
      <c r="I61" s="393">
        <f>I9*SUMIF('Operating quarterly Holdco'!7:7,I10,'Operating quarterly Holdco'!26:26)</f>
        <v>0</v>
      </c>
      <c r="J61" s="393">
        <f ca="1">J9*SUMIF('Operating quarterly Holdco'!7:7,J10,'Operating quarterly Holdco'!26:26)</f>
        <v>0</v>
      </c>
      <c r="K61" s="393">
        <f ca="1">K9*SUMIF('Operating quarterly Holdco'!7:7,K10,'Operating quarterly Holdco'!26:26)</f>
        <v>0</v>
      </c>
      <c r="L61" s="393">
        <f ca="1">L9*SUMIF('Operating quarterly Holdco'!7:7,L10,'Operating quarterly Holdco'!26:26)</f>
        <v>0</v>
      </c>
      <c r="M61" s="393">
        <f ca="1">M9*SUMIF('Operating quarterly Holdco'!7:7,M10,'Operating quarterly Holdco'!26:26)</f>
        <v>0</v>
      </c>
      <c r="N61" s="393">
        <f ca="1">N9*SUMIF('Operating quarterly Holdco'!7:7,N10,'Operating quarterly Holdco'!26:26)</f>
        <v>0</v>
      </c>
      <c r="O61" s="393">
        <f ca="1">O9*SUMIF('Operating quarterly Holdco'!7:7,O10,'Operating quarterly Holdco'!26:26)</f>
        <v>0</v>
      </c>
      <c r="P61" s="393">
        <f ca="1">P9*SUMIF('Operating quarterly Holdco'!7:7,P10,'Operating quarterly Holdco'!26:26)</f>
        <v>0</v>
      </c>
      <c r="Q61" s="393">
        <f>Q9*SUMIF('Operating quarterly Holdco'!7:7,Q10,'Operating quarterly Holdco'!26:26)</f>
        <v>0</v>
      </c>
      <c r="R61" s="393">
        <f>R9*SUMIF('Operating quarterly Holdco'!7:7,R10,'Operating quarterly Holdco'!26:26)</f>
        <v>0</v>
      </c>
      <c r="S61" s="393">
        <f>S9*SUMIF('Operating quarterly Holdco'!7:7,S10,'Operating quarterly Holdco'!26:26)</f>
        <v>0</v>
      </c>
      <c r="T61" s="393">
        <f>T9*SUMIF('Operating quarterly Holdco'!7:7,T10,'Operating quarterly Holdco'!26:26)</f>
        <v>0</v>
      </c>
      <c r="U61" s="393">
        <f>U9*SUMIF('Operating quarterly Holdco'!7:7,U10,'Operating quarterly Holdco'!26:26)</f>
        <v>0</v>
      </c>
    </row>
    <row r="62" spans="3:21" s="186" customFormat="1">
      <c r="D62" s="361" t="s">
        <v>1480</v>
      </c>
      <c r="E62" s="245">
        <v>0</v>
      </c>
      <c r="F62" s="245">
        <v>0</v>
      </c>
      <c r="G62" s="245">
        <v>0</v>
      </c>
      <c r="H62" s="245">
        <v>0</v>
      </c>
      <c r="I62" s="245">
        <v>0</v>
      </c>
      <c r="J62" s="245">
        <v>0</v>
      </c>
      <c r="K62" s="245">
        <v>0</v>
      </c>
      <c r="L62" s="245">
        <v>0</v>
      </c>
      <c r="M62" s="245">
        <v>0</v>
      </c>
      <c r="N62" s="245">
        <v>0</v>
      </c>
      <c r="O62" s="245">
        <v>0</v>
      </c>
      <c r="P62" s="245">
        <v>0</v>
      </c>
      <c r="Q62" s="245">
        <v>0</v>
      </c>
      <c r="R62" s="245">
        <v>0</v>
      </c>
      <c r="S62" s="245">
        <v>0</v>
      </c>
      <c r="T62" s="245">
        <v>0</v>
      </c>
      <c r="U62" s="245">
        <v>0</v>
      </c>
    </row>
    <row r="63" spans="3:21" s="186" customFormat="1">
      <c r="D63" s="361" t="s">
        <v>889</v>
      </c>
      <c r="E63" s="245">
        <f>E9*SUMIF('Financial Quarterly Holdco'!7:7,'IS Holdco'!E10,'Financial Quarterly Holdco'!101:101)</f>
        <v>0</v>
      </c>
      <c r="F63" s="245">
        <f>F9*SUMIF('Financial Quarterly Holdco'!7:7,'IS Holdco'!F10,'Financial Quarterly Holdco'!101:101)</f>
        <v>0</v>
      </c>
      <c r="G63" s="245">
        <f>G9*SUMIF('Financial Quarterly Holdco'!7:7,'IS Holdco'!G10,'Financial Quarterly Holdco'!101:101)</f>
        <v>0</v>
      </c>
      <c r="H63" s="245">
        <f>H9*SUMIF('Financial Quarterly Holdco'!7:7,'IS Holdco'!H10,'Financial Quarterly Holdco'!101:101)</f>
        <v>0</v>
      </c>
      <c r="I63" s="245">
        <f>I9*SUMIF('Financial Quarterly Holdco'!7:7,'IS Holdco'!I10,'Financial Quarterly Holdco'!101:101)</f>
        <v>0</v>
      </c>
      <c r="J63" s="245">
        <f ca="1">J9*SUMIF('Financial Quarterly Holdco'!7:7,'IS Holdco'!J10,'Financial Quarterly Holdco'!101:101)</f>
        <v>0</v>
      </c>
      <c r="K63" s="245">
        <f ca="1">K9*SUMIF('Financial Quarterly Holdco'!7:7,'IS Holdco'!K10,'Financial Quarterly Holdco'!101:101)</f>
        <v>0</v>
      </c>
      <c r="L63" s="245">
        <f ca="1">L9*SUMIF('Financial Quarterly Holdco'!7:7,'IS Holdco'!L10,'Financial Quarterly Holdco'!101:101)</f>
        <v>0</v>
      </c>
      <c r="M63" s="245">
        <f ca="1">M9*SUMIF('Financial Quarterly Holdco'!7:7,'IS Holdco'!M10,'Financial Quarterly Holdco'!101:101)</f>
        <v>0</v>
      </c>
      <c r="N63" s="245">
        <f ca="1">N9*SUMIF('Financial Quarterly Holdco'!7:7,'IS Holdco'!N10,'Financial Quarterly Holdco'!101:101)</f>
        <v>0</v>
      </c>
      <c r="O63" s="245">
        <f ca="1">O9*SUMIF('Financial Quarterly Holdco'!7:7,'IS Holdco'!O10,'Financial Quarterly Holdco'!101:101)</f>
        <v>0</v>
      </c>
      <c r="P63" s="245">
        <f ca="1">P9*SUMIF('Financial Quarterly Holdco'!7:7,'IS Holdco'!P10,'Financial Quarterly Holdco'!101:101)</f>
        <v>0</v>
      </c>
      <c r="Q63" s="245">
        <f>Q9*SUMIF('Financial Quarterly Holdco'!7:7,'IS Holdco'!Q10,'Financial Quarterly Holdco'!101:101)</f>
        <v>0</v>
      </c>
      <c r="R63" s="245">
        <f>R9*SUMIF('Financial Quarterly Holdco'!7:7,'IS Holdco'!R10,'Financial Quarterly Holdco'!101:101)</f>
        <v>0</v>
      </c>
      <c r="S63" s="245">
        <f>S9*SUMIF('Financial Quarterly Holdco'!7:7,'IS Holdco'!S10,'Financial Quarterly Holdco'!101:101)</f>
        <v>0</v>
      </c>
      <c r="T63" s="245">
        <f>T9*SUMIF('Financial Quarterly Holdco'!7:7,'IS Holdco'!T10,'Financial Quarterly Holdco'!101:101)</f>
        <v>0</v>
      </c>
      <c r="U63" s="245">
        <f>U9*SUMIF('Financial Quarterly Holdco'!7:7,'IS Holdco'!U10,'Financial Quarterly Holdco'!101:101)</f>
        <v>0</v>
      </c>
    </row>
    <row r="64" spans="3:21" s="38" customFormat="1" outlineLevel="1">
      <c r="D64" s="365"/>
      <c r="E64" s="248"/>
      <c r="F64" s="248"/>
      <c r="G64" s="248"/>
      <c r="H64" s="248"/>
      <c r="I64" s="248"/>
      <c r="J64" s="248"/>
      <c r="K64" s="248"/>
      <c r="L64" s="248"/>
      <c r="M64" s="248"/>
      <c r="N64" s="248"/>
      <c r="O64" s="248"/>
      <c r="P64" s="248"/>
      <c r="Q64" s="248"/>
      <c r="R64" s="248"/>
      <c r="S64" s="248"/>
      <c r="T64" s="248"/>
      <c r="U64" s="248"/>
    </row>
    <row r="65" spans="3:21" outlineLevel="1">
      <c r="C65" s="217" t="s">
        <v>21</v>
      </c>
      <c r="D65" s="363"/>
      <c r="E65" s="252">
        <v>0</v>
      </c>
      <c r="F65" s="252">
        <v>0</v>
      </c>
      <c r="G65" s="252">
        <v>0</v>
      </c>
      <c r="H65" s="252">
        <v>0</v>
      </c>
      <c r="I65" s="252">
        <v>0</v>
      </c>
      <c r="J65" s="252">
        <v>0</v>
      </c>
      <c r="K65" s="252">
        <v>0</v>
      </c>
      <c r="L65" s="252">
        <v>0</v>
      </c>
      <c r="M65" s="252">
        <v>0</v>
      </c>
      <c r="N65" s="252">
        <v>0</v>
      </c>
      <c r="O65" s="252">
        <v>0</v>
      </c>
      <c r="P65" s="252">
        <v>0</v>
      </c>
      <c r="Q65" s="252">
        <v>0</v>
      </c>
      <c r="R65" s="252">
        <v>0</v>
      </c>
      <c r="S65" s="252">
        <v>0</v>
      </c>
      <c r="T65" s="252">
        <v>0</v>
      </c>
      <c r="U65" s="252">
        <v>0</v>
      </c>
    </row>
    <row r="66" spans="3:21" outlineLevel="1">
      <c r="C66" s="109"/>
      <c r="D66" s="363"/>
      <c r="E66" s="230"/>
      <c r="F66" s="230"/>
      <c r="G66" s="230"/>
      <c r="H66" s="230"/>
      <c r="I66" s="230"/>
      <c r="J66" s="230"/>
      <c r="K66" s="230"/>
      <c r="L66" s="230"/>
      <c r="M66" s="230"/>
      <c r="N66" s="230"/>
      <c r="O66" s="230"/>
      <c r="P66" s="230"/>
      <c r="Q66" s="230"/>
      <c r="R66" s="230"/>
      <c r="S66" s="230"/>
      <c r="T66" s="230"/>
      <c r="U66" s="230"/>
    </row>
    <row r="67" spans="3:21">
      <c r="C67" s="195" t="s">
        <v>1003</v>
      </c>
      <c r="D67" s="369"/>
      <c r="E67" s="260">
        <f t="shared" ref="E67" si="25">E54+E58+E65</f>
        <v>0</v>
      </c>
      <c r="F67" s="260">
        <f t="shared" ref="F67:U67" si="26">F54+F58+F65</f>
        <v>0</v>
      </c>
      <c r="G67" s="260">
        <f t="shared" si="26"/>
        <v>0</v>
      </c>
      <c r="H67" s="260">
        <f t="shared" si="26"/>
        <v>0</v>
      </c>
      <c r="I67" s="260">
        <f t="shared" si="26"/>
        <v>0</v>
      </c>
      <c r="J67" s="260">
        <f ca="1">J54+J58+J65</f>
        <v>0</v>
      </c>
      <c r="K67" s="260">
        <f t="shared" ca="1" si="26"/>
        <v>0</v>
      </c>
      <c r="L67" s="260">
        <f ca="1">L54+L58+L65</f>
        <v>0</v>
      </c>
      <c r="M67" s="260">
        <f t="shared" ca="1" si="26"/>
        <v>0</v>
      </c>
      <c r="N67" s="260">
        <f t="shared" ca="1" si="26"/>
        <v>0</v>
      </c>
      <c r="O67" s="260">
        <f t="shared" ca="1" si="26"/>
        <v>0</v>
      </c>
      <c r="P67" s="260">
        <f t="shared" ca="1" si="26"/>
        <v>0</v>
      </c>
      <c r="Q67" s="260">
        <f t="shared" si="26"/>
        <v>0</v>
      </c>
      <c r="R67" s="260">
        <f t="shared" si="26"/>
        <v>0</v>
      </c>
      <c r="S67" s="260">
        <f t="shared" si="26"/>
        <v>0</v>
      </c>
      <c r="T67" s="260">
        <f t="shared" si="26"/>
        <v>0</v>
      </c>
      <c r="U67" s="260">
        <f t="shared" si="26"/>
        <v>0</v>
      </c>
    </row>
    <row r="68" spans="3:21">
      <c r="C68" s="183"/>
      <c r="D68" s="221" t="s">
        <v>876</v>
      </c>
      <c r="E68" s="185" t="str">
        <f>IFERROR(E67/INDEX(67:67,MATCH(DATE(YEAR(E$18)-1,MONTH(E$18),DAY(E$18)),$18:$18,0))-1,"n.a.")</f>
        <v>n.a.</v>
      </c>
      <c r="F68" s="185" t="str">
        <f t="shared" ref="F68:U68" si="27">IFERROR(F67/INDEX(67:67,MATCH(DATE(YEAR(F$18)-1,MONTH(F$18),DAY(F$18)),$18:$18,0))-1,"n.a.")</f>
        <v>n.a.</v>
      </c>
      <c r="G68" s="185" t="str">
        <f t="shared" si="27"/>
        <v>n.a.</v>
      </c>
      <c r="H68" s="185" t="str">
        <f t="shared" si="27"/>
        <v>n.a.</v>
      </c>
      <c r="I68" s="185" t="str">
        <f t="shared" si="27"/>
        <v>n.a.</v>
      </c>
      <c r="J68" s="185" t="str">
        <f t="shared" ca="1" si="27"/>
        <v>n.a.</v>
      </c>
      <c r="K68" s="185" t="str">
        <f t="shared" ca="1" si="27"/>
        <v>n.a.</v>
      </c>
      <c r="L68" s="185" t="str">
        <f t="shared" ca="1" si="27"/>
        <v>n.a.</v>
      </c>
      <c r="M68" s="185" t="str">
        <f t="shared" ca="1" si="27"/>
        <v>n.a.</v>
      </c>
      <c r="N68" s="185" t="str">
        <f t="shared" ca="1" si="27"/>
        <v>n.a.</v>
      </c>
      <c r="O68" s="185" t="str">
        <f t="shared" ca="1" si="27"/>
        <v>n.a.</v>
      </c>
      <c r="P68" s="185" t="str">
        <f t="shared" ca="1" si="27"/>
        <v>n.a.</v>
      </c>
      <c r="Q68" s="185" t="str">
        <f t="shared" si="27"/>
        <v>n.a.</v>
      </c>
      <c r="R68" s="185" t="str">
        <f t="shared" si="27"/>
        <v>n.a.</v>
      </c>
      <c r="S68" s="185" t="str">
        <f t="shared" si="27"/>
        <v>n.a.</v>
      </c>
      <c r="T68" s="185" t="str">
        <f t="shared" si="27"/>
        <v>n.a.</v>
      </c>
      <c r="U68" s="185" t="str">
        <f t="shared" si="27"/>
        <v>n.a.</v>
      </c>
    </row>
    <row r="69" spans="3:21">
      <c r="C69" s="183"/>
      <c r="D69" s="221" t="s">
        <v>882</v>
      </c>
      <c r="E69" s="185" t="str">
        <f>IFERROR(E67/E$26,"")</f>
        <v/>
      </c>
      <c r="F69" s="185" t="str">
        <f t="shared" ref="F69:U69" si="28">IFERROR(F67/F$26,"")</f>
        <v/>
      </c>
      <c r="G69" s="185" t="str">
        <f t="shared" si="28"/>
        <v/>
      </c>
      <c r="H69" s="185" t="str">
        <f t="shared" si="28"/>
        <v/>
      </c>
      <c r="I69" s="185" t="str">
        <f t="shared" si="28"/>
        <v/>
      </c>
      <c r="J69" s="185" t="str">
        <f t="shared" ca="1" si="28"/>
        <v/>
      </c>
      <c r="K69" s="185" t="str">
        <f t="shared" ca="1" si="28"/>
        <v/>
      </c>
      <c r="L69" s="185" t="str">
        <f t="shared" ca="1" si="28"/>
        <v/>
      </c>
      <c r="M69" s="185" t="str">
        <f t="shared" ca="1" si="28"/>
        <v/>
      </c>
      <c r="N69" s="185" t="str">
        <f t="shared" ca="1" si="28"/>
        <v/>
      </c>
      <c r="O69" s="185" t="str">
        <f t="shared" ca="1" si="28"/>
        <v/>
      </c>
      <c r="P69" s="185" t="str">
        <f t="shared" ca="1" si="28"/>
        <v/>
      </c>
      <c r="Q69" s="185" t="str">
        <f t="shared" si="28"/>
        <v/>
      </c>
      <c r="R69" s="185" t="str">
        <f t="shared" si="28"/>
        <v/>
      </c>
      <c r="S69" s="185" t="str">
        <f t="shared" si="28"/>
        <v/>
      </c>
      <c r="T69" s="185" t="str">
        <f t="shared" si="28"/>
        <v/>
      </c>
      <c r="U69" s="185" t="str">
        <f t="shared" si="28"/>
        <v/>
      </c>
    </row>
    <row r="70" spans="3:21" outlineLevel="1">
      <c r="C70" s="109"/>
      <c r="D70" s="367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</row>
    <row r="71" spans="3:21">
      <c r="C71" s="391" t="s">
        <v>1063</v>
      </c>
      <c r="D71" s="369"/>
      <c r="E71" s="260"/>
      <c r="F71" s="260">
        <f ca="1">-F9*SUMIF('Financial Quarterly Holdco'!7:7,F10,'Financial Quarterly Holdco'!88:88)+-OR(F6,F7)*('BS Holdco'!F127-'BS Holdco'!E127-F67)</f>
        <v>0</v>
      </c>
      <c r="G71" s="260">
        <f ca="1">-G9*SUMIF('Financial Quarterly Holdco'!7:7,G10,'Financial Quarterly Holdco'!88:88)+-OR(G6,G7)*('BS Holdco'!G127-'BS Holdco'!F127-G67)</f>
        <v>0</v>
      </c>
      <c r="H71" s="260">
        <f ca="1">-H9*SUMIF('Financial Quarterly Holdco'!7:7,H10,'Financial Quarterly Holdco'!88:88)+-OR(H6,H7)*('BS Holdco'!H127-'BS Holdco'!G127-H67)</f>
        <v>0</v>
      </c>
      <c r="I71" s="260">
        <f ca="1">-I9*SUMIF('Financial Quarterly Holdco'!7:7,I10,'Financial Quarterly Holdco'!88:88)+-OR(I6,I7)*('BS Holdco'!I127-'BS Holdco'!H127-I67)</f>
        <v>0</v>
      </c>
      <c r="J71" s="260">
        <f ca="1">-J9*SUMIF('Financial Quarterly Holdco'!7:7,J10,'Financial Quarterly Holdco'!88:88)+-OR(J6,J7)*('BS Holdco'!J127-'BS Holdco'!I127-J67)</f>
        <v>0</v>
      </c>
      <c r="K71" s="260">
        <f ca="1">-K9*SUMIF('Financial Quarterly Holdco'!7:7,K10,'Financial Quarterly Holdco'!88:88)+-OR(K6,K7)*('BS Holdco'!K127-'BS Holdco'!J127-K67)</f>
        <v>0</v>
      </c>
      <c r="L71" s="260">
        <f ca="1">-L9*SUMIF('Financial Quarterly Holdco'!7:7,L10,'Financial Quarterly Holdco'!88:88)+-OR(L6,L7)*('BS Holdco'!L127-'BS Holdco'!K127-L67)</f>
        <v>0</v>
      </c>
      <c r="M71" s="260">
        <f ca="1">-M9*SUMIF('Financial Quarterly Holdco'!7:7,M10,'Financial Quarterly Holdco'!88:88)+-OR(M6,M7)*('BS Holdco'!M127-'BS Holdco'!L127-M67)</f>
        <v>0</v>
      </c>
      <c r="N71" s="260">
        <f ca="1">-N9*SUMIF('Financial Quarterly Holdco'!7:7,N10,'Financial Quarterly Holdco'!88:88)+-OR(N6,N7)*('BS Holdco'!N127-'BS Holdco'!M127-N67)</f>
        <v>0</v>
      </c>
      <c r="O71" s="260">
        <f ca="1">-O9*SUMIF('Financial Quarterly Holdco'!7:7,O10,'Financial Quarterly Holdco'!88:88)+-OR(O6,O7)*('BS Holdco'!O127-'BS Holdco'!N127-O67)</f>
        <v>0</v>
      </c>
      <c r="P71" s="260">
        <f ca="1">-P9*SUMIF('Financial Quarterly Holdco'!7:7,P10,'Financial Quarterly Holdco'!88:88)+-OR(P6,P7)*('BS Holdco'!P127-'BS Holdco'!O127-P67)</f>
        <v>0</v>
      </c>
      <c r="Q71" s="260">
        <f ca="1">-Q9*SUMIF('Financial Quarterly Holdco'!7:7,Q10,'Financial Quarterly Holdco'!88:88)+-OR(Q6,Q7)*('BS Holdco'!Q127-'BS Holdco'!P127-Q67)</f>
        <v>0</v>
      </c>
      <c r="R71" s="260">
        <f ca="1">-R9*SUMIF('Financial Quarterly Holdco'!7:7,R10,'Financial Quarterly Holdco'!88:88)+-OR(R6,R7)*('BS Holdco'!R127-'BS Holdco'!Q127-R67)</f>
        <v>0</v>
      </c>
      <c r="S71" s="260">
        <f ca="1">-S9*SUMIF('Financial Quarterly Holdco'!7:7,S10,'Financial Quarterly Holdco'!88:88)+-OR(S6,S7)*('BS Holdco'!S127-'BS Holdco'!R127-S67)</f>
        <v>0</v>
      </c>
      <c r="T71" s="260">
        <f ca="1">-T9*SUMIF('Financial Quarterly Holdco'!7:7,T10,'Financial Quarterly Holdco'!88:88)+-OR(T6,T7)*('BS Holdco'!T127-'BS Holdco'!S127-T67)</f>
        <v>0</v>
      </c>
      <c r="U71" s="260">
        <f ca="1">-U9*SUMIF('Financial Quarterly Holdco'!7:7,U10,'Financial Quarterly Holdco'!88:88)+-OR(U6,U7)*('BS Holdco'!U127-'BS Holdco'!T127-U67)</f>
        <v>0</v>
      </c>
    </row>
    <row r="72" spans="3:21">
      <c r="C72" s="183"/>
      <c r="D72" s="221" t="s">
        <v>890</v>
      </c>
      <c r="E72" s="185" t="str">
        <f>IFERROR(E71/E67,"")</f>
        <v/>
      </c>
      <c r="F72" s="185" t="str">
        <f t="shared" ref="F72:U72" ca="1" si="29">IFERROR(F71/F67,"")</f>
        <v/>
      </c>
      <c r="G72" s="185" t="str">
        <f t="shared" ca="1" si="29"/>
        <v/>
      </c>
      <c r="H72" s="185" t="str">
        <f t="shared" ca="1" si="29"/>
        <v/>
      </c>
      <c r="I72" s="185" t="str">
        <f t="shared" ca="1" si="29"/>
        <v/>
      </c>
      <c r="J72" s="185" t="str">
        <f t="shared" ca="1" si="29"/>
        <v/>
      </c>
      <c r="K72" s="185" t="str">
        <f t="shared" ca="1" si="29"/>
        <v/>
      </c>
      <c r="L72" s="185" t="str">
        <f t="shared" ca="1" si="29"/>
        <v/>
      </c>
      <c r="M72" s="185" t="str">
        <f t="shared" ca="1" si="29"/>
        <v/>
      </c>
      <c r="N72" s="185" t="str">
        <f t="shared" ca="1" si="29"/>
        <v/>
      </c>
      <c r="O72" s="185" t="str">
        <f t="shared" ca="1" si="29"/>
        <v/>
      </c>
      <c r="P72" s="185" t="str">
        <f t="shared" ca="1" si="29"/>
        <v/>
      </c>
      <c r="Q72" s="185" t="str">
        <f t="shared" ca="1" si="29"/>
        <v/>
      </c>
      <c r="R72" s="185" t="str">
        <f t="shared" ca="1" si="29"/>
        <v/>
      </c>
      <c r="S72" s="185" t="str">
        <f t="shared" ca="1" si="29"/>
        <v/>
      </c>
      <c r="T72" s="185" t="str">
        <f t="shared" ca="1" si="29"/>
        <v/>
      </c>
      <c r="U72" s="185" t="str">
        <f t="shared" ca="1" si="29"/>
        <v/>
      </c>
    </row>
  </sheetData>
  <phoneticPr fontId="52" type="noConversion"/>
  <conditionalFormatting sqref="E5:AC9">
    <cfRule type="cellIs" dxfId="114" priority="1" operator="equal">
      <formula>TRUE</formula>
    </cfRule>
  </conditionalFormatting>
  <pageMargins left="0.7" right="0.7" top="0.75" bottom="0.75" header="0.3" footer="0.3"/>
  <pageSetup paperSize="9" scale="41" fitToHeight="0" orientation="portrait" r:id="rId1"/>
  <colBreaks count="1" manualBreakCount="1">
    <brk id="15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4385" r:id="rId4" name="Drop Down 1">
              <controlPr defaultSize="0" autoLine="0" autoPict="0">
                <anchor moveWithCells="1">
                  <from>
                    <xdr:col>4</xdr:col>
                    <xdr:colOff>73152</xdr:colOff>
                    <xdr:row>0</xdr:row>
                    <xdr:rowOff>173736</xdr:rowOff>
                  </from>
                  <to>
                    <xdr:col>5</xdr:col>
                    <xdr:colOff>356616</xdr:colOff>
                    <xdr:row>2</xdr:row>
                    <xdr:rowOff>36576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tabColor theme="0"/>
    <pageSetUpPr fitToPage="1"/>
  </sheetPr>
  <dimension ref="A1:AC144"/>
  <sheetViews>
    <sheetView view="pageBreakPreview" topLeftCell="C91" zoomScale="85" zoomScaleNormal="90" zoomScaleSheetLayoutView="85" workbookViewId="0">
      <selection activeCell="K131" sqref="K131"/>
    </sheetView>
  </sheetViews>
  <sheetFormatPr defaultColWidth="9.140625" defaultRowHeight="13" outlineLevelRow="1" outlineLevelCol="1"/>
  <cols>
    <col min="1" max="1" width="1.7109375" style="32" customWidth="1"/>
    <col min="2" max="2" width="2.5703125" style="32" customWidth="1"/>
    <col min="3" max="3" width="4.85546875" style="32" customWidth="1"/>
    <col min="4" max="4" width="27.42578125" style="32" customWidth="1"/>
    <col min="5" max="7" width="14" style="32" customWidth="1"/>
    <col min="8" max="8" width="15.28515625" style="32" customWidth="1"/>
    <col min="9" max="9" width="17.28515625" style="32" customWidth="1"/>
    <col min="10" max="10" width="15.7109375" style="32" customWidth="1"/>
    <col min="11" max="11" width="14" style="32" customWidth="1"/>
    <col min="12" max="15" width="15.85546875" style="32" customWidth="1"/>
    <col min="16" max="16" width="14" style="32" customWidth="1" outlineLevel="1"/>
    <col min="17" max="17" width="14.140625" style="32" customWidth="1" outlineLevel="1"/>
    <col min="18" max="18" width="10.42578125" style="32" customWidth="1" outlineLevel="1"/>
    <col min="19" max="19" width="11.5703125" style="32" customWidth="1" outlineLevel="1"/>
    <col min="20" max="22" width="10.42578125" style="32" customWidth="1" outlineLevel="1"/>
    <col min="23" max="23" width="23.5703125" style="32" customWidth="1" outlineLevel="1"/>
    <col min="24" max="24" width="10.42578125" style="32" customWidth="1" outlineLevel="1"/>
    <col min="25" max="25" width="12.5703125" style="32" customWidth="1" outlineLevel="1"/>
    <col min="26" max="26" width="10.42578125" style="32" customWidth="1" outlineLevel="1"/>
    <col min="27" max="27" width="11.5703125" style="32" customWidth="1" outlineLevel="1"/>
    <col min="28" max="28" width="18.85546875" style="32" customWidth="1" outlineLevel="1"/>
    <col min="29" max="29" width="9.5703125" style="32" customWidth="1" outlineLevel="1"/>
    <col min="30" max="16384" width="9.140625" style="32"/>
  </cols>
  <sheetData>
    <row r="1" spans="3:29" s="18" customFormat="1" ht="14.6" customHeight="1" outlineLevel="1">
      <c r="C1" s="24" t="s">
        <v>870</v>
      </c>
      <c r="D1" s="24">
        <f>'Control Panel'!B12</f>
        <v>2019</v>
      </c>
      <c r="E1" s="18" t="s">
        <v>689</v>
      </c>
      <c r="F1" s="5">
        <f>'Control Panel'!B11</f>
        <v>43466</v>
      </c>
      <c r="H1" s="18" t="s">
        <v>691</v>
      </c>
      <c r="I1" s="5">
        <f>'Control Panel'!B9</f>
        <v>43465</v>
      </c>
      <c r="K1" s="18" t="s">
        <v>705</v>
      </c>
      <c r="L1" s="18">
        <f>'Control Panel'!B13-'Control Panel'!B12+1</f>
        <v>6</v>
      </c>
    </row>
    <row r="2" spans="3:29" s="18" customFormat="1" ht="14.6" customHeight="1" outlineLevel="1">
      <c r="C2" s="24" t="s">
        <v>871</v>
      </c>
      <c r="D2" s="24">
        <f>'Financial summary'!E5</f>
        <v>1</v>
      </c>
      <c r="H2" s="18" t="s">
        <v>693</v>
      </c>
      <c r="I2" s="27">
        <f>'Control Panel'!B5</f>
        <v>5</v>
      </c>
      <c r="K2" s="18" t="s">
        <v>1555</v>
      </c>
      <c r="L2" s="18">
        <f>stub_quarter+1</f>
        <v>5</v>
      </c>
    </row>
    <row r="3" spans="3:29" s="1" customFormat="1" ht="14.6" customHeight="1" outlineLevel="1"/>
    <row r="4" spans="3:29" s="1" customFormat="1" ht="14.6" customHeight="1" outlineLevel="1">
      <c r="C4" s="1" t="s">
        <v>692</v>
      </c>
      <c r="E4" s="1">
        <v>1</v>
      </c>
      <c r="F4" s="1">
        <f>E4+1</f>
        <v>2</v>
      </c>
      <c r="G4" s="1">
        <f t="shared" ref="G4:AC4" si="0">F4+1</f>
        <v>3</v>
      </c>
      <c r="H4" s="1">
        <f t="shared" si="0"/>
        <v>4</v>
      </c>
      <c r="I4" s="1">
        <f t="shared" si="0"/>
        <v>5</v>
      </c>
      <c r="J4" s="1">
        <f t="shared" si="0"/>
        <v>6</v>
      </c>
      <c r="K4" s="1">
        <f t="shared" si="0"/>
        <v>7</v>
      </c>
      <c r="L4" s="1">
        <f t="shared" si="0"/>
        <v>8</v>
      </c>
      <c r="M4" s="1">
        <f t="shared" si="0"/>
        <v>9</v>
      </c>
      <c r="N4" s="1">
        <f t="shared" si="0"/>
        <v>10</v>
      </c>
      <c r="O4" s="1">
        <f t="shared" si="0"/>
        <v>11</v>
      </c>
      <c r="P4" s="1">
        <f t="shared" si="0"/>
        <v>12</v>
      </c>
      <c r="Q4" s="1">
        <f t="shared" si="0"/>
        <v>13</v>
      </c>
      <c r="R4" s="1">
        <f t="shared" si="0"/>
        <v>14</v>
      </c>
      <c r="S4" s="1">
        <f t="shared" si="0"/>
        <v>15</v>
      </c>
      <c r="T4" s="1">
        <f t="shared" si="0"/>
        <v>16</v>
      </c>
      <c r="U4" s="1">
        <f t="shared" si="0"/>
        <v>17</v>
      </c>
      <c r="V4" s="1">
        <f t="shared" si="0"/>
        <v>18</v>
      </c>
      <c r="W4" s="1">
        <f t="shared" si="0"/>
        <v>19</v>
      </c>
      <c r="X4" s="1">
        <f t="shared" si="0"/>
        <v>20</v>
      </c>
      <c r="Y4" s="1">
        <f t="shared" si="0"/>
        <v>21</v>
      </c>
      <c r="Z4" s="1">
        <f t="shared" si="0"/>
        <v>22</v>
      </c>
      <c r="AA4" s="1">
        <f t="shared" si="0"/>
        <v>23</v>
      </c>
      <c r="AB4" s="1">
        <f t="shared" si="0"/>
        <v>24</v>
      </c>
      <c r="AC4" s="1">
        <f t="shared" si="0"/>
        <v>25</v>
      </c>
    </row>
    <row r="5" spans="3:29" s="1" customFormat="1" ht="14.6" customHeight="1" outlineLevel="1">
      <c r="C5" s="1" t="s">
        <v>719</v>
      </c>
      <c r="E5" s="29">
        <f>DATE('Control Panel'!B4,'Control Panel'!B6,'Control Panel'!B7)</f>
        <v>42004</v>
      </c>
      <c r="F5" s="29">
        <f>F6*EOMONTH(E5,12)+F7*$I$1+F8*$F$1+IF(F9*E8,DATE($D$1,'Control Panel'!$B$6,'Control Panel'!$B$7),F9*EOMONTH(E5,12))</f>
        <v>42369</v>
      </c>
      <c r="G5" s="29">
        <f>G6*EOMONTH(F5,12)+G7*$I$1+G8*$F$1+IF(G9*F8,DATE($D$1,'Control Panel'!$B$6,'Control Panel'!$B$7),G9*EOMONTH(F5,12))</f>
        <v>42735</v>
      </c>
      <c r="H5" s="29">
        <f>H6*EOMONTH(G5,12)+H7*$I$1+H8*$F$1+IF(H9*G8,DATE($D$1,'Control Panel'!$B$6,'Control Panel'!$B$7),H9*EOMONTH(G5,12))</f>
        <v>43100</v>
      </c>
      <c r="I5" s="29">
        <f>I6*EOMONTH(H5,12)+I7*$I$1+I8*$F$1+IF(I9*H8,DATE($D$1,'Control Panel'!$B$6,'Control Panel'!$B$7),I9*EOMONTH(H5,12))</f>
        <v>43465</v>
      </c>
      <c r="J5" s="29">
        <f>J6*EOMONTH(I5,12)+J7*$I$1+J8*$F$1+IF(J9*I8,DATE($D$1,'Control Panel'!$B$6,'Control Panel'!$B$7),J9*EOMONTH(I5,12))</f>
        <v>43466</v>
      </c>
      <c r="K5" s="29">
        <f>K6*EOMONTH(J5,12)+K7*$I$1+K8*$F$1+IF(K9*J8,DATE(YEAR(J5),'Control Panel'!$B$6,'Control Panel'!$B$7),K9*EOMONTH(J5,12))</f>
        <v>43830</v>
      </c>
      <c r="L5" s="29">
        <f>L6*EOMONTH(K5,12)+L7*$I$1+L8*$F$1+IF(L9*K8,DATE(YEAR(K5),'Control Panel'!$B$6,'Control Panel'!$B$7),L9*EOMONTH(K5,12))</f>
        <v>44196</v>
      </c>
      <c r="M5" s="29">
        <f>M6*EOMONTH(L5,12)+M7*$I$1+M8*$F$1+IF(M9*L8,DATE(YEAR(L5),'Control Panel'!$B$6,'Control Panel'!$B$7),M9*EOMONTH(L5,12))</f>
        <v>44561</v>
      </c>
      <c r="N5" s="29">
        <f>N6*EOMONTH(M5,12)+N7*$I$1+N8*$F$1+IF(N9*M8,DATE(YEAR(M5),'Control Panel'!$B$6,'Control Panel'!$B$7),N9*EOMONTH(M5,12))</f>
        <v>44926</v>
      </c>
      <c r="O5" s="29">
        <f>O6*EOMONTH(N5,12)+O7*$I$1+O8*$F$1+IF(O9*N8,DATE(YEAR(N5),'Control Panel'!$B$6,'Control Panel'!$B$7),O9*EOMONTH(N5,12))</f>
        <v>45291</v>
      </c>
      <c r="P5" s="29">
        <f>P6*EOMONTH(O5,12)+P7*$I$1+P8*$F$1+IF(P9*O8,DATE(YEAR(O5),'Control Panel'!$B$6,'Control Panel'!$B$7),P9*EOMONTH(O5,12))</f>
        <v>45657</v>
      </c>
      <c r="Q5" s="29">
        <f>Q6*EOMONTH(P5,12)+Q7*$I$1+Q8*$F$1+IF(Q9*P8,DATE(YEAR(P5),'Control Panel'!$B$6,'Control Panel'!$B$7),Q9*EOMONTH(P5,12))</f>
        <v>0</v>
      </c>
      <c r="R5" s="29">
        <f>R6*EOMONTH(Q5,12)+R7*$I$1+R8*$F$1+IF(R9*Q8,DATE(YEAR(Q5),'Control Panel'!$B$6,'Control Panel'!$B$7),R9*EOMONTH(Q5,12))</f>
        <v>0</v>
      </c>
      <c r="S5" s="29">
        <f>S6*EOMONTH(R5,12)+S7*$I$1+S8*$F$1+IF(S9*R8,DATE(YEAR(R5),'Control Panel'!$B$6,'Control Panel'!$B$7),S9*EOMONTH(R5,12))</f>
        <v>0</v>
      </c>
      <c r="T5" s="29">
        <f>T6*EOMONTH(S5,12)+T7*$I$1+T8*$F$1+IF(T9*S8,DATE(YEAR(S5),'Control Panel'!$B$6,'Control Panel'!$B$7),T9*EOMONTH(S5,12))</f>
        <v>0</v>
      </c>
      <c r="U5" s="29">
        <f>U6*EOMONTH(T5,12)+U7*$I$1+U8*$F$1+IF(U9*T8,DATE(YEAR(T5),'Control Panel'!$B$6,'Control Panel'!$B$7),U9*EOMONTH(T5,12))</f>
        <v>0</v>
      </c>
      <c r="V5" s="29">
        <f>V6*EOMONTH(U5,12)+V7*$I$1+V8*$F$1+IF(V9*U8,DATE(YEAR(U5),'Control Panel'!$B$6,'Control Panel'!$B$7),V9*EOMONTH(U5,12))</f>
        <v>0</v>
      </c>
      <c r="W5" s="29">
        <f>W6*EOMONTH(V5,12)+W7*$I$1+W8*$F$1+IF(W9*V8,DATE(YEAR(V5),'Control Panel'!$B$6,'Control Panel'!$B$7),W9*EOMONTH(V5,12))</f>
        <v>0</v>
      </c>
      <c r="X5" s="29">
        <f>X6*EOMONTH(W5,12)+X7*$I$1+X8*$F$1+IF(X9*W8,DATE(YEAR(W5),'Control Panel'!$B$6,'Control Panel'!$B$7),X9*EOMONTH(W5,12))</f>
        <v>0</v>
      </c>
      <c r="Y5" s="29">
        <f>Y6*EOMONTH(X5,12)+Y7*$I$1+Y8*$F$1+IF(Y9*X8,DATE(YEAR(X5),'Control Panel'!$B$6,'Control Panel'!$B$7),Y9*EOMONTH(X5,12))</f>
        <v>0</v>
      </c>
      <c r="Z5" s="29">
        <f>Z6*EOMONTH(Y5,12)+Z7*$I$1+Z8*$F$1+IF(Z9*Y8,DATE(YEAR(Y5),'Control Panel'!$B$6,'Control Panel'!$B$7),Z9*EOMONTH(Y5,12))</f>
        <v>0</v>
      </c>
      <c r="AA5" s="29">
        <f>AA6*EOMONTH(Z5,12)+AA7*$I$1+AA8*$F$1+IF(AA9*Z8,DATE(YEAR(Z5),'Control Panel'!$B$6,'Control Panel'!$B$7),AA9*EOMONTH(Z5,12))</f>
        <v>0</v>
      </c>
      <c r="AB5" s="29">
        <f>AB6*EOMONTH(AA5,12)+AB7*$I$1+AB8*$F$1+IF(AB9*AA8,DATE(YEAR(AA5),'Control Panel'!$B$6,'Control Panel'!$B$7),AB9*EOMONTH(AA5,12))</f>
        <v>0</v>
      </c>
      <c r="AC5" s="29">
        <f>AC6*EOMONTH(AB5,12)+AC7*$I$1+AC8*$F$1+IF(AC9*AB8,DATE(YEAR(AB5),'Control Panel'!$B$6,'Control Panel'!$B$7),AC9*EOMONTH(AB5,12))</f>
        <v>0</v>
      </c>
    </row>
    <row r="6" spans="3:29" s="1" customFormat="1" ht="14.6" customHeight="1" outlineLevel="1">
      <c r="C6" s="1" t="s">
        <v>686</v>
      </c>
      <c r="E6" s="1" t="b">
        <f t="shared" ref="E6:AC6" si="1">E4&lt;=$I$2</f>
        <v>1</v>
      </c>
      <c r="F6" s="1" t="b">
        <f t="shared" si="1"/>
        <v>1</v>
      </c>
      <c r="G6" s="1" t="b">
        <f t="shared" si="1"/>
        <v>1</v>
      </c>
      <c r="H6" s="1" t="b">
        <f t="shared" si="1"/>
        <v>1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1" t="b">
        <f t="shared" si="1"/>
        <v>0</v>
      </c>
      <c r="S6" s="1" t="b">
        <f t="shared" si="1"/>
        <v>0</v>
      </c>
      <c r="T6" s="1" t="b">
        <f t="shared" si="1"/>
        <v>0</v>
      </c>
      <c r="U6" s="1" t="b">
        <f t="shared" si="1"/>
        <v>0</v>
      </c>
      <c r="V6" s="1" t="b">
        <f t="shared" si="1"/>
        <v>0</v>
      </c>
      <c r="W6" s="1" t="b">
        <f t="shared" si="1"/>
        <v>0</v>
      </c>
      <c r="X6" s="1" t="b">
        <f t="shared" si="1"/>
        <v>0</v>
      </c>
      <c r="Y6" s="1" t="b">
        <f t="shared" si="1"/>
        <v>0</v>
      </c>
      <c r="Z6" s="1" t="b">
        <f t="shared" si="1"/>
        <v>0</v>
      </c>
      <c r="AA6" s="1" t="b">
        <f t="shared" si="1"/>
        <v>0</v>
      </c>
      <c r="AB6" s="1" t="b">
        <f t="shared" si="1"/>
        <v>0</v>
      </c>
      <c r="AC6" s="1" t="b">
        <f t="shared" si="1"/>
        <v>0</v>
      </c>
    </row>
    <row r="7" spans="3:29" s="1" customFormat="1" ht="14.6" customHeight="1" outlineLevel="1">
      <c r="C7" s="1" t="s">
        <v>687</v>
      </c>
      <c r="E7" s="1" t="b">
        <f t="shared" ref="E7:AC7" si="2">(E4=$I$2+1)*stub_switch=1</f>
        <v>0</v>
      </c>
      <c r="F7" s="1" t="b">
        <f t="shared" si="2"/>
        <v>0</v>
      </c>
      <c r="G7" s="1" t="b">
        <f t="shared" si="2"/>
        <v>0</v>
      </c>
      <c r="H7" s="1" t="b">
        <f t="shared" si="2"/>
        <v>0</v>
      </c>
      <c r="I7" s="1" t="b">
        <f t="shared" si="2"/>
        <v>0</v>
      </c>
      <c r="J7" s="1" t="b">
        <f t="shared" si="2"/>
        <v>0</v>
      </c>
      <c r="K7" s="1" t="b">
        <f t="shared" si="2"/>
        <v>0</v>
      </c>
      <c r="L7" s="1" t="b">
        <f t="shared" si="2"/>
        <v>0</v>
      </c>
      <c r="M7" s="1" t="b">
        <f t="shared" si="2"/>
        <v>0</v>
      </c>
      <c r="N7" s="1" t="b">
        <f t="shared" si="2"/>
        <v>0</v>
      </c>
      <c r="O7" s="1" t="b">
        <f t="shared" si="2"/>
        <v>0</v>
      </c>
      <c r="P7" s="1" t="b">
        <f t="shared" si="2"/>
        <v>0</v>
      </c>
      <c r="Q7" s="1" t="b">
        <f t="shared" si="2"/>
        <v>0</v>
      </c>
      <c r="R7" s="1" t="b">
        <f t="shared" si="2"/>
        <v>0</v>
      </c>
      <c r="S7" s="1" t="b">
        <f t="shared" si="2"/>
        <v>0</v>
      </c>
      <c r="T7" s="1" t="b">
        <f t="shared" si="2"/>
        <v>0</v>
      </c>
      <c r="U7" s="1" t="b">
        <f t="shared" si="2"/>
        <v>0</v>
      </c>
      <c r="V7" s="1" t="b">
        <f t="shared" si="2"/>
        <v>0</v>
      </c>
      <c r="W7" s="1" t="b">
        <f t="shared" si="2"/>
        <v>0</v>
      </c>
      <c r="X7" s="1" t="b">
        <f t="shared" si="2"/>
        <v>0</v>
      </c>
      <c r="Y7" s="1" t="b">
        <f t="shared" si="2"/>
        <v>0</v>
      </c>
      <c r="Z7" s="1" t="b">
        <f t="shared" si="2"/>
        <v>0</v>
      </c>
      <c r="AA7" s="1" t="b">
        <f t="shared" si="2"/>
        <v>0</v>
      </c>
      <c r="AB7" s="1" t="b">
        <f t="shared" si="2"/>
        <v>0</v>
      </c>
      <c r="AC7" s="1" t="b">
        <f t="shared" si="2"/>
        <v>0</v>
      </c>
    </row>
    <row r="8" spans="3:29" s="1" customFormat="1" ht="14.6" customHeight="1" outlineLevel="1">
      <c r="C8" s="1" t="s">
        <v>688</v>
      </c>
      <c r="E8" s="1" t="b">
        <f t="shared" ref="E8:AC8" si="3">E4=$I$2+1+1*stub_switch</f>
        <v>0</v>
      </c>
      <c r="F8" s="1" t="b">
        <f t="shared" si="3"/>
        <v>0</v>
      </c>
      <c r="G8" s="1" t="b">
        <f t="shared" si="3"/>
        <v>0</v>
      </c>
      <c r="H8" s="1" t="b">
        <f t="shared" si="3"/>
        <v>0</v>
      </c>
      <c r="I8" s="1" t="b">
        <f t="shared" si="3"/>
        <v>0</v>
      </c>
      <c r="J8" s="1" t="b">
        <f t="shared" si="3"/>
        <v>1</v>
      </c>
      <c r="K8" s="1" t="b">
        <f t="shared" si="3"/>
        <v>0</v>
      </c>
      <c r="L8" s="1" t="b">
        <f t="shared" si="3"/>
        <v>0</v>
      </c>
      <c r="M8" s="1" t="b">
        <f t="shared" si="3"/>
        <v>0</v>
      </c>
      <c r="N8" s="1" t="b">
        <f t="shared" si="3"/>
        <v>0</v>
      </c>
      <c r="O8" s="1" t="b">
        <f t="shared" si="3"/>
        <v>0</v>
      </c>
      <c r="P8" s="1" t="b">
        <f t="shared" si="3"/>
        <v>0</v>
      </c>
      <c r="Q8" s="1" t="b">
        <f t="shared" si="3"/>
        <v>0</v>
      </c>
      <c r="R8" s="1" t="b">
        <f t="shared" si="3"/>
        <v>0</v>
      </c>
      <c r="S8" s="1" t="b">
        <f t="shared" si="3"/>
        <v>0</v>
      </c>
      <c r="T8" s="1" t="b">
        <f t="shared" si="3"/>
        <v>0</v>
      </c>
      <c r="U8" s="1" t="b">
        <f t="shared" si="3"/>
        <v>0</v>
      </c>
      <c r="V8" s="1" t="b">
        <f t="shared" si="3"/>
        <v>0</v>
      </c>
      <c r="W8" s="1" t="b">
        <f t="shared" si="3"/>
        <v>0</v>
      </c>
      <c r="X8" s="1" t="b">
        <f t="shared" si="3"/>
        <v>0</v>
      </c>
      <c r="Y8" s="1" t="b">
        <f t="shared" si="3"/>
        <v>0</v>
      </c>
      <c r="Z8" s="1" t="b">
        <f t="shared" si="3"/>
        <v>0</v>
      </c>
      <c r="AA8" s="1" t="b">
        <f t="shared" si="3"/>
        <v>0</v>
      </c>
      <c r="AB8" s="1" t="b">
        <f t="shared" si="3"/>
        <v>0</v>
      </c>
      <c r="AC8" s="1" t="b">
        <f t="shared" si="3"/>
        <v>0</v>
      </c>
    </row>
    <row r="9" spans="3:29" s="1" customFormat="1" ht="14.6" customHeight="1" outlineLevel="1">
      <c r="C9" s="1" t="s">
        <v>694</v>
      </c>
      <c r="E9" s="1" t="b">
        <f t="shared" ref="E9:AC9" si="4">AND(E4&gt;$I$2+1+1*stub_switch,E4&lt;=$L$1+$I$2+1+1*stub_switch)</f>
        <v>0</v>
      </c>
      <c r="F9" s="1" t="b">
        <f t="shared" si="4"/>
        <v>0</v>
      </c>
      <c r="G9" s="1" t="b">
        <f t="shared" si="4"/>
        <v>0</v>
      </c>
      <c r="H9" s="1" t="b">
        <f t="shared" si="4"/>
        <v>0</v>
      </c>
      <c r="I9" s="1" t="b">
        <f t="shared" si="4"/>
        <v>0</v>
      </c>
      <c r="J9" s="1" t="b">
        <f t="shared" si="4"/>
        <v>0</v>
      </c>
      <c r="K9" s="1" t="b">
        <f t="shared" si="4"/>
        <v>1</v>
      </c>
      <c r="L9" s="1" t="b">
        <f t="shared" si="4"/>
        <v>1</v>
      </c>
      <c r="M9" s="1" t="b">
        <f t="shared" si="4"/>
        <v>1</v>
      </c>
      <c r="N9" s="1" t="b">
        <f t="shared" si="4"/>
        <v>1</v>
      </c>
      <c r="O9" s="1" t="b">
        <f t="shared" si="4"/>
        <v>1</v>
      </c>
      <c r="P9" s="1" t="b">
        <f t="shared" si="4"/>
        <v>1</v>
      </c>
      <c r="Q9" s="1" t="b">
        <f t="shared" si="4"/>
        <v>0</v>
      </c>
      <c r="R9" s="1" t="b">
        <f t="shared" si="4"/>
        <v>0</v>
      </c>
      <c r="S9" s="1" t="b">
        <f t="shared" si="4"/>
        <v>0</v>
      </c>
      <c r="T9" s="1" t="b">
        <f t="shared" si="4"/>
        <v>0</v>
      </c>
      <c r="U9" s="1" t="b">
        <f t="shared" si="4"/>
        <v>0</v>
      </c>
      <c r="V9" s="1" t="b">
        <f t="shared" si="4"/>
        <v>0</v>
      </c>
      <c r="W9" s="1" t="b">
        <f t="shared" si="4"/>
        <v>0</v>
      </c>
      <c r="X9" s="1" t="b">
        <f t="shared" si="4"/>
        <v>0</v>
      </c>
      <c r="Y9" s="1" t="b">
        <f t="shared" si="4"/>
        <v>0</v>
      </c>
      <c r="Z9" s="1" t="b">
        <f t="shared" si="4"/>
        <v>0</v>
      </c>
      <c r="AA9" s="1" t="b">
        <f t="shared" si="4"/>
        <v>0</v>
      </c>
      <c r="AB9" s="1" t="b">
        <f t="shared" si="4"/>
        <v>0</v>
      </c>
      <c r="AC9" s="1" t="b">
        <f t="shared" si="4"/>
        <v>0</v>
      </c>
    </row>
    <row r="10" spans="3:29" s="1" customFormat="1" ht="14.6" customHeight="1" outlineLevel="1">
      <c r="E10" s="110">
        <f>YEAR(E5)</f>
        <v>2014</v>
      </c>
      <c r="F10" s="110">
        <f t="shared" ref="F10:AC10" si="5">YEAR(F5)</f>
        <v>2015</v>
      </c>
      <c r="G10" s="110">
        <f t="shared" si="5"/>
        <v>2016</v>
      </c>
      <c r="H10" s="110">
        <f t="shared" si="5"/>
        <v>2017</v>
      </c>
      <c r="I10" s="110">
        <f t="shared" si="5"/>
        <v>2018</v>
      </c>
      <c r="J10" s="110">
        <f t="shared" si="5"/>
        <v>2019</v>
      </c>
      <c r="K10" s="110">
        <f t="shared" si="5"/>
        <v>2019</v>
      </c>
      <c r="L10" s="110">
        <f t="shared" si="5"/>
        <v>2020</v>
      </c>
      <c r="M10" s="110">
        <f t="shared" si="5"/>
        <v>2021</v>
      </c>
      <c r="N10" s="110">
        <f t="shared" si="5"/>
        <v>2022</v>
      </c>
      <c r="O10" s="110">
        <f t="shared" si="5"/>
        <v>2023</v>
      </c>
      <c r="P10" s="110">
        <f t="shared" si="5"/>
        <v>2024</v>
      </c>
      <c r="Q10" s="110">
        <f t="shared" si="5"/>
        <v>1900</v>
      </c>
      <c r="R10" s="110">
        <f t="shared" si="5"/>
        <v>1900</v>
      </c>
      <c r="S10" s="110">
        <f t="shared" si="5"/>
        <v>1900</v>
      </c>
      <c r="T10" s="110">
        <f t="shared" si="5"/>
        <v>1900</v>
      </c>
      <c r="U10" s="110">
        <f t="shared" si="5"/>
        <v>1900</v>
      </c>
      <c r="V10" s="110">
        <f t="shared" si="5"/>
        <v>1900</v>
      </c>
      <c r="W10" s="110">
        <f t="shared" si="5"/>
        <v>1900</v>
      </c>
      <c r="X10" s="110">
        <f t="shared" si="5"/>
        <v>1900</v>
      </c>
      <c r="Y10" s="110">
        <f t="shared" si="5"/>
        <v>1900</v>
      </c>
      <c r="Z10" s="110">
        <f t="shared" si="5"/>
        <v>1900</v>
      </c>
      <c r="AA10" s="110">
        <f t="shared" si="5"/>
        <v>1900</v>
      </c>
      <c r="AB10" s="110">
        <f t="shared" si="5"/>
        <v>1900</v>
      </c>
      <c r="AC10" s="110">
        <f t="shared" si="5"/>
        <v>1900</v>
      </c>
    </row>
    <row r="11" spans="3:29" s="1" customFormat="1" ht="14.6" customHeight="1"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3:29" s="1" customFormat="1" ht="14.6" customHeight="1"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3:29" s="1" customFormat="1" ht="14.6" customHeight="1"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3:29" s="1" customFormat="1" ht="14.6" customHeight="1"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3:29" ht="16.600000000000001">
      <c r="C15" s="196" t="str">
        <f>CONCATENATE("Project ",project_name," - Balance Sheet")</f>
        <v>Project  - Balance Sheet</v>
      </c>
    </row>
    <row r="16" spans="3:29">
      <c r="C16" s="194" t="str">
        <f>CONCATENATE("In ",model_curr," thousand unless otherwise stated")</f>
        <v>In USD thousand unless otherwise stated</v>
      </c>
    </row>
    <row r="17" spans="1:29" ht="13.7">
      <c r="C17" s="209"/>
      <c r="D17" s="209"/>
      <c r="E17" s="178" t="str">
        <f>CONCATENATE(YEAR(E5),LEFT(E19,1))</f>
        <v>2014A</v>
      </c>
      <c r="F17" s="178" t="str">
        <f t="shared" ref="F17:P17" si="6">CONCATENATE(YEAR(F5),LEFT(F19,1))</f>
        <v>2015A</v>
      </c>
      <c r="G17" s="178" t="str">
        <f t="shared" si="6"/>
        <v>2016A</v>
      </c>
      <c r="H17" s="178" t="str">
        <f t="shared" si="6"/>
        <v>2017A</v>
      </c>
      <c r="I17" s="178" t="str">
        <f t="shared" si="6"/>
        <v>2018A</v>
      </c>
      <c r="J17" s="178" t="str">
        <f t="shared" si="6"/>
        <v>2019C</v>
      </c>
      <c r="K17" s="178" t="str">
        <f t="shared" si="6"/>
        <v>2019F</v>
      </c>
      <c r="L17" s="178" t="str">
        <f t="shared" si="6"/>
        <v>2020F</v>
      </c>
      <c r="M17" s="178" t="str">
        <f t="shared" si="6"/>
        <v>2021F</v>
      </c>
      <c r="N17" s="178" t="str">
        <f t="shared" si="6"/>
        <v>2022F</v>
      </c>
      <c r="O17" s="178" t="str">
        <f t="shared" si="6"/>
        <v>2023F</v>
      </c>
      <c r="P17" s="178" t="str">
        <f t="shared" si="6"/>
        <v>2024F</v>
      </c>
      <c r="Q17" s="178" t="e">
        <f t="shared" ref="Q17:AC17" si="7">CONCATENATE(YEAR(Q5),LEFT(Q19,1))</f>
        <v>#N/A</v>
      </c>
      <c r="R17" s="178" t="e">
        <f t="shared" si="7"/>
        <v>#N/A</v>
      </c>
      <c r="S17" s="178" t="e">
        <f t="shared" si="7"/>
        <v>#N/A</v>
      </c>
      <c r="T17" s="178" t="e">
        <f t="shared" si="7"/>
        <v>#N/A</v>
      </c>
      <c r="U17" s="178" t="e">
        <f t="shared" si="7"/>
        <v>#N/A</v>
      </c>
      <c r="V17" s="178" t="e">
        <f t="shared" si="7"/>
        <v>#N/A</v>
      </c>
      <c r="W17" s="178" t="e">
        <f t="shared" si="7"/>
        <v>#N/A</v>
      </c>
      <c r="X17" s="178" t="e">
        <f t="shared" si="7"/>
        <v>#N/A</v>
      </c>
      <c r="Y17" s="178" t="e">
        <f t="shared" si="7"/>
        <v>#N/A</v>
      </c>
      <c r="Z17" s="178" t="e">
        <f t="shared" si="7"/>
        <v>#N/A</v>
      </c>
      <c r="AA17" s="178" t="e">
        <f t="shared" si="7"/>
        <v>#N/A</v>
      </c>
      <c r="AB17" s="178" t="e">
        <f t="shared" si="7"/>
        <v>#N/A</v>
      </c>
      <c r="AC17" s="178" t="e">
        <f t="shared" si="7"/>
        <v>#N/A</v>
      </c>
    </row>
    <row r="18" spans="1:29" ht="13.7">
      <c r="C18" s="198"/>
      <c r="D18" s="198"/>
      <c r="E18" s="198">
        <f>E5</f>
        <v>42004</v>
      </c>
      <c r="F18" s="198">
        <f t="shared" ref="F18:P18" si="8">F5</f>
        <v>42369</v>
      </c>
      <c r="G18" s="198">
        <f t="shared" si="8"/>
        <v>42735</v>
      </c>
      <c r="H18" s="198">
        <f t="shared" si="8"/>
        <v>43100</v>
      </c>
      <c r="I18" s="198">
        <f t="shared" si="8"/>
        <v>43465</v>
      </c>
      <c r="J18" s="198">
        <f t="shared" si="8"/>
        <v>43466</v>
      </c>
      <c r="K18" s="198">
        <f t="shared" si="8"/>
        <v>43830</v>
      </c>
      <c r="L18" s="198">
        <f t="shared" si="8"/>
        <v>44196</v>
      </c>
      <c r="M18" s="198">
        <f t="shared" si="8"/>
        <v>44561</v>
      </c>
      <c r="N18" s="198">
        <f t="shared" si="8"/>
        <v>44926</v>
      </c>
      <c r="O18" s="198">
        <f t="shared" si="8"/>
        <v>45291</v>
      </c>
      <c r="P18" s="198">
        <f t="shared" si="8"/>
        <v>45657</v>
      </c>
      <c r="Q18" s="198">
        <f t="shared" ref="Q18:AC18" si="9">Q5</f>
        <v>0</v>
      </c>
      <c r="R18" s="198">
        <f t="shared" si="9"/>
        <v>0</v>
      </c>
      <c r="S18" s="198">
        <f t="shared" si="9"/>
        <v>0</v>
      </c>
      <c r="T18" s="198">
        <f t="shared" si="9"/>
        <v>0</v>
      </c>
      <c r="U18" s="198">
        <f t="shared" si="9"/>
        <v>0</v>
      </c>
      <c r="V18" s="198">
        <f t="shared" si="9"/>
        <v>0</v>
      </c>
      <c r="W18" s="198">
        <f t="shared" si="9"/>
        <v>0</v>
      </c>
      <c r="X18" s="198">
        <f t="shared" si="9"/>
        <v>0</v>
      </c>
      <c r="Y18" s="198">
        <f t="shared" si="9"/>
        <v>0</v>
      </c>
      <c r="Z18" s="198">
        <f t="shared" si="9"/>
        <v>0</v>
      </c>
      <c r="AA18" s="198">
        <f t="shared" si="9"/>
        <v>0</v>
      </c>
      <c r="AB18" s="198">
        <f t="shared" si="9"/>
        <v>0</v>
      </c>
      <c r="AC18" s="198">
        <f t="shared" si="9"/>
        <v>0</v>
      </c>
    </row>
    <row r="19" spans="1:29" ht="13.7">
      <c r="C19" s="209"/>
      <c r="D19" s="209"/>
      <c r="E19" s="178" t="str">
        <f>INDEX($E$11:$E$14,MATCH(TRUE,E6:E9,0))</f>
        <v>Actual</v>
      </c>
      <c r="F19" s="178" t="str">
        <f t="shared" ref="F19:P19" si="10">INDEX($E$11:$E$14,MATCH(TRUE,F6:F9,0))</f>
        <v>Actual</v>
      </c>
      <c r="G19" s="178" t="str">
        <f t="shared" si="10"/>
        <v>Actual</v>
      </c>
      <c r="H19" s="178" t="str">
        <f t="shared" si="10"/>
        <v>Actual</v>
      </c>
      <c r="I19" s="178" t="str">
        <f t="shared" si="10"/>
        <v>Actual</v>
      </c>
      <c r="J19" s="178" t="str">
        <f t="shared" si="10"/>
        <v>Combination</v>
      </c>
      <c r="K19" s="178" t="str">
        <f t="shared" si="10"/>
        <v>Forecast</v>
      </c>
      <c r="L19" s="178" t="str">
        <f t="shared" si="10"/>
        <v>Forecast</v>
      </c>
      <c r="M19" s="178" t="str">
        <f t="shared" si="10"/>
        <v>Forecast</v>
      </c>
      <c r="N19" s="178" t="str">
        <f t="shared" si="10"/>
        <v>Forecast</v>
      </c>
      <c r="O19" s="178" t="str">
        <f t="shared" si="10"/>
        <v>Forecast</v>
      </c>
      <c r="P19" s="178" t="str">
        <f t="shared" si="10"/>
        <v>Forecast</v>
      </c>
      <c r="Q19" s="178" t="e">
        <f t="shared" ref="Q19:AC19" si="11">INDEX($E$11:$E$14,MATCH(TRUE,Q6:Q9,0))</f>
        <v>#N/A</v>
      </c>
      <c r="R19" s="178" t="e">
        <f t="shared" si="11"/>
        <v>#N/A</v>
      </c>
      <c r="S19" s="178" t="e">
        <f t="shared" si="11"/>
        <v>#N/A</v>
      </c>
      <c r="T19" s="178" t="e">
        <f t="shared" si="11"/>
        <v>#N/A</v>
      </c>
      <c r="U19" s="178" t="e">
        <f t="shared" si="11"/>
        <v>#N/A</v>
      </c>
      <c r="V19" s="178" t="e">
        <f t="shared" si="11"/>
        <v>#N/A</v>
      </c>
      <c r="W19" s="178" t="e">
        <f t="shared" si="11"/>
        <v>#N/A</v>
      </c>
      <c r="X19" s="178" t="e">
        <f t="shared" si="11"/>
        <v>#N/A</v>
      </c>
      <c r="Y19" s="178" t="e">
        <f t="shared" si="11"/>
        <v>#N/A</v>
      </c>
      <c r="Z19" s="178" t="e">
        <f t="shared" si="11"/>
        <v>#N/A</v>
      </c>
      <c r="AA19" s="178" t="e">
        <f t="shared" si="11"/>
        <v>#N/A</v>
      </c>
      <c r="AB19" s="178" t="e">
        <f t="shared" si="11"/>
        <v>#N/A</v>
      </c>
      <c r="AC19" s="178" t="e">
        <f t="shared" si="11"/>
        <v>#N/A</v>
      </c>
    </row>
    <row r="20" spans="1:29" ht="13.7"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</row>
    <row r="21" spans="1:29" ht="13.7">
      <c r="B21" s="32" t="s">
        <v>831</v>
      </c>
      <c r="C21" s="222" t="str">
        <f>CONCATENATE("Balance Sheet (",model_curr,")")</f>
        <v>Balance Sheet (USD)</v>
      </c>
      <c r="D21" s="209"/>
      <c r="E21" s="178" t="str">
        <f>E17</f>
        <v>2014A</v>
      </c>
      <c r="F21" s="178" t="str">
        <f t="shared" ref="F21:L21" si="12">F17</f>
        <v>2015A</v>
      </c>
      <c r="G21" s="178" t="str">
        <f t="shared" si="12"/>
        <v>2016A</v>
      </c>
      <c r="H21" s="178" t="str">
        <f t="shared" si="12"/>
        <v>2017A</v>
      </c>
      <c r="I21" s="178" t="str">
        <f t="shared" si="12"/>
        <v>2018A</v>
      </c>
      <c r="J21" s="178" t="str">
        <f t="shared" si="12"/>
        <v>2019C</v>
      </c>
      <c r="K21" s="178" t="str">
        <f t="shared" si="12"/>
        <v>2019F</v>
      </c>
      <c r="L21" s="178" t="str">
        <f t="shared" si="12"/>
        <v>2020F</v>
      </c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</row>
    <row r="23" spans="1:29" ht="13.7">
      <c r="A23" s="256"/>
      <c r="B23" s="256"/>
      <c r="C23" s="181" t="s">
        <v>4</v>
      </c>
      <c r="D23" s="180"/>
      <c r="E23" s="180">
        <f>+E24+E29+E33+E37+E41+E44+E48</f>
        <v>0</v>
      </c>
      <c r="F23" s="180">
        <f t="shared" ref="F23:P23" si="13">+F24+F29+F33+F37+F41+F44+F48</f>
        <v>0</v>
      </c>
      <c r="G23" s="180">
        <f t="shared" si="13"/>
        <v>0</v>
      </c>
      <c r="H23" s="180">
        <f t="shared" si="13"/>
        <v>0</v>
      </c>
      <c r="I23" s="180">
        <f t="shared" si="13"/>
        <v>0</v>
      </c>
      <c r="J23" s="180">
        <f t="shared" si="13"/>
        <v>0</v>
      </c>
      <c r="K23" s="180">
        <f t="shared" ca="1" si="13"/>
        <v>0</v>
      </c>
      <c r="L23" s="180">
        <f t="shared" ca="1" si="13"/>
        <v>0</v>
      </c>
      <c r="M23" s="180">
        <f t="shared" ca="1" si="13"/>
        <v>0</v>
      </c>
      <c r="N23" s="180">
        <f t="shared" ca="1" si="13"/>
        <v>0</v>
      </c>
      <c r="O23" s="180">
        <f t="shared" ca="1" si="13"/>
        <v>0</v>
      </c>
      <c r="P23" s="180">
        <f t="shared" ca="1" si="13"/>
        <v>0</v>
      </c>
      <c r="Q23" s="180">
        <f t="shared" ref="Q23:AC23" si="14">+Q24+Q29+Q33+Q37+Q41+Q44+Q48</f>
        <v>0</v>
      </c>
      <c r="R23" s="180">
        <f t="shared" si="14"/>
        <v>0</v>
      </c>
      <c r="S23" s="180">
        <f t="shared" si="14"/>
        <v>0</v>
      </c>
      <c r="T23" s="180">
        <f t="shared" si="14"/>
        <v>0</v>
      </c>
      <c r="U23" s="180">
        <f t="shared" si="14"/>
        <v>0</v>
      </c>
      <c r="V23" s="180">
        <f t="shared" si="14"/>
        <v>0</v>
      </c>
      <c r="W23" s="180">
        <f t="shared" si="14"/>
        <v>0</v>
      </c>
      <c r="X23" s="180">
        <f t="shared" si="14"/>
        <v>0</v>
      </c>
      <c r="Y23" s="180">
        <f t="shared" si="14"/>
        <v>0</v>
      </c>
      <c r="Z23" s="180">
        <f t="shared" si="14"/>
        <v>0</v>
      </c>
      <c r="AA23" s="180">
        <f t="shared" si="14"/>
        <v>0</v>
      </c>
      <c r="AB23" s="180">
        <f t="shared" si="14"/>
        <v>0</v>
      </c>
      <c r="AC23" s="180">
        <f t="shared" si="14"/>
        <v>0</v>
      </c>
    </row>
    <row r="24" spans="1:29" ht="13.7">
      <c r="A24" s="256"/>
      <c r="B24" s="256"/>
      <c r="C24" s="254" t="s">
        <v>891</v>
      </c>
      <c r="D24" s="255"/>
      <c r="E24" s="255">
        <f t="shared" ref="E24:P24" si="15">SUM(E25:E28)</f>
        <v>0</v>
      </c>
      <c r="F24" s="255">
        <f t="shared" si="15"/>
        <v>0</v>
      </c>
      <c r="G24" s="255">
        <f t="shared" si="15"/>
        <v>0</v>
      </c>
      <c r="H24" s="255">
        <f t="shared" si="15"/>
        <v>0</v>
      </c>
      <c r="I24" s="255">
        <f t="shared" si="15"/>
        <v>0</v>
      </c>
      <c r="J24" s="255">
        <f t="shared" si="15"/>
        <v>0</v>
      </c>
      <c r="K24" s="255">
        <f t="shared" ca="1" si="15"/>
        <v>0</v>
      </c>
      <c r="L24" s="255">
        <f t="shared" ca="1" si="15"/>
        <v>0</v>
      </c>
      <c r="M24" s="255">
        <f t="shared" ca="1" si="15"/>
        <v>0</v>
      </c>
      <c r="N24" s="255">
        <f t="shared" ca="1" si="15"/>
        <v>0</v>
      </c>
      <c r="O24" s="255">
        <f t="shared" ca="1" si="15"/>
        <v>0</v>
      </c>
      <c r="P24" s="255">
        <f t="shared" ca="1" si="15"/>
        <v>0</v>
      </c>
      <c r="Q24" s="255">
        <f t="shared" ref="Q24:AC24" si="16">SUM(Q25:Q28)</f>
        <v>0</v>
      </c>
      <c r="R24" s="255">
        <f t="shared" si="16"/>
        <v>0</v>
      </c>
      <c r="S24" s="255">
        <f t="shared" si="16"/>
        <v>0</v>
      </c>
      <c r="T24" s="255">
        <f t="shared" si="16"/>
        <v>0</v>
      </c>
      <c r="U24" s="255">
        <f t="shared" si="16"/>
        <v>0</v>
      </c>
      <c r="V24" s="255">
        <f t="shared" si="16"/>
        <v>0</v>
      </c>
      <c r="W24" s="255">
        <f t="shared" si="16"/>
        <v>0</v>
      </c>
      <c r="X24" s="255">
        <f t="shared" si="16"/>
        <v>0</v>
      </c>
      <c r="Y24" s="255">
        <f t="shared" si="16"/>
        <v>0</v>
      </c>
      <c r="Z24" s="255">
        <f t="shared" si="16"/>
        <v>0</v>
      </c>
      <c r="AA24" s="255">
        <f t="shared" si="16"/>
        <v>0</v>
      </c>
      <c r="AB24" s="255">
        <f t="shared" si="16"/>
        <v>0</v>
      </c>
      <c r="AC24" s="255">
        <f t="shared" si="16"/>
        <v>0</v>
      </c>
    </row>
    <row r="25" spans="1:29" ht="13.7" outlineLevel="1">
      <c r="A25" s="256"/>
      <c r="B25" s="256"/>
      <c r="C25" s="254"/>
      <c r="D25" s="340" t="s">
        <v>1466</v>
      </c>
      <c r="E25" s="340">
        <f>IFERROR(E$6*'Historical Holdco'!D42,0)-E28</f>
        <v>0</v>
      </c>
      <c r="F25" s="340">
        <f>IFERROR(F$6*'Historical Holdco'!E42,0)-F28</f>
        <v>0</v>
      </c>
      <c r="G25" s="340">
        <f>IFERROR(G$6*'Historical Holdco'!F42,0)-G28</f>
        <v>0</v>
      </c>
      <c r="H25" s="340">
        <f>IFERROR(H$6*'Historical Holdco'!G42,0)-H28</f>
        <v>0</v>
      </c>
      <c r="I25" s="340">
        <f>IFERROR(I$6*'Historical Holdco'!H42,0)-I28</f>
        <v>0</v>
      </c>
      <c r="J25" s="340">
        <f>IFERROR(J$6*'Historical Holdco'!I42,0)-J28</f>
        <v>0</v>
      </c>
      <c r="K25" s="340">
        <f>IFERROR(K$6*'Historical Holdco'!J42,0)-K28</f>
        <v>0</v>
      </c>
      <c r="L25" s="340">
        <f>IFERROR(L$6*'Historical Holdco'!K42,0)-L28</f>
        <v>0</v>
      </c>
      <c r="M25" s="340">
        <f>IFERROR(M$6*'Historical Holdco'!L42,0)-M28</f>
        <v>0</v>
      </c>
      <c r="N25" s="340">
        <f>IFERROR(N$6*'Historical Holdco'!M42,0)-N28</f>
        <v>0</v>
      </c>
      <c r="O25" s="340">
        <f>IFERROR(O$6*'Historical Holdco'!N42,0)-O28</f>
        <v>0</v>
      </c>
      <c r="P25" s="340">
        <f>IFERROR(P$6*'Historical Holdco'!O42,0)-P28</f>
        <v>0</v>
      </c>
      <c r="Q25" s="340">
        <f>IFERROR(Q$6*'Historical Holdco'!P42,0)-Q28</f>
        <v>0</v>
      </c>
      <c r="R25" s="340">
        <f>IFERROR(R$6*'Historical Holdco'!Q42,0)-R28</f>
        <v>0</v>
      </c>
      <c r="S25" s="340">
        <f>IFERROR(S$6*'Historical Holdco'!R42,0)-S28</f>
        <v>0</v>
      </c>
      <c r="T25" s="340">
        <f>IFERROR(T$6*'Historical Holdco'!S42,0)-T28</f>
        <v>0</v>
      </c>
      <c r="U25" s="340">
        <f>IFERROR(U$6*'Historical Holdco'!T42,0)-U28</f>
        <v>0</v>
      </c>
      <c r="V25" s="340">
        <f>IFERROR(V$6*'Historical Holdco'!U42,0)-V28</f>
        <v>0</v>
      </c>
      <c r="W25" s="340">
        <f>IFERROR(W$6*'Historical Holdco'!V42,0)-W28</f>
        <v>0</v>
      </c>
      <c r="X25" s="340">
        <f>IFERROR(X$6*'Historical Holdco'!W42,0)-X28</f>
        <v>0</v>
      </c>
      <c r="Y25" s="340">
        <f>IFERROR(Y$6*'Historical Holdco'!X42,0)-Y28</f>
        <v>0</v>
      </c>
      <c r="Z25" s="340">
        <f>IFERROR(Z$6*'Historical Holdco'!Y42,0)-Z28</f>
        <v>0</v>
      </c>
      <c r="AA25" s="340">
        <f>IFERROR(AA$6*'Historical Holdco'!Z42,0)-AA28</f>
        <v>0</v>
      </c>
      <c r="AB25" s="340">
        <f>IFERROR(AB$6*'Historical Holdco'!AA42,0)-AB28</f>
        <v>0</v>
      </c>
      <c r="AC25" s="340">
        <f>IFERROR(AC$6*'Historical Holdco'!AB42,0)-AC28</f>
        <v>0</v>
      </c>
    </row>
    <row r="26" spans="1:29" ht="13.7" outlineLevel="1">
      <c r="A26" s="256"/>
      <c r="B26" s="256"/>
      <c r="C26" s="254"/>
      <c r="D26" s="340" t="s">
        <v>1095</v>
      </c>
      <c r="E26" s="340">
        <f>IFERROR(E$7*'Acquisition BS adjustments'!$C184,0)+IFERROR(E$8*'Acquisition BS adjustments'!$E184,0)</f>
        <v>0</v>
      </c>
      <c r="F26" s="340">
        <f>IFERROR(F$7*'Acquisition BS adjustments'!$C184,0)+IFERROR(F$8*'Acquisition BS adjustments'!$E184,0)</f>
        <v>0</v>
      </c>
      <c r="G26" s="340">
        <f>IFERROR(G$7*'Acquisition BS adjustments'!$C184,0)+IFERROR(G$8*'Acquisition BS adjustments'!$E184,0)</f>
        <v>0</v>
      </c>
      <c r="H26" s="340">
        <f>IFERROR(H$7*'Acquisition BS adjustments'!$C184,0)+IFERROR(H$8*'Acquisition BS adjustments'!$E184,0)</f>
        <v>0</v>
      </c>
      <c r="I26" s="340">
        <f>IFERROR(I$7*'Acquisition BS adjustments'!$C184,0)+IFERROR(I$8*'Acquisition BS adjustments'!$E184,0)</f>
        <v>0</v>
      </c>
      <c r="J26" s="340">
        <f>IFERROR(J$7*'Acquisition BS adjustments'!$C184,0)+IFERROR(J$8*'Acquisition BS adjustments'!$E184,0)</f>
        <v>0</v>
      </c>
      <c r="K26" s="340">
        <f>IFERROR(K$7*'Acquisition BS adjustments'!$C184,0)+IFERROR(K$8*'Acquisition BS adjustments'!$E184,0)</f>
        <v>0</v>
      </c>
      <c r="L26" s="340">
        <f>IFERROR(L$7*'Acquisition BS adjustments'!$C184,0)+IFERROR(L$8*'Acquisition BS adjustments'!$E184,0)</f>
        <v>0</v>
      </c>
      <c r="M26" s="340">
        <f>IFERROR(M$7*'Acquisition BS adjustments'!$C184,0)+IFERROR(M$8*'Acquisition BS adjustments'!$E184,0)</f>
        <v>0</v>
      </c>
      <c r="N26" s="340">
        <f>IFERROR(N$7*'Acquisition BS adjustments'!$C184,0)+IFERROR(N$8*'Acquisition BS adjustments'!$E184,0)</f>
        <v>0</v>
      </c>
      <c r="O26" s="340">
        <f>IFERROR(O$7*'Acquisition BS adjustments'!$C184,0)+IFERROR(O$8*'Acquisition BS adjustments'!$E184,0)</f>
        <v>0</v>
      </c>
      <c r="P26" s="340">
        <f>IFERROR(P$7*'Acquisition BS adjustments'!$C184,0)+IFERROR(P$8*'Acquisition BS adjustments'!$E184,0)</f>
        <v>0</v>
      </c>
      <c r="Q26" s="340">
        <f>IFERROR(Q$7*'Acquisition BS adjustments'!$C184,0)+IFERROR(Q$8*'Acquisition BS adjustments'!$E184,0)</f>
        <v>0</v>
      </c>
      <c r="R26" s="340">
        <f>IFERROR(R$7*'Acquisition BS adjustments'!$C184,0)+IFERROR(R$8*'Acquisition BS adjustments'!$E184,0)</f>
        <v>0</v>
      </c>
      <c r="S26" s="340">
        <f>IFERROR(S$7*'Acquisition BS adjustments'!$C184,0)+IFERROR(S$8*'Acquisition BS adjustments'!$E184,0)</f>
        <v>0</v>
      </c>
      <c r="T26" s="340">
        <f>IFERROR(T$7*'Acquisition BS adjustments'!$C184,0)+IFERROR(T$8*'Acquisition BS adjustments'!$E184,0)</f>
        <v>0</v>
      </c>
      <c r="U26" s="340">
        <f>IFERROR(U$7*'Acquisition BS adjustments'!$C184,0)+IFERROR(U$8*'Acquisition BS adjustments'!$E184,0)</f>
        <v>0</v>
      </c>
      <c r="V26" s="340">
        <f>IFERROR(V$7*'Acquisition BS adjustments'!$C184,0)+IFERROR(V$8*'Acquisition BS adjustments'!$E184,0)</f>
        <v>0</v>
      </c>
      <c r="W26" s="340">
        <f>IFERROR(W$7*'Acquisition BS adjustments'!$C184,0)+IFERROR(W$8*'Acquisition BS adjustments'!$E184,0)</f>
        <v>0</v>
      </c>
      <c r="X26" s="340">
        <f>IFERROR(X$7*'Acquisition BS adjustments'!$C184,0)+IFERROR(X$8*'Acquisition BS adjustments'!$E184,0)</f>
        <v>0</v>
      </c>
      <c r="Y26" s="340">
        <f>IFERROR(Y$7*'Acquisition BS adjustments'!$C184,0)+IFERROR(Y$8*'Acquisition BS adjustments'!$E184,0)</f>
        <v>0</v>
      </c>
      <c r="Z26" s="340">
        <f>IFERROR(Z$7*'Acquisition BS adjustments'!$C184,0)+IFERROR(Z$8*'Acquisition BS adjustments'!$E184,0)</f>
        <v>0</v>
      </c>
      <c r="AA26" s="340">
        <f>IFERROR(AA$7*'Acquisition BS adjustments'!$C184,0)+IFERROR(AA$8*'Acquisition BS adjustments'!$E184,0)</f>
        <v>0</v>
      </c>
      <c r="AB26" s="340">
        <f>IFERROR(AB$7*'Acquisition BS adjustments'!$C184,0)+IFERROR(AB$8*'Acquisition BS adjustments'!$E184,0)</f>
        <v>0</v>
      </c>
      <c r="AC26" s="340">
        <f>IFERROR(AC$7*'Acquisition BS adjustments'!$C184,0)+IFERROR(AC$8*'Acquisition BS adjustments'!$E184,0)</f>
        <v>0</v>
      </c>
    </row>
    <row r="27" spans="1:29" ht="13.7" outlineLevel="1">
      <c r="A27" s="256"/>
      <c r="B27" s="256"/>
      <c r="C27" s="254"/>
      <c r="D27" s="340" t="s">
        <v>1096</v>
      </c>
      <c r="E27" s="340">
        <f>+IFERROR(E9*INDEX('Financial Quarterly Holdco'!89:89,MATCH('BS Holdco'!E$5,'Financial Quarterly Holdco'!4:4,0)),0)</f>
        <v>0</v>
      </c>
      <c r="F27" s="340">
        <f>+IFERROR(F9*INDEX('Financial Quarterly Holdco'!89:89,MATCH('BS Holdco'!F$5,'Financial Quarterly Holdco'!4:4,0)),0)</f>
        <v>0</v>
      </c>
      <c r="G27" s="340">
        <f>+IFERROR(G9*INDEX('Financial Quarterly Holdco'!89:89,MATCH('BS Holdco'!G$5,'Financial Quarterly Holdco'!4:4,0)),0)</f>
        <v>0</v>
      </c>
      <c r="H27" s="340">
        <f>+IFERROR(H9*INDEX('Financial Quarterly Holdco'!89:89,MATCH('BS Holdco'!H$5,'Financial Quarterly Holdco'!4:4,0)),0)</f>
        <v>0</v>
      </c>
      <c r="I27" s="340">
        <f>+IFERROR(I9*INDEX('Financial Quarterly Holdco'!89:89,MATCH('BS Holdco'!I$5,'Financial Quarterly Holdco'!4:4,0)),0)</f>
        <v>0</v>
      </c>
      <c r="J27" s="340">
        <f>+IFERROR(J9*INDEX('Financial Quarterly Holdco'!89:89,MATCH('BS Holdco'!J$5,'Financial Quarterly Holdco'!4:4,0)),0)</f>
        <v>0</v>
      </c>
      <c r="K27" s="340">
        <f ca="1">+IFERROR(K9*INDEX('Financial Quarterly Holdco'!89:89,MATCH('BS Holdco'!K$5,'Financial Quarterly Holdco'!4:4,0)),0)</f>
        <v>0</v>
      </c>
      <c r="L27" s="340">
        <f ca="1">+IFERROR(L9*INDEX('Financial Quarterly Holdco'!89:89,MATCH('BS Holdco'!L$5,'Financial Quarterly Holdco'!4:4,0)),0)</f>
        <v>0</v>
      </c>
      <c r="M27" s="340">
        <f ca="1">+IFERROR(M9*INDEX('Financial Quarterly Holdco'!89:89,MATCH('BS Holdco'!M$5,'Financial Quarterly Holdco'!4:4,0)),0)</f>
        <v>0</v>
      </c>
      <c r="N27" s="340">
        <f ca="1">+IFERROR(N9*INDEX('Financial Quarterly Holdco'!89:89,MATCH('BS Holdco'!N$5,'Financial Quarterly Holdco'!4:4,0)),0)</f>
        <v>0</v>
      </c>
      <c r="O27" s="340">
        <f ca="1">+IFERROR(O9*INDEX('Financial Quarterly Holdco'!89:89,MATCH('BS Holdco'!O$5,'Financial Quarterly Holdco'!4:4,0)),0)</f>
        <v>0</v>
      </c>
      <c r="P27" s="340">
        <f ca="1">+IFERROR(P9*INDEX('Financial Quarterly Holdco'!89:89,MATCH('BS Holdco'!P$5,'Financial Quarterly Holdco'!4:4,0)),0)</f>
        <v>0</v>
      </c>
      <c r="Q27" s="340">
        <f>+IFERROR(Q9*INDEX('Financial Quarterly Holdco'!89:89,MATCH('BS Holdco'!Q$5,'Financial Quarterly Holdco'!4:4,0)),0)</f>
        <v>0</v>
      </c>
      <c r="R27" s="340">
        <f>+IFERROR(R9*INDEX('Financial Quarterly Holdco'!89:89,MATCH('BS Holdco'!R$5,'Financial Quarterly Holdco'!4:4,0)),0)</f>
        <v>0</v>
      </c>
      <c r="S27" s="340">
        <f>+IFERROR(S9*INDEX('Financial Quarterly Holdco'!89:89,MATCH('BS Holdco'!S$5,'Financial Quarterly Holdco'!4:4,0)),0)</f>
        <v>0</v>
      </c>
      <c r="T27" s="340">
        <f>+IFERROR(T9*INDEX('Financial Quarterly Holdco'!89:89,MATCH('BS Holdco'!T$5,'Financial Quarterly Holdco'!4:4,0)),0)</f>
        <v>0</v>
      </c>
      <c r="U27" s="340">
        <f>+IFERROR(U9*INDEX('Financial Quarterly Holdco'!89:89,MATCH('BS Holdco'!U$5,'Financial Quarterly Holdco'!4:4,0)),0)</f>
        <v>0</v>
      </c>
      <c r="V27" s="340">
        <f>+IFERROR(V9*INDEX('Financial Quarterly Holdco'!89:89,MATCH('BS Holdco'!V$5,'Financial Quarterly Holdco'!4:4,0)),0)</f>
        <v>0</v>
      </c>
      <c r="W27" s="340">
        <f>+IFERROR(W9*INDEX('Financial Quarterly Holdco'!89:89,MATCH('BS Holdco'!W$5,'Financial Quarterly Holdco'!4:4,0)),0)</f>
        <v>0</v>
      </c>
      <c r="X27" s="340">
        <f>+IFERROR(X9*INDEX('Financial Quarterly Holdco'!89:89,MATCH('BS Holdco'!X$5,'Financial Quarterly Holdco'!4:4,0)),0)</f>
        <v>0</v>
      </c>
      <c r="Y27" s="340">
        <f>+IFERROR(Y9*INDEX('Financial Quarterly Holdco'!89:89,MATCH('BS Holdco'!Y$5,'Financial Quarterly Holdco'!4:4,0)),0)</f>
        <v>0</v>
      </c>
      <c r="Z27" s="340">
        <f>+IFERROR(Z9*INDEX('Financial Quarterly Holdco'!89:89,MATCH('BS Holdco'!Z$5,'Financial Quarterly Holdco'!4:4,0)),0)</f>
        <v>0</v>
      </c>
      <c r="AA27" s="340">
        <f>+IFERROR(AA9*INDEX('Financial Quarterly Holdco'!89:89,MATCH('BS Holdco'!AA$5,'Financial Quarterly Holdco'!4:4,0)),0)</f>
        <v>0</v>
      </c>
      <c r="AB27" s="340">
        <f>+IFERROR(AB9*INDEX('Financial Quarterly Holdco'!89:89,MATCH('BS Holdco'!AB$5,'Financial Quarterly Holdco'!4:4,0)),0)</f>
        <v>0</v>
      </c>
      <c r="AC27" s="340">
        <f>+IFERROR(AC9*INDEX('Financial Quarterly Holdco'!89:89,MATCH('BS Holdco'!AC$5,'Financial Quarterly Holdco'!4:4,0)),0)</f>
        <v>0</v>
      </c>
    </row>
    <row r="28" spans="1:29" s="324" customFormat="1" ht="13.7" outlineLevel="1">
      <c r="A28" s="323"/>
      <c r="B28" s="323"/>
      <c r="D28" s="225" t="s">
        <v>1093</v>
      </c>
      <c r="E28" s="197"/>
      <c r="F28" s="197"/>
      <c r="G28" s="197"/>
      <c r="H28" s="197"/>
      <c r="I28" s="197"/>
      <c r="J28" s="197"/>
      <c r="K28" s="197"/>
      <c r="L28" s="197"/>
      <c r="M28" s="197"/>
      <c r="N28" s="197"/>
      <c r="O28" s="197"/>
      <c r="P28" s="197"/>
      <c r="Q28" s="197"/>
      <c r="R28" s="197"/>
      <c r="S28" s="197"/>
      <c r="T28" s="197"/>
      <c r="U28" s="197"/>
      <c r="V28" s="197"/>
      <c r="W28" s="197"/>
      <c r="X28" s="197"/>
      <c r="Y28" s="197"/>
      <c r="Z28" s="197"/>
      <c r="AA28" s="197"/>
      <c r="AB28" s="197"/>
      <c r="AC28" s="197"/>
    </row>
    <row r="29" spans="1:29" ht="13.7">
      <c r="A29" s="256"/>
      <c r="B29" s="256"/>
      <c r="C29" s="342" t="s">
        <v>1099</v>
      </c>
      <c r="D29" s="255"/>
      <c r="E29" s="255">
        <f>SUM(E30:E32)</f>
        <v>0</v>
      </c>
      <c r="F29" s="255">
        <f t="shared" ref="F29:P29" si="17">SUM(F30:F32)</f>
        <v>0</v>
      </c>
      <c r="G29" s="255">
        <f t="shared" si="17"/>
        <v>0</v>
      </c>
      <c r="H29" s="255">
        <f t="shared" si="17"/>
        <v>0</v>
      </c>
      <c r="I29" s="255">
        <f t="shared" si="17"/>
        <v>0</v>
      </c>
      <c r="J29" s="255">
        <f t="shared" si="17"/>
        <v>0</v>
      </c>
      <c r="K29" s="255">
        <f t="shared" si="17"/>
        <v>0</v>
      </c>
      <c r="L29" s="255">
        <f t="shared" si="17"/>
        <v>0</v>
      </c>
      <c r="M29" s="255">
        <f t="shared" si="17"/>
        <v>0</v>
      </c>
      <c r="N29" s="255">
        <f t="shared" si="17"/>
        <v>0</v>
      </c>
      <c r="O29" s="255">
        <f t="shared" si="17"/>
        <v>0</v>
      </c>
      <c r="P29" s="255">
        <f t="shared" si="17"/>
        <v>0</v>
      </c>
      <c r="Q29" s="255">
        <f t="shared" ref="Q29:AC29" si="18">SUM(Q30:Q32)</f>
        <v>0</v>
      </c>
      <c r="R29" s="255">
        <f t="shared" si="18"/>
        <v>0</v>
      </c>
      <c r="S29" s="255">
        <f t="shared" si="18"/>
        <v>0</v>
      </c>
      <c r="T29" s="255">
        <f t="shared" si="18"/>
        <v>0</v>
      </c>
      <c r="U29" s="255">
        <f t="shared" si="18"/>
        <v>0</v>
      </c>
      <c r="V29" s="255">
        <f t="shared" si="18"/>
        <v>0</v>
      </c>
      <c r="W29" s="255">
        <f t="shared" si="18"/>
        <v>0</v>
      </c>
      <c r="X29" s="255">
        <f t="shared" si="18"/>
        <v>0</v>
      </c>
      <c r="Y29" s="255">
        <f t="shared" si="18"/>
        <v>0</v>
      </c>
      <c r="Z29" s="255">
        <f t="shared" si="18"/>
        <v>0</v>
      </c>
      <c r="AA29" s="255">
        <f t="shared" si="18"/>
        <v>0</v>
      </c>
      <c r="AB29" s="255">
        <f t="shared" si="18"/>
        <v>0</v>
      </c>
      <c r="AC29" s="255">
        <f t="shared" si="18"/>
        <v>0</v>
      </c>
    </row>
    <row r="30" spans="1:29" ht="13.7" outlineLevel="1">
      <c r="A30" s="256"/>
      <c r="B30" s="256"/>
      <c r="C30" s="254"/>
      <c r="D30" s="340" t="s">
        <v>1094</v>
      </c>
      <c r="E30" s="341">
        <f>IFERROR(E$6*'Historical Holdco'!D43,0)</f>
        <v>0</v>
      </c>
      <c r="F30" s="341">
        <f>IFERROR(F$6*'Historical Holdco'!E43,0)</f>
        <v>0</v>
      </c>
      <c r="G30" s="341">
        <f>IFERROR(G$6*'Historical Holdco'!F43,0)</f>
        <v>0</v>
      </c>
      <c r="H30" s="341">
        <f>IFERROR(H$6*'Historical Holdco'!G43,0)</f>
        <v>0</v>
      </c>
      <c r="I30" s="341">
        <f>IFERROR(I$6*'Historical Holdco'!H43,0)</f>
        <v>0</v>
      </c>
      <c r="J30" s="341">
        <f>IFERROR(J$6*'Historical Holdco'!I43,0)</f>
        <v>0</v>
      </c>
      <c r="K30" s="341">
        <f>IFERROR(K$6*'Historical Holdco'!J43,0)</f>
        <v>0</v>
      </c>
      <c r="L30" s="341">
        <f>IFERROR(L$6*'Historical Holdco'!K43,0)</f>
        <v>0</v>
      </c>
      <c r="M30" s="341">
        <f>IFERROR(M$6*'Historical Holdco'!L43,0)</f>
        <v>0</v>
      </c>
      <c r="N30" s="341">
        <f>IFERROR(N$6*'Historical Holdco'!M43,0)</f>
        <v>0</v>
      </c>
      <c r="O30" s="341">
        <f>IFERROR(O$6*'Historical Holdco'!N43,0)</f>
        <v>0</v>
      </c>
      <c r="P30" s="341">
        <f>IFERROR(P$6*'Historical Holdco'!O43,0)</f>
        <v>0</v>
      </c>
      <c r="Q30" s="341">
        <f>IFERROR(Q$6*'Historical Holdco'!P43,0)</f>
        <v>0</v>
      </c>
      <c r="R30" s="341">
        <f>IFERROR(R$6*'Historical Holdco'!Q43,0)</f>
        <v>0</v>
      </c>
      <c r="S30" s="341">
        <f>IFERROR(S$6*'Historical Holdco'!R43,0)</f>
        <v>0</v>
      </c>
      <c r="T30" s="341">
        <f>IFERROR(T$6*'Historical Holdco'!S43,0)</f>
        <v>0</v>
      </c>
      <c r="U30" s="341">
        <f>IFERROR(U$6*'Historical Holdco'!T43,0)</f>
        <v>0</v>
      </c>
      <c r="V30" s="341">
        <f>IFERROR(V$6*'Historical Holdco'!U43,0)</f>
        <v>0</v>
      </c>
      <c r="W30" s="341">
        <f>IFERROR(W$6*'Historical Holdco'!V43,0)</f>
        <v>0</v>
      </c>
      <c r="X30" s="341">
        <f>IFERROR(X$6*'Historical Holdco'!W43,0)</f>
        <v>0</v>
      </c>
      <c r="Y30" s="341">
        <f>IFERROR(Y$6*'Historical Holdco'!X43,0)</f>
        <v>0</v>
      </c>
      <c r="Z30" s="341">
        <f>IFERROR(Z$6*'Historical Holdco'!Y43,0)</f>
        <v>0</v>
      </c>
      <c r="AA30" s="341">
        <f>IFERROR(AA$6*'Historical Holdco'!Z43,0)</f>
        <v>0</v>
      </c>
      <c r="AB30" s="341">
        <f>IFERROR(AB$6*'Historical Holdco'!AA43,0)</f>
        <v>0</v>
      </c>
      <c r="AC30" s="341">
        <f>IFERROR(AC$6*'Historical Holdco'!AB43,0)</f>
        <v>0</v>
      </c>
    </row>
    <row r="31" spans="1:29" ht="13.7" outlineLevel="1">
      <c r="A31" s="256"/>
      <c r="B31" s="256"/>
      <c r="C31" s="254"/>
      <c r="D31" s="340" t="s">
        <v>1095</v>
      </c>
      <c r="E31" s="341">
        <f>+IFERROR(E$7*'Acquisition BS adjustments'!$C185,0)+IFERROR(E$8*'Acquisition BS adjustments'!$E185,0)</f>
        <v>0</v>
      </c>
      <c r="F31" s="341">
        <f>+IFERROR(F$7*'Acquisition BS adjustments'!$C185,0)+IFERROR(F$8*'Acquisition BS adjustments'!$E185,0)</f>
        <v>0</v>
      </c>
      <c r="G31" s="341">
        <f>+IFERROR(G$7*'Acquisition BS adjustments'!$C185,0)+IFERROR(G$8*'Acquisition BS adjustments'!$E185,0)</f>
        <v>0</v>
      </c>
      <c r="H31" s="341">
        <f>+IFERROR(H$7*'Acquisition BS adjustments'!$C185,0)+IFERROR(H$8*'Acquisition BS adjustments'!$E185,0)</f>
        <v>0</v>
      </c>
      <c r="I31" s="341">
        <f>+IFERROR(I$7*'Acquisition BS adjustments'!$C185,0)+IFERROR(I$8*'Acquisition BS adjustments'!$E185,0)</f>
        <v>0</v>
      </c>
      <c r="J31" s="341">
        <f>+IFERROR(J$7*'Acquisition BS adjustments'!$C185,0)+IFERROR(J$8*'Acquisition BS adjustments'!$E185,0)</f>
        <v>0</v>
      </c>
      <c r="K31" s="341">
        <f>+IFERROR(K$7*'Acquisition BS adjustments'!$C185,0)+IFERROR(K$8*'Acquisition BS adjustments'!$E185,0)</f>
        <v>0</v>
      </c>
      <c r="L31" s="341">
        <f>+IFERROR(L$7*'Acquisition BS adjustments'!$C185,0)+IFERROR(L$8*'Acquisition BS adjustments'!$E185,0)</f>
        <v>0</v>
      </c>
      <c r="M31" s="341">
        <f>+IFERROR(M$7*'Acquisition BS adjustments'!$C185,0)+IFERROR(M$8*'Acquisition BS adjustments'!$E185,0)</f>
        <v>0</v>
      </c>
      <c r="N31" s="341">
        <f>+IFERROR(N$7*'Acquisition BS adjustments'!$C185,0)+IFERROR(N$8*'Acquisition BS adjustments'!$E185,0)</f>
        <v>0</v>
      </c>
      <c r="O31" s="341">
        <f>+IFERROR(O$7*'Acquisition BS adjustments'!$C185,0)+IFERROR(O$8*'Acquisition BS adjustments'!$E185,0)</f>
        <v>0</v>
      </c>
      <c r="P31" s="341">
        <f>+IFERROR(P$7*'Acquisition BS adjustments'!$C185,0)+IFERROR(P$8*'Acquisition BS adjustments'!$E185,0)</f>
        <v>0</v>
      </c>
      <c r="Q31" s="341">
        <f>+IFERROR(Q$7*'Acquisition BS adjustments'!$C185,0)+IFERROR(Q$8*'Acquisition BS adjustments'!$E185,0)</f>
        <v>0</v>
      </c>
      <c r="R31" s="341">
        <f>+IFERROR(R$7*'Acquisition BS adjustments'!$C185,0)+IFERROR(R$8*'Acquisition BS adjustments'!$E185,0)</f>
        <v>0</v>
      </c>
      <c r="S31" s="341">
        <f>+IFERROR(S$7*'Acquisition BS adjustments'!$C185,0)+IFERROR(S$8*'Acquisition BS adjustments'!$E185,0)</f>
        <v>0</v>
      </c>
      <c r="T31" s="341">
        <f>+IFERROR(T$7*'Acquisition BS adjustments'!$C185,0)+IFERROR(T$8*'Acquisition BS adjustments'!$E185,0)</f>
        <v>0</v>
      </c>
      <c r="U31" s="341">
        <f>+IFERROR(U$7*'Acquisition BS adjustments'!$C185,0)+IFERROR(U$8*'Acquisition BS adjustments'!$E185,0)</f>
        <v>0</v>
      </c>
      <c r="V31" s="341">
        <f>+IFERROR(V$7*'Acquisition BS adjustments'!$C185,0)+IFERROR(V$8*'Acquisition BS adjustments'!$E185,0)</f>
        <v>0</v>
      </c>
      <c r="W31" s="341">
        <f>+IFERROR(W$7*'Acquisition BS adjustments'!$C185,0)+IFERROR(W$8*'Acquisition BS adjustments'!$E185,0)</f>
        <v>0</v>
      </c>
      <c r="X31" s="341">
        <f>+IFERROR(X$7*'Acquisition BS adjustments'!$C185,0)+IFERROR(X$8*'Acquisition BS adjustments'!$E185,0)</f>
        <v>0</v>
      </c>
      <c r="Y31" s="341">
        <f>+IFERROR(Y$7*'Acquisition BS adjustments'!$C185,0)+IFERROR(Y$8*'Acquisition BS adjustments'!$E185,0)</f>
        <v>0</v>
      </c>
      <c r="Z31" s="341">
        <f>+IFERROR(Z$7*'Acquisition BS adjustments'!$C185,0)+IFERROR(Z$8*'Acquisition BS adjustments'!$E185,0)</f>
        <v>0</v>
      </c>
      <c r="AA31" s="341">
        <f>+IFERROR(AA$7*'Acquisition BS adjustments'!$C185,0)+IFERROR(AA$8*'Acquisition BS adjustments'!$E185,0)</f>
        <v>0</v>
      </c>
      <c r="AB31" s="341">
        <f>+IFERROR(AB$7*'Acquisition BS adjustments'!$C185,0)+IFERROR(AB$8*'Acquisition BS adjustments'!$E185,0)</f>
        <v>0</v>
      </c>
      <c r="AC31" s="341">
        <f>+IFERROR(AC$7*'Acquisition BS adjustments'!$C185,0)+IFERROR(AC$8*'Acquisition BS adjustments'!$E185,0)</f>
        <v>0</v>
      </c>
    </row>
    <row r="32" spans="1:29" ht="13.7" outlineLevel="1">
      <c r="A32" s="256"/>
      <c r="B32" s="256"/>
      <c r="C32" s="254"/>
      <c r="D32" s="339" t="s">
        <v>1097</v>
      </c>
      <c r="E32" s="255">
        <f>+IFERROR(E9*D29,0)</f>
        <v>0</v>
      </c>
      <c r="F32" s="255">
        <f t="shared" ref="F32:P32" si="19">+IFERROR(F9*E29,0)</f>
        <v>0</v>
      </c>
      <c r="G32" s="255">
        <f t="shared" si="19"/>
        <v>0</v>
      </c>
      <c r="H32" s="255">
        <f t="shared" si="19"/>
        <v>0</v>
      </c>
      <c r="I32" s="255">
        <f t="shared" si="19"/>
        <v>0</v>
      </c>
      <c r="J32" s="255">
        <f t="shared" si="19"/>
        <v>0</v>
      </c>
      <c r="K32" s="255">
        <f t="shared" si="19"/>
        <v>0</v>
      </c>
      <c r="L32" s="255">
        <f t="shared" si="19"/>
        <v>0</v>
      </c>
      <c r="M32" s="255">
        <f t="shared" si="19"/>
        <v>0</v>
      </c>
      <c r="N32" s="255">
        <f t="shared" si="19"/>
        <v>0</v>
      </c>
      <c r="O32" s="255">
        <f t="shared" si="19"/>
        <v>0</v>
      </c>
      <c r="P32" s="255">
        <f t="shared" si="19"/>
        <v>0</v>
      </c>
      <c r="Q32" s="255">
        <f t="shared" ref="Q32" si="20">+IFERROR(Q9*P29,0)</f>
        <v>0</v>
      </c>
      <c r="R32" s="255">
        <f t="shared" ref="R32" si="21">+IFERROR(R9*Q29,0)</f>
        <v>0</v>
      </c>
      <c r="S32" s="255">
        <f t="shared" ref="S32" si="22">+IFERROR(S9*R29,0)</f>
        <v>0</v>
      </c>
      <c r="T32" s="255">
        <f t="shared" ref="T32" si="23">+IFERROR(T9*S29,0)</f>
        <v>0</v>
      </c>
      <c r="U32" s="255">
        <f t="shared" ref="U32" si="24">+IFERROR(U9*T29,0)</f>
        <v>0</v>
      </c>
      <c r="V32" s="255">
        <f t="shared" ref="V32" si="25">+IFERROR(V9*U29,0)</f>
        <v>0</v>
      </c>
      <c r="W32" s="255">
        <f t="shared" ref="W32" si="26">+IFERROR(W9*V29,0)</f>
        <v>0</v>
      </c>
      <c r="X32" s="255">
        <f t="shared" ref="X32" si="27">+IFERROR(X9*W29,0)</f>
        <v>0</v>
      </c>
      <c r="Y32" s="255">
        <f t="shared" ref="Y32" si="28">+IFERROR(Y9*X29,0)</f>
        <v>0</v>
      </c>
      <c r="Z32" s="255">
        <f t="shared" ref="Z32" si="29">+IFERROR(Z9*Y29,0)</f>
        <v>0</v>
      </c>
      <c r="AA32" s="255">
        <f t="shared" ref="AA32" si="30">+IFERROR(AA9*Z29,0)</f>
        <v>0</v>
      </c>
      <c r="AB32" s="255">
        <f t="shared" ref="AB32" si="31">+IFERROR(AB9*AA29,0)</f>
        <v>0</v>
      </c>
      <c r="AC32" s="255">
        <f t="shared" ref="AC32" si="32">+IFERROR(AC9*AB29,0)</f>
        <v>0</v>
      </c>
    </row>
    <row r="33" spans="1:29" ht="13.7">
      <c r="A33" s="256"/>
      <c r="B33" s="256"/>
      <c r="C33" s="254" t="s">
        <v>215</v>
      </c>
      <c r="D33" s="255"/>
      <c r="E33" s="255">
        <f>SUM(E34:E36)</f>
        <v>0</v>
      </c>
      <c r="F33" s="255">
        <f t="shared" ref="F33:P33" si="33">SUM(F34:F36)</f>
        <v>0</v>
      </c>
      <c r="G33" s="255">
        <f t="shared" si="33"/>
        <v>0</v>
      </c>
      <c r="H33" s="255">
        <f t="shared" si="33"/>
        <v>0</v>
      </c>
      <c r="I33" s="255">
        <f t="shared" si="33"/>
        <v>0</v>
      </c>
      <c r="J33" s="255">
        <f t="shared" si="33"/>
        <v>0</v>
      </c>
      <c r="K33" s="255">
        <f t="shared" si="33"/>
        <v>0</v>
      </c>
      <c r="L33" s="255">
        <f t="shared" si="33"/>
        <v>0</v>
      </c>
      <c r="M33" s="255">
        <f t="shared" si="33"/>
        <v>0</v>
      </c>
      <c r="N33" s="255">
        <f t="shared" si="33"/>
        <v>0</v>
      </c>
      <c r="O33" s="255">
        <f t="shared" si="33"/>
        <v>0</v>
      </c>
      <c r="P33" s="255">
        <f t="shared" si="33"/>
        <v>0</v>
      </c>
      <c r="Q33" s="255">
        <f t="shared" ref="Q33:AC33" si="34">SUM(Q34:Q36)</f>
        <v>0</v>
      </c>
      <c r="R33" s="255">
        <f t="shared" si="34"/>
        <v>0</v>
      </c>
      <c r="S33" s="255">
        <f t="shared" si="34"/>
        <v>0</v>
      </c>
      <c r="T33" s="255">
        <f t="shared" si="34"/>
        <v>0</v>
      </c>
      <c r="U33" s="255">
        <f t="shared" si="34"/>
        <v>0</v>
      </c>
      <c r="V33" s="255">
        <f t="shared" si="34"/>
        <v>0</v>
      </c>
      <c r="W33" s="255">
        <f t="shared" si="34"/>
        <v>0</v>
      </c>
      <c r="X33" s="255">
        <f t="shared" si="34"/>
        <v>0</v>
      </c>
      <c r="Y33" s="255">
        <f t="shared" si="34"/>
        <v>0</v>
      </c>
      <c r="Z33" s="255">
        <f t="shared" si="34"/>
        <v>0</v>
      </c>
      <c r="AA33" s="255">
        <f t="shared" si="34"/>
        <v>0</v>
      </c>
      <c r="AB33" s="255">
        <f t="shared" si="34"/>
        <v>0</v>
      </c>
      <c r="AC33" s="255">
        <f t="shared" si="34"/>
        <v>0</v>
      </c>
    </row>
    <row r="34" spans="1:29" ht="13.7" outlineLevel="1">
      <c r="A34" s="256"/>
      <c r="B34" s="256"/>
      <c r="C34" s="254"/>
      <c r="D34" s="340" t="s">
        <v>1094</v>
      </c>
      <c r="E34" s="341">
        <f>IFERROR(E$6*'Historical Holdco'!D44,0)</f>
        <v>0</v>
      </c>
      <c r="F34" s="341">
        <f>IFERROR(F$6*'Historical Holdco'!E44,0)</f>
        <v>0</v>
      </c>
      <c r="G34" s="341">
        <f>IFERROR(G$6*'Historical Holdco'!F44,0)</f>
        <v>0</v>
      </c>
      <c r="H34" s="341">
        <f>IFERROR(H$6*'Historical Holdco'!G44,0)</f>
        <v>0</v>
      </c>
      <c r="I34" s="341">
        <f>IFERROR(I$6*'Historical Holdco'!H44,0)</f>
        <v>0</v>
      </c>
      <c r="J34" s="341">
        <f>IFERROR(J$6*'Historical Holdco'!I44,0)</f>
        <v>0</v>
      </c>
      <c r="K34" s="341">
        <f>IFERROR(K$6*'Historical Holdco'!J44,0)</f>
        <v>0</v>
      </c>
      <c r="L34" s="341">
        <f>IFERROR(L$6*'Historical Holdco'!K44,0)</f>
        <v>0</v>
      </c>
      <c r="M34" s="341">
        <f>IFERROR(M$6*'Historical Holdco'!L44,0)</f>
        <v>0</v>
      </c>
      <c r="N34" s="341">
        <f>IFERROR(N$6*'Historical Holdco'!M44,0)</f>
        <v>0</v>
      </c>
      <c r="O34" s="341">
        <f>IFERROR(O$6*'Historical Holdco'!N44,0)</f>
        <v>0</v>
      </c>
      <c r="P34" s="341">
        <f>IFERROR(P$6*'Historical Holdco'!O44,0)</f>
        <v>0</v>
      </c>
      <c r="Q34" s="341">
        <f>IFERROR(Q$6*'Historical Holdco'!P44,0)</f>
        <v>0</v>
      </c>
      <c r="R34" s="341">
        <f>IFERROR(R$6*'Historical Holdco'!Q44,0)</f>
        <v>0</v>
      </c>
      <c r="S34" s="341">
        <f>IFERROR(S$6*'Historical Holdco'!R44,0)</f>
        <v>0</v>
      </c>
      <c r="T34" s="341">
        <f>IFERROR(T$6*'Historical Holdco'!S44,0)</f>
        <v>0</v>
      </c>
      <c r="U34" s="341">
        <f>IFERROR(U$6*'Historical Holdco'!T44,0)</f>
        <v>0</v>
      </c>
      <c r="V34" s="341">
        <f>IFERROR(V$6*'Historical Holdco'!U44,0)</f>
        <v>0</v>
      </c>
      <c r="W34" s="341">
        <f>IFERROR(W$6*'Historical Holdco'!V44,0)</f>
        <v>0</v>
      </c>
      <c r="X34" s="341">
        <f>IFERROR(X$6*'Historical Holdco'!W44,0)</f>
        <v>0</v>
      </c>
      <c r="Y34" s="341">
        <f>IFERROR(Y$6*'Historical Holdco'!X44,0)</f>
        <v>0</v>
      </c>
      <c r="Z34" s="341">
        <f>IFERROR(Z$6*'Historical Holdco'!Y44,0)</f>
        <v>0</v>
      </c>
      <c r="AA34" s="341">
        <f>IFERROR(AA$6*'Historical Holdco'!Z44,0)</f>
        <v>0</v>
      </c>
      <c r="AB34" s="341">
        <f>IFERROR(AB$6*'Historical Holdco'!AA44,0)</f>
        <v>0</v>
      </c>
      <c r="AC34" s="341">
        <f>IFERROR(AC$6*'Historical Holdco'!AB44,0)</f>
        <v>0</v>
      </c>
    </row>
    <row r="35" spans="1:29" ht="13.7" outlineLevel="1">
      <c r="A35" s="256"/>
      <c r="B35" s="256"/>
      <c r="C35" s="254"/>
      <c r="D35" s="340" t="s">
        <v>1095</v>
      </c>
      <c r="E35" s="341">
        <f>+IFERROR(E$7*'Acquisition BS adjustments'!$C186,0)+IFERROR(E$8*'Acquisition BS adjustments'!$E186,0)</f>
        <v>0</v>
      </c>
      <c r="F35" s="341">
        <f>+IFERROR(F$7*'Acquisition BS adjustments'!$C186,0)+IFERROR(F$8*'Acquisition BS adjustments'!$E186,0)</f>
        <v>0</v>
      </c>
      <c r="G35" s="341">
        <f>+IFERROR(G$7*'Acquisition BS adjustments'!$C186,0)+IFERROR(G$8*'Acquisition BS adjustments'!$E186,0)</f>
        <v>0</v>
      </c>
      <c r="H35" s="341">
        <f>+IFERROR(H$7*'Acquisition BS adjustments'!$C186,0)+IFERROR(H$8*'Acquisition BS adjustments'!$E186,0)</f>
        <v>0</v>
      </c>
      <c r="I35" s="341">
        <f>+IFERROR(I$7*'Acquisition BS adjustments'!$C186,0)+IFERROR(I$8*'Acquisition BS adjustments'!$E186,0)</f>
        <v>0</v>
      </c>
      <c r="J35" s="341">
        <f>+IFERROR(J$7*'Acquisition BS adjustments'!$C186,0)+IFERROR(J$8*'Acquisition BS adjustments'!$E186,0)</f>
        <v>0</v>
      </c>
      <c r="K35" s="341">
        <f>+IFERROR(K$7*'Acquisition BS adjustments'!$C186,0)+IFERROR(K$8*'Acquisition BS adjustments'!$E186,0)</f>
        <v>0</v>
      </c>
      <c r="L35" s="341">
        <f>+IFERROR(L$7*'Acquisition BS adjustments'!$C186,0)+IFERROR(L$8*'Acquisition BS adjustments'!$E186,0)</f>
        <v>0</v>
      </c>
      <c r="M35" s="341">
        <f>+IFERROR(M$7*'Acquisition BS adjustments'!$C186,0)+IFERROR(M$8*'Acquisition BS adjustments'!$E186,0)</f>
        <v>0</v>
      </c>
      <c r="N35" s="341">
        <f>+IFERROR(N$7*'Acquisition BS adjustments'!$C186,0)+IFERROR(N$8*'Acquisition BS adjustments'!$E186,0)</f>
        <v>0</v>
      </c>
      <c r="O35" s="341">
        <f>+IFERROR(O$7*'Acquisition BS adjustments'!$C186,0)+IFERROR(O$8*'Acquisition BS adjustments'!$E186,0)</f>
        <v>0</v>
      </c>
      <c r="P35" s="341">
        <f>+IFERROR(P$7*'Acquisition BS adjustments'!$C186,0)+IFERROR(P$8*'Acquisition BS adjustments'!$E186,0)</f>
        <v>0</v>
      </c>
      <c r="Q35" s="341">
        <f>+IFERROR(Q$7*'Acquisition BS adjustments'!$C186,0)+IFERROR(Q$8*'Acquisition BS adjustments'!$E186,0)</f>
        <v>0</v>
      </c>
      <c r="R35" s="341">
        <f>+IFERROR(R$7*'Acquisition BS adjustments'!$C186,0)+IFERROR(R$8*'Acquisition BS adjustments'!$E186,0)</f>
        <v>0</v>
      </c>
      <c r="S35" s="341">
        <f>+IFERROR(S$7*'Acquisition BS adjustments'!$C186,0)+IFERROR(S$8*'Acquisition BS adjustments'!$E186,0)</f>
        <v>0</v>
      </c>
      <c r="T35" s="341">
        <f>+IFERROR(T$7*'Acquisition BS adjustments'!$C186,0)+IFERROR(T$8*'Acquisition BS adjustments'!$E186,0)</f>
        <v>0</v>
      </c>
      <c r="U35" s="341">
        <f>+IFERROR(U$7*'Acquisition BS adjustments'!$C186,0)+IFERROR(U$8*'Acquisition BS adjustments'!$E186,0)</f>
        <v>0</v>
      </c>
      <c r="V35" s="341">
        <f>+IFERROR(V$7*'Acquisition BS adjustments'!$C186,0)+IFERROR(V$8*'Acquisition BS adjustments'!$E186,0)</f>
        <v>0</v>
      </c>
      <c r="W35" s="341">
        <f>+IFERROR(W$7*'Acquisition BS adjustments'!$C186,0)+IFERROR(W$8*'Acquisition BS adjustments'!$E186,0)</f>
        <v>0</v>
      </c>
      <c r="X35" s="341">
        <f>+IFERROR(X$7*'Acquisition BS adjustments'!$C186,0)+IFERROR(X$8*'Acquisition BS adjustments'!$E186,0)</f>
        <v>0</v>
      </c>
      <c r="Y35" s="341">
        <f>+IFERROR(Y$7*'Acquisition BS adjustments'!$C186,0)+IFERROR(Y$8*'Acquisition BS adjustments'!$E186,0)</f>
        <v>0</v>
      </c>
      <c r="Z35" s="341">
        <f>+IFERROR(Z$7*'Acquisition BS adjustments'!$C186,0)+IFERROR(Z$8*'Acquisition BS adjustments'!$E186,0)</f>
        <v>0</v>
      </c>
      <c r="AA35" s="341">
        <f>+IFERROR(AA$7*'Acquisition BS adjustments'!$C186,0)+IFERROR(AA$8*'Acquisition BS adjustments'!$E186,0)</f>
        <v>0</v>
      </c>
      <c r="AB35" s="341">
        <f>+IFERROR(AB$7*'Acquisition BS adjustments'!$C186,0)+IFERROR(AB$8*'Acquisition BS adjustments'!$E186,0)</f>
        <v>0</v>
      </c>
      <c r="AC35" s="341">
        <f>+IFERROR(AC$7*'Acquisition BS adjustments'!$C186,0)+IFERROR(AC$8*'Acquisition BS adjustments'!$E186,0)</f>
        <v>0</v>
      </c>
    </row>
    <row r="36" spans="1:29" ht="13.7" outlineLevel="1">
      <c r="A36" s="256"/>
      <c r="B36" s="256"/>
      <c r="C36" s="254"/>
      <c r="D36" s="340" t="s">
        <v>990</v>
      </c>
      <c r="E36" s="341">
        <v>0</v>
      </c>
      <c r="F36" s="341">
        <v>0</v>
      </c>
      <c r="G36" s="341">
        <v>0</v>
      </c>
      <c r="H36" s="341">
        <v>0</v>
      </c>
      <c r="I36" s="341">
        <v>0</v>
      </c>
      <c r="J36" s="341">
        <v>0</v>
      </c>
      <c r="K36" s="341">
        <v>0</v>
      </c>
      <c r="L36" s="341">
        <v>0</v>
      </c>
      <c r="M36" s="341">
        <v>0</v>
      </c>
      <c r="N36" s="341">
        <v>0</v>
      </c>
      <c r="O36" s="341">
        <v>0</v>
      </c>
      <c r="P36" s="341">
        <v>0</v>
      </c>
      <c r="Q36" s="341">
        <v>0</v>
      </c>
      <c r="R36" s="341">
        <v>0</v>
      </c>
      <c r="S36" s="341">
        <v>0</v>
      </c>
      <c r="T36" s="341">
        <v>0</v>
      </c>
      <c r="U36" s="341">
        <v>0</v>
      </c>
      <c r="V36" s="341">
        <v>0</v>
      </c>
      <c r="W36" s="341">
        <v>0</v>
      </c>
      <c r="X36" s="341">
        <v>0</v>
      </c>
      <c r="Y36" s="341">
        <v>0</v>
      </c>
      <c r="Z36" s="341">
        <v>0</v>
      </c>
      <c r="AA36" s="341">
        <v>0</v>
      </c>
      <c r="AB36" s="341">
        <v>0</v>
      </c>
      <c r="AC36" s="341">
        <v>0</v>
      </c>
    </row>
    <row r="37" spans="1:29" ht="13.7">
      <c r="A37" s="256"/>
      <c r="B37" s="256"/>
      <c r="C37" s="254" t="s">
        <v>6</v>
      </c>
      <c r="D37" s="255"/>
      <c r="E37" s="255">
        <f>SUM(E38:E40)</f>
        <v>0</v>
      </c>
      <c r="F37" s="255">
        <f t="shared" ref="F37:P37" si="35">SUM(F38:F40)</f>
        <v>0</v>
      </c>
      <c r="G37" s="255">
        <f t="shared" si="35"/>
        <v>0</v>
      </c>
      <c r="H37" s="255">
        <f t="shared" si="35"/>
        <v>0</v>
      </c>
      <c r="I37" s="255">
        <f t="shared" si="35"/>
        <v>0</v>
      </c>
      <c r="J37" s="255">
        <f t="shared" si="35"/>
        <v>0</v>
      </c>
      <c r="K37" s="255">
        <f t="shared" si="35"/>
        <v>0</v>
      </c>
      <c r="L37" s="255">
        <f t="shared" si="35"/>
        <v>0</v>
      </c>
      <c r="M37" s="255">
        <f t="shared" si="35"/>
        <v>0</v>
      </c>
      <c r="N37" s="255">
        <f t="shared" si="35"/>
        <v>0</v>
      </c>
      <c r="O37" s="255">
        <f t="shared" si="35"/>
        <v>0</v>
      </c>
      <c r="P37" s="255">
        <f t="shared" si="35"/>
        <v>0</v>
      </c>
      <c r="Q37" s="255">
        <f t="shared" ref="Q37:AC37" si="36">SUM(Q38:Q40)</f>
        <v>0</v>
      </c>
      <c r="R37" s="255">
        <f t="shared" si="36"/>
        <v>0</v>
      </c>
      <c r="S37" s="255">
        <f t="shared" si="36"/>
        <v>0</v>
      </c>
      <c r="T37" s="255">
        <f t="shared" si="36"/>
        <v>0</v>
      </c>
      <c r="U37" s="255">
        <f t="shared" si="36"/>
        <v>0</v>
      </c>
      <c r="V37" s="255">
        <f t="shared" si="36"/>
        <v>0</v>
      </c>
      <c r="W37" s="255">
        <f t="shared" si="36"/>
        <v>0</v>
      </c>
      <c r="X37" s="255">
        <f t="shared" si="36"/>
        <v>0</v>
      </c>
      <c r="Y37" s="255">
        <f t="shared" si="36"/>
        <v>0</v>
      </c>
      <c r="Z37" s="255">
        <f t="shared" si="36"/>
        <v>0</v>
      </c>
      <c r="AA37" s="255">
        <f t="shared" si="36"/>
        <v>0</v>
      </c>
      <c r="AB37" s="255">
        <f t="shared" si="36"/>
        <v>0</v>
      </c>
      <c r="AC37" s="255">
        <f t="shared" si="36"/>
        <v>0</v>
      </c>
    </row>
    <row r="38" spans="1:29" ht="13.7" outlineLevel="1">
      <c r="A38" s="256"/>
      <c r="B38" s="256"/>
      <c r="C38" s="254"/>
      <c r="D38" s="340" t="s">
        <v>1094</v>
      </c>
      <c r="E38" s="341">
        <f>IFERROR(E$6*'Historical Holdco'!D45,0)</f>
        <v>0</v>
      </c>
      <c r="F38" s="341">
        <f>IFERROR(F$6*'Historical Holdco'!E45,0)</f>
        <v>0</v>
      </c>
      <c r="G38" s="341">
        <f>IFERROR(G$6*'Historical Holdco'!F45,0)</f>
        <v>0</v>
      </c>
      <c r="H38" s="341">
        <f>IFERROR(H$6*'Historical Holdco'!G45,0)</f>
        <v>0</v>
      </c>
      <c r="I38" s="341">
        <f>IFERROR(I$6*'Historical Holdco'!H45,0)</f>
        <v>0</v>
      </c>
      <c r="J38" s="341">
        <f>IFERROR(J$6*'Historical Holdco'!I45,0)</f>
        <v>0</v>
      </c>
      <c r="K38" s="341">
        <f>IFERROR(K$6*'Historical Holdco'!J45,0)</f>
        <v>0</v>
      </c>
      <c r="L38" s="341">
        <f>IFERROR(L$6*'Historical Holdco'!K45,0)</f>
        <v>0</v>
      </c>
      <c r="M38" s="341">
        <f>IFERROR(M$6*'Historical Holdco'!L45,0)</f>
        <v>0</v>
      </c>
      <c r="N38" s="341">
        <f>IFERROR(N$6*'Historical Holdco'!M45,0)</f>
        <v>0</v>
      </c>
      <c r="O38" s="341">
        <f>IFERROR(O$6*'Historical Holdco'!N45,0)</f>
        <v>0</v>
      </c>
      <c r="P38" s="341">
        <f>IFERROR(P$6*'Historical Holdco'!O45,0)</f>
        <v>0</v>
      </c>
      <c r="Q38" s="341">
        <f>IFERROR(Q$6*'Historical Holdco'!P45,0)</f>
        <v>0</v>
      </c>
      <c r="R38" s="341">
        <f>IFERROR(R$6*'Historical Holdco'!Q45,0)</f>
        <v>0</v>
      </c>
      <c r="S38" s="341">
        <f>IFERROR(S$6*'Historical Holdco'!R45,0)</f>
        <v>0</v>
      </c>
      <c r="T38" s="341">
        <f>IFERROR(T$6*'Historical Holdco'!S45,0)</f>
        <v>0</v>
      </c>
      <c r="U38" s="341">
        <f>IFERROR(U$6*'Historical Holdco'!T45,0)</f>
        <v>0</v>
      </c>
      <c r="V38" s="341">
        <f>IFERROR(V$6*'Historical Holdco'!U45,0)</f>
        <v>0</v>
      </c>
      <c r="W38" s="341">
        <f>IFERROR(W$6*'Historical Holdco'!V45,0)</f>
        <v>0</v>
      </c>
      <c r="X38" s="341">
        <f>IFERROR(X$6*'Historical Holdco'!W45,0)</f>
        <v>0</v>
      </c>
      <c r="Y38" s="341">
        <f>IFERROR(Y$6*'Historical Holdco'!X45,0)</f>
        <v>0</v>
      </c>
      <c r="Z38" s="341">
        <f>IFERROR(Z$6*'Historical Holdco'!Y45,0)</f>
        <v>0</v>
      </c>
      <c r="AA38" s="341">
        <f>IFERROR(AA$6*'Historical Holdco'!Z45,0)</f>
        <v>0</v>
      </c>
      <c r="AB38" s="341">
        <f>IFERROR(AB$6*'Historical Holdco'!AA45,0)</f>
        <v>0</v>
      </c>
      <c r="AC38" s="341">
        <f>IFERROR(AC$6*'Historical Holdco'!AB45,0)</f>
        <v>0</v>
      </c>
    </row>
    <row r="39" spans="1:29" ht="13.7" outlineLevel="1">
      <c r="A39" s="256"/>
      <c r="B39" s="256"/>
      <c r="C39" s="254"/>
      <c r="D39" s="340" t="s">
        <v>1095</v>
      </c>
      <c r="E39" s="341">
        <f>+IFERROR(E$7*'Acquisition BS adjustments'!$C187,0)+IFERROR(E$8*'Acquisition BS adjustments'!$E187,0)</f>
        <v>0</v>
      </c>
      <c r="F39" s="341">
        <f>+IFERROR(F$7*'Acquisition BS adjustments'!$C187,0)+IFERROR(F$8*'Acquisition BS adjustments'!$E187,0)</f>
        <v>0</v>
      </c>
      <c r="G39" s="341">
        <f>+IFERROR(G$7*'Acquisition BS adjustments'!$C187,0)+IFERROR(G$8*'Acquisition BS adjustments'!$E187,0)</f>
        <v>0</v>
      </c>
      <c r="H39" s="341">
        <f>+IFERROR(H$7*'Acquisition BS adjustments'!$C187,0)+IFERROR(H$8*'Acquisition BS adjustments'!$E187,0)</f>
        <v>0</v>
      </c>
      <c r="I39" s="341">
        <f>+IFERROR(I$7*'Acquisition BS adjustments'!$C187,0)+IFERROR(I$8*'Acquisition BS adjustments'!$E187,0)</f>
        <v>0</v>
      </c>
      <c r="J39" s="341">
        <f>+IFERROR(J$7*'Acquisition BS adjustments'!$C187,0)+IFERROR(J$8*'Acquisition BS adjustments'!$E187,0)</f>
        <v>0</v>
      </c>
      <c r="K39" s="341">
        <f>+IFERROR(K$7*'Acquisition BS adjustments'!$C187,0)+IFERROR(K$8*'Acquisition BS adjustments'!$E187,0)</f>
        <v>0</v>
      </c>
      <c r="L39" s="341">
        <f>+IFERROR(L$7*'Acquisition BS adjustments'!$C187,0)+IFERROR(L$8*'Acquisition BS adjustments'!$E187,0)</f>
        <v>0</v>
      </c>
      <c r="M39" s="341">
        <f>+IFERROR(M$7*'Acquisition BS adjustments'!$C187,0)+IFERROR(M$8*'Acquisition BS adjustments'!$E187,0)</f>
        <v>0</v>
      </c>
      <c r="N39" s="341">
        <f>+IFERROR(N$7*'Acquisition BS adjustments'!$C187,0)+IFERROR(N$8*'Acquisition BS adjustments'!$E187,0)</f>
        <v>0</v>
      </c>
      <c r="O39" s="341">
        <f>+IFERROR(O$7*'Acquisition BS adjustments'!$C187,0)+IFERROR(O$8*'Acquisition BS adjustments'!$E187,0)</f>
        <v>0</v>
      </c>
      <c r="P39" s="341">
        <f>+IFERROR(P$7*'Acquisition BS adjustments'!$C187,0)+IFERROR(P$8*'Acquisition BS adjustments'!$E187,0)</f>
        <v>0</v>
      </c>
      <c r="Q39" s="341">
        <f>+IFERROR(Q$7*'Acquisition BS adjustments'!$C187,0)+IFERROR(Q$8*'Acquisition BS adjustments'!$E187,0)</f>
        <v>0</v>
      </c>
      <c r="R39" s="341">
        <f>+IFERROR(R$7*'Acquisition BS adjustments'!$C187,0)+IFERROR(R$8*'Acquisition BS adjustments'!$E187,0)</f>
        <v>0</v>
      </c>
      <c r="S39" s="341">
        <f>+IFERROR(S$7*'Acquisition BS adjustments'!$C187,0)+IFERROR(S$8*'Acquisition BS adjustments'!$E187,0)</f>
        <v>0</v>
      </c>
      <c r="T39" s="341">
        <f>+IFERROR(T$7*'Acquisition BS adjustments'!$C187,0)+IFERROR(T$8*'Acquisition BS adjustments'!$E187,0)</f>
        <v>0</v>
      </c>
      <c r="U39" s="341">
        <f>+IFERROR(U$7*'Acquisition BS adjustments'!$C187,0)+IFERROR(U$8*'Acquisition BS adjustments'!$E187,0)</f>
        <v>0</v>
      </c>
      <c r="V39" s="341">
        <f>+IFERROR(V$7*'Acquisition BS adjustments'!$C187,0)+IFERROR(V$8*'Acquisition BS adjustments'!$E187,0)</f>
        <v>0</v>
      </c>
      <c r="W39" s="341">
        <f>+IFERROR(W$7*'Acquisition BS adjustments'!$C187,0)+IFERROR(W$8*'Acquisition BS adjustments'!$E187,0)</f>
        <v>0</v>
      </c>
      <c r="X39" s="341">
        <f>+IFERROR(X$7*'Acquisition BS adjustments'!$C187,0)+IFERROR(X$8*'Acquisition BS adjustments'!$E187,0)</f>
        <v>0</v>
      </c>
      <c r="Y39" s="341">
        <f>+IFERROR(Y$7*'Acquisition BS adjustments'!$C187,0)+IFERROR(Y$8*'Acquisition BS adjustments'!$E187,0)</f>
        <v>0</v>
      </c>
      <c r="Z39" s="341">
        <f>+IFERROR(Z$7*'Acquisition BS adjustments'!$C187,0)+IFERROR(Z$8*'Acquisition BS adjustments'!$E187,0)</f>
        <v>0</v>
      </c>
      <c r="AA39" s="341">
        <f>+IFERROR(AA$7*'Acquisition BS adjustments'!$C187,0)+IFERROR(AA$8*'Acquisition BS adjustments'!$E187,0)</f>
        <v>0</v>
      </c>
      <c r="AB39" s="341">
        <f>+IFERROR(AB$7*'Acquisition BS adjustments'!$C187,0)+IFERROR(AB$8*'Acquisition BS adjustments'!$E187,0)</f>
        <v>0</v>
      </c>
      <c r="AC39" s="341">
        <f>+IFERROR(AC$7*'Acquisition BS adjustments'!$C187,0)+IFERROR(AC$8*'Acquisition BS adjustments'!$E187,0)</f>
        <v>0</v>
      </c>
    </row>
    <row r="40" spans="1:29" ht="13.7" outlineLevel="1">
      <c r="A40" s="256"/>
      <c r="B40" s="256"/>
      <c r="C40" s="254"/>
      <c r="D40" s="340" t="s">
        <v>990</v>
      </c>
      <c r="E40" s="341">
        <v>0</v>
      </c>
      <c r="F40" s="341">
        <v>0</v>
      </c>
      <c r="G40" s="341">
        <v>0</v>
      </c>
      <c r="H40" s="341">
        <v>0</v>
      </c>
      <c r="I40" s="341">
        <v>0</v>
      </c>
      <c r="J40" s="341">
        <v>0</v>
      </c>
      <c r="K40" s="341">
        <v>0</v>
      </c>
      <c r="L40" s="341">
        <v>0</v>
      </c>
      <c r="M40" s="341">
        <v>0</v>
      </c>
      <c r="N40" s="341">
        <v>0</v>
      </c>
      <c r="O40" s="341">
        <v>0</v>
      </c>
      <c r="P40" s="341">
        <v>0</v>
      </c>
      <c r="Q40" s="341">
        <v>0</v>
      </c>
      <c r="R40" s="341">
        <v>0</v>
      </c>
      <c r="S40" s="341">
        <v>0</v>
      </c>
      <c r="T40" s="341">
        <v>0</v>
      </c>
      <c r="U40" s="341">
        <v>0</v>
      </c>
      <c r="V40" s="341">
        <v>0</v>
      </c>
      <c r="W40" s="341">
        <v>0</v>
      </c>
      <c r="X40" s="341">
        <v>0</v>
      </c>
      <c r="Y40" s="341">
        <v>0</v>
      </c>
      <c r="Z40" s="341">
        <v>0</v>
      </c>
      <c r="AA40" s="341">
        <v>0</v>
      </c>
      <c r="AB40" s="341">
        <v>0</v>
      </c>
      <c r="AC40" s="341">
        <v>0</v>
      </c>
    </row>
    <row r="41" spans="1:29" ht="13.7">
      <c r="A41" s="256"/>
      <c r="B41" s="256"/>
      <c r="C41" s="254" t="s">
        <v>582</v>
      </c>
      <c r="D41" s="255"/>
      <c r="E41" s="255">
        <f>SUM(E42:E43)</f>
        <v>0</v>
      </c>
      <c r="F41" s="255">
        <f t="shared" ref="F41:P41" si="37">SUM(F42:F43)</f>
        <v>0</v>
      </c>
      <c r="G41" s="255">
        <f t="shared" si="37"/>
        <v>0</v>
      </c>
      <c r="H41" s="255">
        <f t="shared" si="37"/>
        <v>0</v>
      </c>
      <c r="I41" s="255">
        <f t="shared" si="37"/>
        <v>0</v>
      </c>
      <c r="J41" s="255">
        <f t="shared" si="37"/>
        <v>0</v>
      </c>
      <c r="K41" s="255">
        <f t="shared" si="37"/>
        <v>0</v>
      </c>
      <c r="L41" s="255">
        <f t="shared" si="37"/>
        <v>0</v>
      </c>
      <c r="M41" s="255">
        <f t="shared" si="37"/>
        <v>0</v>
      </c>
      <c r="N41" s="255">
        <f t="shared" si="37"/>
        <v>0</v>
      </c>
      <c r="O41" s="255">
        <f t="shared" si="37"/>
        <v>0</v>
      </c>
      <c r="P41" s="255">
        <f t="shared" si="37"/>
        <v>0</v>
      </c>
      <c r="Q41" s="255">
        <f t="shared" ref="Q41:AC41" si="38">SUM(Q42:Q43)</f>
        <v>0</v>
      </c>
      <c r="R41" s="255">
        <f t="shared" si="38"/>
        <v>0</v>
      </c>
      <c r="S41" s="255">
        <f t="shared" si="38"/>
        <v>0</v>
      </c>
      <c r="T41" s="255">
        <f t="shared" si="38"/>
        <v>0</v>
      </c>
      <c r="U41" s="255">
        <f t="shared" si="38"/>
        <v>0</v>
      </c>
      <c r="V41" s="255">
        <f t="shared" si="38"/>
        <v>0</v>
      </c>
      <c r="W41" s="255">
        <f t="shared" si="38"/>
        <v>0</v>
      </c>
      <c r="X41" s="255">
        <f t="shared" si="38"/>
        <v>0</v>
      </c>
      <c r="Y41" s="255">
        <f t="shared" si="38"/>
        <v>0</v>
      </c>
      <c r="Z41" s="255">
        <f t="shared" si="38"/>
        <v>0</v>
      </c>
      <c r="AA41" s="255">
        <f t="shared" si="38"/>
        <v>0</v>
      </c>
      <c r="AB41" s="255">
        <f t="shared" si="38"/>
        <v>0</v>
      </c>
      <c r="AC41" s="255">
        <f t="shared" si="38"/>
        <v>0</v>
      </c>
    </row>
    <row r="42" spans="1:29" ht="13.7" outlineLevel="1">
      <c r="A42" s="256"/>
      <c r="B42" s="256"/>
      <c r="C42" s="254"/>
      <c r="D42" s="340" t="s">
        <v>1094</v>
      </c>
      <c r="E42" s="341">
        <f>IFERROR(E$6*'Historical Holdco'!D46,0)</f>
        <v>0</v>
      </c>
      <c r="F42" s="341">
        <f>IFERROR(F$6*'Historical Holdco'!E46,0)</f>
        <v>0</v>
      </c>
      <c r="G42" s="341">
        <f>IFERROR(G$6*'Historical Holdco'!F46,0)</f>
        <v>0</v>
      </c>
      <c r="H42" s="341">
        <f>IFERROR(H$6*'Historical Holdco'!G46,0)</f>
        <v>0</v>
      </c>
      <c r="I42" s="341">
        <f>IFERROR(I$6*'Historical Holdco'!H46,0)</f>
        <v>0</v>
      </c>
      <c r="J42" s="341">
        <f>IFERROR(J$6*'Historical Holdco'!I46,0)</f>
        <v>0</v>
      </c>
      <c r="K42" s="341">
        <f>IFERROR(K$6*'Historical Holdco'!J46,0)</f>
        <v>0</v>
      </c>
      <c r="L42" s="341">
        <f>IFERROR(L$6*'Historical Holdco'!K46,0)</f>
        <v>0</v>
      </c>
      <c r="M42" s="341">
        <f>IFERROR(M$6*'Historical Holdco'!L46,0)</f>
        <v>0</v>
      </c>
      <c r="N42" s="341">
        <f>IFERROR(N$6*'Historical Holdco'!M46,0)</f>
        <v>0</v>
      </c>
      <c r="O42" s="341">
        <f>IFERROR(O$6*'Historical Holdco'!N46,0)</f>
        <v>0</v>
      </c>
      <c r="P42" s="341">
        <f>IFERROR(P$6*'Historical Holdco'!O46,0)</f>
        <v>0</v>
      </c>
      <c r="Q42" s="341">
        <f>IFERROR(Q$6*'Historical Holdco'!P46,0)</f>
        <v>0</v>
      </c>
      <c r="R42" s="341">
        <f>IFERROR(R$6*'Historical Holdco'!Q46,0)</f>
        <v>0</v>
      </c>
      <c r="S42" s="341">
        <f>IFERROR(S$6*'Historical Holdco'!R46,0)</f>
        <v>0</v>
      </c>
      <c r="T42" s="341">
        <f>IFERROR(T$6*'Historical Holdco'!S46,0)</f>
        <v>0</v>
      </c>
      <c r="U42" s="341">
        <f>IFERROR(U$6*'Historical Holdco'!T46,0)</f>
        <v>0</v>
      </c>
      <c r="V42" s="341">
        <f>IFERROR(V$6*'Historical Holdco'!U46,0)</f>
        <v>0</v>
      </c>
      <c r="W42" s="341">
        <f>IFERROR(W$6*'Historical Holdco'!V46,0)</f>
        <v>0</v>
      </c>
      <c r="X42" s="341">
        <f>IFERROR(X$6*'Historical Holdco'!W46,0)</f>
        <v>0</v>
      </c>
      <c r="Y42" s="341">
        <f>IFERROR(Y$6*'Historical Holdco'!X46,0)</f>
        <v>0</v>
      </c>
      <c r="Z42" s="341">
        <f>IFERROR(Z$6*'Historical Holdco'!Y46,0)</f>
        <v>0</v>
      </c>
      <c r="AA42" s="341">
        <f>IFERROR(AA$6*'Historical Holdco'!Z46,0)</f>
        <v>0</v>
      </c>
      <c r="AB42" s="341">
        <f>IFERROR(AB$6*'Historical Holdco'!AA46,0)</f>
        <v>0</v>
      </c>
      <c r="AC42" s="341">
        <f>IFERROR(AC$6*'Historical Holdco'!AB46,0)</f>
        <v>0</v>
      </c>
    </row>
    <row r="43" spans="1:29" ht="13.7" outlineLevel="1">
      <c r="A43" s="256"/>
      <c r="B43" s="256"/>
      <c r="C43" s="254"/>
      <c r="D43" s="340" t="s">
        <v>1095</v>
      </c>
      <c r="E43" s="341">
        <f>+IFERROR(E$7*'Acquisition BS adjustments'!$C188,0)+IFERROR(E$8*'Acquisition BS adjustments'!$E188,0)</f>
        <v>0</v>
      </c>
      <c r="F43" s="341">
        <f>+IFERROR(F$7*'Acquisition BS adjustments'!$C188,0)+IFERROR(F$8*'Acquisition BS adjustments'!$E188,0)</f>
        <v>0</v>
      </c>
      <c r="G43" s="341">
        <f>+IFERROR(G$7*'Acquisition BS adjustments'!$C188,0)+IFERROR(G$8*'Acquisition BS adjustments'!$E188,0)</f>
        <v>0</v>
      </c>
      <c r="H43" s="341">
        <f>+IFERROR(H$7*'Acquisition BS adjustments'!$C188,0)+IFERROR(H$8*'Acquisition BS adjustments'!$E188,0)</f>
        <v>0</v>
      </c>
      <c r="I43" s="341">
        <f>+IFERROR(I$7*'Acquisition BS adjustments'!$C188,0)+IFERROR(I$8*'Acquisition BS adjustments'!$E188,0)</f>
        <v>0</v>
      </c>
      <c r="J43" s="341">
        <f>+IFERROR(J$7*'Acquisition BS adjustments'!$C188,0)+IFERROR(J$8*'Acquisition BS adjustments'!$E188,0)</f>
        <v>0</v>
      </c>
      <c r="K43" s="341">
        <f>+IFERROR(K$7*'Acquisition BS adjustments'!$C188,0)+IFERROR(K$8*'Acquisition BS adjustments'!$E188,0)</f>
        <v>0</v>
      </c>
      <c r="L43" s="341">
        <f>+IFERROR(L$7*'Acquisition BS adjustments'!$C188,0)+IFERROR(L$8*'Acquisition BS adjustments'!$E188,0)</f>
        <v>0</v>
      </c>
      <c r="M43" s="341">
        <f>+IFERROR(M$7*'Acquisition BS adjustments'!$C188,0)+IFERROR(M$8*'Acquisition BS adjustments'!$E188,0)</f>
        <v>0</v>
      </c>
      <c r="N43" s="341">
        <f>+IFERROR(N$7*'Acquisition BS adjustments'!$C188,0)+IFERROR(N$8*'Acquisition BS adjustments'!$E188,0)</f>
        <v>0</v>
      </c>
      <c r="O43" s="341">
        <f>+IFERROR(O$7*'Acquisition BS adjustments'!$C188,0)+IFERROR(O$8*'Acquisition BS adjustments'!$E188,0)</f>
        <v>0</v>
      </c>
      <c r="P43" s="341">
        <f>+IFERROR(P$7*'Acquisition BS adjustments'!$C188,0)+IFERROR(P$8*'Acquisition BS adjustments'!$E188,0)</f>
        <v>0</v>
      </c>
      <c r="Q43" s="341">
        <f>+IFERROR(Q$7*'Acquisition BS adjustments'!$C188,0)+IFERROR(Q$8*'Acquisition BS adjustments'!$E188,0)</f>
        <v>0</v>
      </c>
      <c r="R43" s="341">
        <f>+IFERROR(R$7*'Acquisition BS adjustments'!$C188,0)+IFERROR(R$8*'Acquisition BS adjustments'!$E188,0)</f>
        <v>0</v>
      </c>
      <c r="S43" s="341">
        <f>+IFERROR(S$7*'Acquisition BS adjustments'!$C188,0)+IFERROR(S$8*'Acquisition BS adjustments'!$E188,0)</f>
        <v>0</v>
      </c>
      <c r="T43" s="341">
        <f>+IFERROR(T$7*'Acquisition BS adjustments'!$C188,0)+IFERROR(T$8*'Acquisition BS adjustments'!$E188,0)</f>
        <v>0</v>
      </c>
      <c r="U43" s="341">
        <f>+IFERROR(U$7*'Acquisition BS adjustments'!$C188,0)+IFERROR(U$8*'Acquisition BS adjustments'!$E188,0)</f>
        <v>0</v>
      </c>
      <c r="V43" s="341">
        <f>+IFERROR(V$7*'Acquisition BS adjustments'!$C188,0)+IFERROR(V$8*'Acquisition BS adjustments'!$E188,0)</f>
        <v>0</v>
      </c>
      <c r="W43" s="341">
        <f>+IFERROR(W$7*'Acquisition BS adjustments'!$C188,0)+IFERROR(W$8*'Acquisition BS adjustments'!$E188,0)</f>
        <v>0</v>
      </c>
      <c r="X43" s="341">
        <f>+IFERROR(X$7*'Acquisition BS adjustments'!$C188,0)+IFERROR(X$8*'Acquisition BS adjustments'!$E188,0)</f>
        <v>0</v>
      </c>
      <c r="Y43" s="341">
        <f>+IFERROR(Y$7*'Acquisition BS adjustments'!$C188,0)+IFERROR(Y$8*'Acquisition BS adjustments'!$E188,0)</f>
        <v>0</v>
      </c>
      <c r="Z43" s="341">
        <f>+IFERROR(Z$7*'Acquisition BS adjustments'!$C188,0)+IFERROR(Z$8*'Acquisition BS adjustments'!$E188,0)</f>
        <v>0</v>
      </c>
      <c r="AA43" s="341">
        <f>+IFERROR(AA$7*'Acquisition BS adjustments'!$C188,0)+IFERROR(AA$8*'Acquisition BS adjustments'!$E188,0)</f>
        <v>0</v>
      </c>
      <c r="AB43" s="341">
        <f>+IFERROR(AB$7*'Acquisition BS adjustments'!$C188,0)+IFERROR(AB$8*'Acquisition BS adjustments'!$E188,0)</f>
        <v>0</v>
      </c>
      <c r="AC43" s="341">
        <f>+IFERROR(AC$7*'Acquisition BS adjustments'!$C188,0)+IFERROR(AC$8*'Acquisition BS adjustments'!$E188,0)</f>
        <v>0</v>
      </c>
    </row>
    <row r="44" spans="1:29" ht="13.7">
      <c r="A44" s="256"/>
      <c r="B44" s="256"/>
      <c r="C44" s="254" t="s">
        <v>216</v>
      </c>
      <c r="D44" s="255"/>
      <c r="E44" s="255">
        <f>SUM(E45:E47)</f>
        <v>0</v>
      </c>
      <c r="F44" s="255">
        <f t="shared" ref="F44:P44" si="39">SUM(F45:F47)</f>
        <v>0</v>
      </c>
      <c r="G44" s="255">
        <f t="shared" si="39"/>
        <v>0</v>
      </c>
      <c r="H44" s="255">
        <f t="shared" si="39"/>
        <v>0</v>
      </c>
      <c r="I44" s="255">
        <f t="shared" si="39"/>
        <v>0</v>
      </c>
      <c r="J44" s="255">
        <f t="shared" si="39"/>
        <v>0</v>
      </c>
      <c r="K44" s="255">
        <f t="shared" si="39"/>
        <v>0</v>
      </c>
      <c r="L44" s="255">
        <f t="shared" si="39"/>
        <v>0</v>
      </c>
      <c r="M44" s="255">
        <f t="shared" si="39"/>
        <v>0</v>
      </c>
      <c r="N44" s="255">
        <f t="shared" si="39"/>
        <v>0</v>
      </c>
      <c r="O44" s="255">
        <f t="shared" si="39"/>
        <v>0</v>
      </c>
      <c r="P44" s="255">
        <f t="shared" si="39"/>
        <v>0</v>
      </c>
      <c r="Q44" s="255">
        <f t="shared" ref="Q44:AC44" si="40">SUM(Q45:Q47)</f>
        <v>0</v>
      </c>
      <c r="R44" s="255">
        <f t="shared" si="40"/>
        <v>0</v>
      </c>
      <c r="S44" s="255">
        <f t="shared" si="40"/>
        <v>0</v>
      </c>
      <c r="T44" s="255">
        <f t="shared" si="40"/>
        <v>0</v>
      </c>
      <c r="U44" s="255">
        <f t="shared" si="40"/>
        <v>0</v>
      </c>
      <c r="V44" s="255">
        <f t="shared" si="40"/>
        <v>0</v>
      </c>
      <c r="W44" s="255">
        <f t="shared" si="40"/>
        <v>0</v>
      </c>
      <c r="X44" s="255">
        <f t="shared" si="40"/>
        <v>0</v>
      </c>
      <c r="Y44" s="255">
        <f t="shared" si="40"/>
        <v>0</v>
      </c>
      <c r="Z44" s="255">
        <f t="shared" si="40"/>
        <v>0</v>
      </c>
      <c r="AA44" s="255">
        <f t="shared" si="40"/>
        <v>0</v>
      </c>
      <c r="AB44" s="255">
        <f t="shared" si="40"/>
        <v>0</v>
      </c>
      <c r="AC44" s="255">
        <f t="shared" si="40"/>
        <v>0</v>
      </c>
    </row>
    <row r="45" spans="1:29" ht="13.7" outlineLevel="1">
      <c r="A45" s="256"/>
      <c r="B45" s="256"/>
      <c r="C45" s="254"/>
      <c r="D45" s="340" t="s">
        <v>1094</v>
      </c>
      <c r="E45" s="341">
        <f>IFERROR(E$6*'Historical Holdco'!D47,0)</f>
        <v>0</v>
      </c>
      <c r="F45" s="341">
        <f>IFERROR(F$6*'Historical Holdco'!E47,0)</f>
        <v>0</v>
      </c>
      <c r="G45" s="341">
        <f>IFERROR(G$6*'Historical Holdco'!F47,0)</f>
        <v>0</v>
      </c>
      <c r="H45" s="341">
        <f>IFERROR(H$6*'Historical Holdco'!G47,0)</f>
        <v>0</v>
      </c>
      <c r="I45" s="341">
        <f>IFERROR(I$6*'Historical Holdco'!H47,0)</f>
        <v>0</v>
      </c>
      <c r="J45" s="341">
        <f>IFERROR(J$6*'Historical Holdco'!I47,0)</f>
        <v>0</v>
      </c>
      <c r="K45" s="341">
        <f>IFERROR(K$6*'Historical Holdco'!J47,0)</f>
        <v>0</v>
      </c>
      <c r="L45" s="341">
        <f>IFERROR(L$6*'Historical Holdco'!K47,0)</f>
        <v>0</v>
      </c>
      <c r="M45" s="341">
        <f>IFERROR(M$6*'Historical Holdco'!L47,0)</f>
        <v>0</v>
      </c>
      <c r="N45" s="341">
        <f>IFERROR(N$6*'Historical Holdco'!M47,0)</f>
        <v>0</v>
      </c>
      <c r="O45" s="341">
        <f>IFERROR(O$6*'Historical Holdco'!N47,0)</f>
        <v>0</v>
      </c>
      <c r="P45" s="341">
        <f>IFERROR(P$6*'Historical Holdco'!O47,0)</f>
        <v>0</v>
      </c>
      <c r="Q45" s="341">
        <f>IFERROR(Q$6*'Historical Holdco'!P47,0)</f>
        <v>0</v>
      </c>
      <c r="R45" s="341">
        <f>IFERROR(R$6*'Historical Holdco'!Q47,0)</f>
        <v>0</v>
      </c>
      <c r="S45" s="341">
        <f>IFERROR(S$6*'Historical Holdco'!R47,0)</f>
        <v>0</v>
      </c>
      <c r="T45" s="341">
        <f>IFERROR(T$6*'Historical Holdco'!S47,0)</f>
        <v>0</v>
      </c>
      <c r="U45" s="341">
        <f>IFERROR(U$6*'Historical Holdco'!T47,0)</f>
        <v>0</v>
      </c>
      <c r="V45" s="341">
        <f>IFERROR(V$6*'Historical Holdco'!U47,0)</f>
        <v>0</v>
      </c>
      <c r="W45" s="341">
        <f>IFERROR(W$6*'Historical Holdco'!V47,0)</f>
        <v>0</v>
      </c>
      <c r="X45" s="341">
        <f>IFERROR(X$6*'Historical Holdco'!W47,0)</f>
        <v>0</v>
      </c>
      <c r="Y45" s="341">
        <f>IFERROR(Y$6*'Historical Holdco'!X47,0)</f>
        <v>0</v>
      </c>
      <c r="Z45" s="341">
        <f>IFERROR(Z$6*'Historical Holdco'!Y47,0)</f>
        <v>0</v>
      </c>
      <c r="AA45" s="341">
        <f>IFERROR(AA$6*'Historical Holdco'!Z47,0)</f>
        <v>0</v>
      </c>
      <c r="AB45" s="341">
        <f>IFERROR(AB$6*'Historical Holdco'!AA47,0)</f>
        <v>0</v>
      </c>
      <c r="AC45" s="341">
        <f>IFERROR(AC$6*'Historical Holdco'!AB47,0)</f>
        <v>0</v>
      </c>
    </row>
    <row r="46" spans="1:29" ht="13.7" outlineLevel="1">
      <c r="A46" s="256"/>
      <c r="B46" s="256"/>
      <c r="C46" s="254"/>
      <c r="D46" s="340" t="s">
        <v>1095</v>
      </c>
      <c r="E46" s="341">
        <f>+IFERROR(E$7*'Acquisition BS adjustments'!$C189,0)+IFERROR(E$8*'Acquisition BS adjustments'!$E189,0)</f>
        <v>0</v>
      </c>
      <c r="F46" s="341">
        <f>+IFERROR(F$7*'Acquisition BS adjustments'!$C189,0)+IFERROR(F$8*'Acquisition BS adjustments'!$E189,0)</f>
        <v>0</v>
      </c>
      <c r="G46" s="341">
        <f>+IFERROR(G$7*'Acquisition BS adjustments'!$C189,0)+IFERROR(G$8*'Acquisition BS adjustments'!$E189,0)</f>
        <v>0</v>
      </c>
      <c r="H46" s="341">
        <f>+IFERROR(H$7*'Acquisition BS adjustments'!$C189,0)+IFERROR(H$8*'Acquisition BS adjustments'!$E189,0)</f>
        <v>0</v>
      </c>
      <c r="I46" s="341">
        <f>+IFERROR(I$7*'Acquisition BS adjustments'!$C189,0)+IFERROR(I$8*'Acquisition BS adjustments'!$E189,0)</f>
        <v>0</v>
      </c>
      <c r="J46" s="341">
        <f>+IFERROR(J$7*'Acquisition BS adjustments'!$C189,0)+IFERROR(J$8*'Acquisition BS adjustments'!$E189,0)</f>
        <v>0</v>
      </c>
      <c r="K46" s="341">
        <f>+IFERROR(K$7*'Acquisition BS adjustments'!$C189,0)+IFERROR(K$8*'Acquisition BS adjustments'!$E189,0)</f>
        <v>0</v>
      </c>
      <c r="L46" s="341">
        <f>+IFERROR(L$7*'Acquisition BS adjustments'!$C189,0)+IFERROR(L$8*'Acquisition BS adjustments'!$E189,0)</f>
        <v>0</v>
      </c>
      <c r="M46" s="341">
        <f>+IFERROR(M$7*'Acquisition BS adjustments'!$C189,0)+IFERROR(M$8*'Acquisition BS adjustments'!$E189,0)</f>
        <v>0</v>
      </c>
      <c r="N46" s="341">
        <f>+IFERROR(N$7*'Acquisition BS adjustments'!$C189,0)+IFERROR(N$8*'Acquisition BS adjustments'!$E189,0)</f>
        <v>0</v>
      </c>
      <c r="O46" s="341">
        <f>+IFERROR(O$7*'Acquisition BS adjustments'!$C189,0)+IFERROR(O$8*'Acquisition BS adjustments'!$E189,0)</f>
        <v>0</v>
      </c>
      <c r="P46" s="341">
        <f>+IFERROR(P$7*'Acquisition BS adjustments'!$C189,0)+IFERROR(P$8*'Acquisition BS adjustments'!$E189,0)</f>
        <v>0</v>
      </c>
      <c r="Q46" s="341">
        <f>+IFERROR(Q$7*'Acquisition BS adjustments'!$C189,0)+IFERROR(Q$8*'Acquisition BS adjustments'!$E189,0)</f>
        <v>0</v>
      </c>
      <c r="R46" s="341">
        <f>+IFERROR(R$7*'Acquisition BS adjustments'!$C189,0)+IFERROR(R$8*'Acquisition BS adjustments'!$E189,0)</f>
        <v>0</v>
      </c>
      <c r="S46" s="341">
        <f>+IFERROR(S$7*'Acquisition BS adjustments'!$C189,0)+IFERROR(S$8*'Acquisition BS adjustments'!$E189,0)</f>
        <v>0</v>
      </c>
      <c r="T46" s="341">
        <f>+IFERROR(T$7*'Acquisition BS adjustments'!$C189,0)+IFERROR(T$8*'Acquisition BS adjustments'!$E189,0)</f>
        <v>0</v>
      </c>
      <c r="U46" s="341">
        <f>+IFERROR(U$7*'Acquisition BS adjustments'!$C189,0)+IFERROR(U$8*'Acquisition BS adjustments'!$E189,0)</f>
        <v>0</v>
      </c>
      <c r="V46" s="341">
        <f>+IFERROR(V$7*'Acquisition BS adjustments'!$C189,0)+IFERROR(V$8*'Acquisition BS adjustments'!$E189,0)</f>
        <v>0</v>
      </c>
      <c r="W46" s="341">
        <f>+IFERROR(W$7*'Acquisition BS adjustments'!$C189,0)+IFERROR(W$8*'Acquisition BS adjustments'!$E189,0)</f>
        <v>0</v>
      </c>
      <c r="X46" s="341">
        <f>+IFERROR(X$7*'Acquisition BS adjustments'!$C189,0)+IFERROR(X$8*'Acquisition BS adjustments'!$E189,0)</f>
        <v>0</v>
      </c>
      <c r="Y46" s="341">
        <f>+IFERROR(Y$7*'Acquisition BS adjustments'!$C189,0)+IFERROR(Y$8*'Acquisition BS adjustments'!$E189,0)</f>
        <v>0</v>
      </c>
      <c r="Z46" s="341">
        <f>+IFERROR(Z$7*'Acquisition BS adjustments'!$C189,0)+IFERROR(Z$8*'Acquisition BS adjustments'!$E189,0)</f>
        <v>0</v>
      </c>
      <c r="AA46" s="341">
        <f>+IFERROR(AA$7*'Acquisition BS adjustments'!$C189,0)+IFERROR(AA$8*'Acquisition BS adjustments'!$E189,0)</f>
        <v>0</v>
      </c>
      <c r="AB46" s="341">
        <f>+IFERROR(AB$7*'Acquisition BS adjustments'!$C189,0)+IFERROR(AB$8*'Acquisition BS adjustments'!$E189,0)</f>
        <v>0</v>
      </c>
      <c r="AC46" s="341">
        <f>+IFERROR(AC$7*'Acquisition BS adjustments'!$C189,0)+IFERROR(AC$8*'Acquisition BS adjustments'!$E189,0)</f>
        <v>0</v>
      </c>
    </row>
    <row r="47" spans="1:29" ht="13.7" outlineLevel="1">
      <c r="A47" s="256"/>
      <c r="B47" s="256"/>
      <c r="C47" s="254"/>
      <c r="D47" s="340" t="s">
        <v>990</v>
      </c>
      <c r="E47" s="341">
        <v>0</v>
      </c>
      <c r="F47" s="341">
        <v>0</v>
      </c>
      <c r="G47" s="341">
        <v>0</v>
      </c>
      <c r="H47" s="341">
        <v>0</v>
      </c>
      <c r="I47" s="341">
        <v>0</v>
      </c>
      <c r="J47" s="341">
        <v>0</v>
      </c>
      <c r="K47" s="341">
        <v>0</v>
      </c>
      <c r="L47" s="341">
        <v>0</v>
      </c>
      <c r="M47" s="341">
        <v>0</v>
      </c>
      <c r="N47" s="341">
        <v>0</v>
      </c>
      <c r="O47" s="341">
        <v>0</v>
      </c>
      <c r="P47" s="341">
        <v>0</v>
      </c>
      <c r="Q47" s="341">
        <v>0</v>
      </c>
      <c r="R47" s="341">
        <v>0</v>
      </c>
      <c r="S47" s="341">
        <v>0</v>
      </c>
      <c r="T47" s="341">
        <v>0</v>
      </c>
      <c r="U47" s="341">
        <v>0</v>
      </c>
      <c r="V47" s="341">
        <v>0</v>
      </c>
      <c r="W47" s="341">
        <v>0</v>
      </c>
      <c r="X47" s="341">
        <v>0</v>
      </c>
      <c r="Y47" s="341">
        <v>0</v>
      </c>
      <c r="Z47" s="341">
        <v>0</v>
      </c>
      <c r="AA47" s="341">
        <v>0</v>
      </c>
      <c r="AB47" s="341">
        <v>0</v>
      </c>
      <c r="AC47" s="341">
        <v>0</v>
      </c>
    </row>
    <row r="48" spans="1:29" ht="13.7">
      <c r="C48" s="342" t="s">
        <v>1469</v>
      </c>
      <c r="D48" s="255"/>
      <c r="E48" s="255">
        <f>'BS offshore'!E74</f>
        <v>0</v>
      </c>
      <c r="F48" s="255">
        <f>'BS offshore'!F74</f>
        <v>0</v>
      </c>
      <c r="G48" s="255">
        <f>'BS offshore'!G74</f>
        <v>0</v>
      </c>
      <c r="H48" s="255">
        <f>'BS offshore'!H74</f>
        <v>0</v>
      </c>
      <c r="I48" s="255">
        <f>'BS offshore'!I74</f>
        <v>0</v>
      </c>
      <c r="J48" s="255">
        <f>'BS offshore'!J74</f>
        <v>0</v>
      </c>
      <c r="K48" s="255">
        <f ca="1">'BS offshore'!K74</f>
        <v>0</v>
      </c>
      <c r="L48" s="255">
        <f ca="1">'BS offshore'!L74</f>
        <v>0</v>
      </c>
      <c r="M48" s="255">
        <f ca="1">'BS offshore'!M74</f>
        <v>0</v>
      </c>
      <c r="N48" s="255">
        <f ca="1">'BS offshore'!N74</f>
        <v>0</v>
      </c>
      <c r="O48" s="255">
        <f ca="1">'BS offshore'!O74</f>
        <v>0</v>
      </c>
      <c r="P48" s="255">
        <f ca="1">'BS offshore'!P74</f>
        <v>0</v>
      </c>
      <c r="Q48" s="255">
        <f>'BS offshore'!Q74</f>
        <v>0</v>
      </c>
      <c r="R48" s="255">
        <f>'BS offshore'!R74</f>
        <v>0</v>
      </c>
      <c r="S48" s="255">
        <f>'BS offshore'!S74</f>
        <v>0</v>
      </c>
      <c r="T48" s="255">
        <f>'BS offshore'!T74</f>
        <v>0</v>
      </c>
      <c r="U48" s="255">
        <f>'BS offshore'!U74</f>
        <v>0</v>
      </c>
      <c r="V48" s="255">
        <f>'BS offshore'!V74</f>
        <v>0</v>
      </c>
      <c r="W48" s="255">
        <f>'BS offshore'!W74</f>
        <v>0</v>
      </c>
      <c r="X48" s="255">
        <f>'BS offshore'!X74</f>
        <v>0</v>
      </c>
      <c r="Y48" s="255">
        <f>'BS offshore'!Y74</f>
        <v>0</v>
      </c>
      <c r="Z48" s="255">
        <f>'BS offshore'!Z74</f>
        <v>0</v>
      </c>
      <c r="AA48" s="255">
        <f>'BS offshore'!AA74</f>
        <v>0</v>
      </c>
      <c r="AB48" s="255">
        <f>'BS offshore'!AB74</f>
        <v>0</v>
      </c>
      <c r="AC48" s="255">
        <f>'BS offshore'!AC74</f>
        <v>0</v>
      </c>
    </row>
    <row r="49" spans="1:29" ht="13.7">
      <c r="A49" s="256"/>
      <c r="B49" s="256"/>
      <c r="C49" s="46"/>
    </row>
    <row r="50" spans="1:29" ht="13.7">
      <c r="C50" s="181" t="s">
        <v>8</v>
      </c>
      <c r="D50" s="180"/>
      <c r="E50" s="180">
        <f>+E51+E55+E59+E64+E68</f>
        <v>0</v>
      </c>
      <c r="F50" s="180">
        <f t="shared" ref="F50:P50" ca="1" si="41">+F51+F55+F59+F64+F68</f>
        <v>0</v>
      </c>
      <c r="G50" s="180">
        <f t="shared" ca="1" si="41"/>
        <v>0</v>
      </c>
      <c r="H50" s="180">
        <f t="shared" ca="1" si="41"/>
        <v>0</v>
      </c>
      <c r="I50" s="180">
        <f t="shared" ca="1" si="41"/>
        <v>0</v>
      </c>
      <c r="J50" s="180">
        <f t="shared" ca="1" si="41"/>
        <v>372544000</v>
      </c>
      <c r="K50" s="180">
        <f t="shared" ca="1" si="41"/>
        <v>372544000</v>
      </c>
      <c r="L50" s="180">
        <f t="shared" ca="1" si="41"/>
        <v>372544000</v>
      </c>
      <c r="M50" s="180">
        <f t="shared" ca="1" si="41"/>
        <v>372544000</v>
      </c>
      <c r="N50" s="180">
        <f t="shared" ca="1" si="41"/>
        <v>372544000</v>
      </c>
      <c r="O50" s="180">
        <f t="shared" ca="1" si="41"/>
        <v>372544000</v>
      </c>
      <c r="P50" s="180">
        <f t="shared" ca="1" si="41"/>
        <v>372544000</v>
      </c>
      <c r="Q50" s="180">
        <f t="shared" ref="Q50:AC50" ca="1" si="42">+Q51+Q55+Q59+Q64+Q68</f>
        <v>0</v>
      </c>
      <c r="R50" s="180">
        <f t="shared" ca="1" si="42"/>
        <v>0</v>
      </c>
      <c r="S50" s="180">
        <f t="shared" ca="1" si="42"/>
        <v>0</v>
      </c>
      <c r="T50" s="180">
        <f t="shared" ca="1" si="42"/>
        <v>0</v>
      </c>
      <c r="U50" s="180">
        <f t="shared" ca="1" si="42"/>
        <v>0</v>
      </c>
      <c r="V50" s="180">
        <f t="shared" ca="1" si="42"/>
        <v>0</v>
      </c>
      <c r="W50" s="180">
        <f t="shared" ca="1" si="42"/>
        <v>0</v>
      </c>
      <c r="X50" s="180">
        <f t="shared" ca="1" si="42"/>
        <v>0</v>
      </c>
      <c r="Y50" s="180">
        <f t="shared" ca="1" si="42"/>
        <v>0</v>
      </c>
      <c r="Z50" s="180">
        <f t="shared" ca="1" si="42"/>
        <v>0</v>
      </c>
      <c r="AA50" s="180">
        <f t="shared" ca="1" si="42"/>
        <v>0</v>
      </c>
      <c r="AB50" s="180">
        <f t="shared" ca="1" si="42"/>
        <v>0</v>
      </c>
      <c r="AC50" s="180">
        <f t="shared" ca="1" si="42"/>
        <v>0</v>
      </c>
    </row>
    <row r="51" spans="1:29" ht="13.7">
      <c r="C51" s="254" t="s">
        <v>218</v>
      </c>
      <c r="D51" s="255"/>
      <c r="E51" s="255">
        <f>SUM(E52:E54)</f>
        <v>0</v>
      </c>
      <c r="F51" s="255">
        <f t="shared" ref="F51:P51" si="43">SUM(F52:F54)</f>
        <v>0</v>
      </c>
      <c r="G51" s="255">
        <f t="shared" si="43"/>
        <v>0</v>
      </c>
      <c r="H51" s="255">
        <f t="shared" si="43"/>
        <v>0</v>
      </c>
      <c r="I51" s="255">
        <f t="shared" si="43"/>
        <v>0</v>
      </c>
      <c r="J51" s="255">
        <f t="shared" si="43"/>
        <v>0</v>
      </c>
      <c r="K51" s="255">
        <f t="shared" si="43"/>
        <v>0</v>
      </c>
      <c r="L51" s="255">
        <f t="shared" si="43"/>
        <v>0</v>
      </c>
      <c r="M51" s="255">
        <f t="shared" si="43"/>
        <v>0</v>
      </c>
      <c r="N51" s="255">
        <f t="shared" si="43"/>
        <v>0</v>
      </c>
      <c r="O51" s="255">
        <f t="shared" si="43"/>
        <v>0</v>
      </c>
      <c r="P51" s="255">
        <f t="shared" si="43"/>
        <v>0</v>
      </c>
      <c r="Q51" s="255">
        <f t="shared" ref="Q51:AC51" si="44">SUM(Q52:Q54)</f>
        <v>0</v>
      </c>
      <c r="R51" s="255">
        <f t="shared" si="44"/>
        <v>0</v>
      </c>
      <c r="S51" s="255">
        <f t="shared" si="44"/>
        <v>0</v>
      </c>
      <c r="T51" s="255">
        <f t="shared" si="44"/>
        <v>0</v>
      </c>
      <c r="U51" s="255">
        <f t="shared" si="44"/>
        <v>0</v>
      </c>
      <c r="V51" s="255">
        <f t="shared" si="44"/>
        <v>0</v>
      </c>
      <c r="W51" s="255">
        <f t="shared" si="44"/>
        <v>0</v>
      </c>
      <c r="X51" s="255">
        <f t="shared" si="44"/>
        <v>0</v>
      </c>
      <c r="Y51" s="255">
        <f t="shared" si="44"/>
        <v>0</v>
      </c>
      <c r="Z51" s="255">
        <f t="shared" si="44"/>
        <v>0</v>
      </c>
      <c r="AA51" s="255">
        <f t="shared" si="44"/>
        <v>0</v>
      </c>
      <c r="AB51" s="255">
        <f t="shared" si="44"/>
        <v>0</v>
      </c>
      <c r="AC51" s="255">
        <f t="shared" si="44"/>
        <v>0</v>
      </c>
    </row>
    <row r="52" spans="1:29" ht="13.7" outlineLevel="1">
      <c r="A52" s="256"/>
      <c r="B52" s="256"/>
      <c r="C52" s="254"/>
      <c r="D52" s="340" t="s">
        <v>1094</v>
      </c>
      <c r="E52" s="341">
        <f>IFERROR(E$6*'Historical Holdco'!D49,0)</f>
        <v>0</v>
      </c>
      <c r="F52" s="341">
        <f>IFERROR(F$6*'Historical Holdco'!E49,0)</f>
        <v>0</v>
      </c>
      <c r="G52" s="341">
        <f>IFERROR(G$6*'Historical Holdco'!F49,0)</f>
        <v>0</v>
      </c>
      <c r="H52" s="341">
        <f>IFERROR(H$6*'Historical Holdco'!G49,0)</f>
        <v>0</v>
      </c>
      <c r="I52" s="341">
        <f>IFERROR(I$6*'Historical Holdco'!H49,0)</f>
        <v>0</v>
      </c>
      <c r="J52" s="341">
        <f>IFERROR(J$6*'Historical Holdco'!I49,0)</f>
        <v>0</v>
      </c>
      <c r="K52" s="341">
        <f>IFERROR(K$6*'Historical Holdco'!J49,0)</f>
        <v>0</v>
      </c>
      <c r="L52" s="341">
        <f>IFERROR(L$6*'Historical Holdco'!K49,0)</f>
        <v>0</v>
      </c>
      <c r="M52" s="341">
        <f>IFERROR(M$6*'Historical Holdco'!L49,0)</f>
        <v>0</v>
      </c>
      <c r="N52" s="341">
        <f>IFERROR(N$6*'Historical Holdco'!M49,0)</f>
        <v>0</v>
      </c>
      <c r="O52" s="341">
        <f>IFERROR(O$6*'Historical Holdco'!N49,0)</f>
        <v>0</v>
      </c>
      <c r="P52" s="341">
        <f>IFERROR(P$6*'Historical Holdco'!O49,0)</f>
        <v>0</v>
      </c>
      <c r="Q52" s="341">
        <f>IFERROR(Q$6*'Historical Holdco'!P49,0)</f>
        <v>0</v>
      </c>
      <c r="R52" s="341">
        <f>IFERROR(R$6*'Historical Holdco'!Q49,0)</f>
        <v>0</v>
      </c>
      <c r="S52" s="341">
        <f>IFERROR(S$6*'Historical Holdco'!R49,0)</f>
        <v>0</v>
      </c>
      <c r="T52" s="341">
        <f>IFERROR(T$6*'Historical Holdco'!S49,0)</f>
        <v>0</v>
      </c>
      <c r="U52" s="341">
        <f>IFERROR(U$6*'Historical Holdco'!T49,0)</f>
        <v>0</v>
      </c>
      <c r="V52" s="341">
        <f>IFERROR(V$6*'Historical Holdco'!U49,0)</f>
        <v>0</v>
      </c>
      <c r="W52" s="341">
        <f>IFERROR(W$6*'Historical Holdco'!V49,0)</f>
        <v>0</v>
      </c>
      <c r="X52" s="341">
        <f>IFERROR(X$6*'Historical Holdco'!W49,0)</f>
        <v>0</v>
      </c>
      <c r="Y52" s="341">
        <f>IFERROR(Y$6*'Historical Holdco'!X49,0)</f>
        <v>0</v>
      </c>
      <c r="Z52" s="341">
        <f>IFERROR(Z$6*'Historical Holdco'!Y49,0)</f>
        <v>0</v>
      </c>
      <c r="AA52" s="341">
        <f>IFERROR(AA$6*'Historical Holdco'!Z49,0)</f>
        <v>0</v>
      </c>
      <c r="AB52" s="341">
        <f>IFERROR(AB$6*'Historical Holdco'!AA49,0)</f>
        <v>0</v>
      </c>
      <c r="AC52" s="341">
        <f>IFERROR(AC$6*'Historical Holdco'!AB49,0)</f>
        <v>0</v>
      </c>
    </row>
    <row r="53" spans="1:29" ht="13.7" outlineLevel="1">
      <c r="A53" s="256"/>
      <c r="B53" s="256"/>
      <c r="C53" s="254"/>
      <c r="D53" s="340" t="s">
        <v>1095</v>
      </c>
      <c r="E53" s="341">
        <f>+IFERROR(E$7*'Acquisition BS adjustments'!$C192,0)+IFERROR(E$8*'Acquisition BS adjustments'!$E192,0)</f>
        <v>0</v>
      </c>
      <c r="F53" s="341">
        <f>+IFERROR(F$7*'Acquisition BS adjustments'!$C192,0)+IFERROR(F$8*'Acquisition BS adjustments'!$E192,0)</f>
        <v>0</v>
      </c>
      <c r="G53" s="341">
        <f>+IFERROR(G$7*'Acquisition BS adjustments'!$C192,0)+IFERROR(G$8*'Acquisition BS adjustments'!$E192,0)</f>
        <v>0</v>
      </c>
      <c r="H53" s="341">
        <f>+IFERROR(H$7*'Acquisition BS adjustments'!$C192,0)+IFERROR(H$8*'Acquisition BS adjustments'!$E192,0)</f>
        <v>0</v>
      </c>
      <c r="I53" s="341">
        <f>+IFERROR(I$7*'Acquisition BS adjustments'!$C192,0)+IFERROR(I$8*'Acquisition BS adjustments'!$E192,0)</f>
        <v>0</v>
      </c>
      <c r="J53" s="341">
        <f>+IFERROR(J$7*'Acquisition BS adjustments'!$C192,0)+IFERROR(J$8*'Acquisition BS adjustments'!$E192,0)</f>
        <v>0</v>
      </c>
      <c r="K53" s="341">
        <f>+IFERROR(K$7*'Acquisition BS adjustments'!$C192,0)+IFERROR(K$8*'Acquisition BS adjustments'!$E192,0)</f>
        <v>0</v>
      </c>
      <c r="L53" s="341">
        <f>+IFERROR(L$7*'Acquisition BS adjustments'!$C192,0)+IFERROR(L$8*'Acquisition BS adjustments'!$E192,0)</f>
        <v>0</v>
      </c>
      <c r="M53" s="341">
        <f>+IFERROR(M$7*'Acquisition BS adjustments'!$C192,0)+IFERROR(M$8*'Acquisition BS adjustments'!$E192,0)</f>
        <v>0</v>
      </c>
      <c r="N53" s="341">
        <f>+IFERROR(N$7*'Acquisition BS adjustments'!$C192,0)+IFERROR(N$8*'Acquisition BS adjustments'!$E192,0)</f>
        <v>0</v>
      </c>
      <c r="O53" s="341">
        <f>+IFERROR(O$7*'Acquisition BS adjustments'!$C192,0)+IFERROR(O$8*'Acquisition BS adjustments'!$E192,0)</f>
        <v>0</v>
      </c>
      <c r="P53" s="341">
        <f>+IFERROR(P$7*'Acquisition BS adjustments'!$C192,0)+IFERROR(P$8*'Acquisition BS adjustments'!$E192,0)</f>
        <v>0</v>
      </c>
      <c r="Q53" s="341">
        <f>+IFERROR(Q$7*'Acquisition BS adjustments'!$C192,0)+IFERROR(Q$8*'Acquisition BS adjustments'!$E192,0)</f>
        <v>0</v>
      </c>
      <c r="R53" s="341">
        <f>+IFERROR(R$7*'Acquisition BS adjustments'!$C192,0)+IFERROR(R$8*'Acquisition BS adjustments'!$E192,0)</f>
        <v>0</v>
      </c>
      <c r="S53" s="341">
        <f>+IFERROR(S$7*'Acquisition BS adjustments'!$C192,0)+IFERROR(S$8*'Acquisition BS adjustments'!$E192,0)</f>
        <v>0</v>
      </c>
      <c r="T53" s="341">
        <f>+IFERROR(T$7*'Acquisition BS adjustments'!$C192,0)+IFERROR(T$8*'Acquisition BS adjustments'!$E192,0)</f>
        <v>0</v>
      </c>
      <c r="U53" s="341">
        <f>+IFERROR(U$7*'Acquisition BS adjustments'!$C192,0)+IFERROR(U$8*'Acquisition BS adjustments'!$E192,0)</f>
        <v>0</v>
      </c>
      <c r="V53" s="341">
        <f>+IFERROR(V$7*'Acquisition BS adjustments'!$C192,0)+IFERROR(V$8*'Acquisition BS adjustments'!$E192,0)</f>
        <v>0</v>
      </c>
      <c r="W53" s="341">
        <f>+IFERROR(W$7*'Acquisition BS adjustments'!$C192,0)+IFERROR(W$8*'Acquisition BS adjustments'!$E192,0)</f>
        <v>0</v>
      </c>
      <c r="X53" s="341">
        <f>+IFERROR(X$7*'Acquisition BS adjustments'!$C192,0)+IFERROR(X$8*'Acquisition BS adjustments'!$E192,0)</f>
        <v>0</v>
      </c>
      <c r="Y53" s="341">
        <f>+IFERROR(Y$7*'Acquisition BS adjustments'!$C192,0)+IFERROR(Y$8*'Acquisition BS adjustments'!$E192,0)</f>
        <v>0</v>
      </c>
      <c r="Z53" s="341">
        <f>+IFERROR(Z$7*'Acquisition BS adjustments'!$C192,0)+IFERROR(Z$8*'Acquisition BS adjustments'!$E192,0)</f>
        <v>0</v>
      </c>
      <c r="AA53" s="341">
        <f>+IFERROR(AA$7*'Acquisition BS adjustments'!$C192,0)+IFERROR(AA$8*'Acquisition BS adjustments'!$E192,0)</f>
        <v>0</v>
      </c>
      <c r="AB53" s="341">
        <f>+IFERROR(AB$7*'Acquisition BS adjustments'!$C192,0)+IFERROR(AB$8*'Acquisition BS adjustments'!$E192,0)</f>
        <v>0</v>
      </c>
      <c r="AC53" s="341">
        <f>+IFERROR(AC$7*'Acquisition BS adjustments'!$C192,0)+IFERROR(AC$8*'Acquisition BS adjustments'!$E192,0)</f>
        <v>0</v>
      </c>
    </row>
    <row r="54" spans="1:29" ht="13.7" outlineLevel="1">
      <c r="A54" s="256"/>
      <c r="B54" s="256"/>
      <c r="C54" s="254"/>
      <c r="D54" s="340" t="s">
        <v>990</v>
      </c>
      <c r="E54" s="341">
        <v>0</v>
      </c>
      <c r="F54" s="341">
        <v>0</v>
      </c>
      <c r="G54" s="341">
        <v>0</v>
      </c>
      <c r="H54" s="341">
        <v>0</v>
      </c>
      <c r="I54" s="341">
        <v>0</v>
      </c>
      <c r="J54" s="341">
        <v>0</v>
      </c>
      <c r="K54" s="341">
        <v>0</v>
      </c>
      <c r="L54" s="341">
        <v>0</v>
      </c>
      <c r="M54" s="341">
        <v>0</v>
      </c>
      <c r="N54" s="341">
        <v>0</v>
      </c>
      <c r="O54" s="341">
        <v>0</v>
      </c>
      <c r="P54" s="341">
        <v>0</v>
      </c>
      <c r="Q54" s="341">
        <v>0</v>
      </c>
      <c r="R54" s="341">
        <v>0</v>
      </c>
      <c r="S54" s="341">
        <v>0</v>
      </c>
      <c r="T54" s="341">
        <v>0</v>
      </c>
      <c r="U54" s="341">
        <v>0</v>
      </c>
      <c r="V54" s="341">
        <v>0</v>
      </c>
      <c r="W54" s="341">
        <v>0</v>
      </c>
      <c r="X54" s="341">
        <v>0</v>
      </c>
      <c r="Y54" s="341">
        <v>0</v>
      </c>
      <c r="Z54" s="341">
        <v>0</v>
      </c>
      <c r="AA54" s="341">
        <v>0</v>
      </c>
      <c r="AB54" s="341">
        <v>0</v>
      </c>
      <c r="AC54" s="341">
        <v>0</v>
      </c>
    </row>
    <row r="55" spans="1:29" ht="13.7">
      <c r="C55" s="254" t="s">
        <v>219</v>
      </c>
      <c r="D55" s="255"/>
      <c r="E55" s="255">
        <f>SUM(E56:E58)</f>
        <v>0</v>
      </c>
      <c r="F55" s="255">
        <f t="shared" ref="F55:P55" si="45">SUM(F56:F58)</f>
        <v>0</v>
      </c>
      <c r="G55" s="255">
        <f t="shared" si="45"/>
        <v>0</v>
      </c>
      <c r="H55" s="255">
        <f t="shared" si="45"/>
        <v>0</v>
      </c>
      <c r="I55" s="255">
        <f t="shared" si="45"/>
        <v>0</v>
      </c>
      <c r="J55" s="255">
        <f t="shared" si="45"/>
        <v>0</v>
      </c>
      <c r="K55" s="255">
        <f t="shared" si="45"/>
        <v>0</v>
      </c>
      <c r="L55" s="255">
        <f t="shared" si="45"/>
        <v>0</v>
      </c>
      <c r="M55" s="255">
        <f t="shared" si="45"/>
        <v>0</v>
      </c>
      <c r="N55" s="255">
        <f t="shared" si="45"/>
        <v>0</v>
      </c>
      <c r="O55" s="255">
        <f t="shared" si="45"/>
        <v>0</v>
      </c>
      <c r="P55" s="255">
        <f t="shared" si="45"/>
        <v>0</v>
      </c>
      <c r="Q55" s="255">
        <f t="shared" ref="Q55:AC55" si="46">SUM(Q56:Q58)</f>
        <v>0</v>
      </c>
      <c r="R55" s="255">
        <f t="shared" si="46"/>
        <v>0</v>
      </c>
      <c r="S55" s="255">
        <f t="shared" si="46"/>
        <v>0</v>
      </c>
      <c r="T55" s="255">
        <f t="shared" si="46"/>
        <v>0</v>
      </c>
      <c r="U55" s="255">
        <f t="shared" si="46"/>
        <v>0</v>
      </c>
      <c r="V55" s="255">
        <f t="shared" si="46"/>
        <v>0</v>
      </c>
      <c r="W55" s="255">
        <f t="shared" si="46"/>
        <v>0</v>
      </c>
      <c r="X55" s="255">
        <f t="shared" si="46"/>
        <v>0</v>
      </c>
      <c r="Y55" s="255">
        <f t="shared" si="46"/>
        <v>0</v>
      </c>
      <c r="Z55" s="255">
        <f t="shared" si="46"/>
        <v>0</v>
      </c>
      <c r="AA55" s="255">
        <f t="shared" si="46"/>
        <v>0</v>
      </c>
      <c r="AB55" s="255">
        <f t="shared" si="46"/>
        <v>0</v>
      </c>
      <c r="AC55" s="255">
        <f t="shared" si="46"/>
        <v>0</v>
      </c>
    </row>
    <row r="56" spans="1:29" ht="13.7" outlineLevel="1">
      <c r="C56" s="254"/>
      <c r="D56" s="340" t="s">
        <v>1094</v>
      </c>
      <c r="E56" s="341">
        <f>IFERROR(E$6*'Historical Holdco'!D50,0)</f>
        <v>0</v>
      </c>
      <c r="F56" s="341">
        <f>IFERROR(F$6*'Historical Holdco'!E50,0)</f>
        <v>0</v>
      </c>
      <c r="G56" s="341">
        <f>IFERROR(G$6*'Historical Holdco'!F50,0)</f>
        <v>0</v>
      </c>
      <c r="H56" s="341">
        <f>IFERROR(H$6*'Historical Holdco'!G50,0)</f>
        <v>0</v>
      </c>
      <c r="I56" s="341">
        <f>IFERROR(I$6*'Historical Holdco'!H50,0)</f>
        <v>0</v>
      </c>
      <c r="J56" s="341">
        <f>IFERROR(J$6*'Historical Holdco'!I50,0)</f>
        <v>0</v>
      </c>
      <c r="K56" s="341">
        <f>IFERROR(K$6*'Historical Holdco'!J50,0)</f>
        <v>0</v>
      </c>
      <c r="L56" s="341">
        <f>IFERROR(L$6*'Historical Holdco'!K50,0)</f>
        <v>0</v>
      </c>
      <c r="M56" s="341">
        <f>IFERROR(M$6*'Historical Holdco'!L50,0)</f>
        <v>0</v>
      </c>
      <c r="N56" s="341">
        <f>IFERROR(N$6*'Historical Holdco'!M50,0)</f>
        <v>0</v>
      </c>
      <c r="O56" s="341">
        <f>IFERROR(O$6*'Historical Holdco'!N50,0)</f>
        <v>0</v>
      </c>
      <c r="P56" s="341">
        <f>IFERROR(P$6*'Historical Holdco'!O50,0)</f>
        <v>0</v>
      </c>
      <c r="Q56" s="341">
        <f>IFERROR(Q$6*'Historical Holdco'!P50,0)</f>
        <v>0</v>
      </c>
      <c r="R56" s="341">
        <f>IFERROR(R$6*'Historical Holdco'!Q50,0)</f>
        <v>0</v>
      </c>
      <c r="S56" s="341">
        <f>IFERROR(S$6*'Historical Holdco'!R50,0)</f>
        <v>0</v>
      </c>
      <c r="T56" s="341">
        <f>IFERROR(T$6*'Historical Holdco'!S50,0)</f>
        <v>0</v>
      </c>
      <c r="U56" s="341">
        <f>IFERROR(U$6*'Historical Holdco'!T50,0)</f>
        <v>0</v>
      </c>
      <c r="V56" s="341">
        <f>IFERROR(V$6*'Historical Holdco'!U50,0)</f>
        <v>0</v>
      </c>
      <c r="W56" s="341">
        <f>IFERROR(W$6*'Historical Holdco'!V50,0)</f>
        <v>0</v>
      </c>
      <c r="X56" s="341">
        <f>IFERROR(X$6*'Historical Holdco'!W50,0)</f>
        <v>0</v>
      </c>
      <c r="Y56" s="341">
        <f>IFERROR(Y$6*'Historical Holdco'!X50,0)</f>
        <v>0</v>
      </c>
      <c r="Z56" s="341">
        <f>IFERROR(Z$6*'Historical Holdco'!Y50,0)</f>
        <v>0</v>
      </c>
      <c r="AA56" s="341">
        <f>IFERROR(AA$6*'Historical Holdco'!Z50,0)</f>
        <v>0</v>
      </c>
      <c r="AB56" s="341">
        <f>IFERROR(AB$6*'Historical Holdco'!AA50,0)</f>
        <v>0</v>
      </c>
      <c r="AC56" s="341">
        <f>IFERROR(AC$6*'Historical Holdco'!AB50,0)</f>
        <v>0</v>
      </c>
    </row>
    <row r="57" spans="1:29" ht="13.7" outlineLevel="1">
      <c r="C57" s="254"/>
      <c r="D57" s="340" t="s">
        <v>1095</v>
      </c>
      <c r="E57" s="341">
        <f>+IFERROR(E$7*'Acquisition BS adjustments'!$C193,0)+IFERROR(E$8*'Acquisition BS adjustments'!$E193,0)</f>
        <v>0</v>
      </c>
      <c r="F57" s="341">
        <f>+IFERROR(F$7*'Acquisition BS adjustments'!$C193,0)+IFERROR(F$8*'Acquisition BS adjustments'!$E193,0)</f>
        <v>0</v>
      </c>
      <c r="G57" s="341">
        <f>+IFERROR(G$7*'Acquisition BS adjustments'!$C193,0)+IFERROR(G$8*'Acquisition BS adjustments'!$E193,0)</f>
        <v>0</v>
      </c>
      <c r="H57" s="341">
        <f>+IFERROR(H$7*'Acquisition BS adjustments'!$C193,0)+IFERROR(H$8*'Acquisition BS adjustments'!$E193,0)</f>
        <v>0</v>
      </c>
      <c r="I57" s="341">
        <f>+IFERROR(I$7*'Acquisition BS adjustments'!$C193,0)+IFERROR(I$8*'Acquisition BS adjustments'!$E193,0)</f>
        <v>0</v>
      </c>
      <c r="J57" s="341">
        <f>+IFERROR(J$7*'Acquisition BS adjustments'!$C193,0)+IFERROR(J$8*'Acquisition BS adjustments'!$E193,0)</f>
        <v>0</v>
      </c>
      <c r="K57" s="341">
        <f>+IFERROR(K$7*'Acquisition BS adjustments'!$C193,0)+IFERROR(K$8*'Acquisition BS adjustments'!$E193,0)</f>
        <v>0</v>
      </c>
      <c r="L57" s="341">
        <f>+IFERROR(L$7*'Acquisition BS adjustments'!$C193,0)+IFERROR(L$8*'Acquisition BS adjustments'!$E193,0)</f>
        <v>0</v>
      </c>
      <c r="M57" s="341">
        <f>+IFERROR(M$7*'Acquisition BS adjustments'!$C193,0)+IFERROR(M$8*'Acquisition BS adjustments'!$E193,0)</f>
        <v>0</v>
      </c>
      <c r="N57" s="341">
        <f>+IFERROR(N$7*'Acquisition BS adjustments'!$C193,0)+IFERROR(N$8*'Acquisition BS adjustments'!$E193,0)</f>
        <v>0</v>
      </c>
      <c r="O57" s="341">
        <f>+IFERROR(O$7*'Acquisition BS adjustments'!$C193,0)+IFERROR(O$8*'Acquisition BS adjustments'!$E193,0)</f>
        <v>0</v>
      </c>
      <c r="P57" s="341">
        <f>+IFERROR(P$7*'Acquisition BS adjustments'!$C193,0)+IFERROR(P$8*'Acquisition BS adjustments'!$E193,0)</f>
        <v>0</v>
      </c>
      <c r="Q57" s="341">
        <f>+IFERROR(Q$7*'Acquisition BS adjustments'!$C193,0)+IFERROR(Q$8*'Acquisition BS adjustments'!$E193,0)</f>
        <v>0</v>
      </c>
      <c r="R57" s="341">
        <f>+IFERROR(R$7*'Acquisition BS adjustments'!$C193,0)+IFERROR(R$8*'Acquisition BS adjustments'!$E193,0)</f>
        <v>0</v>
      </c>
      <c r="S57" s="341">
        <f>+IFERROR(S$7*'Acquisition BS adjustments'!$C193,0)+IFERROR(S$8*'Acquisition BS adjustments'!$E193,0)</f>
        <v>0</v>
      </c>
      <c r="T57" s="341">
        <f>+IFERROR(T$7*'Acquisition BS adjustments'!$C193,0)+IFERROR(T$8*'Acquisition BS adjustments'!$E193,0)</f>
        <v>0</v>
      </c>
      <c r="U57" s="341">
        <f>+IFERROR(U$7*'Acquisition BS adjustments'!$C193,0)+IFERROR(U$8*'Acquisition BS adjustments'!$E193,0)</f>
        <v>0</v>
      </c>
      <c r="V57" s="341">
        <f>+IFERROR(V$7*'Acquisition BS adjustments'!$C193,0)+IFERROR(V$8*'Acquisition BS adjustments'!$E193,0)</f>
        <v>0</v>
      </c>
      <c r="W57" s="341">
        <f>+IFERROR(W$7*'Acquisition BS adjustments'!$C193,0)+IFERROR(W$8*'Acquisition BS adjustments'!$E193,0)</f>
        <v>0</v>
      </c>
      <c r="X57" s="341">
        <f>+IFERROR(X$7*'Acquisition BS adjustments'!$C193,0)+IFERROR(X$8*'Acquisition BS adjustments'!$E193,0)</f>
        <v>0</v>
      </c>
      <c r="Y57" s="341">
        <f>+IFERROR(Y$7*'Acquisition BS adjustments'!$C193,0)+IFERROR(Y$8*'Acquisition BS adjustments'!$E193,0)</f>
        <v>0</v>
      </c>
      <c r="Z57" s="341">
        <f>+IFERROR(Z$7*'Acquisition BS adjustments'!$C193,0)+IFERROR(Z$8*'Acquisition BS adjustments'!$E193,0)</f>
        <v>0</v>
      </c>
      <c r="AA57" s="341">
        <f>+IFERROR(AA$7*'Acquisition BS adjustments'!$C193,0)+IFERROR(AA$8*'Acquisition BS adjustments'!$E193,0)</f>
        <v>0</v>
      </c>
      <c r="AB57" s="341">
        <f>+IFERROR(AB$7*'Acquisition BS adjustments'!$C193,0)+IFERROR(AB$8*'Acquisition BS adjustments'!$E193,0)</f>
        <v>0</v>
      </c>
      <c r="AC57" s="341">
        <f>+IFERROR(AC$7*'Acquisition BS adjustments'!$C193,0)+IFERROR(AC$8*'Acquisition BS adjustments'!$E193,0)</f>
        <v>0</v>
      </c>
    </row>
    <row r="58" spans="1:29" ht="13.7" outlineLevel="1">
      <c r="C58" s="254"/>
      <c r="D58" s="339" t="s">
        <v>1097</v>
      </c>
      <c r="E58" s="255">
        <f>+IFERROR(E$9*D55,0)</f>
        <v>0</v>
      </c>
      <c r="F58" s="255">
        <f t="shared" ref="F58:P58" si="47">+IFERROR(F$9*E55,0)</f>
        <v>0</v>
      </c>
      <c r="G58" s="255">
        <f t="shared" si="47"/>
        <v>0</v>
      </c>
      <c r="H58" s="255">
        <f t="shared" si="47"/>
        <v>0</v>
      </c>
      <c r="I58" s="255">
        <f t="shared" si="47"/>
        <v>0</v>
      </c>
      <c r="J58" s="255">
        <f t="shared" si="47"/>
        <v>0</v>
      </c>
      <c r="K58" s="255">
        <f t="shared" si="47"/>
        <v>0</v>
      </c>
      <c r="L58" s="255">
        <f t="shared" si="47"/>
        <v>0</v>
      </c>
      <c r="M58" s="255">
        <f t="shared" si="47"/>
        <v>0</v>
      </c>
      <c r="N58" s="255">
        <f t="shared" si="47"/>
        <v>0</v>
      </c>
      <c r="O58" s="255">
        <f t="shared" si="47"/>
        <v>0</v>
      </c>
      <c r="P58" s="255">
        <f t="shared" si="47"/>
        <v>0</v>
      </c>
      <c r="Q58" s="255">
        <f t="shared" ref="Q58" si="48">+IFERROR(Q$9*P55,0)</f>
        <v>0</v>
      </c>
      <c r="R58" s="255">
        <f t="shared" ref="R58" si="49">+IFERROR(R$9*Q55,0)</f>
        <v>0</v>
      </c>
      <c r="S58" s="255">
        <f t="shared" ref="S58" si="50">+IFERROR(S$9*R55,0)</f>
        <v>0</v>
      </c>
      <c r="T58" s="255">
        <f t="shared" ref="T58" si="51">+IFERROR(T$9*S55,0)</f>
        <v>0</v>
      </c>
      <c r="U58" s="255">
        <f t="shared" ref="U58" si="52">+IFERROR(U$9*T55,0)</f>
        <v>0</v>
      </c>
      <c r="V58" s="255">
        <f t="shared" ref="V58" si="53">+IFERROR(V$9*U55,0)</f>
        <v>0</v>
      </c>
      <c r="W58" s="255">
        <f t="shared" ref="W58" si="54">+IFERROR(W$9*V55,0)</f>
        <v>0</v>
      </c>
      <c r="X58" s="255">
        <f t="shared" ref="X58" si="55">+IFERROR(X$9*W55,0)</f>
        <v>0</v>
      </c>
      <c r="Y58" s="255">
        <f t="shared" ref="Y58" si="56">+IFERROR(Y$9*X55,0)</f>
        <v>0</v>
      </c>
      <c r="Z58" s="255">
        <f t="shared" ref="Z58" si="57">+IFERROR(Z$9*Y55,0)</f>
        <v>0</v>
      </c>
      <c r="AA58" s="255">
        <f t="shared" ref="AA58" si="58">+IFERROR(AA$9*Z55,0)</f>
        <v>0</v>
      </c>
      <c r="AB58" s="255">
        <f t="shared" ref="AB58" si="59">+IFERROR(AB$9*AA55,0)</f>
        <v>0</v>
      </c>
      <c r="AC58" s="255">
        <f t="shared" ref="AC58" si="60">+IFERROR(AC$9*AB55,0)</f>
        <v>0</v>
      </c>
    </row>
    <row r="59" spans="1:29" ht="13.7">
      <c r="C59" s="342" t="s">
        <v>1490</v>
      </c>
      <c r="D59" s="255"/>
      <c r="E59" s="255">
        <f>SUM(E60:E63)</f>
        <v>0</v>
      </c>
      <c r="F59" s="255">
        <f t="shared" ref="F59:AC59" ca="1" si="61">SUM(F60:F63)</f>
        <v>0</v>
      </c>
      <c r="G59" s="255">
        <f t="shared" ca="1" si="61"/>
        <v>0</v>
      </c>
      <c r="H59" s="255">
        <f t="shared" ca="1" si="61"/>
        <v>0</v>
      </c>
      <c r="I59" s="255">
        <f t="shared" ca="1" si="61"/>
        <v>0</v>
      </c>
      <c r="J59" s="255">
        <f t="shared" ca="1" si="61"/>
        <v>372544000</v>
      </c>
      <c r="K59" s="255">
        <f ca="1">SUM(K60:K63)</f>
        <v>372544000</v>
      </c>
      <c r="L59" s="255">
        <f t="shared" ca="1" si="61"/>
        <v>372544000</v>
      </c>
      <c r="M59" s="255">
        <f t="shared" ca="1" si="61"/>
        <v>372544000</v>
      </c>
      <c r="N59" s="255">
        <f t="shared" ca="1" si="61"/>
        <v>372544000</v>
      </c>
      <c r="O59" s="255">
        <f t="shared" ca="1" si="61"/>
        <v>372544000</v>
      </c>
      <c r="P59" s="255">
        <f t="shared" ca="1" si="61"/>
        <v>372544000</v>
      </c>
      <c r="Q59" s="255">
        <f t="shared" ca="1" si="61"/>
        <v>0</v>
      </c>
      <c r="R59" s="255">
        <f t="shared" ca="1" si="61"/>
        <v>0</v>
      </c>
      <c r="S59" s="255">
        <f t="shared" ca="1" si="61"/>
        <v>0</v>
      </c>
      <c r="T59" s="255">
        <f t="shared" ca="1" si="61"/>
        <v>0</v>
      </c>
      <c r="U59" s="255">
        <f t="shared" ca="1" si="61"/>
        <v>0</v>
      </c>
      <c r="V59" s="255">
        <f t="shared" ca="1" si="61"/>
        <v>0</v>
      </c>
      <c r="W59" s="255">
        <f t="shared" ca="1" si="61"/>
        <v>0</v>
      </c>
      <c r="X59" s="255">
        <f t="shared" ca="1" si="61"/>
        <v>0</v>
      </c>
      <c r="Y59" s="255">
        <f t="shared" ca="1" si="61"/>
        <v>0</v>
      </c>
      <c r="Z59" s="255">
        <f t="shared" ca="1" si="61"/>
        <v>0</v>
      </c>
      <c r="AA59" s="255">
        <f t="shared" ca="1" si="61"/>
        <v>0</v>
      </c>
      <c r="AB59" s="255">
        <f t="shared" ca="1" si="61"/>
        <v>0</v>
      </c>
      <c r="AC59" s="255">
        <f t="shared" ca="1" si="61"/>
        <v>0</v>
      </c>
    </row>
    <row r="60" spans="1:29" ht="13.7" outlineLevel="1">
      <c r="C60" s="254"/>
      <c r="D60" s="340" t="s">
        <v>1094</v>
      </c>
      <c r="E60" s="341">
        <f>IFERROR(E$6*'Historical Holdco'!D51,0)</f>
        <v>0</v>
      </c>
      <c r="F60" s="341">
        <f>IFERROR(F$6*'Historical Holdco'!E51,0)</f>
        <v>0</v>
      </c>
      <c r="G60" s="341">
        <f>IFERROR(G$6*'Historical Holdco'!F51,0)</f>
        <v>0</v>
      </c>
      <c r="H60" s="341">
        <f>IFERROR(H$6*'Historical Holdco'!G51,0)</f>
        <v>0</v>
      </c>
      <c r="I60" s="341">
        <f>IFERROR(I$6*'Historical Holdco'!H51,0)</f>
        <v>0</v>
      </c>
      <c r="J60" s="341">
        <f>IFERROR(J$6*'Historical Holdco'!I51,0)</f>
        <v>0</v>
      </c>
      <c r="K60" s="341">
        <f>IFERROR(K$6*'Historical Holdco'!J51,0)</f>
        <v>0</v>
      </c>
      <c r="L60" s="341">
        <f>IFERROR(L$6*'Historical Holdco'!K51,0)</f>
        <v>0</v>
      </c>
      <c r="M60" s="341">
        <f>IFERROR(M$6*'Historical Holdco'!L51,0)</f>
        <v>0</v>
      </c>
      <c r="N60" s="341">
        <f>IFERROR(N$6*'Historical Holdco'!M51,0)</f>
        <v>0</v>
      </c>
      <c r="O60" s="341">
        <f>IFERROR(O$6*'Historical Holdco'!N51,0)</f>
        <v>0</v>
      </c>
      <c r="P60" s="341">
        <f>IFERROR(P$6*'Historical Holdco'!O51,0)</f>
        <v>0</v>
      </c>
      <c r="Q60" s="341">
        <f>IFERROR(Q$6*'Historical Holdco'!P51,0)</f>
        <v>0</v>
      </c>
      <c r="R60" s="341">
        <f>IFERROR(R$6*'Historical Holdco'!Q51,0)</f>
        <v>0</v>
      </c>
      <c r="S60" s="341">
        <f>IFERROR(S$6*'Historical Holdco'!R51,0)</f>
        <v>0</v>
      </c>
      <c r="T60" s="341">
        <f>IFERROR(T$6*'Historical Holdco'!S51,0)</f>
        <v>0</v>
      </c>
      <c r="U60" s="341">
        <f>IFERROR(U$6*'Historical Holdco'!T51,0)</f>
        <v>0</v>
      </c>
      <c r="V60" s="341">
        <f>IFERROR(V$6*'Historical Holdco'!U51,0)</f>
        <v>0</v>
      </c>
      <c r="W60" s="341">
        <f>IFERROR(W$6*'Historical Holdco'!V51,0)</f>
        <v>0</v>
      </c>
      <c r="X60" s="341">
        <f>IFERROR(X$6*'Historical Holdco'!W51,0)</f>
        <v>0</v>
      </c>
      <c r="Y60" s="341">
        <f>IFERROR(Y$6*'Historical Holdco'!X51,0)</f>
        <v>0</v>
      </c>
      <c r="Z60" s="341">
        <f>IFERROR(Z$6*'Historical Holdco'!Y51,0)</f>
        <v>0</v>
      </c>
      <c r="AA60" s="341">
        <f>IFERROR(AA$6*'Historical Holdco'!Z51,0)</f>
        <v>0</v>
      </c>
      <c r="AB60" s="341">
        <f>IFERROR(AB$6*'Historical Holdco'!AA51,0)</f>
        <v>0</v>
      </c>
      <c r="AC60" s="341">
        <f>IFERROR(AC$6*'Historical Holdco'!AB51,0)</f>
        <v>0</v>
      </c>
    </row>
    <row r="61" spans="1:29" ht="13.7" outlineLevel="1">
      <c r="C61" s="254"/>
      <c r="D61" s="340" t="s">
        <v>1095</v>
      </c>
      <c r="E61" s="341">
        <f>+IFERROR(E$7*'Acquisition BS adjustments'!$C194,0)+IFERROR(E$8*'Acquisition BS adjustments'!$E194,0)</f>
        <v>0</v>
      </c>
      <c r="F61" s="341">
        <f>+IFERROR(F$7*'Acquisition BS adjustments'!$C194,0)+IFERROR(F$8*'Acquisition BS adjustments'!$E194,0)</f>
        <v>0</v>
      </c>
      <c r="G61" s="341">
        <f>+IFERROR(G$7*'Acquisition BS adjustments'!$C194,0)+IFERROR(G$8*'Acquisition BS adjustments'!$E194,0)</f>
        <v>0</v>
      </c>
      <c r="H61" s="341">
        <f>+IFERROR(H$7*'Acquisition BS adjustments'!$C194,0)+IFERROR(H$8*'Acquisition BS adjustments'!$E194,0)</f>
        <v>0</v>
      </c>
      <c r="I61" s="341">
        <f>+IFERROR(I$7*'Acquisition BS adjustments'!$C194,0)+IFERROR(I$8*'Acquisition BS adjustments'!$E194,0)</f>
        <v>0</v>
      </c>
      <c r="J61" s="341">
        <f>+IFERROR(J$7*'Acquisition BS adjustments'!$C194,0)+IFERROR(J$8*'Acquisition BS adjustments'!$E194,0)</f>
        <v>372544000</v>
      </c>
      <c r="K61" s="341">
        <f>+IFERROR(K$7*'Acquisition BS adjustments'!$C194,0)+IFERROR(K$8*'Acquisition BS adjustments'!$E194,0)</f>
        <v>0</v>
      </c>
      <c r="L61" s="341">
        <f>+IFERROR(L$7*'Acquisition BS adjustments'!$C194,0)+IFERROR(L$8*'Acquisition BS adjustments'!$E194,0)</f>
        <v>0</v>
      </c>
      <c r="M61" s="341">
        <f>+IFERROR(M$7*'Acquisition BS adjustments'!$C194,0)+IFERROR(M$8*'Acquisition BS adjustments'!$E194,0)</f>
        <v>0</v>
      </c>
      <c r="N61" s="341">
        <f>+IFERROR(N$7*'Acquisition BS adjustments'!$C194,0)+IFERROR(N$8*'Acquisition BS adjustments'!$E194,0)</f>
        <v>0</v>
      </c>
      <c r="O61" s="341">
        <f>+IFERROR(O$7*'Acquisition BS adjustments'!$C194,0)+IFERROR(O$8*'Acquisition BS adjustments'!$E194,0)</f>
        <v>0</v>
      </c>
      <c r="P61" s="341">
        <f>+IFERROR(P$7*'Acquisition BS adjustments'!$C194,0)+IFERROR(P$8*'Acquisition BS adjustments'!$E194,0)</f>
        <v>0</v>
      </c>
      <c r="Q61" s="341">
        <f>+IFERROR(Q$7*'Acquisition BS adjustments'!$C194,0)+IFERROR(Q$8*'Acquisition BS adjustments'!$E194,0)</f>
        <v>0</v>
      </c>
      <c r="R61" s="341">
        <f>+IFERROR(R$7*'Acquisition BS adjustments'!$C194,0)+IFERROR(R$8*'Acquisition BS adjustments'!$E194,0)</f>
        <v>0</v>
      </c>
      <c r="S61" s="341">
        <f>+IFERROR(S$7*'Acquisition BS adjustments'!$C194,0)+IFERROR(S$8*'Acquisition BS adjustments'!$E194,0)</f>
        <v>0</v>
      </c>
      <c r="T61" s="341">
        <f>+IFERROR(T$7*'Acquisition BS adjustments'!$C194,0)+IFERROR(T$8*'Acquisition BS adjustments'!$E194,0)</f>
        <v>0</v>
      </c>
      <c r="U61" s="341">
        <f>+IFERROR(U$7*'Acquisition BS adjustments'!$C194,0)+IFERROR(U$8*'Acquisition BS adjustments'!$E194,0)</f>
        <v>0</v>
      </c>
      <c r="V61" s="341">
        <f>+IFERROR(V$7*'Acquisition BS adjustments'!$C194,0)+IFERROR(V$8*'Acquisition BS adjustments'!$E194,0)</f>
        <v>0</v>
      </c>
      <c r="W61" s="341">
        <f>+IFERROR(W$7*'Acquisition BS adjustments'!$C194,0)+IFERROR(W$8*'Acquisition BS adjustments'!$E194,0)</f>
        <v>0</v>
      </c>
      <c r="X61" s="341">
        <f>+IFERROR(X$7*'Acquisition BS adjustments'!$C194,0)+IFERROR(X$8*'Acquisition BS adjustments'!$E194,0)</f>
        <v>0</v>
      </c>
      <c r="Y61" s="341">
        <f>+IFERROR(Y$7*'Acquisition BS adjustments'!$C194,0)+IFERROR(Y$8*'Acquisition BS adjustments'!$E194,0)</f>
        <v>0</v>
      </c>
      <c r="Z61" s="341">
        <f>+IFERROR(Z$7*'Acquisition BS adjustments'!$C194,0)+IFERROR(Z$8*'Acquisition BS adjustments'!$E194,0)</f>
        <v>0</v>
      </c>
      <c r="AA61" s="341">
        <f>+IFERROR(AA$7*'Acquisition BS adjustments'!$C194,0)+IFERROR(AA$8*'Acquisition BS adjustments'!$E194,0)</f>
        <v>0</v>
      </c>
      <c r="AB61" s="341">
        <f>+IFERROR(AB$7*'Acquisition BS adjustments'!$C194,0)+IFERROR(AB$8*'Acquisition BS adjustments'!$E194,0)</f>
        <v>0</v>
      </c>
      <c r="AC61" s="341">
        <f>+IFERROR(AC$7*'Acquisition BS adjustments'!$C194,0)+IFERROR(AC$8*'Acquisition BS adjustments'!$E194,0)</f>
        <v>0</v>
      </c>
    </row>
    <row r="62" spans="1:29" ht="13.7" outlineLevel="1">
      <c r="C62" s="254"/>
      <c r="D62" s="340" t="s">
        <v>697</v>
      </c>
      <c r="E62" s="341">
        <f>+IFERROR(E$9*'BS offshore'!E126*Stake_Bu1,0)</f>
        <v>0</v>
      </c>
      <c r="F62" s="341">
        <f ca="1">+IFERROR(F$9*'BS offshore'!F126*Stake_Bu1,0)</f>
        <v>0</v>
      </c>
      <c r="G62" s="341">
        <f ca="1">+IFERROR(G$9*'BS offshore'!G126*Stake_Bu1,0)</f>
        <v>0</v>
      </c>
      <c r="H62" s="341">
        <f ca="1">+IFERROR(H$9*'BS offshore'!H126*Stake_Bu1,0)</f>
        <v>0</v>
      </c>
      <c r="I62" s="341">
        <f ca="1">+IFERROR(I$9*'BS offshore'!I126*Stake_Bu1,0)</f>
        <v>0</v>
      </c>
      <c r="J62" s="341">
        <f ca="1">+IFERROR(J$9*'BS offshore'!J126*Stake_Bu1,0)</f>
        <v>0</v>
      </c>
      <c r="K62" s="341">
        <f ca="1">+IFERROR(K$9*'BS offshore'!K126*Stake_Bu1,0)</f>
        <v>0</v>
      </c>
      <c r="L62" s="341">
        <f ca="1">+IFERROR(L$9*'BS offshore'!L126*Stake_Bu1,0)</f>
        <v>0</v>
      </c>
      <c r="M62" s="341">
        <f ca="1">+IFERROR(M$9*'BS offshore'!M126*Stake_Bu1,0)</f>
        <v>0</v>
      </c>
      <c r="N62" s="341">
        <f ca="1">+IFERROR(N$9*'BS offshore'!N126*Stake_Bu1,0)</f>
        <v>0</v>
      </c>
      <c r="O62" s="341">
        <f ca="1">+IFERROR(O$9*'BS offshore'!O126*Stake_Bu1,0)</f>
        <v>0</v>
      </c>
      <c r="P62" s="341">
        <f ca="1">+IFERROR(P$9*'BS offshore'!P126*Stake_Bu1,0)</f>
        <v>0</v>
      </c>
      <c r="Q62" s="341">
        <f ca="1">+IFERROR(Q$9*'BS offshore'!Q126*Stake_Bu1,0)</f>
        <v>0</v>
      </c>
      <c r="R62" s="341">
        <f>+IFERROR(R$9*'BS offshore'!R126*Stake_Bu1,0)</f>
        <v>0</v>
      </c>
      <c r="S62" s="341">
        <f>+IFERROR(S$9*'BS offshore'!S126*Stake_Bu1,0)</f>
        <v>0</v>
      </c>
      <c r="T62" s="341">
        <f>+IFERROR(T$9*'BS offshore'!T126*Stake_Bu1,0)</f>
        <v>0</v>
      </c>
      <c r="U62" s="341">
        <f>+IFERROR(U$9*'BS offshore'!U126*Stake_Bu1,0)</f>
        <v>0</v>
      </c>
      <c r="V62" s="341">
        <f>+IFERROR(V$9*'BS offshore'!V126*Stake_Bu1,0)</f>
        <v>0</v>
      </c>
      <c r="W62" s="341">
        <f>+IFERROR(W$9*'BS offshore'!W126*Stake_Bu1,0)</f>
        <v>0</v>
      </c>
      <c r="X62" s="341">
        <f>+IFERROR(X$9*'BS offshore'!X126*Stake_Bu1,0)</f>
        <v>0</v>
      </c>
      <c r="Y62" s="341">
        <f>+IFERROR(Y$9*'BS offshore'!Y126*Stake_Bu1,0)</f>
        <v>0</v>
      </c>
      <c r="Z62" s="341">
        <f>+IFERROR(Z$9*'BS offshore'!Z126*Stake_Bu1,0)</f>
        <v>0</v>
      </c>
      <c r="AA62" s="341">
        <f>+IFERROR(AA$9*'BS offshore'!AA126*Stake_Bu1,0)</f>
        <v>0</v>
      </c>
      <c r="AB62" s="341">
        <f>+IFERROR(AB$9*'BS offshore'!AB126*Stake_Bu1,0)</f>
        <v>0</v>
      </c>
      <c r="AC62" s="341">
        <f>+IFERROR(AC$9*'BS offshore'!AC126*Stake_Bu1,0)</f>
        <v>0</v>
      </c>
    </row>
    <row r="63" spans="1:29" ht="13.7" outlineLevel="1">
      <c r="C63" s="254"/>
      <c r="D63" s="340" t="s">
        <v>1740</v>
      </c>
      <c r="E63" s="341">
        <f>+IFERROR(E$9*'BS onshore'!E126*Stake_Bu2,0)</f>
        <v>0</v>
      </c>
      <c r="F63" s="341">
        <f ca="1">+IFERROR(F$9*'BS onshore'!F126*Stake_Bu2,0)</f>
        <v>0</v>
      </c>
      <c r="G63" s="341">
        <f ca="1">+IFERROR(G$9*'BS onshore'!G126*Stake_Bu2,0)</f>
        <v>0</v>
      </c>
      <c r="H63" s="341">
        <f ca="1">+IFERROR(H$9*'BS onshore'!H126*Stake_Bu2,0)</f>
        <v>0</v>
      </c>
      <c r="I63" s="341">
        <f ca="1">+IFERROR(I$9*'BS onshore'!I126*Stake_Bu2,0)</f>
        <v>0</v>
      </c>
      <c r="J63" s="341">
        <f ca="1">+IFERROR(J$9*'BS onshore'!J126*Stake_Bu2,0)</f>
        <v>0</v>
      </c>
      <c r="K63" s="341">
        <f ca="1">+IFERROR(K$9*(J61+J63+('IS onshore'!K90-'IS onshore'!K94)*Stake_Bu2),0)</f>
        <v>372544000</v>
      </c>
      <c r="L63" s="341">
        <f ca="1">+IFERROR(L$9*(K61+K63+('IS onshore'!L90-'IS onshore'!L94)*Stake_Bu2),0)</f>
        <v>372544000</v>
      </c>
      <c r="M63" s="341">
        <f ca="1">+IFERROR(M$9*(L61+L63+('IS onshore'!M90-'IS onshore'!M94)*Stake_Bu2),0)</f>
        <v>372544000</v>
      </c>
      <c r="N63" s="341">
        <f ca="1">+IFERROR(N$9*(M61+M63+('IS onshore'!N90-'IS onshore'!N94)*Stake_Bu2),0)</f>
        <v>372544000</v>
      </c>
      <c r="O63" s="341">
        <f ca="1">+IFERROR(O$9*(N61+N63+('IS onshore'!O90-'IS onshore'!O94)*Stake_Bu2),0)</f>
        <v>372544000</v>
      </c>
      <c r="P63" s="341">
        <f ca="1">+IFERROR(P$9*(O61+O63+('IS onshore'!P90-'IS onshore'!P94)*Stake_Bu2),0)</f>
        <v>372544000</v>
      </c>
      <c r="Q63" s="341">
        <f ca="1">+IFERROR(Q$9*(P61+P63+('IS onshore'!Q90-'IS onshore'!Q94)*Stake_Bu2),0)</f>
        <v>0</v>
      </c>
      <c r="R63" s="341">
        <f ca="1">+IFERROR(R$9*(Q61+Q63+('IS onshore'!R90-'IS onshore'!R94)*Stake_Bu2),0)</f>
        <v>0</v>
      </c>
      <c r="S63" s="341">
        <f ca="1">+IFERROR(S$9*(R61+R63+('IS onshore'!S90-'IS onshore'!S94)*Stake_Bu2),0)</f>
        <v>0</v>
      </c>
      <c r="T63" s="341">
        <f ca="1">+IFERROR(T$9*(S61+S63+('IS onshore'!T90-'IS onshore'!T94)*Stake_Bu2),0)</f>
        <v>0</v>
      </c>
      <c r="U63" s="341">
        <f ca="1">+IFERROR(U$9*(T61+T63+('IS onshore'!U90-'IS onshore'!U94)*Stake_Bu2),0)</f>
        <v>0</v>
      </c>
      <c r="V63" s="341">
        <f ca="1">+IFERROR(V$9*(U61+U63+('IS onshore'!V90-'IS onshore'!V94)*Stake_Bu2),0)</f>
        <v>0</v>
      </c>
      <c r="W63" s="341">
        <f ca="1">+IFERROR(W$9*(V61+V63+('IS onshore'!W90-'IS onshore'!W94)*Stake_Bu2),0)</f>
        <v>0</v>
      </c>
      <c r="X63" s="341">
        <f ca="1">+IFERROR(X$9*(W61+W63+('IS onshore'!X90-'IS onshore'!X94)*Stake_Bu2),0)</f>
        <v>0</v>
      </c>
      <c r="Y63" s="341">
        <f ca="1">+IFERROR(Y$9*(X61+X63+('IS onshore'!Y90-'IS onshore'!Y94)*Stake_Bu2),0)</f>
        <v>0</v>
      </c>
      <c r="Z63" s="341">
        <f ca="1">+IFERROR(Z$9*(Y61+Y63+('IS onshore'!Z90-'IS onshore'!Z94)*Stake_Bu2),0)</f>
        <v>0</v>
      </c>
      <c r="AA63" s="341">
        <f ca="1">+IFERROR(AA$9*(Z61+Z63+('IS onshore'!AA90-'IS onshore'!AA94)*Stake_Bu2),0)</f>
        <v>0</v>
      </c>
      <c r="AB63" s="341">
        <f ca="1">+IFERROR(AB$9*(AA61+AA63+('IS onshore'!AB90-'IS onshore'!AB94)*Stake_Bu2),0)</f>
        <v>0</v>
      </c>
      <c r="AC63" s="341">
        <f ca="1">+IFERROR(AC$9*(AB61+AB63+('IS onshore'!AC90-'IS onshore'!AC94)*Stake_Bu2),0)</f>
        <v>0</v>
      </c>
    </row>
    <row r="64" spans="1:29" ht="13.7">
      <c r="C64" s="254" t="s">
        <v>221</v>
      </c>
      <c r="D64" s="255"/>
      <c r="E64" s="255">
        <f>SUM(E65:E67)</f>
        <v>0</v>
      </c>
      <c r="F64" s="255">
        <f t="shared" ref="F64:P64" si="62">SUM(F65:F67)</f>
        <v>0</v>
      </c>
      <c r="G64" s="255">
        <f t="shared" si="62"/>
        <v>0</v>
      </c>
      <c r="H64" s="255">
        <f t="shared" si="62"/>
        <v>0</v>
      </c>
      <c r="I64" s="255">
        <f t="shared" si="62"/>
        <v>0</v>
      </c>
      <c r="J64" s="255">
        <f t="shared" si="62"/>
        <v>0</v>
      </c>
      <c r="K64" s="255">
        <f t="shared" si="62"/>
        <v>0</v>
      </c>
      <c r="L64" s="255">
        <f t="shared" si="62"/>
        <v>0</v>
      </c>
      <c r="M64" s="255">
        <f t="shared" si="62"/>
        <v>0</v>
      </c>
      <c r="N64" s="255">
        <f t="shared" si="62"/>
        <v>0</v>
      </c>
      <c r="O64" s="255">
        <f t="shared" si="62"/>
        <v>0</v>
      </c>
      <c r="P64" s="255">
        <f t="shared" si="62"/>
        <v>0</v>
      </c>
      <c r="Q64" s="255">
        <f t="shared" ref="Q64:AC64" si="63">SUM(Q65:Q67)</f>
        <v>0</v>
      </c>
      <c r="R64" s="255">
        <f t="shared" si="63"/>
        <v>0</v>
      </c>
      <c r="S64" s="255">
        <f t="shared" si="63"/>
        <v>0</v>
      </c>
      <c r="T64" s="255">
        <f t="shared" si="63"/>
        <v>0</v>
      </c>
      <c r="U64" s="255">
        <f t="shared" si="63"/>
        <v>0</v>
      </c>
      <c r="V64" s="255">
        <f t="shared" si="63"/>
        <v>0</v>
      </c>
      <c r="W64" s="255">
        <f t="shared" si="63"/>
        <v>0</v>
      </c>
      <c r="X64" s="255">
        <f t="shared" si="63"/>
        <v>0</v>
      </c>
      <c r="Y64" s="255">
        <f t="shared" si="63"/>
        <v>0</v>
      </c>
      <c r="Z64" s="255">
        <f t="shared" si="63"/>
        <v>0</v>
      </c>
      <c r="AA64" s="255">
        <f t="shared" si="63"/>
        <v>0</v>
      </c>
      <c r="AB64" s="255">
        <f t="shared" si="63"/>
        <v>0</v>
      </c>
      <c r="AC64" s="255">
        <f t="shared" si="63"/>
        <v>0</v>
      </c>
    </row>
    <row r="65" spans="1:29" ht="13.7" outlineLevel="1">
      <c r="A65" s="256"/>
      <c r="B65" s="256"/>
      <c r="C65" s="254"/>
      <c r="D65" s="340" t="s">
        <v>1094</v>
      </c>
      <c r="E65" s="341">
        <f>IFERROR(E$6*'Historical Holdco'!D52,0)</f>
        <v>0</v>
      </c>
      <c r="F65" s="341">
        <f>IFERROR(F$6*'Historical Holdco'!E52,0)</f>
        <v>0</v>
      </c>
      <c r="G65" s="341">
        <f>IFERROR(G$6*'Historical Holdco'!F52,0)</f>
        <v>0</v>
      </c>
      <c r="H65" s="341">
        <f>IFERROR(H$6*'Historical Holdco'!G52,0)</f>
        <v>0</v>
      </c>
      <c r="I65" s="341">
        <f>IFERROR(I$6*'Historical Holdco'!H52,0)</f>
        <v>0</v>
      </c>
      <c r="J65" s="341">
        <f>IFERROR(J$6*'Historical Holdco'!I52,0)</f>
        <v>0</v>
      </c>
      <c r="K65" s="341">
        <f>IFERROR(K$6*'Historical Holdco'!J52,0)</f>
        <v>0</v>
      </c>
      <c r="L65" s="341">
        <f>IFERROR(L$6*'Historical Holdco'!K52,0)</f>
        <v>0</v>
      </c>
      <c r="M65" s="341">
        <f>IFERROR(M$6*'Historical Holdco'!L52,0)</f>
        <v>0</v>
      </c>
      <c r="N65" s="341">
        <f>IFERROR(N$6*'Historical Holdco'!M52,0)</f>
        <v>0</v>
      </c>
      <c r="O65" s="341">
        <f>IFERROR(O$6*'Historical Holdco'!N52,0)</f>
        <v>0</v>
      </c>
      <c r="P65" s="341">
        <f>IFERROR(P$6*'Historical Holdco'!O52,0)</f>
        <v>0</v>
      </c>
      <c r="Q65" s="341">
        <f>IFERROR(Q$6*'Historical Holdco'!P52,0)</f>
        <v>0</v>
      </c>
      <c r="R65" s="341">
        <f>IFERROR(R$6*'Historical Holdco'!Q52,0)</f>
        <v>0</v>
      </c>
      <c r="S65" s="341">
        <f>IFERROR(S$6*'Historical Holdco'!R52,0)</f>
        <v>0</v>
      </c>
      <c r="T65" s="341">
        <f>IFERROR(T$6*'Historical Holdco'!S52,0)</f>
        <v>0</v>
      </c>
      <c r="U65" s="341">
        <f>IFERROR(U$6*'Historical Holdco'!T52,0)</f>
        <v>0</v>
      </c>
      <c r="V65" s="341">
        <f>IFERROR(V$6*'Historical Holdco'!U52,0)</f>
        <v>0</v>
      </c>
      <c r="W65" s="341">
        <f>IFERROR(W$6*'Historical Holdco'!V52,0)</f>
        <v>0</v>
      </c>
      <c r="X65" s="341">
        <f>IFERROR(X$6*'Historical Holdco'!W52,0)</f>
        <v>0</v>
      </c>
      <c r="Y65" s="341">
        <f>IFERROR(Y$6*'Historical Holdco'!X52,0)</f>
        <v>0</v>
      </c>
      <c r="Z65" s="341">
        <f>IFERROR(Z$6*'Historical Holdco'!Y52,0)</f>
        <v>0</v>
      </c>
      <c r="AA65" s="341">
        <f>IFERROR(AA$6*'Historical Holdco'!Z52,0)</f>
        <v>0</v>
      </c>
      <c r="AB65" s="341">
        <f>IFERROR(AB$6*'Historical Holdco'!AA52,0)</f>
        <v>0</v>
      </c>
      <c r="AC65" s="341">
        <f>IFERROR(AC$6*'Historical Holdco'!AB52,0)</f>
        <v>0</v>
      </c>
    </row>
    <row r="66" spans="1:29" ht="13.7" outlineLevel="1">
      <c r="A66" s="256"/>
      <c r="B66" s="256"/>
      <c r="C66" s="254"/>
      <c r="D66" s="340" t="s">
        <v>1095</v>
      </c>
      <c r="E66" s="341">
        <f>+IFERROR(E$7*'Acquisition BS adjustments'!$C195,0)+IFERROR(E$8*'Acquisition BS adjustments'!$E195,0)+IFERROR(E$9*('Acquisition BS adjustments'!$D$195),0)</f>
        <v>0</v>
      </c>
      <c r="F66" s="341">
        <f>+IFERROR(F$7*'Acquisition BS adjustments'!$C195,0)+IFERROR(F$8*'Acquisition BS adjustments'!$E195,0)+IFERROR(F$9*('Acquisition BS adjustments'!$D$195),0)</f>
        <v>0</v>
      </c>
      <c r="G66" s="341">
        <f>+IFERROR(G$7*'Acquisition BS adjustments'!$C195,0)+IFERROR(G$8*'Acquisition BS adjustments'!$E195,0)+IFERROR(G$9*('Acquisition BS adjustments'!$D$195),0)</f>
        <v>0</v>
      </c>
      <c r="H66" s="341">
        <f>+IFERROR(H$7*'Acquisition BS adjustments'!$C195,0)+IFERROR(H$8*'Acquisition BS adjustments'!$E195,0)+IFERROR(H$9*('Acquisition BS adjustments'!$D$195),0)</f>
        <v>0</v>
      </c>
      <c r="I66" s="341">
        <f>+IFERROR(I$7*'Acquisition BS adjustments'!$C195,0)+IFERROR(I$8*'Acquisition BS adjustments'!$E195,0)+IFERROR(I$9*('Acquisition BS adjustments'!$D$195),0)</f>
        <v>0</v>
      </c>
      <c r="J66" s="341">
        <f>+IFERROR(J$7*'Acquisition BS adjustments'!$C195,0)+IFERROR(J$8*'Acquisition BS adjustments'!$E195,0)+IFERROR(J$9*('Acquisition BS adjustments'!$D$195),0)</f>
        <v>0</v>
      </c>
      <c r="K66" s="341">
        <f>+IFERROR(K$7*'Acquisition BS adjustments'!$C195,0)+IFERROR(K$8*'Acquisition BS adjustments'!$E195,0)+IFERROR(K$9*('Acquisition BS adjustments'!$D$195),0)</f>
        <v>0</v>
      </c>
      <c r="L66" s="341">
        <f>+IFERROR(L$7*'Acquisition BS adjustments'!$C195,0)+IFERROR(L$8*'Acquisition BS adjustments'!$E195,0)+IFERROR(L$9*('Acquisition BS adjustments'!$D$195),0)</f>
        <v>0</v>
      </c>
      <c r="M66" s="341">
        <f>+IFERROR(M$7*'Acquisition BS adjustments'!$C195,0)+IFERROR(M$8*'Acquisition BS adjustments'!$E195,0)+IFERROR(M$9*('Acquisition BS adjustments'!$D$195),0)</f>
        <v>0</v>
      </c>
      <c r="N66" s="341">
        <f>+IFERROR(N$7*'Acquisition BS adjustments'!$C195,0)+IFERROR(N$8*'Acquisition BS adjustments'!$E195,0)+IFERROR(N$9*('Acquisition BS adjustments'!$D$195),0)</f>
        <v>0</v>
      </c>
      <c r="O66" s="341">
        <f>+IFERROR(O$7*'Acquisition BS adjustments'!$C195,0)+IFERROR(O$8*'Acquisition BS adjustments'!$E195,0)+IFERROR(O$9*('Acquisition BS adjustments'!$D$195),0)</f>
        <v>0</v>
      </c>
      <c r="P66" s="341">
        <f>+IFERROR(P$7*'Acquisition BS adjustments'!$C195,0)+IFERROR(P$8*'Acquisition BS adjustments'!$E195,0)+IFERROR(P$9*('Acquisition BS adjustments'!$D$195),0)</f>
        <v>0</v>
      </c>
      <c r="Q66" s="341">
        <f>+IFERROR(Q$7*'Acquisition BS adjustments'!$C195,0)+IFERROR(Q$8*'Acquisition BS adjustments'!$E195,0)+IFERROR(Q$9*('Acquisition BS adjustments'!$D$195),0)</f>
        <v>0</v>
      </c>
      <c r="R66" s="341">
        <f>+IFERROR(R$7*'Acquisition BS adjustments'!$C195,0)+IFERROR(R$8*'Acquisition BS adjustments'!$E195,0)+IFERROR(R$9*('Acquisition BS adjustments'!$D$195),0)</f>
        <v>0</v>
      </c>
      <c r="S66" s="341">
        <f>+IFERROR(S$7*'Acquisition BS adjustments'!$C195,0)+IFERROR(S$8*'Acquisition BS adjustments'!$E195,0)+IFERROR(S$9*('Acquisition BS adjustments'!$D$195),0)</f>
        <v>0</v>
      </c>
      <c r="T66" s="341">
        <f>+IFERROR(T$7*'Acquisition BS adjustments'!$C195,0)+IFERROR(T$8*'Acquisition BS adjustments'!$E195,0)+IFERROR(T$9*('Acquisition BS adjustments'!$D$195),0)</f>
        <v>0</v>
      </c>
      <c r="U66" s="341">
        <f>+IFERROR(U$7*'Acquisition BS adjustments'!$C195,0)+IFERROR(U$8*'Acquisition BS adjustments'!$E195,0)+IFERROR(U$9*('Acquisition BS adjustments'!$D$195),0)</f>
        <v>0</v>
      </c>
      <c r="V66" s="341">
        <f>+IFERROR(V$7*'Acquisition BS adjustments'!$C195,0)+IFERROR(V$8*'Acquisition BS adjustments'!$E195,0)+IFERROR(V$9*('Acquisition BS adjustments'!$D$195),0)</f>
        <v>0</v>
      </c>
      <c r="W66" s="341">
        <f>+IFERROR(W$7*'Acquisition BS adjustments'!$C195,0)+IFERROR(W$8*'Acquisition BS adjustments'!$E195,0)+IFERROR(W$9*('Acquisition BS adjustments'!$D$195),0)</f>
        <v>0</v>
      </c>
      <c r="X66" s="341">
        <f>+IFERROR(X$7*'Acquisition BS adjustments'!$C195,0)+IFERROR(X$8*'Acquisition BS adjustments'!$E195,0)+IFERROR(X$9*('Acquisition BS adjustments'!$D$195),0)</f>
        <v>0</v>
      </c>
      <c r="Y66" s="341">
        <f>+IFERROR(Y$7*'Acquisition BS adjustments'!$C195,0)+IFERROR(Y$8*'Acquisition BS adjustments'!$E195,0)+IFERROR(Y$9*('Acquisition BS adjustments'!$D$195),0)</f>
        <v>0</v>
      </c>
      <c r="Z66" s="341">
        <f>+IFERROR(Z$7*'Acquisition BS adjustments'!$C195,0)+IFERROR(Z$8*'Acquisition BS adjustments'!$E195,0)+IFERROR(Z$9*('Acquisition BS adjustments'!$D$195),0)</f>
        <v>0</v>
      </c>
      <c r="AA66" s="341">
        <f>+IFERROR(AA$7*'Acquisition BS adjustments'!$C195,0)+IFERROR(AA$8*'Acquisition BS adjustments'!$E195,0)+IFERROR(AA$9*('Acquisition BS adjustments'!$D$195),0)</f>
        <v>0</v>
      </c>
      <c r="AB66" s="341">
        <f>+IFERROR(AB$7*'Acquisition BS adjustments'!$C195,0)+IFERROR(AB$8*'Acquisition BS adjustments'!$E195,0)+IFERROR(AB$9*('Acquisition BS adjustments'!$D$195),0)</f>
        <v>0</v>
      </c>
      <c r="AC66" s="341">
        <f>+IFERROR(AC$7*'Acquisition BS adjustments'!$C195,0)+IFERROR(AC$8*'Acquisition BS adjustments'!$E195,0)+IFERROR(AC$9*('Acquisition BS adjustments'!$D$195),0)</f>
        <v>0</v>
      </c>
    </row>
    <row r="67" spans="1:29" ht="13.7" outlineLevel="1">
      <c r="A67" s="256"/>
      <c r="B67" s="256"/>
      <c r="C67" s="254"/>
      <c r="D67" s="340" t="s">
        <v>990</v>
      </c>
      <c r="E67" s="341">
        <v>0</v>
      </c>
      <c r="F67" s="341">
        <v>0</v>
      </c>
      <c r="G67" s="341">
        <v>0</v>
      </c>
      <c r="H67" s="341">
        <v>0</v>
      </c>
      <c r="I67" s="341">
        <v>0</v>
      </c>
      <c r="J67" s="341">
        <v>0</v>
      </c>
      <c r="K67" s="341">
        <v>0</v>
      </c>
      <c r="L67" s="341">
        <v>0</v>
      </c>
      <c r="M67" s="341">
        <v>0</v>
      </c>
      <c r="N67" s="341">
        <v>0</v>
      </c>
      <c r="O67" s="341">
        <v>0</v>
      </c>
      <c r="P67" s="341">
        <v>0</v>
      </c>
      <c r="Q67" s="341">
        <v>0</v>
      </c>
      <c r="R67" s="341">
        <v>0</v>
      </c>
      <c r="S67" s="341">
        <v>0</v>
      </c>
      <c r="T67" s="341">
        <v>0</v>
      </c>
      <c r="U67" s="341">
        <v>0</v>
      </c>
      <c r="V67" s="341">
        <v>0</v>
      </c>
      <c r="W67" s="341">
        <v>0</v>
      </c>
      <c r="X67" s="341">
        <v>0</v>
      </c>
      <c r="Y67" s="341">
        <v>0</v>
      </c>
      <c r="Z67" s="341">
        <v>0</v>
      </c>
      <c r="AA67" s="341">
        <v>0</v>
      </c>
      <c r="AB67" s="341">
        <v>0</v>
      </c>
      <c r="AC67" s="341">
        <v>0</v>
      </c>
    </row>
    <row r="68" spans="1:29" ht="13.7">
      <c r="C68" s="254" t="s">
        <v>222</v>
      </c>
      <c r="D68" s="255"/>
      <c r="E68" s="255">
        <f>SUM(E69:E70)</f>
        <v>0</v>
      </c>
      <c r="F68" s="255">
        <f t="shared" ref="F68:P68" si="64">SUM(F69:F70)</f>
        <v>0</v>
      </c>
      <c r="G68" s="255">
        <f t="shared" si="64"/>
        <v>0</v>
      </c>
      <c r="H68" s="255">
        <f t="shared" si="64"/>
        <v>0</v>
      </c>
      <c r="I68" s="255">
        <f t="shared" si="64"/>
        <v>0</v>
      </c>
      <c r="J68" s="255">
        <f t="shared" si="64"/>
        <v>0</v>
      </c>
      <c r="K68" s="255">
        <f t="shared" si="64"/>
        <v>0</v>
      </c>
      <c r="L68" s="255">
        <f t="shared" si="64"/>
        <v>0</v>
      </c>
      <c r="M68" s="255">
        <f t="shared" si="64"/>
        <v>0</v>
      </c>
      <c r="N68" s="255">
        <f t="shared" si="64"/>
        <v>0</v>
      </c>
      <c r="O68" s="255">
        <f t="shared" si="64"/>
        <v>0</v>
      </c>
      <c r="P68" s="255">
        <f t="shared" si="64"/>
        <v>0</v>
      </c>
      <c r="Q68" s="255">
        <f t="shared" ref="Q68:AC68" si="65">SUM(Q69:Q70)</f>
        <v>0</v>
      </c>
      <c r="R68" s="255">
        <f t="shared" si="65"/>
        <v>0</v>
      </c>
      <c r="S68" s="255">
        <f t="shared" si="65"/>
        <v>0</v>
      </c>
      <c r="T68" s="255">
        <f t="shared" si="65"/>
        <v>0</v>
      </c>
      <c r="U68" s="255">
        <f t="shared" si="65"/>
        <v>0</v>
      </c>
      <c r="V68" s="255">
        <f t="shared" si="65"/>
        <v>0</v>
      </c>
      <c r="W68" s="255">
        <f t="shared" si="65"/>
        <v>0</v>
      </c>
      <c r="X68" s="255">
        <f t="shared" si="65"/>
        <v>0</v>
      </c>
      <c r="Y68" s="255">
        <f t="shared" si="65"/>
        <v>0</v>
      </c>
      <c r="Z68" s="255">
        <f t="shared" si="65"/>
        <v>0</v>
      </c>
      <c r="AA68" s="255">
        <f t="shared" si="65"/>
        <v>0</v>
      </c>
      <c r="AB68" s="255">
        <f t="shared" si="65"/>
        <v>0</v>
      </c>
      <c r="AC68" s="255">
        <f t="shared" si="65"/>
        <v>0</v>
      </c>
    </row>
    <row r="69" spans="1:29" ht="13.7" outlineLevel="1">
      <c r="C69" s="254"/>
      <c r="D69" s="340" t="s">
        <v>1094</v>
      </c>
      <c r="E69" s="341">
        <f>IFERROR(E$6*'Historical Holdco'!D53,0)</f>
        <v>0</v>
      </c>
      <c r="F69" s="341">
        <f>IFERROR(F$6*'Historical Holdco'!E53,0)</f>
        <v>0</v>
      </c>
      <c r="G69" s="341">
        <f>IFERROR(G$6*'Historical Holdco'!F53,0)</f>
        <v>0</v>
      </c>
      <c r="H69" s="341">
        <f>IFERROR(H$6*'Historical Holdco'!G53,0)</f>
        <v>0</v>
      </c>
      <c r="I69" s="341">
        <f>IFERROR(I$6*'Historical Holdco'!H53,0)</f>
        <v>0</v>
      </c>
      <c r="J69" s="341">
        <f>IFERROR(J$6*'Historical Holdco'!I53,0)</f>
        <v>0</v>
      </c>
      <c r="K69" s="341">
        <f>IFERROR(K$6*'Historical Holdco'!J53,0)</f>
        <v>0</v>
      </c>
      <c r="L69" s="341">
        <f>IFERROR(L$6*'Historical Holdco'!K53,0)</f>
        <v>0</v>
      </c>
      <c r="M69" s="341">
        <f>IFERROR(M$6*'Historical Holdco'!L53,0)</f>
        <v>0</v>
      </c>
      <c r="N69" s="341">
        <f>IFERROR(N$6*'Historical Holdco'!M53,0)</f>
        <v>0</v>
      </c>
      <c r="O69" s="341">
        <f>IFERROR(O$6*'Historical Holdco'!N53,0)</f>
        <v>0</v>
      </c>
      <c r="P69" s="341">
        <f>IFERROR(P$6*'Historical Holdco'!O53,0)</f>
        <v>0</v>
      </c>
      <c r="Q69" s="341">
        <f>IFERROR(Q$6*'Historical Holdco'!P53,0)</f>
        <v>0</v>
      </c>
      <c r="R69" s="341">
        <f>IFERROR(R$6*'Historical Holdco'!Q53,0)</f>
        <v>0</v>
      </c>
      <c r="S69" s="341">
        <f>IFERROR(S$6*'Historical Holdco'!R53,0)</f>
        <v>0</v>
      </c>
      <c r="T69" s="341">
        <f>IFERROR(T$6*'Historical Holdco'!S53,0)</f>
        <v>0</v>
      </c>
      <c r="U69" s="341">
        <f>IFERROR(U$6*'Historical Holdco'!T53,0)</f>
        <v>0</v>
      </c>
      <c r="V69" s="341">
        <f>IFERROR(V$6*'Historical Holdco'!U53,0)</f>
        <v>0</v>
      </c>
      <c r="W69" s="341">
        <f>IFERROR(W$6*'Historical Holdco'!V53,0)</f>
        <v>0</v>
      </c>
      <c r="X69" s="341">
        <f>IFERROR(X$6*'Historical Holdco'!W53,0)</f>
        <v>0</v>
      </c>
      <c r="Y69" s="341">
        <f>IFERROR(Y$6*'Historical Holdco'!X53,0)</f>
        <v>0</v>
      </c>
      <c r="Z69" s="341">
        <f>IFERROR(Z$6*'Historical Holdco'!Y53,0)</f>
        <v>0</v>
      </c>
      <c r="AA69" s="341">
        <f>IFERROR(AA$6*'Historical Holdco'!Z53,0)</f>
        <v>0</v>
      </c>
      <c r="AB69" s="341">
        <f>IFERROR(AB$6*'Historical Holdco'!AA53,0)</f>
        <v>0</v>
      </c>
      <c r="AC69" s="341">
        <f>IFERROR(AC$6*'Historical Holdco'!AB53,0)</f>
        <v>0</v>
      </c>
    </row>
    <row r="70" spans="1:29" ht="13.7" outlineLevel="1">
      <c r="C70" s="254"/>
      <c r="D70" s="340" t="s">
        <v>1095</v>
      </c>
      <c r="E70" s="341">
        <f>+IFERROR(E$7*'Acquisition BS adjustments'!$C196,0)+IFERROR(E$8*'Acquisition BS adjustments'!$E196,0)</f>
        <v>0</v>
      </c>
      <c r="F70" s="341">
        <f>+IFERROR(F$7*'Acquisition BS adjustments'!$C196,0)+IFERROR(F$8*'Acquisition BS adjustments'!$E196,0)</f>
        <v>0</v>
      </c>
      <c r="G70" s="341">
        <f>+IFERROR(G$7*'Acquisition BS adjustments'!$C196,0)+IFERROR(G$8*'Acquisition BS adjustments'!$E196,0)</f>
        <v>0</v>
      </c>
      <c r="H70" s="341">
        <f>+IFERROR(H$7*'Acquisition BS adjustments'!$C196,0)+IFERROR(H$8*'Acquisition BS adjustments'!$E196,0)</f>
        <v>0</v>
      </c>
      <c r="I70" s="341">
        <f>+IFERROR(I$7*'Acquisition BS adjustments'!$C196,0)+IFERROR(I$8*'Acquisition BS adjustments'!$E196,0)</f>
        <v>0</v>
      </c>
      <c r="J70" s="341">
        <f>+IFERROR(J$7*'Acquisition BS adjustments'!$C196,0)+IFERROR(J$8*'Acquisition BS adjustments'!$E196,0)</f>
        <v>0</v>
      </c>
      <c r="K70" s="341">
        <f>+IFERROR(K$7*'Acquisition BS adjustments'!$C196,0)+IFERROR(K$8*'Acquisition BS adjustments'!$E196,0)</f>
        <v>0</v>
      </c>
      <c r="L70" s="341">
        <f>+IFERROR(L$7*'Acquisition BS adjustments'!$C196,0)+IFERROR(L$8*'Acquisition BS adjustments'!$E196,0)</f>
        <v>0</v>
      </c>
      <c r="M70" s="341">
        <f>+IFERROR(M$7*'Acquisition BS adjustments'!$C196,0)+IFERROR(M$8*'Acquisition BS adjustments'!$E196,0)</f>
        <v>0</v>
      </c>
      <c r="N70" s="341">
        <f>+IFERROR(N$7*'Acquisition BS adjustments'!$C196,0)+IFERROR(N$8*'Acquisition BS adjustments'!$E196,0)</f>
        <v>0</v>
      </c>
      <c r="O70" s="341">
        <f>+IFERROR(O$7*'Acquisition BS adjustments'!$C196,0)+IFERROR(O$8*'Acquisition BS adjustments'!$E196,0)</f>
        <v>0</v>
      </c>
      <c r="P70" s="341">
        <f>+IFERROR(P$7*'Acquisition BS adjustments'!$C196,0)+IFERROR(P$8*'Acquisition BS adjustments'!$E196,0)</f>
        <v>0</v>
      </c>
      <c r="Q70" s="341">
        <f>+IFERROR(Q$7*'Acquisition BS adjustments'!$C196,0)+IFERROR(Q$8*'Acquisition BS adjustments'!$E196,0)</f>
        <v>0</v>
      </c>
      <c r="R70" s="341">
        <f>+IFERROR(R$7*'Acquisition BS adjustments'!$C196,0)+IFERROR(R$8*'Acquisition BS adjustments'!$E196,0)</f>
        <v>0</v>
      </c>
      <c r="S70" s="341">
        <f>+IFERROR(S$7*'Acquisition BS adjustments'!$C196,0)+IFERROR(S$8*'Acquisition BS adjustments'!$E196,0)</f>
        <v>0</v>
      </c>
      <c r="T70" s="341">
        <f>+IFERROR(T$7*'Acquisition BS adjustments'!$C196,0)+IFERROR(T$8*'Acquisition BS adjustments'!$E196,0)</f>
        <v>0</v>
      </c>
      <c r="U70" s="341">
        <f>+IFERROR(U$7*'Acquisition BS adjustments'!$C196,0)+IFERROR(U$8*'Acquisition BS adjustments'!$E196,0)</f>
        <v>0</v>
      </c>
      <c r="V70" s="341">
        <f>+IFERROR(V$7*'Acquisition BS adjustments'!$C196,0)+IFERROR(V$8*'Acquisition BS adjustments'!$E196,0)</f>
        <v>0</v>
      </c>
      <c r="W70" s="341">
        <f>+IFERROR(W$7*'Acquisition BS adjustments'!$C196,0)+IFERROR(W$8*'Acquisition BS adjustments'!$E196,0)</f>
        <v>0</v>
      </c>
      <c r="X70" s="341">
        <f>+IFERROR(X$7*'Acquisition BS adjustments'!$C196,0)+IFERROR(X$8*'Acquisition BS adjustments'!$E196,0)</f>
        <v>0</v>
      </c>
      <c r="Y70" s="341">
        <f>+IFERROR(Y$7*'Acquisition BS adjustments'!$C196,0)+IFERROR(Y$8*'Acquisition BS adjustments'!$E196,0)</f>
        <v>0</v>
      </c>
      <c r="Z70" s="341">
        <f>+IFERROR(Z$7*'Acquisition BS adjustments'!$C196,0)+IFERROR(Z$8*'Acquisition BS adjustments'!$E196,0)</f>
        <v>0</v>
      </c>
      <c r="AA70" s="341">
        <f>+IFERROR(AA$7*'Acquisition BS adjustments'!$C196,0)+IFERROR(AA$8*'Acquisition BS adjustments'!$E196,0)</f>
        <v>0</v>
      </c>
      <c r="AB70" s="341">
        <f>+IFERROR(AB$7*'Acquisition BS adjustments'!$C196,0)+IFERROR(AB$8*'Acquisition BS adjustments'!$E196,0)</f>
        <v>0</v>
      </c>
      <c r="AC70" s="341">
        <f>+IFERROR(AC$7*'Acquisition BS adjustments'!$C196,0)+IFERROR(AC$8*'Acquisition BS adjustments'!$E196,0)</f>
        <v>0</v>
      </c>
    </row>
    <row r="71" spans="1:29" ht="13.7">
      <c r="C71" s="48"/>
    </row>
    <row r="72" spans="1:29" ht="13.7">
      <c r="C72" s="195" t="s">
        <v>10</v>
      </c>
      <c r="D72" s="195"/>
      <c r="E72" s="195">
        <f>E23+E50</f>
        <v>0</v>
      </c>
      <c r="F72" s="195">
        <f t="shared" ref="F72:P72" ca="1" si="66">F23+F50</f>
        <v>0</v>
      </c>
      <c r="G72" s="195">
        <f t="shared" ca="1" si="66"/>
        <v>0</v>
      </c>
      <c r="H72" s="195">
        <f t="shared" ca="1" si="66"/>
        <v>0</v>
      </c>
      <c r="I72" s="195">
        <f t="shared" ca="1" si="66"/>
        <v>0</v>
      </c>
      <c r="J72" s="195">
        <f t="shared" ca="1" si="66"/>
        <v>372544000</v>
      </c>
      <c r="K72" s="195">
        <f t="shared" ca="1" si="66"/>
        <v>372544000</v>
      </c>
      <c r="L72" s="195">
        <f t="shared" ca="1" si="66"/>
        <v>372544000</v>
      </c>
      <c r="M72" s="195">
        <f t="shared" ca="1" si="66"/>
        <v>372544000</v>
      </c>
      <c r="N72" s="195">
        <f t="shared" ca="1" si="66"/>
        <v>372544000</v>
      </c>
      <c r="O72" s="195">
        <f t="shared" ca="1" si="66"/>
        <v>372544000</v>
      </c>
      <c r="P72" s="195">
        <f t="shared" ca="1" si="66"/>
        <v>372544000</v>
      </c>
      <c r="Q72" s="195">
        <f t="shared" ref="Q72:AC72" ca="1" si="67">Q23+Q50</f>
        <v>0</v>
      </c>
      <c r="R72" s="195">
        <f t="shared" ca="1" si="67"/>
        <v>0</v>
      </c>
      <c r="S72" s="195">
        <f t="shared" ca="1" si="67"/>
        <v>0</v>
      </c>
      <c r="T72" s="195">
        <f t="shared" ca="1" si="67"/>
        <v>0</v>
      </c>
      <c r="U72" s="195">
        <f t="shared" ca="1" si="67"/>
        <v>0</v>
      </c>
      <c r="V72" s="195">
        <f t="shared" ca="1" si="67"/>
        <v>0</v>
      </c>
      <c r="W72" s="195">
        <f t="shared" ca="1" si="67"/>
        <v>0</v>
      </c>
      <c r="X72" s="195">
        <f t="shared" ca="1" si="67"/>
        <v>0</v>
      </c>
      <c r="Y72" s="195">
        <f t="shared" ca="1" si="67"/>
        <v>0</v>
      </c>
      <c r="Z72" s="195">
        <f t="shared" ca="1" si="67"/>
        <v>0</v>
      </c>
      <c r="AA72" s="195">
        <f t="shared" ca="1" si="67"/>
        <v>0</v>
      </c>
      <c r="AB72" s="195">
        <f t="shared" ca="1" si="67"/>
        <v>0</v>
      </c>
      <c r="AC72" s="195">
        <f t="shared" ca="1" si="67"/>
        <v>0</v>
      </c>
    </row>
    <row r="74" spans="1:29" ht="13.7">
      <c r="A74" s="256"/>
      <c r="B74" s="256"/>
      <c r="C74" s="181" t="s">
        <v>11</v>
      </c>
      <c r="D74" s="180"/>
      <c r="E74" s="180">
        <f>+E75+E78+E82+E85+E88+E91+E95+E99+E103</f>
        <v>0</v>
      </c>
      <c r="F74" s="180">
        <f t="shared" ref="F74:P74" si="68">+F75+F78+F82+F85+F88+F91+F95+F99+F103</f>
        <v>0</v>
      </c>
      <c r="G74" s="180">
        <f t="shared" si="68"/>
        <v>0</v>
      </c>
      <c r="H74" s="180">
        <f t="shared" si="68"/>
        <v>0</v>
      </c>
      <c r="I74" s="180">
        <f t="shared" si="68"/>
        <v>0</v>
      </c>
      <c r="J74" s="180">
        <f t="shared" si="68"/>
        <v>0</v>
      </c>
      <c r="K74" s="180">
        <f t="shared" ca="1" si="68"/>
        <v>0</v>
      </c>
      <c r="L74" s="180">
        <f t="shared" ca="1" si="68"/>
        <v>0</v>
      </c>
      <c r="M74" s="180">
        <f t="shared" ca="1" si="68"/>
        <v>0</v>
      </c>
      <c r="N74" s="180">
        <f t="shared" ca="1" si="68"/>
        <v>0</v>
      </c>
      <c r="O74" s="180">
        <f t="shared" ca="1" si="68"/>
        <v>0</v>
      </c>
      <c r="P74" s="180">
        <f t="shared" ca="1" si="68"/>
        <v>0</v>
      </c>
      <c r="Q74" s="180">
        <f t="shared" ref="Q74:AC74" si="69">+Q75+Q78+Q82+Q85+Q88+Q91+Q95+Q99+Q103</f>
        <v>0</v>
      </c>
      <c r="R74" s="180">
        <f t="shared" si="69"/>
        <v>0</v>
      </c>
      <c r="S74" s="180">
        <f t="shared" si="69"/>
        <v>0</v>
      </c>
      <c r="T74" s="180">
        <f t="shared" si="69"/>
        <v>0</v>
      </c>
      <c r="U74" s="180">
        <f t="shared" si="69"/>
        <v>0</v>
      </c>
      <c r="V74" s="180">
        <f t="shared" si="69"/>
        <v>0</v>
      </c>
      <c r="W74" s="180">
        <f t="shared" si="69"/>
        <v>0</v>
      </c>
      <c r="X74" s="180">
        <f t="shared" si="69"/>
        <v>0</v>
      </c>
      <c r="Y74" s="180">
        <f t="shared" si="69"/>
        <v>0</v>
      </c>
      <c r="Z74" s="180">
        <f t="shared" si="69"/>
        <v>0</v>
      </c>
      <c r="AA74" s="180">
        <f t="shared" si="69"/>
        <v>0</v>
      </c>
      <c r="AB74" s="180">
        <f t="shared" si="69"/>
        <v>0</v>
      </c>
      <c r="AC74" s="180">
        <f t="shared" si="69"/>
        <v>0</v>
      </c>
    </row>
    <row r="75" spans="1:29" ht="13.7">
      <c r="A75" s="256"/>
      <c r="B75" s="256"/>
      <c r="C75" s="342" t="s">
        <v>1467</v>
      </c>
      <c r="D75" s="180"/>
      <c r="E75" s="376">
        <f>SUM(E76:E77)</f>
        <v>0</v>
      </c>
      <c r="F75" s="376">
        <f t="shared" ref="F75:P75" si="70">SUM(F76:F77)</f>
        <v>0</v>
      </c>
      <c r="G75" s="376">
        <f t="shared" si="70"/>
        <v>0</v>
      </c>
      <c r="H75" s="376">
        <f t="shared" si="70"/>
        <v>0</v>
      </c>
      <c r="I75" s="376">
        <f t="shared" si="70"/>
        <v>0</v>
      </c>
      <c r="J75" s="376">
        <f t="shared" si="70"/>
        <v>0</v>
      </c>
      <c r="K75" s="376">
        <f t="shared" si="70"/>
        <v>0</v>
      </c>
      <c r="L75" s="376">
        <f t="shared" si="70"/>
        <v>0</v>
      </c>
      <c r="M75" s="376">
        <f t="shared" si="70"/>
        <v>0</v>
      </c>
      <c r="N75" s="376">
        <f t="shared" si="70"/>
        <v>0</v>
      </c>
      <c r="O75" s="376">
        <f t="shared" si="70"/>
        <v>0</v>
      </c>
      <c r="P75" s="376">
        <f t="shared" si="70"/>
        <v>0</v>
      </c>
      <c r="Q75" s="376">
        <f t="shared" ref="Q75:AC75" si="71">SUM(Q76:Q77)</f>
        <v>0</v>
      </c>
      <c r="R75" s="376">
        <f t="shared" si="71"/>
        <v>0</v>
      </c>
      <c r="S75" s="376">
        <f t="shared" si="71"/>
        <v>0</v>
      </c>
      <c r="T75" s="376">
        <f t="shared" si="71"/>
        <v>0</v>
      </c>
      <c r="U75" s="376">
        <f t="shared" si="71"/>
        <v>0</v>
      </c>
      <c r="V75" s="376">
        <f t="shared" si="71"/>
        <v>0</v>
      </c>
      <c r="W75" s="376">
        <f t="shared" si="71"/>
        <v>0</v>
      </c>
      <c r="X75" s="376">
        <f t="shared" si="71"/>
        <v>0</v>
      </c>
      <c r="Y75" s="376">
        <f t="shared" si="71"/>
        <v>0</v>
      </c>
      <c r="Z75" s="376">
        <f t="shared" si="71"/>
        <v>0</v>
      </c>
      <c r="AA75" s="376">
        <f t="shared" si="71"/>
        <v>0</v>
      </c>
      <c r="AB75" s="376">
        <f t="shared" si="71"/>
        <v>0</v>
      </c>
      <c r="AC75" s="376">
        <f t="shared" si="71"/>
        <v>0</v>
      </c>
    </row>
    <row r="76" spans="1:29" ht="13.7" outlineLevel="1">
      <c r="A76" s="256"/>
      <c r="B76" s="256"/>
      <c r="C76" s="254"/>
      <c r="D76" s="340" t="s">
        <v>1095</v>
      </c>
      <c r="E76" s="341">
        <f>+IFERROR(E$7*'Acquisition BS adjustments'!$C208,0)+IFERROR(E$8*'Acquisition BS adjustments'!$E208,0)</f>
        <v>0</v>
      </c>
      <c r="F76" s="341">
        <f>+IFERROR(F$7*'Acquisition BS adjustments'!$C208,0)+IFERROR(F$8*'Acquisition BS adjustments'!$E208,0)</f>
        <v>0</v>
      </c>
      <c r="G76" s="341">
        <f>+IFERROR(G$7*'Acquisition BS adjustments'!$C208,0)+IFERROR(G$8*'Acquisition BS adjustments'!$E208,0)</f>
        <v>0</v>
      </c>
      <c r="H76" s="341">
        <f>+IFERROR(H$7*'Acquisition BS adjustments'!$C208,0)+IFERROR(H$8*'Acquisition BS adjustments'!$E208,0)</f>
        <v>0</v>
      </c>
      <c r="I76" s="341">
        <f>+IFERROR(I$7*'Acquisition BS adjustments'!$C208,0)+IFERROR(I$8*'Acquisition BS adjustments'!$E208,0)</f>
        <v>0</v>
      </c>
      <c r="J76" s="341">
        <f>+IFERROR(J$7*'Acquisition BS adjustments'!$C208,0)+IFERROR(J$8*'Acquisition BS adjustments'!$E208,0)</f>
        <v>0</v>
      </c>
      <c r="K76" s="341">
        <f>+IFERROR(K$7*'Acquisition BS adjustments'!$C208,0)+IFERROR(K$8*'Acquisition BS adjustments'!$E208,0)</f>
        <v>0</v>
      </c>
      <c r="L76" s="341">
        <f>+IFERROR(L$7*'Acquisition BS adjustments'!$C208,0)+IFERROR(L$8*'Acquisition BS adjustments'!$E208,0)</f>
        <v>0</v>
      </c>
      <c r="M76" s="341">
        <f>+IFERROR(M$7*'Acquisition BS adjustments'!$C208,0)+IFERROR(M$8*'Acquisition BS adjustments'!$E208,0)</f>
        <v>0</v>
      </c>
      <c r="N76" s="341">
        <f>+IFERROR(N$7*'Acquisition BS adjustments'!$C208,0)+IFERROR(N$8*'Acquisition BS adjustments'!$E208,0)</f>
        <v>0</v>
      </c>
      <c r="O76" s="341">
        <f>+IFERROR(O$7*'Acquisition BS adjustments'!$C208,0)+IFERROR(O$8*'Acquisition BS adjustments'!$E208,0)</f>
        <v>0</v>
      </c>
      <c r="P76" s="341">
        <f>+IFERROR(P$7*'Acquisition BS adjustments'!$C208,0)+IFERROR(P$8*'Acquisition BS adjustments'!$E208,0)</f>
        <v>0</v>
      </c>
      <c r="Q76" s="341">
        <f>+IFERROR(Q$7*'Acquisition BS adjustments'!$C208,0)+IFERROR(Q$8*'Acquisition BS adjustments'!$E208,0)</f>
        <v>0</v>
      </c>
      <c r="R76" s="341">
        <f>+IFERROR(R$7*'Acquisition BS adjustments'!$C208,0)+IFERROR(R$8*'Acquisition BS adjustments'!$E208,0)</f>
        <v>0</v>
      </c>
      <c r="S76" s="341">
        <f>+IFERROR(S$7*'Acquisition BS adjustments'!$C208,0)+IFERROR(S$8*'Acquisition BS adjustments'!$E208,0)</f>
        <v>0</v>
      </c>
      <c r="T76" s="341">
        <f>+IFERROR(T$7*'Acquisition BS adjustments'!$C208,0)+IFERROR(T$8*'Acquisition BS adjustments'!$E208,0)</f>
        <v>0</v>
      </c>
      <c r="U76" s="341">
        <f>+IFERROR(U$7*'Acquisition BS adjustments'!$C208,0)+IFERROR(U$8*'Acquisition BS adjustments'!$E208,0)</f>
        <v>0</v>
      </c>
      <c r="V76" s="341">
        <f>+IFERROR(V$7*'Acquisition BS adjustments'!$C208,0)+IFERROR(V$8*'Acquisition BS adjustments'!$E208,0)</f>
        <v>0</v>
      </c>
      <c r="W76" s="341">
        <f>+IFERROR(W$7*'Acquisition BS adjustments'!$C208,0)+IFERROR(W$8*'Acquisition BS adjustments'!$E208,0)</f>
        <v>0</v>
      </c>
      <c r="X76" s="341">
        <f>+IFERROR(X$7*'Acquisition BS adjustments'!$C208,0)+IFERROR(X$8*'Acquisition BS adjustments'!$E208,0)</f>
        <v>0</v>
      </c>
      <c r="Y76" s="341">
        <f>+IFERROR(Y$7*'Acquisition BS adjustments'!$C208,0)+IFERROR(Y$8*'Acquisition BS adjustments'!$E208,0)</f>
        <v>0</v>
      </c>
      <c r="Z76" s="341">
        <f>+IFERROR(Z$7*'Acquisition BS adjustments'!$C208,0)+IFERROR(Z$8*'Acquisition BS adjustments'!$E208,0)</f>
        <v>0</v>
      </c>
      <c r="AA76" s="341">
        <f>+IFERROR(AA$7*'Acquisition BS adjustments'!$C208,0)+IFERROR(AA$8*'Acquisition BS adjustments'!$E208,0)</f>
        <v>0</v>
      </c>
      <c r="AB76" s="341">
        <f>+IFERROR(AB$7*'Acquisition BS adjustments'!$C208,0)+IFERROR(AB$8*'Acquisition BS adjustments'!$E208,0)</f>
        <v>0</v>
      </c>
      <c r="AC76" s="341">
        <f>+IFERROR(AC$7*'Acquisition BS adjustments'!$C208,0)+IFERROR(AC$8*'Acquisition BS adjustments'!$E208,0)</f>
        <v>0</v>
      </c>
    </row>
    <row r="77" spans="1:29" ht="13.7" outlineLevel="1">
      <c r="A77" s="256"/>
      <c r="B77" s="256"/>
      <c r="C77" s="254"/>
      <c r="D77" s="340" t="s">
        <v>1096</v>
      </c>
      <c r="E77" s="340">
        <f>+IFERROR(E9*INDEX('Financial Quarterly Holdco'!86:86,MATCH('BS Holdco'!E$5,'Financial Quarterly Holdco'!4:4,0)),0)</f>
        <v>0</v>
      </c>
      <c r="F77" s="340">
        <f>+IFERROR(F9*INDEX('Financial Quarterly Holdco'!86:86,MATCH('BS Holdco'!F$5,'Financial Quarterly Holdco'!4:4,0)),0)</f>
        <v>0</v>
      </c>
      <c r="G77" s="340">
        <f>+IFERROR(G9*INDEX('Financial Quarterly Holdco'!86:86,MATCH('BS Holdco'!G$5,'Financial Quarterly Holdco'!4:4,0)),0)</f>
        <v>0</v>
      </c>
      <c r="H77" s="340">
        <f>+IFERROR(H9*INDEX('Financial Quarterly Holdco'!86:86,MATCH('BS Holdco'!H$5,'Financial Quarterly Holdco'!4:4,0)),0)</f>
        <v>0</v>
      </c>
      <c r="I77" s="340">
        <f>+IFERROR(I9*INDEX('Financial Quarterly Holdco'!86:86,MATCH('BS Holdco'!I$5,'Financial Quarterly Holdco'!4:4,0)),0)</f>
        <v>0</v>
      </c>
      <c r="J77" s="340">
        <f>+IFERROR(J9*INDEX('Financial Quarterly Holdco'!86:86,MATCH('BS Holdco'!J$5,'Financial Quarterly Holdco'!4:4,0)),0)</f>
        <v>0</v>
      </c>
      <c r="K77" s="340">
        <f>+IFERROR(K9*INDEX('Financial Quarterly Holdco'!86:86,MATCH('BS Holdco'!K$5,'Financial Quarterly Holdco'!4:4,0)),0)</f>
        <v>0</v>
      </c>
      <c r="L77" s="340">
        <f>+IFERROR(L9*INDEX('Financial Quarterly Holdco'!86:86,MATCH('BS Holdco'!L$5,'Financial Quarterly Holdco'!4:4,0)),0)</f>
        <v>0</v>
      </c>
      <c r="M77" s="340">
        <f>+IFERROR(M9*INDEX('Financial Quarterly Holdco'!86:86,MATCH('BS Holdco'!M$5,'Financial Quarterly Holdco'!4:4,0)),0)</f>
        <v>0</v>
      </c>
      <c r="N77" s="340">
        <f>+IFERROR(N9*INDEX('Financial Quarterly Holdco'!86:86,MATCH('BS Holdco'!N$5,'Financial Quarterly Holdco'!4:4,0)),0)</f>
        <v>0</v>
      </c>
      <c r="O77" s="340">
        <f>+IFERROR(O9*INDEX('Financial Quarterly Holdco'!86:86,MATCH('BS Holdco'!O$5,'Financial Quarterly Holdco'!4:4,0)),0)</f>
        <v>0</v>
      </c>
      <c r="P77" s="340">
        <f>+IFERROR(P9*INDEX('Financial Quarterly Holdco'!86:86,MATCH('BS Holdco'!P$5,'Financial Quarterly Holdco'!4:4,0)),0)</f>
        <v>0</v>
      </c>
      <c r="Q77" s="340">
        <f>+IFERROR(Q9*INDEX('Financial Quarterly Holdco'!86:86,MATCH('BS Holdco'!Q$5,'Financial Quarterly Holdco'!4:4,0)),0)</f>
        <v>0</v>
      </c>
      <c r="R77" s="340">
        <f>+IFERROR(R9*INDEX('Financial Quarterly Holdco'!86:86,MATCH('BS Holdco'!R$5,'Financial Quarterly Holdco'!4:4,0)),0)</f>
        <v>0</v>
      </c>
      <c r="S77" s="340">
        <f>+IFERROR(S9*INDEX('Financial Quarterly Holdco'!86:86,MATCH('BS Holdco'!S$5,'Financial Quarterly Holdco'!4:4,0)),0)</f>
        <v>0</v>
      </c>
      <c r="T77" s="340">
        <f>+IFERROR(T9*INDEX('Financial Quarterly Holdco'!86:86,MATCH('BS Holdco'!T$5,'Financial Quarterly Holdco'!4:4,0)),0)</f>
        <v>0</v>
      </c>
      <c r="U77" s="340">
        <f>+IFERROR(U9*INDEX('Financial Quarterly Holdco'!86:86,MATCH('BS Holdco'!U$5,'Financial Quarterly Holdco'!4:4,0)),0)</f>
        <v>0</v>
      </c>
      <c r="V77" s="340">
        <f>+IFERROR(V9*INDEX('Financial Quarterly Holdco'!86:86,MATCH('BS Holdco'!V$5,'Financial Quarterly Holdco'!4:4,0)),0)</f>
        <v>0</v>
      </c>
      <c r="W77" s="340">
        <f>+IFERROR(W9*INDEX('Financial Quarterly Holdco'!86:86,MATCH('BS Holdco'!W$5,'Financial Quarterly Holdco'!4:4,0)),0)</f>
        <v>0</v>
      </c>
      <c r="X77" s="340">
        <f>+IFERROR(X9*INDEX('Financial Quarterly Holdco'!86:86,MATCH('BS Holdco'!X$5,'Financial Quarterly Holdco'!4:4,0)),0)</f>
        <v>0</v>
      </c>
      <c r="Y77" s="340">
        <f>+IFERROR(Y9*INDEX('Financial Quarterly Holdco'!86:86,MATCH('BS Holdco'!Y$5,'Financial Quarterly Holdco'!4:4,0)),0)</f>
        <v>0</v>
      </c>
      <c r="Z77" s="340">
        <f>+IFERROR(Z9*INDEX('Financial Quarterly Holdco'!86:86,MATCH('BS Holdco'!Z$5,'Financial Quarterly Holdco'!4:4,0)),0)</f>
        <v>0</v>
      </c>
      <c r="AA77" s="340">
        <f>+IFERROR(AA9*INDEX('Financial Quarterly Holdco'!86:86,MATCH('BS Holdco'!AA$5,'Financial Quarterly Holdco'!4:4,0)),0)</f>
        <v>0</v>
      </c>
      <c r="AB77" s="340">
        <f>+IFERROR(AB9*INDEX('Financial Quarterly Holdco'!86:86,MATCH('BS Holdco'!AB$5,'Financial Quarterly Holdco'!4:4,0)),0)</f>
        <v>0</v>
      </c>
      <c r="AC77" s="340">
        <f>+IFERROR(AC9*INDEX('Financial Quarterly Holdco'!86:86,MATCH('BS Holdco'!AC$5,'Financial Quarterly Holdco'!4:4,0)),0)</f>
        <v>0</v>
      </c>
    </row>
    <row r="78" spans="1:29" ht="13.7">
      <c r="A78" s="256"/>
      <c r="B78" s="256"/>
      <c r="C78" s="254" t="s">
        <v>225</v>
      </c>
      <c r="D78" s="255"/>
      <c r="E78" s="255">
        <f>SUM(E79:E81)</f>
        <v>0</v>
      </c>
      <c r="F78" s="255">
        <f t="shared" ref="F78:P78" si="72">SUM(F79:F81)</f>
        <v>0</v>
      </c>
      <c r="G78" s="255">
        <f t="shared" si="72"/>
        <v>0</v>
      </c>
      <c r="H78" s="255">
        <f t="shared" si="72"/>
        <v>0</v>
      </c>
      <c r="I78" s="255">
        <f t="shared" si="72"/>
        <v>0</v>
      </c>
      <c r="J78" s="255">
        <f t="shared" si="72"/>
        <v>0</v>
      </c>
      <c r="K78" s="255">
        <f t="shared" si="72"/>
        <v>0</v>
      </c>
      <c r="L78" s="255">
        <f t="shared" si="72"/>
        <v>0</v>
      </c>
      <c r="M78" s="255">
        <f t="shared" si="72"/>
        <v>0</v>
      </c>
      <c r="N78" s="255">
        <f t="shared" si="72"/>
        <v>0</v>
      </c>
      <c r="O78" s="255">
        <f t="shared" si="72"/>
        <v>0</v>
      </c>
      <c r="P78" s="255">
        <f t="shared" si="72"/>
        <v>0</v>
      </c>
      <c r="Q78" s="255">
        <f t="shared" ref="Q78:AC78" si="73">SUM(Q79:Q81)</f>
        <v>0</v>
      </c>
      <c r="R78" s="255">
        <f t="shared" si="73"/>
        <v>0</v>
      </c>
      <c r="S78" s="255">
        <f t="shared" si="73"/>
        <v>0</v>
      </c>
      <c r="T78" s="255">
        <f t="shared" si="73"/>
        <v>0</v>
      </c>
      <c r="U78" s="255">
        <f t="shared" si="73"/>
        <v>0</v>
      </c>
      <c r="V78" s="255">
        <f t="shared" si="73"/>
        <v>0</v>
      </c>
      <c r="W78" s="255">
        <f t="shared" si="73"/>
        <v>0</v>
      </c>
      <c r="X78" s="255">
        <f t="shared" si="73"/>
        <v>0</v>
      </c>
      <c r="Y78" s="255">
        <f t="shared" si="73"/>
        <v>0</v>
      </c>
      <c r="Z78" s="255">
        <f t="shared" si="73"/>
        <v>0</v>
      </c>
      <c r="AA78" s="255">
        <f t="shared" si="73"/>
        <v>0</v>
      </c>
      <c r="AB78" s="255">
        <f t="shared" si="73"/>
        <v>0</v>
      </c>
      <c r="AC78" s="255">
        <f t="shared" si="73"/>
        <v>0</v>
      </c>
    </row>
    <row r="79" spans="1:29" ht="13.7" outlineLevel="1">
      <c r="A79" s="256"/>
      <c r="B79" s="256"/>
      <c r="C79" s="254"/>
      <c r="D79" s="340" t="s">
        <v>1094</v>
      </c>
      <c r="E79" s="341">
        <f>IFERROR(E6*'Historical Holdco'!D57,0)</f>
        <v>0</v>
      </c>
      <c r="F79" s="341">
        <f>IFERROR(F6*'Historical Holdco'!E57,0)</f>
        <v>0</v>
      </c>
      <c r="G79" s="341">
        <f>IFERROR(G6*'Historical Holdco'!F57,0)</f>
        <v>0</v>
      </c>
      <c r="H79" s="341">
        <f>IFERROR(H6*'Historical Holdco'!G57,0)</f>
        <v>0</v>
      </c>
      <c r="I79" s="341">
        <f>IFERROR(I6*'Historical Holdco'!H57,0)</f>
        <v>0</v>
      </c>
      <c r="J79" s="341">
        <f>IFERROR(J6*'Historical Holdco'!I57,0)</f>
        <v>0</v>
      </c>
      <c r="K79" s="341">
        <f>IFERROR(K6*'Historical Holdco'!J57,0)</f>
        <v>0</v>
      </c>
      <c r="L79" s="341">
        <f>IFERROR(L6*'Historical Holdco'!K57,0)</f>
        <v>0</v>
      </c>
      <c r="M79" s="341">
        <f>IFERROR(M6*'Historical Holdco'!L57,0)</f>
        <v>0</v>
      </c>
      <c r="N79" s="341">
        <f>IFERROR(N6*'Historical Holdco'!M57,0)</f>
        <v>0</v>
      </c>
      <c r="O79" s="341">
        <f>IFERROR(O6*'Historical Holdco'!N57,0)</f>
        <v>0</v>
      </c>
      <c r="P79" s="341">
        <f>IFERROR(P6*'Historical Holdco'!O57,0)</f>
        <v>0</v>
      </c>
      <c r="Q79" s="341">
        <f>IFERROR(Q6*'Historical Holdco'!P57,0)</f>
        <v>0</v>
      </c>
      <c r="R79" s="341">
        <f>IFERROR(R6*'Historical Holdco'!Q57,0)</f>
        <v>0</v>
      </c>
      <c r="S79" s="341">
        <f>IFERROR(S6*'Historical Holdco'!R57,0)</f>
        <v>0</v>
      </c>
      <c r="T79" s="341">
        <f>IFERROR(T6*'Historical Holdco'!S57,0)</f>
        <v>0</v>
      </c>
      <c r="U79" s="341">
        <f>IFERROR(U6*'Historical Holdco'!T57,0)</f>
        <v>0</v>
      </c>
      <c r="V79" s="341">
        <f>IFERROR(V6*'Historical Holdco'!U57,0)</f>
        <v>0</v>
      </c>
      <c r="W79" s="341">
        <f>IFERROR(W6*'Historical Holdco'!V57,0)</f>
        <v>0</v>
      </c>
      <c r="X79" s="341">
        <f>IFERROR(X6*'Historical Holdco'!W57,0)</f>
        <v>0</v>
      </c>
      <c r="Y79" s="341">
        <f>IFERROR(Y6*'Historical Holdco'!X57,0)</f>
        <v>0</v>
      </c>
      <c r="Z79" s="341">
        <f>IFERROR(Z6*'Historical Holdco'!Y57,0)</f>
        <v>0</v>
      </c>
      <c r="AA79" s="341">
        <f>IFERROR(AA6*'Historical Holdco'!Z57,0)</f>
        <v>0</v>
      </c>
      <c r="AB79" s="341">
        <f>IFERROR(AB6*'Historical Holdco'!AA57,0)</f>
        <v>0</v>
      </c>
      <c r="AC79" s="341">
        <f>IFERROR(AC6*'Historical Holdco'!AB57,0)</f>
        <v>0</v>
      </c>
    </row>
    <row r="80" spans="1:29" ht="13.7" outlineLevel="1">
      <c r="A80" s="256"/>
      <c r="B80" s="256"/>
      <c r="C80" s="254"/>
      <c r="D80" s="340" t="s">
        <v>1095</v>
      </c>
      <c r="E80" s="341">
        <f>+IFERROR(E$7*'Acquisition BS adjustments'!$C200,0)+IFERROR(E$8*'Acquisition BS adjustments'!$E200,0)</f>
        <v>0</v>
      </c>
      <c r="F80" s="341">
        <f>+IFERROR(F$7*'Acquisition BS adjustments'!$C200,0)+IFERROR(F$8*'Acquisition BS adjustments'!$E200,0)</f>
        <v>0</v>
      </c>
      <c r="G80" s="341">
        <f>+IFERROR(G$7*'Acquisition BS adjustments'!$C200,0)+IFERROR(G$8*'Acquisition BS adjustments'!$E200,0)</f>
        <v>0</v>
      </c>
      <c r="H80" s="341">
        <f>+IFERROR(H$7*'Acquisition BS adjustments'!$C200,0)+IFERROR(H$8*'Acquisition BS adjustments'!$E200,0)</f>
        <v>0</v>
      </c>
      <c r="I80" s="341">
        <f>+IFERROR(I$7*'Acquisition BS adjustments'!$C200,0)+IFERROR(I$8*'Acquisition BS adjustments'!$E200,0)</f>
        <v>0</v>
      </c>
      <c r="J80" s="341">
        <f>+IFERROR(J$7*'Acquisition BS adjustments'!$C200,0)+IFERROR(J$8*'Acquisition BS adjustments'!$E200,0)</f>
        <v>0</v>
      </c>
      <c r="K80" s="341">
        <f>+IFERROR(K$7*'Acquisition BS adjustments'!$C200,0)+IFERROR(K$8*'Acquisition BS adjustments'!$E200,0)</f>
        <v>0</v>
      </c>
      <c r="L80" s="341">
        <f>+IFERROR(L$7*'Acquisition BS adjustments'!$C200,0)+IFERROR(L$8*'Acquisition BS adjustments'!$E200,0)</f>
        <v>0</v>
      </c>
      <c r="M80" s="341">
        <f>+IFERROR(M$7*'Acquisition BS adjustments'!$C200,0)+IFERROR(M$8*'Acquisition BS adjustments'!$E200,0)</f>
        <v>0</v>
      </c>
      <c r="N80" s="341">
        <f>+IFERROR(N$7*'Acquisition BS adjustments'!$C200,0)+IFERROR(N$8*'Acquisition BS adjustments'!$E200,0)</f>
        <v>0</v>
      </c>
      <c r="O80" s="341">
        <f>+IFERROR(O$7*'Acquisition BS adjustments'!$C200,0)+IFERROR(O$8*'Acquisition BS adjustments'!$E200,0)</f>
        <v>0</v>
      </c>
      <c r="P80" s="341">
        <f>+IFERROR(P$7*'Acquisition BS adjustments'!$C200,0)+IFERROR(P$8*'Acquisition BS adjustments'!$E200,0)</f>
        <v>0</v>
      </c>
      <c r="Q80" s="341">
        <f>+IFERROR(Q$7*'Acquisition BS adjustments'!$C200,0)+IFERROR(Q$8*'Acquisition BS adjustments'!$E200,0)</f>
        <v>0</v>
      </c>
      <c r="R80" s="341">
        <f>+IFERROR(R$7*'Acquisition BS adjustments'!$C200,0)+IFERROR(R$8*'Acquisition BS adjustments'!$E200,0)</f>
        <v>0</v>
      </c>
      <c r="S80" s="341">
        <f>+IFERROR(S$7*'Acquisition BS adjustments'!$C200,0)+IFERROR(S$8*'Acquisition BS adjustments'!$E200,0)</f>
        <v>0</v>
      </c>
      <c r="T80" s="341">
        <f>+IFERROR(T$7*'Acquisition BS adjustments'!$C200,0)+IFERROR(T$8*'Acquisition BS adjustments'!$E200,0)</f>
        <v>0</v>
      </c>
      <c r="U80" s="341">
        <f>+IFERROR(U$7*'Acquisition BS adjustments'!$C200,0)+IFERROR(U$8*'Acquisition BS adjustments'!$E200,0)</f>
        <v>0</v>
      </c>
      <c r="V80" s="341">
        <f>+IFERROR(V$7*'Acquisition BS adjustments'!$C200,0)+IFERROR(V$8*'Acquisition BS adjustments'!$E200,0)</f>
        <v>0</v>
      </c>
      <c r="W80" s="341">
        <f>+IFERROR(W$7*'Acquisition BS adjustments'!$C200,0)+IFERROR(W$8*'Acquisition BS adjustments'!$E200,0)</f>
        <v>0</v>
      </c>
      <c r="X80" s="341">
        <f>+IFERROR(X$7*'Acquisition BS adjustments'!$C200,0)+IFERROR(X$8*'Acquisition BS adjustments'!$E200,0)</f>
        <v>0</v>
      </c>
      <c r="Y80" s="341">
        <f>+IFERROR(Y$7*'Acquisition BS adjustments'!$C200,0)+IFERROR(Y$8*'Acquisition BS adjustments'!$E200,0)</f>
        <v>0</v>
      </c>
      <c r="Z80" s="341">
        <f>+IFERROR(Z$7*'Acquisition BS adjustments'!$C200,0)+IFERROR(Z$8*'Acquisition BS adjustments'!$E200,0)</f>
        <v>0</v>
      </c>
      <c r="AA80" s="341">
        <f>+IFERROR(AA$7*'Acquisition BS adjustments'!$C200,0)+IFERROR(AA$8*'Acquisition BS adjustments'!$E200,0)</f>
        <v>0</v>
      </c>
      <c r="AB80" s="341">
        <f>+IFERROR(AB$7*'Acquisition BS adjustments'!$C200,0)+IFERROR(AB$8*'Acquisition BS adjustments'!$E200,0)</f>
        <v>0</v>
      </c>
      <c r="AC80" s="341">
        <f>+IFERROR(AC$7*'Acquisition BS adjustments'!$C200,0)+IFERROR(AC$8*'Acquisition BS adjustments'!$E200,0)</f>
        <v>0</v>
      </c>
    </row>
    <row r="81" spans="1:29" ht="13.7" outlineLevel="1">
      <c r="A81" s="256"/>
      <c r="B81" s="256"/>
      <c r="C81" s="254"/>
      <c r="D81" s="340" t="s">
        <v>990</v>
      </c>
      <c r="E81" s="341">
        <v>0</v>
      </c>
      <c r="F81" s="341">
        <v>0</v>
      </c>
      <c r="G81" s="341">
        <v>0</v>
      </c>
      <c r="H81" s="341">
        <v>0</v>
      </c>
      <c r="I81" s="341">
        <v>0</v>
      </c>
      <c r="J81" s="341">
        <v>0</v>
      </c>
      <c r="K81" s="341">
        <v>0</v>
      </c>
      <c r="L81" s="341">
        <v>0</v>
      </c>
      <c r="M81" s="341">
        <v>0</v>
      </c>
      <c r="N81" s="341">
        <v>0</v>
      </c>
      <c r="O81" s="341">
        <v>0</v>
      </c>
      <c r="P81" s="341">
        <v>0</v>
      </c>
      <c r="Q81" s="341">
        <v>0</v>
      </c>
      <c r="R81" s="341">
        <v>0</v>
      </c>
      <c r="S81" s="341">
        <v>0</v>
      </c>
      <c r="T81" s="341">
        <v>0</v>
      </c>
      <c r="U81" s="341">
        <v>0</v>
      </c>
      <c r="V81" s="341">
        <v>0</v>
      </c>
      <c r="W81" s="341">
        <v>0</v>
      </c>
      <c r="X81" s="341">
        <v>0</v>
      </c>
      <c r="Y81" s="341">
        <v>0</v>
      </c>
      <c r="Z81" s="341">
        <v>0</v>
      </c>
      <c r="AA81" s="341">
        <v>0</v>
      </c>
      <c r="AB81" s="341">
        <v>0</v>
      </c>
      <c r="AC81" s="341">
        <v>0</v>
      </c>
    </row>
    <row r="82" spans="1:29" ht="13.7">
      <c r="A82" s="256"/>
      <c r="B82" s="256"/>
      <c r="C82" s="254" t="s">
        <v>226</v>
      </c>
      <c r="D82" s="255"/>
      <c r="E82" s="255">
        <f>SUM(E83:E84)</f>
        <v>0</v>
      </c>
      <c r="F82" s="255">
        <f t="shared" ref="F82:P82" si="74">SUM(F83:F84)</f>
        <v>0</v>
      </c>
      <c r="G82" s="255">
        <f t="shared" si="74"/>
        <v>0</v>
      </c>
      <c r="H82" s="255">
        <f t="shared" si="74"/>
        <v>0</v>
      </c>
      <c r="I82" s="255">
        <f t="shared" si="74"/>
        <v>0</v>
      </c>
      <c r="J82" s="255">
        <f t="shared" si="74"/>
        <v>0</v>
      </c>
      <c r="K82" s="255">
        <f t="shared" si="74"/>
        <v>0</v>
      </c>
      <c r="L82" s="255">
        <f t="shared" si="74"/>
        <v>0</v>
      </c>
      <c r="M82" s="255">
        <f t="shared" si="74"/>
        <v>0</v>
      </c>
      <c r="N82" s="255">
        <f t="shared" si="74"/>
        <v>0</v>
      </c>
      <c r="O82" s="255">
        <f t="shared" si="74"/>
        <v>0</v>
      </c>
      <c r="P82" s="255">
        <f t="shared" si="74"/>
        <v>0</v>
      </c>
      <c r="Q82" s="255">
        <f t="shared" ref="Q82:AC82" si="75">SUM(Q83:Q84)</f>
        <v>0</v>
      </c>
      <c r="R82" s="255">
        <f t="shared" si="75"/>
        <v>0</v>
      </c>
      <c r="S82" s="255">
        <f t="shared" si="75"/>
        <v>0</v>
      </c>
      <c r="T82" s="255">
        <f t="shared" si="75"/>
        <v>0</v>
      </c>
      <c r="U82" s="255">
        <f t="shared" si="75"/>
        <v>0</v>
      </c>
      <c r="V82" s="255">
        <f t="shared" si="75"/>
        <v>0</v>
      </c>
      <c r="W82" s="255">
        <f t="shared" si="75"/>
        <v>0</v>
      </c>
      <c r="X82" s="255">
        <f t="shared" si="75"/>
        <v>0</v>
      </c>
      <c r="Y82" s="255">
        <f t="shared" si="75"/>
        <v>0</v>
      </c>
      <c r="Z82" s="255">
        <f t="shared" si="75"/>
        <v>0</v>
      </c>
      <c r="AA82" s="255">
        <f t="shared" si="75"/>
        <v>0</v>
      </c>
      <c r="AB82" s="255">
        <f t="shared" si="75"/>
        <v>0</v>
      </c>
      <c r="AC82" s="255">
        <f t="shared" si="75"/>
        <v>0</v>
      </c>
    </row>
    <row r="83" spans="1:29" ht="13.7" outlineLevel="1">
      <c r="C83" s="254"/>
      <c r="D83" s="340" t="s">
        <v>1094</v>
      </c>
      <c r="E83" s="341">
        <f>IFERROR(E$6*'Historical Holdco'!E58,0)</f>
        <v>0</v>
      </c>
      <c r="F83" s="341">
        <f>IFERROR(F$6*'Historical Holdco'!F58,0)</f>
        <v>0</v>
      </c>
      <c r="G83" s="341">
        <f>IFERROR(G$6*'Historical Holdco'!G58,0)</f>
        <v>0</v>
      </c>
      <c r="H83" s="341">
        <f>IFERROR(H$6*'Historical Holdco'!H58,0)</f>
        <v>0</v>
      </c>
      <c r="I83" s="341">
        <f>IFERROR(I$6*'Historical Holdco'!I58,0)</f>
        <v>0</v>
      </c>
      <c r="J83" s="341">
        <f>IFERROR(J$6*'Historical Holdco'!J58,0)</f>
        <v>0</v>
      </c>
      <c r="K83" s="341">
        <f>IFERROR(K$6*'Historical Holdco'!K58,0)</f>
        <v>0</v>
      </c>
      <c r="L83" s="341">
        <f>IFERROR(L$6*'Historical Holdco'!L58,0)</f>
        <v>0</v>
      </c>
      <c r="M83" s="341">
        <f>IFERROR(M$6*'Historical Holdco'!M58,0)</f>
        <v>0</v>
      </c>
      <c r="N83" s="341">
        <f>IFERROR(N$6*'Historical Holdco'!N58,0)</f>
        <v>0</v>
      </c>
      <c r="O83" s="341">
        <f>IFERROR(O$6*'Historical Holdco'!O58,0)</f>
        <v>0</v>
      </c>
      <c r="P83" s="341">
        <f>IFERROR(P$6*'Historical Holdco'!P58,0)</f>
        <v>0</v>
      </c>
      <c r="Q83" s="341">
        <f>IFERROR(Q$6*'Historical Holdco'!Q58,0)</f>
        <v>0</v>
      </c>
      <c r="R83" s="341">
        <f>IFERROR(R$6*'Historical Holdco'!R58,0)</f>
        <v>0</v>
      </c>
      <c r="S83" s="341">
        <f>IFERROR(S$6*'Historical Holdco'!S58,0)</f>
        <v>0</v>
      </c>
      <c r="T83" s="341">
        <f>IFERROR(T$6*'Historical Holdco'!T58,0)</f>
        <v>0</v>
      </c>
      <c r="U83" s="341">
        <f>IFERROR(U$6*'Historical Holdco'!U58,0)</f>
        <v>0</v>
      </c>
      <c r="V83" s="341">
        <f>IFERROR(V$6*'Historical Holdco'!V58,0)</f>
        <v>0</v>
      </c>
      <c r="W83" s="341">
        <f>IFERROR(W$6*'Historical Holdco'!W58,0)</f>
        <v>0</v>
      </c>
      <c r="X83" s="341">
        <f>IFERROR(X$6*'Historical Holdco'!X58,0)</f>
        <v>0</v>
      </c>
      <c r="Y83" s="341">
        <f>IFERROR(Y$6*'Historical Holdco'!Y58,0)</f>
        <v>0</v>
      </c>
      <c r="Z83" s="341">
        <f>IFERROR(Z$6*'Historical Holdco'!Z58,0)</f>
        <v>0</v>
      </c>
      <c r="AA83" s="341">
        <f>IFERROR(AA$6*'Historical Holdco'!AA58,0)</f>
        <v>0</v>
      </c>
      <c r="AB83" s="341">
        <f>IFERROR(AB$6*'Historical Holdco'!AB58,0)</f>
        <v>0</v>
      </c>
      <c r="AC83" s="341">
        <f>IFERROR(AC$6*'Historical Holdco'!AC58,0)</f>
        <v>0</v>
      </c>
    </row>
    <row r="84" spans="1:29" ht="13.7" outlineLevel="1">
      <c r="C84" s="254"/>
      <c r="D84" s="340" t="s">
        <v>1095</v>
      </c>
      <c r="E84" s="341">
        <f>+IFERROR(E$7*'Acquisition BS adjustments'!$C201,0)+IFERROR(E$8*'Acquisition BS adjustments'!$E201,0)</f>
        <v>0</v>
      </c>
      <c r="F84" s="341">
        <f>+IFERROR(F$7*'Acquisition BS adjustments'!$C201,0)+IFERROR(F$8*'Acquisition BS adjustments'!$E201,0)</f>
        <v>0</v>
      </c>
      <c r="G84" s="341">
        <f>+IFERROR(G$7*'Acquisition BS adjustments'!$C201,0)+IFERROR(G$8*'Acquisition BS adjustments'!$E201,0)</f>
        <v>0</v>
      </c>
      <c r="H84" s="341">
        <f>+IFERROR(H$7*'Acquisition BS adjustments'!$C201,0)+IFERROR(H$8*'Acquisition BS adjustments'!$E201,0)</f>
        <v>0</v>
      </c>
      <c r="I84" s="341">
        <f>+IFERROR(I$7*'Acquisition BS adjustments'!$C201,0)+IFERROR(I$8*'Acquisition BS adjustments'!$E201,0)</f>
        <v>0</v>
      </c>
      <c r="J84" s="341">
        <f>+IFERROR(J$7*'Acquisition BS adjustments'!$C201,0)+IFERROR(J$8*'Acquisition BS adjustments'!$E201,0)</f>
        <v>0</v>
      </c>
      <c r="K84" s="341">
        <f>+IFERROR(K$7*'Acquisition BS adjustments'!$C201,0)+IFERROR(K$8*'Acquisition BS adjustments'!$E201,0)</f>
        <v>0</v>
      </c>
      <c r="L84" s="341">
        <f>+IFERROR(L$7*'Acquisition BS adjustments'!$C201,0)+IFERROR(L$8*'Acquisition BS adjustments'!$E201,0)</f>
        <v>0</v>
      </c>
      <c r="M84" s="341">
        <f>+IFERROR(M$7*'Acquisition BS adjustments'!$C201,0)+IFERROR(M$8*'Acquisition BS adjustments'!$E201,0)</f>
        <v>0</v>
      </c>
      <c r="N84" s="341">
        <f>+IFERROR(N$7*'Acquisition BS adjustments'!$C201,0)+IFERROR(N$8*'Acquisition BS adjustments'!$E201,0)</f>
        <v>0</v>
      </c>
      <c r="O84" s="341">
        <f>+IFERROR(O$7*'Acquisition BS adjustments'!$C201,0)+IFERROR(O$8*'Acquisition BS adjustments'!$E201,0)</f>
        <v>0</v>
      </c>
      <c r="P84" s="341">
        <f>+IFERROR(P$7*'Acquisition BS adjustments'!$C201,0)+IFERROR(P$8*'Acquisition BS adjustments'!$E201,0)</f>
        <v>0</v>
      </c>
      <c r="Q84" s="341">
        <f>+IFERROR(Q$7*'Acquisition BS adjustments'!$C201,0)+IFERROR(Q$8*'Acquisition BS adjustments'!$E201,0)</f>
        <v>0</v>
      </c>
      <c r="R84" s="341">
        <f>+IFERROR(R$7*'Acquisition BS adjustments'!$C201,0)+IFERROR(R$8*'Acquisition BS adjustments'!$E201,0)</f>
        <v>0</v>
      </c>
      <c r="S84" s="341">
        <f>+IFERROR(S$7*'Acquisition BS adjustments'!$C201,0)+IFERROR(S$8*'Acquisition BS adjustments'!$E201,0)</f>
        <v>0</v>
      </c>
      <c r="T84" s="341">
        <f>+IFERROR(T$7*'Acquisition BS adjustments'!$C201,0)+IFERROR(T$8*'Acquisition BS adjustments'!$E201,0)</f>
        <v>0</v>
      </c>
      <c r="U84" s="341">
        <f>+IFERROR(U$7*'Acquisition BS adjustments'!$C201,0)+IFERROR(U$8*'Acquisition BS adjustments'!$E201,0)</f>
        <v>0</v>
      </c>
      <c r="V84" s="341">
        <f>+IFERROR(V$7*'Acquisition BS adjustments'!$C201,0)+IFERROR(V$8*'Acquisition BS adjustments'!$E201,0)</f>
        <v>0</v>
      </c>
      <c r="W84" s="341">
        <f>+IFERROR(W$7*'Acquisition BS adjustments'!$C201,0)+IFERROR(W$8*'Acquisition BS adjustments'!$E201,0)</f>
        <v>0</v>
      </c>
      <c r="X84" s="341">
        <f>+IFERROR(X$7*'Acquisition BS adjustments'!$C201,0)+IFERROR(X$8*'Acquisition BS adjustments'!$E201,0)</f>
        <v>0</v>
      </c>
      <c r="Y84" s="341">
        <f>+IFERROR(Y$7*'Acquisition BS adjustments'!$C201,0)+IFERROR(Y$8*'Acquisition BS adjustments'!$E201,0)</f>
        <v>0</v>
      </c>
      <c r="Z84" s="341">
        <f>+IFERROR(Z$7*'Acquisition BS adjustments'!$C201,0)+IFERROR(Z$8*'Acquisition BS adjustments'!$E201,0)</f>
        <v>0</v>
      </c>
      <c r="AA84" s="341">
        <f>+IFERROR(AA$7*'Acquisition BS adjustments'!$C201,0)+IFERROR(AA$8*'Acquisition BS adjustments'!$E201,0)</f>
        <v>0</v>
      </c>
      <c r="AB84" s="341">
        <f>+IFERROR(AB$7*'Acquisition BS adjustments'!$C201,0)+IFERROR(AB$8*'Acquisition BS adjustments'!$E201,0)</f>
        <v>0</v>
      </c>
      <c r="AC84" s="341">
        <f>+IFERROR(AC$7*'Acquisition BS adjustments'!$C201,0)+IFERROR(AC$8*'Acquisition BS adjustments'!$E201,0)</f>
        <v>0</v>
      </c>
    </row>
    <row r="85" spans="1:29" ht="13.7">
      <c r="A85" s="256"/>
      <c r="B85" s="256"/>
      <c r="C85" s="254" t="s">
        <v>227</v>
      </c>
      <c r="D85" s="255"/>
      <c r="E85" s="255">
        <f>SUM(E86:E87)</f>
        <v>0</v>
      </c>
      <c r="F85" s="255">
        <f t="shared" ref="F85:P85" si="76">SUM(F86:F87)</f>
        <v>0</v>
      </c>
      <c r="G85" s="255">
        <f t="shared" si="76"/>
        <v>0</v>
      </c>
      <c r="H85" s="255">
        <f t="shared" si="76"/>
        <v>0</v>
      </c>
      <c r="I85" s="255">
        <f t="shared" si="76"/>
        <v>0</v>
      </c>
      <c r="J85" s="255">
        <f t="shared" si="76"/>
        <v>0</v>
      </c>
      <c r="K85" s="255">
        <f t="shared" si="76"/>
        <v>0</v>
      </c>
      <c r="L85" s="255">
        <f t="shared" si="76"/>
        <v>0</v>
      </c>
      <c r="M85" s="255">
        <f t="shared" si="76"/>
        <v>0</v>
      </c>
      <c r="N85" s="255">
        <f t="shared" si="76"/>
        <v>0</v>
      </c>
      <c r="O85" s="255">
        <f t="shared" si="76"/>
        <v>0</v>
      </c>
      <c r="P85" s="255">
        <f t="shared" si="76"/>
        <v>0</v>
      </c>
      <c r="Q85" s="255">
        <f t="shared" ref="Q85:AC85" si="77">SUM(Q86:Q87)</f>
        <v>0</v>
      </c>
      <c r="R85" s="255">
        <f t="shared" si="77"/>
        <v>0</v>
      </c>
      <c r="S85" s="255">
        <f t="shared" si="77"/>
        <v>0</v>
      </c>
      <c r="T85" s="255">
        <f t="shared" si="77"/>
        <v>0</v>
      </c>
      <c r="U85" s="255">
        <f t="shared" si="77"/>
        <v>0</v>
      </c>
      <c r="V85" s="255">
        <f t="shared" si="77"/>
        <v>0</v>
      </c>
      <c r="W85" s="255">
        <f t="shared" si="77"/>
        <v>0</v>
      </c>
      <c r="X85" s="255">
        <f t="shared" si="77"/>
        <v>0</v>
      </c>
      <c r="Y85" s="255">
        <f t="shared" si="77"/>
        <v>0</v>
      </c>
      <c r="Z85" s="255">
        <f t="shared" si="77"/>
        <v>0</v>
      </c>
      <c r="AA85" s="255">
        <f t="shared" si="77"/>
        <v>0</v>
      </c>
      <c r="AB85" s="255">
        <f t="shared" si="77"/>
        <v>0</v>
      </c>
      <c r="AC85" s="255">
        <f t="shared" si="77"/>
        <v>0</v>
      </c>
    </row>
    <row r="86" spans="1:29" ht="13.7" outlineLevel="1">
      <c r="C86" s="254"/>
      <c r="D86" s="340" t="s">
        <v>1094</v>
      </c>
      <c r="E86" s="341">
        <f>IFERROR(E$6*'Historical Holdco'!D59,0)</f>
        <v>0</v>
      </c>
      <c r="F86" s="341">
        <f>IFERROR(F$6*'Historical Holdco'!E59,0)</f>
        <v>0</v>
      </c>
      <c r="G86" s="341">
        <f>IFERROR(G$6*'Historical Holdco'!F59,0)</f>
        <v>0</v>
      </c>
      <c r="H86" s="341">
        <f>IFERROR(H$6*'Historical Holdco'!G59,0)</f>
        <v>0</v>
      </c>
      <c r="I86" s="341">
        <f>IFERROR(I$6*'Historical Holdco'!H59,0)</f>
        <v>0</v>
      </c>
      <c r="J86" s="341">
        <f>IFERROR(J$6*'Historical Holdco'!I59,0)</f>
        <v>0</v>
      </c>
      <c r="K86" s="341">
        <f>IFERROR(K$6*'Historical Holdco'!J59,0)</f>
        <v>0</v>
      </c>
      <c r="L86" s="341">
        <f>IFERROR(L$6*'Historical Holdco'!K59,0)</f>
        <v>0</v>
      </c>
      <c r="M86" s="341">
        <f>IFERROR(M$6*'Historical Holdco'!L59,0)</f>
        <v>0</v>
      </c>
      <c r="N86" s="341">
        <f>IFERROR(N$6*'Historical Holdco'!M59,0)</f>
        <v>0</v>
      </c>
      <c r="O86" s="341">
        <f>IFERROR(O$6*'Historical Holdco'!N59,0)</f>
        <v>0</v>
      </c>
      <c r="P86" s="341">
        <f>IFERROR(P$6*'Historical Holdco'!O59,0)</f>
        <v>0</v>
      </c>
      <c r="Q86" s="341">
        <f>IFERROR(Q$6*'Historical Holdco'!P59,0)</f>
        <v>0</v>
      </c>
      <c r="R86" s="341">
        <f>IFERROR(R$6*'Historical Holdco'!Q59,0)</f>
        <v>0</v>
      </c>
      <c r="S86" s="341">
        <f>IFERROR(S$6*'Historical Holdco'!R59,0)</f>
        <v>0</v>
      </c>
      <c r="T86" s="341">
        <f>IFERROR(T$6*'Historical Holdco'!S59,0)</f>
        <v>0</v>
      </c>
      <c r="U86" s="341">
        <f>IFERROR(U$6*'Historical Holdco'!T59,0)</f>
        <v>0</v>
      </c>
      <c r="V86" s="341">
        <f>IFERROR(V$6*'Historical Holdco'!U59,0)</f>
        <v>0</v>
      </c>
      <c r="W86" s="341">
        <f>IFERROR(W$6*'Historical Holdco'!V59,0)</f>
        <v>0</v>
      </c>
      <c r="X86" s="341">
        <f>IFERROR(X$6*'Historical Holdco'!W59,0)</f>
        <v>0</v>
      </c>
      <c r="Y86" s="341">
        <f>IFERROR(Y$6*'Historical Holdco'!X59,0)</f>
        <v>0</v>
      </c>
      <c r="Z86" s="341">
        <f>IFERROR(Z$6*'Historical Holdco'!Y59,0)</f>
        <v>0</v>
      </c>
      <c r="AA86" s="341">
        <f>IFERROR(AA$6*'Historical Holdco'!Z59,0)</f>
        <v>0</v>
      </c>
      <c r="AB86" s="341">
        <f>IFERROR(AB$6*'Historical Holdco'!AA59,0)</f>
        <v>0</v>
      </c>
      <c r="AC86" s="341">
        <f>IFERROR(AC$6*'Historical Holdco'!AB59,0)</f>
        <v>0</v>
      </c>
    </row>
    <row r="87" spans="1:29" ht="13.7" outlineLevel="1">
      <c r="C87" s="254"/>
      <c r="D87" s="340" t="s">
        <v>1095</v>
      </c>
      <c r="E87" s="341">
        <f>+IFERROR(E$7*'Acquisition BS adjustments'!$C202,0)+IFERROR(E$8*'Acquisition BS adjustments'!$E202,0)</f>
        <v>0</v>
      </c>
      <c r="F87" s="341">
        <f>+IFERROR(F$7*'Acquisition BS adjustments'!$C202,0)+IFERROR(F$8*'Acquisition BS adjustments'!$E202,0)</f>
        <v>0</v>
      </c>
      <c r="G87" s="341">
        <f>+IFERROR(G$7*'Acquisition BS adjustments'!$C202,0)+IFERROR(G$8*'Acquisition BS adjustments'!$E202,0)</f>
        <v>0</v>
      </c>
      <c r="H87" s="341">
        <f>+IFERROR(H$7*'Acquisition BS adjustments'!$C202,0)+IFERROR(H$8*'Acquisition BS adjustments'!$E202,0)</f>
        <v>0</v>
      </c>
      <c r="I87" s="341">
        <f>+IFERROR(I$7*'Acquisition BS adjustments'!$C202,0)+IFERROR(I$8*'Acquisition BS adjustments'!$E202,0)</f>
        <v>0</v>
      </c>
      <c r="J87" s="341">
        <f>+IFERROR(J$7*'Acquisition BS adjustments'!$C202,0)+IFERROR(J$8*'Acquisition BS adjustments'!$E202,0)</f>
        <v>0</v>
      </c>
      <c r="K87" s="341">
        <f>+IFERROR(K$7*'Acquisition BS adjustments'!$C202,0)+IFERROR(K$8*'Acquisition BS adjustments'!$E202,0)</f>
        <v>0</v>
      </c>
      <c r="L87" s="341">
        <f>+IFERROR(L$7*'Acquisition BS adjustments'!$C202,0)+IFERROR(L$8*'Acquisition BS adjustments'!$E202,0)</f>
        <v>0</v>
      </c>
      <c r="M87" s="341">
        <f>+IFERROR(M$7*'Acquisition BS adjustments'!$C202,0)+IFERROR(M$8*'Acquisition BS adjustments'!$E202,0)</f>
        <v>0</v>
      </c>
      <c r="N87" s="341">
        <f>+IFERROR(N$7*'Acquisition BS adjustments'!$C202,0)+IFERROR(N$8*'Acquisition BS adjustments'!$E202,0)</f>
        <v>0</v>
      </c>
      <c r="O87" s="341">
        <f>+IFERROR(O$7*'Acquisition BS adjustments'!$C202,0)+IFERROR(O$8*'Acquisition BS adjustments'!$E202,0)</f>
        <v>0</v>
      </c>
      <c r="P87" s="341">
        <f>+IFERROR(P$7*'Acquisition BS adjustments'!$C202,0)+IFERROR(P$8*'Acquisition BS adjustments'!$E202,0)</f>
        <v>0</v>
      </c>
      <c r="Q87" s="341">
        <f>+IFERROR(Q$7*'Acquisition BS adjustments'!$C202,0)+IFERROR(Q$8*'Acquisition BS adjustments'!$E202,0)</f>
        <v>0</v>
      </c>
      <c r="R87" s="341">
        <f>+IFERROR(R$7*'Acquisition BS adjustments'!$C202,0)+IFERROR(R$8*'Acquisition BS adjustments'!$E202,0)</f>
        <v>0</v>
      </c>
      <c r="S87" s="341">
        <f>+IFERROR(S$7*'Acquisition BS adjustments'!$C202,0)+IFERROR(S$8*'Acquisition BS adjustments'!$E202,0)</f>
        <v>0</v>
      </c>
      <c r="T87" s="341">
        <f>+IFERROR(T$7*'Acquisition BS adjustments'!$C202,0)+IFERROR(T$8*'Acquisition BS adjustments'!$E202,0)</f>
        <v>0</v>
      </c>
      <c r="U87" s="341">
        <f>+IFERROR(U$7*'Acquisition BS adjustments'!$C202,0)+IFERROR(U$8*'Acquisition BS adjustments'!$E202,0)</f>
        <v>0</v>
      </c>
      <c r="V87" s="341">
        <f>+IFERROR(V$7*'Acquisition BS adjustments'!$C202,0)+IFERROR(V$8*'Acquisition BS adjustments'!$E202,0)</f>
        <v>0</v>
      </c>
      <c r="W87" s="341">
        <f>+IFERROR(W$7*'Acquisition BS adjustments'!$C202,0)+IFERROR(W$8*'Acquisition BS adjustments'!$E202,0)</f>
        <v>0</v>
      </c>
      <c r="X87" s="341">
        <f>+IFERROR(X$7*'Acquisition BS adjustments'!$C202,0)+IFERROR(X$8*'Acquisition BS adjustments'!$E202,0)</f>
        <v>0</v>
      </c>
      <c r="Y87" s="341">
        <f>+IFERROR(Y$7*'Acquisition BS adjustments'!$C202,0)+IFERROR(Y$8*'Acquisition BS adjustments'!$E202,0)</f>
        <v>0</v>
      </c>
      <c r="Z87" s="341">
        <f>+IFERROR(Z$7*'Acquisition BS adjustments'!$C202,0)+IFERROR(Z$8*'Acquisition BS adjustments'!$E202,0)</f>
        <v>0</v>
      </c>
      <c r="AA87" s="341">
        <f>+IFERROR(AA$7*'Acquisition BS adjustments'!$C202,0)+IFERROR(AA$8*'Acquisition BS adjustments'!$E202,0)</f>
        <v>0</v>
      </c>
      <c r="AB87" s="341">
        <f>+IFERROR(AB$7*'Acquisition BS adjustments'!$C202,0)+IFERROR(AB$8*'Acquisition BS adjustments'!$E202,0)</f>
        <v>0</v>
      </c>
      <c r="AC87" s="341">
        <f>+IFERROR(AC$7*'Acquisition BS adjustments'!$C202,0)+IFERROR(AC$8*'Acquisition BS adjustments'!$E202,0)</f>
        <v>0</v>
      </c>
    </row>
    <row r="88" spans="1:29" ht="13.7">
      <c r="A88" s="256"/>
      <c r="B88" s="256"/>
      <c r="C88" s="254" t="s">
        <v>228</v>
      </c>
      <c r="D88" s="255"/>
      <c r="E88" s="255">
        <f>SUM(E89:E90)</f>
        <v>0</v>
      </c>
      <c r="F88" s="255">
        <f t="shared" ref="F88:P88" si="78">SUM(F89:F90)</f>
        <v>0</v>
      </c>
      <c r="G88" s="255">
        <f t="shared" si="78"/>
        <v>0</v>
      </c>
      <c r="H88" s="255">
        <f t="shared" si="78"/>
        <v>0</v>
      </c>
      <c r="I88" s="255">
        <f t="shared" si="78"/>
        <v>0</v>
      </c>
      <c r="J88" s="255">
        <f t="shared" si="78"/>
        <v>0</v>
      </c>
      <c r="K88" s="255">
        <f t="shared" si="78"/>
        <v>0</v>
      </c>
      <c r="L88" s="255">
        <f t="shared" si="78"/>
        <v>0</v>
      </c>
      <c r="M88" s="255">
        <f t="shared" si="78"/>
        <v>0</v>
      </c>
      <c r="N88" s="255">
        <f t="shared" si="78"/>
        <v>0</v>
      </c>
      <c r="O88" s="255">
        <f t="shared" si="78"/>
        <v>0</v>
      </c>
      <c r="P88" s="255">
        <f t="shared" si="78"/>
        <v>0</v>
      </c>
      <c r="Q88" s="255">
        <f t="shared" ref="Q88:AC88" si="79">SUM(Q89:Q90)</f>
        <v>0</v>
      </c>
      <c r="R88" s="255">
        <f t="shared" si="79"/>
        <v>0</v>
      </c>
      <c r="S88" s="255">
        <f t="shared" si="79"/>
        <v>0</v>
      </c>
      <c r="T88" s="255">
        <f t="shared" si="79"/>
        <v>0</v>
      </c>
      <c r="U88" s="255">
        <f t="shared" si="79"/>
        <v>0</v>
      </c>
      <c r="V88" s="255">
        <f t="shared" si="79"/>
        <v>0</v>
      </c>
      <c r="W88" s="255">
        <f t="shared" si="79"/>
        <v>0</v>
      </c>
      <c r="X88" s="255">
        <f t="shared" si="79"/>
        <v>0</v>
      </c>
      <c r="Y88" s="255">
        <f t="shared" si="79"/>
        <v>0</v>
      </c>
      <c r="Z88" s="255">
        <f t="shared" si="79"/>
        <v>0</v>
      </c>
      <c r="AA88" s="255">
        <f t="shared" si="79"/>
        <v>0</v>
      </c>
      <c r="AB88" s="255">
        <f t="shared" si="79"/>
        <v>0</v>
      </c>
      <c r="AC88" s="255">
        <f t="shared" si="79"/>
        <v>0</v>
      </c>
    </row>
    <row r="89" spans="1:29" ht="13.7" outlineLevel="1">
      <c r="C89" s="254"/>
      <c r="D89" s="340" t="s">
        <v>1094</v>
      </c>
      <c r="E89" s="341">
        <f>IFERROR(E$6*'Historical Holdco'!E60,0)</f>
        <v>0</v>
      </c>
      <c r="F89" s="341">
        <f>IFERROR(F$6*'Historical Holdco'!F60,0)</f>
        <v>0</v>
      </c>
      <c r="G89" s="341">
        <f>IFERROR(G$6*'Historical Holdco'!G60,0)</f>
        <v>0</v>
      </c>
      <c r="H89" s="341">
        <f>IFERROR(H$6*'Historical Holdco'!H60,0)</f>
        <v>0</v>
      </c>
      <c r="I89" s="341">
        <f>IFERROR(I$6*'Historical Holdco'!I60,0)</f>
        <v>0</v>
      </c>
      <c r="J89" s="341">
        <f>IFERROR(J$6*'Historical Holdco'!J60,0)</f>
        <v>0</v>
      </c>
      <c r="K89" s="341">
        <f>IFERROR(K$6*'Historical Holdco'!K60,0)</f>
        <v>0</v>
      </c>
      <c r="L89" s="341">
        <f>IFERROR(L$6*'Historical Holdco'!L60,0)</f>
        <v>0</v>
      </c>
      <c r="M89" s="341">
        <f>IFERROR(M$6*'Historical Holdco'!M60,0)</f>
        <v>0</v>
      </c>
      <c r="N89" s="341">
        <f>IFERROR(N$6*'Historical Holdco'!N60,0)</f>
        <v>0</v>
      </c>
      <c r="O89" s="341">
        <f>IFERROR(O$6*'Historical Holdco'!O60,0)</f>
        <v>0</v>
      </c>
      <c r="P89" s="341">
        <f>IFERROR(P$6*'Historical Holdco'!P60,0)</f>
        <v>0</v>
      </c>
      <c r="Q89" s="341">
        <f>IFERROR(Q$6*'Historical Holdco'!Q60,0)</f>
        <v>0</v>
      </c>
      <c r="R89" s="341">
        <f>IFERROR(R$6*'Historical Holdco'!R60,0)</f>
        <v>0</v>
      </c>
      <c r="S89" s="341">
        <f>IFERROR(S$6*'Historical Holdco'!S60,0)</f>
        <v>0</v>
      </c>
      <c r="T89" s="341">
        <f>IFERROR(T$6*'Historical Holdco'!T60,0)</f>
        <v>0</v>
      </c>
      <c r="U89" s="341">
        <f>IFERROR(U$6*'Historical Holdco'!U60,0)</f>
        <v>0</v>
      </c>
      <c r="V89" s="341">
        <f>IFERROR(V$6*'Historical Holdco'!V60,0)</f>
        <v>0</v>
      </c>
      <c r="W89" s="341">
        <f>IFERROR(W$6*'Historical Holdco'!W60,0)</f>
        <v>0</v>
      </c>
      <c r="X89" s="341">
        <f>IFERROR(X$6*'Historical Holdco'!X60,0)</f>
        <v>0</v>
      </c>
      <c r="Y89" s="341">
        <f>IFERROR(Y$6*'Historical Holdco'!Y60,0)</f>
        <v>0</v>
      </c>
      <c r="Z89" s="341">
        <f>IFERROR(Z$6*'Historical Holdco'!Z60,0)</f>
        <v>0</v>
      </c>
      <c r="AA89" s="341">
        <f>IFERROR(AA$6*'Historical Holdco'!AA60,0)</f>
        <v>0</v>
      </c>
      <c r="AB89" s="341">
        <f>IFERROR(AB$6*'Historical Holdco'!AB60,0)</f>
        <v>0</v>
      </c>
      <c r="AC89" s="341">
        <f>IFERROR(AC$6*'Historical Holdco'!AC60,0)</f>
        <v>0</v>
      </c>
    </row>
    <row r="90" spans="1:29" ht="13.7" outlineLevel="1">
      <c r="C90" s="254"/>
      <c r="D90" s="340" t="s">
        <v>1095</v>
      </c>
      <c r="E90" s="341">
        <f>+IFERROR(E$7*'Acquisition BS adjustments'!$C203,0)+IFERROR(E$8*'Acquisition BS adjustments'!$E203,0)</f>
        <v>0</v>
      </c>
      <c r="F90" s="341">
        <f>+IFERROR(F$7*'Acquisition BS adjustments'!$C203,0)+IFERROR(F$8*'Acquisition BS adjustments'!$E203,0)</f>
        <v>0</v>
      </c>
      <c r="G90" s="341">
        <f>+IFERROR(G$7*'Acquisition BS adjustments'!$C203,0)+IFERROR(G$8*'Acquisition BS adjustments'!$E203,0)</f>
        <v>0</v>
      </c>
      <c r="H90" s="341">
        <f>+IFERROR(H$7*'Acquisition BS adjustments'!$C203,0)+IFERROR(H$8*'Acquisition BS adjustments'!$E203,0)</f>
        <v>0</v>
      </c>
      <c r="I90" s="341">
        <f>+IFERROR(I$7*'Acquisition BS adjustments'!$C203,0)+IFERROR(I$8*'Acquisition BS adjustments'!$E203,0)</f>
        <v>0</v>
      </c>
      <c r="J90" s="341">
        <f>+IFERROR(J$7*'Acquisition BS adjustments'!$C203,0)+IFERROR(J$8*'Acquisition BS adjustments'!$E203,0)</f>
        <v>0</v>
      </c>
      <c r="K90" s="341">
        <f>+IFERROR(K$7*'Acquisition BS adjustments'!$C203,0)+IFERROR(K$8*'Acquisition BS adjustments'!$E203,0)</f>
        <v>0</v>
      </c>
      <c r="L90" s="341">
        <f>+IFERROR(L$7*'Acquisition BS adjustments'!$C203,0)+IFERROR(L$8*'Acquisition BS adjustments'!$E203,0)</f>
        <v>0</v>
      </c>
      <c r="M90" s="341">
        <f>+IFERROR(M$7*'Acquisition BS adjustments'!$C203,0)+IFERROR(M$8*'Acquisition BS adjustments'!$E203,0)</f>
        <v>0</v>
      </c>
      <c r="N90" s="341">
        <f>+IFERROR(N$7*'Acquisition BS adjustments'!$C203,0)+IFERROR(N$8*'Acquisition BS adjustments'!$E203,0)</f>
        <v>0</v>
      </c>
      <c r="O90" s="341">
        <f>+IFERROR(O$7*'Acquisition BS adjustments'!$C203,0)+IFERROR(O$8*'Acquisition BS adjustments'!$E203,0)</f>
        <v>0</v>
      </c>
      <c r="P90" s="341">
        <f>+IFERROR(P$7*'Acquisition BS adjustments'!$C203,0)+IFERROR(P$8*'Acquisition BS adjustments'!$E203,0)</f>
        <v>0</v>
      </c>
      <c r="Q90" s="341">
        <f>+IFERROR(Q$7*'Acquisition BS adjustments'!$C203,0)+IFERROR(Q$8*'Acquisition BS adjustments'!$E203,0)</f>
        <v>0</v>
      </c>
      <c r="R90" s="341">
        <f>+IFERROR(R$7*'Acquisition BS adjustments'!$C203,0)+IFERROR(R$8*'Acquisition BS adjustments'!$E203,0)</f>
        <v>0</v>
      </c>
      <c r="S90" s="341">
        <f>+IFERROR(S$7*'Acquisition BS adjustments'!$C203,0)+IFERROR(S$8*'Acquisition BS adjustments'!$E203,0)</f>
        <v>0</v>
      </c>
      <c r="T90" s="341">
        <f>+IFERROR(T$7*'Acquisition BS adjustments'!$C203,0)+IFERROR(T$8*'Acquisition BS adjustments'!$E203,0)</f>
        <v>0</v>
      </c>
      <c r="U90" s="341">
        <f>+IFERROR(U$7*'Acquisition BS adjustments'!$C203,0)+IFERROR(U$8*'Acquisition BS adjustments'!$E203,0)</f>
        <v>0</v>
      </c>
      <c r="V90" s="341">
        <f>+IFERROR(V$7*'Acquisition BS adjustments'!$C203,0)+IFERROR(V$8*'Acquisition BS adjustments'!$E203,0)</f>
        <v>0</v>
      </c>
      <c r="W90" s="341">
        <f>+IFERROR(W$7*'Acquisition BS adjustments'!$C203,0)+IFERROR(W$8*'Acquisition BS adjustments'!$E203,0)</f>
        <v>0</v>
      </c>
      <c r="X90" s="341">
        <f>+IFERROR(X$7*'Acquisition BS adjustments'!$C203,0)+IFERROR(X$8*'Acquisition BS adjustments'!$E203,0)</f>
        <v>0</v>
      </c>
      <c r="Y90" s="341">
        <f>+IFERROR(Y$7*'Acquisition BS adjustments'!$C203,0)+IFERROR(Y$8*'Acquisition BS adjustments'!$E203,0)</f>
        <v>0</v>
      </c>
      <c r="Z90" s="341">
        <f>+IFERROR(Z$7*'Acquisition BS adjustments'!$C203,0)+IFERROR(Z$8*'Acquisition BS adjustments'!$E203,0)</f>
        <v>0</v>
      </c>
      <c r="AA90" s="341">
        <f>+IFERROR(AA$7*'Acquisition BS adjustments'!$C203,0)+IFERROR(AA$8*'Acquisition BS adjustments'!$E203,0)</f>
        <v>0</v>
      </c>
      <c r="AB90" s="341">
        <f>+IFERROR(AB$7*'Acquisition BS adjustments'!$C203,0)+IFERROR(AB$8*'Acquisition BS adjustments'!$E203,0)</f>
        <v>0</v>
      </c>
      <c r="AC90" s="341">
        <f>+IFERROR(AC$7*'Acquisition BS adjustments'!$C203,0)+IFERROR(AC$8*'Acquisition BS adjustments'!$E203,0)</f>
        <v>0</v>
      </c>
    </row>
    <row r="91" spans="1:29" ht="13.7">
      <c r="A91" s="256"/>
      <c r="B91" s="256"/>
      <c r="C91" s="254" t="s">
        <v>229</v>
      </c>
      <c r="D91" s="255"/>
      <c r="E91" s="255">
        <f>SUM(E92:E94)</f>
        <v>0</v>
      </c>
      <c r="F91" s="255">
        <f t="shared" ref="F91:P91" si="80">SUM(F92:F94)</f>
        <v>0</v>
      </c>
      <c r="G91" s="255">
        <f t="shared" si="80"/>
        <v>0</v>
      </c>
      <c r="H91" s="255">
        <f t="shared" si="80"/>
        <v>0</v>
      </c>
      <c r="I91" s="255">
        <f t="shared" si="80"/>
        <v>0</v>
      </c>
      <c r="J91" s="255">
        <f t="shared" si="80"/>
        <v>0</v>
      </c>
      <c r="K91" s="255">
        <f t="shared" si="80"/>
        <v>0</v>
      </c>
      <c r="L91" s="255">
        <f t="shared" si="80"/>
        <v>0</v>
      </c>
      <c r="M91" s="255">
        <f t="shared" si="80"/>
        <v>0</v>
      </c>
      <c r="N91" s="255">
        <f t="shared" si="80"/>
        <v>0</v>
      </c>
      <c r="O91" s="255">
        <f t="shared" si="80"/>
        <v>0</v>
      </c>
      <c r="P91" s="255">
        <f t="shared" si="80"/>
        <v>0</v>
      </c>
      <c r="Q91" s="255">
        <f t="shared" ref="Q91:AC91" si="81">SUM(Q92:Q94)</f>
        <v>0</v>
      </c>
      <c r="R91" s="255">
        <f t="shared" si="81"/>
        <v>0</v>
      </c>
      <c r="S91" s="255">
        <f t="shared" si="81"/>
        <v>0</v>
      </c>
      <c r="T91" s="255">
        <f t="shared" si="81"/>
        <v>0</v>
      </c>
      <c r="U91" s="255">
        <f t="shared" si="81"/>
        <v>0</v>
      </c>
      <c r="V91" s="255">
        <f t="shared" si="81"/>
        <v>0</v>
      </c>
      <c r="W91" s="255">
        <f t="shared" si="81"/>
        <v>0</v>
      </c>
      <c r="X91" s="255">
        <f t="shared" si="81"/>
        <v>0</v>
      </c>
      <c r="Y91" s="255">
        <f t="shared" si="81"/>
        <v>0</v>
      </c>
      <c r="Z91" s="255">
        <f t="shared" si="81"/>
        <v>0</v>
      </c>
      <c r="AA91" s="255">
        <f t="shared" si="81"/>
        <v>0</v>
      </c>
      <c r="AB91" s="255">
        <f t="shared" si="81"/>
        <v>0</v>
      </c>
      <c r="AC91" s="255">
        <f t="shared" si="81"/>
        <v>0</v>
      </c>
    </row>
    <row r="92" spans="1:29" ht="13.7" outlineLevel="1">
      <c r="A92" s="256"/>
      <c r="B92" s="256"/>
      <c r="C92" s="254"/>
      <c r="D92" s="340" t="s">
        <v>1094</v>
      </c>
      <c r="E92" s="341">
        <f>IFERROR(E$6*'Historical Holdco'!D61,0)</f>
        <v>0</v>
      </c>
      <c r="F92" s="341">
        <f>IFERROR(F$6*'Historical Holdco'!E61,0)</f>
        <v>0</v>
      </c>
      <c r="G92" s="341">
        <f>IFERROR(G$6*'Historical Holdco'!F61,0)</f>
        <v>0</v>
      </c>
      <c r="H92" s="341">
        <f>IFERROR(H$6*'Historical Holdco'!G61,0)</f>
        <v>0</v>
      </c>
      <c r="I92" s="341">
        <f>IFERROR(I$6*'Historical Holdco'!H61,0)</f>
        <v>0</v>
      </c>
      <c r="J92" s="341">
        <f>IFERROR(J$6*'Historical Holdco'!I61,0)</f>
        <v>0</v>
      </c>
      <c r="K92" s="341">
        <f>IFERROR(K$6*'Historical Holdco'!J61,0)</f>
        <v>0</v>
      </c>
      <c r="L92" s="341">
        <f>IFERROR(L$6*'Historical Holdco'!K61,0)</f>
        <v>0</v>
      </c>
      <c r="M92" s="341">
        <f>IFERROR(M$6*'Historical Holdco'!L61,0)</f>
        <v>0</v>
      </c>
      <c r="N92" s="341">
        <f>IFERROR(N$6*'Historical Holdco'!M61,0)</f>
        <v>0</v>
      </c>
      <c r="O92" s="341">
        <f>IFERROR(O$6*'Historical Holdco'!N61,0)</f>
        <v>0</v>
      </c>
      <c r="P92" s="341">
        <f>IFERROR(P$6*'Historical Holdco'!O61,0)</f>
        <v>0</v>
      </c>
      <c r="Q92" s="341">
        <f>IFERROR(Q$6*'Historical Holdco'!P61,0)</f>
        <v>0</v>
      </c>
      <c r="R92" s="341">
        <f>IFERROR(R$6*'Historical Holdco'!Q61,0)</f>
        <v>0</v>
      </c>
      <c r="S92" s="341">
        <f>IFERROR(S$6*'Historical Holdco'!R61,0)</f>
        <v>0</v>
      </c>
      <c r="T92" s="341">
        <f>IFERROR(T$6*'Historical Holdco'!S61,0)</f>
        <v>0</v>
      </c>
      <c r="U92" s="341">
        <f>IFERROR(U$6*'Historical Holdco'!T61,0)</f>
        <v>0</v>
      </c>
      <c r="V92" s="341">
        <f>IFERROR(V$6*'Historical Holdco'!U61,0)</f>
        <v>0</v>
      </c>
      <c r="W92" s="341">
        <f>IFERROR(W$6*'Historical Holdco'!V61,0)</f>
        <v>0</v>
      </c>
      <c r="X92" s="341">
        <f>IFERROR(X$6*'Historical Holdco'!W61,0)</f>
        <v>0</v>
      </c>
      <c r="Y92" s="341">
        <f>IFERROR(Y$6*'Historical Holdco'!X61,0)</f>
        <v>0</v>
      </c>
      <c r="Z92" s="341">
        <f>IFERROR(Z$6*'Historical Holdco'!Y61,0)</f>
        <v>0</v>
      </c>
      <c r="AA92" s="341">
        <f>IFERROR(AA$6*'Historical Holdco'!Z61,0)</f>
        <v>0</v>
      </c>
      <c r="AB92" s="341">
        <f>IFERROR(AB$6*'Historical Holdco'!AA61,0)</f>
        <v>0</v>
      </c>
      <c r="AC92" s="341">
        <f>IFERROR(AC$6*'Historical Holdco'!AB61,0)</f>
        <v>0</v>
      </c>
    </row>
    <row r="93" spans="1:29" ht="13.7" outlineLevel="1">
      <c r="A93" s="256"/>
      <c r="B93" s="256"/>
      <c r="C93" s="254"/>
      <c r="D93" s="340" t="s">
        <v>1095</v>
      </c>
      <c r="E93" s="341">
        <f>+IFERROR(E$7*'Acquisition BS adjustments'!$C204,0)+IFERROR(E$8*'Acquisition BS adjustments'!$E204,0)</f>
        <v>0</v>
      </c>
      <c r="F93" s="341">
        <f>+IFERROR(F$7*'Acquisition BS adjustments'!$C204,0)+IFERROR(F$8*'Acquisition BS adjustments'!$E204,0)</f>
        <v>0</v>
      </c>
      <c r="G93" s="341">
        <f>+IFERROR(G$7*'Acquisition BS adjustments'!$C204,0)+IFERROR(G$8*'Acquisition BS adjustments'!$E204,0)</f>
        <v>0</v>
      </c>
      <c r="H93" s="341">
        <f>+IFERROR(H$7*'Acquisition BS adjustments'!$C204,0)+IFERROR(H$8*'Acquisition BS adjustments'!$E204,0)</f>
        <v>0</v>
      </c>
      <c r="I93" s="341">
        <f>+IFERROR(I$7*'Acquisition BS adjustments'!$C204,0)+IFERROR(I$8*'Acquisition BS adjustments'!$E204,0)</f>
        <v>0</v>
      </c>
      <c r="J93" s="341">
        <f>+IFERROR(J$7*'Acquisition BS adjustments'!$C204,0)+IFERROR(J$8*'Acquisition BS adjustments'!$E204,0)</f>
        <v>0</v>
      </c>
      <c r="K93" s="341">
        <f>+IFERROR(K$7*'Acquisition BS adjustments'!$C204,0)+IFERROR(K$8*'Acquisition BS adjustments'!$E204,0)</f>
        <v>0</v>
      </c>
      <c r="L93" s="341">
        <f>+IFERROR(L$7*'Acquisition BS adjustments'!$C204,0)+IFERROR(L$8*'Acquisition BS adjustments'!$E204,0)</f>
        <v>0</v>
      </c>
      <c r="M93" s="341">
        <f>+IFERROR(M$7*'Acquisition BS adjustments'!$C204,0)+IFERROR(M$8*'Acquisition BS adjustments'!$E204,0)</f>
        <v>0</v>
      </c>
      <c r="N93" s="341">
        <f>+IFERROR(N$7*'Acquisition BS adjustments'!$C204,0)+IFERROR(N$8*'Acquisition BS adjustments'!$E204,0)</f>
        <v>0</v>
      </c>
      <c r="O93" s="341">
        <f>+IFERROR(O$7*'Acquisition BS adjustments'!$C204,0)+IFERROR(O$8*'Acquisition BS adjustments'!$E204,0)</f>
        <v>0</v>
      </c>
      <c r="P93" s="341">
        <f>+IFERROR(P$7*'Acquisition BS adjustments'!$C204,0)+IFERROR(P$8*'Acquisition BS adjustments'!$E204,0)</f>
        <v>0</v>
      </c>
      <c r="Q93" s="341">
        <f>+IFERROR(Q$7*'Acquisition BS adjustments'!$C204,0)+IFERROR(Q$8*'Acquisition BS adjustments'!$E204,0)</f>
        <v>0</v>
      </c>
      <c r="R93" s="341">
        <f>+IFERROR(R$7*'Acquisition BS adjustments'!$C204,0)+IFERROR(R$8*'Acquisition BS adjustments'!$E204,0)</f>
        <v>0</v>
      </c>
      <c r="S93" s="341">
        <f>+IFERROR(S$7*'Acquisition BS adjustments'!$C204,0)+IFERROR(S$8*'Acquisition BS adjustments'!$E204,0)</f>
        <v>0</v>
      </c>
      <c r="T93" s="341">
        <f>+IFERROR(T$7*'Acquisition BS adjustments'!$C204,0)+IFERROR(T$8*'Acquisition BS adjustments'!$E204,0)</f>
        <v>0</v>
      </c>
      <c r="U93" s="341">
        <f>+IFERROR(U$7*'Acquisition BS adjustments'!$C204,0)+IFERROR(U$8*'Acquisition BS adjustments'!$E204,0)</f>
        <v>0</v>
      </c>
      <c r="V93" s="341">
        <f>+IFERROR(V$7*'Acquisition BS adjustments'!$C204,0)+IFERROR(V$8*'Acquisition BS adjustments'!$E204,0)</f>
        <v>0</v>
      </c>
      <c r="W93" s="341">
        <f>+IFERROR(W$7*'Acquisition BS adjustments'!$C204,0)+IFERROR(W$8*'Acquisition BS adjustments'!$E204,0)</f>
        <v>0</v>
      </c>
      <c r="X93" s="341">
        <f>+IFERROR(X$7*'Acquisition BS adjustments'!$C204,0)+IFERROR(X$8*'Acquisition BS adjustments'!$E204,0)</f>
        <v>0</v>
      </c>
      <c r="Y93" s="341">
        <f>+IFERROR(Y$7*'Acquisition BS adjustments'!$C204,0)+IFERROR(Y$8*'Acquisition BS adjustments'!$E204,0)</f>
        <v>0</v>
      </c>
      <c r="Z93" s="341">
        <f>+IFERROR(Z$7*'Acquisition BS adjustments'!$C204,0)+IFERROR(Z$8*'Acquisition BS adjustments'!$E204,0)</f>
        <v>0</v>
      </c>
      <c r="AA93" s="341">
        <f>+IFERROR(AA$7*'Acquisition BS adjustments'!$C204,0)+IFERROR(AA$8*'Acquisition BS adjustments'!$E204,0)</f>
        <v>0</v>
      </c>
      <c r="AB93" s="341">
        <f>+IFERROR(AB$7*'Acquisition BS adjustments'!$C204,0)+IFERROR(AB$8*'Acquisition BS adjustments'!$E204,0)</f>
        <v>0</v>
      </c>
      <c r="AC93" s="341">
        <f>+IFERROR(AC$7*'Acquisition BS adjustments'!$C204,0)+IFERROR(AC$8*'Acquisition BS adjustments'!$E204,0)</f>
        <v>0</v>
      </c>
    </row>
    <row r="94" spans="1:29" ht="13.7" outlineLevel="1">
      <c r="A94" s="256"/>
      <c r="B94" s="256"/>
      <c r="C94" s="254"/>
      <c r="D94" s="340" t="s">
        <v>990</v>
      </c>
      <c r="E94" s="341">
        <v>0</v>
      </c>
      <c r="F94" s="341">
        <v>0</v>
      </c>
      <c r="G94" s="341">
        <v>0</v>
      </c>
      <c r="H94" s="341">
        <v>0</v>
      </c>
      <c r="I94" s="341">
        <v>0</v>
      </c>
      <c r="J94" s="341">
        <v>0</v>
      </c>
      <c r="K94" s="341">
        <v>0</v>
      </c>
      <c r="L94" s="341">
        <v>0</v>
      </c>
      <c r="M94" s="341">
        <v>0</v>
      </c>
      <c r="N94" s="341">
        <v>0</v>
      </c>
      <c r="O94" s="341">
        <v>0</v>
      </c>
      <c r="P94" s="341">
        <v>0</v>
      </c>
      <c r="Q94" s="341">
        <v>0</v>
      </c>
      <c r="R94" s="341">
        <v>0</v>
      </c>
      <c r="S94" s="341">
        <v>0</v>
      </c>
      <c r="T94" s="341">
        <v>0</v>
      </c>
      <c r="U94" s="341">
        <v>0</v>
      </c>
      <c r="V94" s="341">
        <v>0</v>
      </c>
      <c r="W94" s="341">
        <v>0</v>
      </c>
      <c r="X94" s="341">
        <v>0</v>
      </c>
      <c r="Y94" s="341">
        <v>0</v>
      </c>
      <c r="Z94" s="341">
        <v>0</v>
      </c>
      <c r="AA94" s="341">
        <v>0</v>
      </c>
      <c r="AB94" s="341">
        <v>0</v>
      </c>
      <c r="AC94" s="341">
        <v>0</v>
      </c>
    </row>
    <row r="95" spans="1:29" ht="13.7">
      <c r="A95" s="256"/>
      <c r="B95" s="256"/>
      <c r="C95" s="254" t="s">
        <v>230</v>
      </c>
      <c r="D95" s="255"/>
      <c r="E95" s="255">
        <f>SUM(E96:E98)</f>
        <v>0</v>
      </c>
      <c r="F95" s="255">
        <f t="shared" ref="F95:P95" si="82">SUM(F96:F98)</f>
        <v>0</v>
      </c>
      <c r="G95" s="255">
        <f t="shared" si="82"/>
        <v>0</v>
      </c>
      <c r="H95" s="255">
        <f t="shared" si="82"/>
        <v>0</v>
      </c>
      <c r="I95" s="255">
        <f t="shared" si="82"/>
        <v>0</v>
      </c>
      <c r="J95" s="255">
        <f t="shared" si="82"/>
        <v>0</v>
      </c>
      <c r="K95" s="255">
        <f t="shared" si="82"/>
        <v>0</v>
      </c>
      <c r="L95" s="255">
        <f t="shared" si="82"/>
        <v>0</v>
      </c>
      <c r="M95" s="255">
        <f t="shared" si="82"/>
        <v>0</v>
      </c>
      <c r="N95" s="255">
        <f t="shared" si="82"/>
        <v>0</v>
      </c>
      <c r="O95" s="255">
        <f t="shared" si="82"/>
        <v>0</v>
      </c>
      <c r="P95" s="255">
        <f t="shared" si="82"/>
        <v>0</v>
      </c>
      <c r="Q95" s="255">
        <f t="shared" ref="Q95:AC95" si="83">SUM(Q96:Q98)</f>
        <v>0</v>
      </c>
      <c r="R95" s="255">
        <f t="shared" si="83"/>
        <v>0</v>
      </c>
      <c r="S95" s="255">
        <f t="shared" si="83"/>
        <v>0</v>
      </c>
      <c r="T95" s="255">
        <f t="shared" si="83"/>
        <v>0</v>
      </c>
      <c r="U95" s="255">
        <f t="shared" si="83"/>
        <v>0</v>
      </c>
      <c r="V95" s="255">
        <f t="shared" si="83"/>
        <v>0</v>
      </c>
      <c r="W95" s="255">
        <f t="shared" si="83"/>
        <v>0</v>
      </c>
      <c r="X95" s="255">
        <f t="shared" si="83"/>
        <v>0</v>
      </c>
      <c r="Y95" s="255">
        <f t="shared" si="83"/>
        <v>0</v>
      </c>
      <c r="Z95" s="255">
        <f t="shared" si="83"/>
        <v>0</v>
      </c>
      <c r="AA95" s="255">
        <f t="shared" si="83"/>
        <v>0</v>
      </c>
      <c r="AB95" s="255">
        <f t="shared" si="83"/>
        <v>0</v>
      </c>
      <c r="AC95" s="255">
        <f t="shared" si="83"/>
        <v>0</v>
      </c>
    </row>
    <row r="96" spans="1:29" ht="13.7" outlineLevel="1">
      <c r="C96" s="254"/>
      <c r="D96" s="340" t="s">
        <v>1094</v>
      </c>
      <c r="E96" s="341">
        <f>IFERROR(E$6*'Historical Holdco'!D62,0)</f>
        <v>0</v>
      </c>
      <c r="F96" s="341">
        <f>IFERROR(F$6*'Historical Holdco'!E62,0)</f>
        <v>0</v>
      </c>
      <c r="G96" s="341">
        <f>IFERROR(G$6*'Historical Holdco'!F62,0)</f>
        <v>0</v>
      </c>
      <c r="H96" s="341">
        <f>IFERROR(H$6*'Historical Holdco'!G62,0)</f>
        <v>0</v>
      </c>
      <c r="I96" s="341">
        <f>IFERROR(I$6*'Historical Holdco'!H62,0)</f>
        <v>0</v>
      </c>
      <c r="J96" s="341">
        <f>IFERROR(J$6*'Historical Holdco'!I62,0)</f>
        <v>0</v>
      </c>
      <c r="K96" s="341">
        <f>IFERROR(K$6*'Historical Holdco'!J62,0)</f>
        <v>0</v>
      </c>
      <c r="L96" s="341">
        <f>IFERROR(L$6*'Historical Holdco'!K62,0)</f>
        <v>0</v>
      </c>
      <c r="M96" s="341">
        <f>IFERROR(M$6*'Historical Holdco'!L62,0)</f>
        <v>0</v>
      </c>
      <c r="N96" s="341">
        <f>IFERROR(N$6*'Historical Holdco'!M62,0)</f>
        <v>0</v>
      </c>
      <c r="O96" s="341">
        <f>IFERROR(O$6*'Historical Holdco'!N62,0)</f>
        <v>0</v>
      </c>
      <c r="P96" s="341">
        <f>IFERROR(P$6*'Historical Holdco'!O62,0)</f>
        <v>0</v>
      </c>
      <c r="Q96" s="341">
        <f>IFERROR(Q$6*'Historical Holdco'!P62,0)</f>
        <v>0</v>
      </c>
      <c r="R96" s="341">
        <f>IFERROR(R$6*'Historical Holdco'!Q62,0)</f>
        <v>0</v>
      </c>
      <c r="S96" s="341">
        <f>IFERROR(S$6*'Historical Holdco'!R62,0)</f>
        <v>0</v>
      </c>
      <c r="T96" s="341">
        <f>IFERROR(T$6*'Historical Holdco'!S62,0)</f>
        <v>0</v>
      </c>
      <c r="U96" s="341">
        <f>IFERROR(U$6*'Historical Holdco'!T62,0)</f>
        <v>0</v>
      </c>
      <c r="V96" s="341">
        <f>IFERROR(V$6*'Historical Holdco'!U62,0)</f>
        <v>0</v>
      </c>
      <c r="W96" s="341">
        <f>IFERROR(W$6*'Historical Holdco'!V62,0)</f>
        <v>0</v>
      </c>
      <c r="X96" s="341">
        <f>IFERROR(X$6*'Historical Holdco'!W62,0)</f>
        <v>0</v>
      </c>
      <c r="Y96" s="341">
        <f>IFERROR(Y$6*'Historical Holdco'!X62,0)</f>
        <v>0</v>
      </c>
      <c r="Z96" s="341">
        <f>IFERROR(Z$6*'Historical Holdco'!Y62,0)</f>
        <v>0</v>
      </c>
      <c r="AA96" s="341">
        <f>IFERROR(AA$6*'Historical Holdco'!Z62,0)</f>
        <v>0</v>
      </c>
      <c r="AB96" s="341">
        <f>IFERROR(AB$6*'Historical Holdco'!AA62,0)</f>
        <v>0</v>
      </c>
      <c r="AC96" s="341">
        <f>IFERROR(AC$6*'Historical Holdco'!AB62,0)</f>
        <v>0</v>
      </c>
    </row>
    <row r="97" spans="1:29" ht="13.7" outlineLevel="1">
      <c r="C97" s="254"/>
      <c r="D97" s="340" t="s">
        <v>1095</v>
      </c>
      <c r="E97" s="341">
        <f>+IFERROR(E$7*'Acquisition BS adjustments'!$C205,0)+IFERROR(E$8*'Acquisition BS adjustments'!$E205,0)</f>
        <v>0</v>
      </c>
      <c r="F97" s="341">
        <f>+IFERROR(F$7*'Acquisition BS adjustments'!$C205,0)+IFERROR(F$8*'Acquisition BS adjustments'!$E205,0)</f>
        <v>0</v>
      </c>
      <c r="G97" s="341">
        <f>+IFERROR(G$7*'Acquisition BS adjustments'!$C205,0)+IFERROR(G$8*'Acquisition BS adjustments'!$E205,0)</f>
        <v>0</v>
      </c>
      <c r="H97" s="341">
        <f>+IFERROR(H$7*'Acquisition BS adjustments'!$C205,0)+IFERROR(H$8*'Acquisition BS adjustments'!$E205,0)</f>
        <v>0</v>
      </c>
      <c r="I97" s="341">
        <f>+IFERROR(I$7*'Acquisition BS adjustments'!$C205,0)+IFERROR(I$8*'Acquisition BS adjustments'!$E205,0)</f>
        <v>0</v>
      </c>
      <c r="J97" s="341">
        <f>+IFERROR(J$7*'Acquisition BS adjustments'!$C205,0)+IFERROR(J$8*'Acquisition BS adjustments'!$E205,0)</f>
        <v>0</v>
      </c>
      <c r="K97" s="341">
        <f>+IFERROR(K$7*'Acquisition BS adjustments'!$C205,0)+IFERROR(K$8*'Acquisition BS adjustments'!$E205,0)</f>
        <v>0</v>
      </c>
      <c r="L97" s="341">
        <f>+IFERROR(L$7*'Acquisition BS adjustments'!$C205,0)+IFERROR(L$8*'Acquisition BS adjustments'!$E205,0)</f>
        <v>0</v>
      </c>
      <c r="M97" s="341">
        <f>+IFERROR(M$7*'Acquisition BS adjustments'!$C205,0)+IFERROR(M$8*'Acquisition BS adjustments'!$E205,0)</f>
        <v>0</v>
      </c>
      <c r="N97" s="341">
        <f>+IFERROR(N$7*'Acquisition BS adjustments'!$C205,0)+IFERROR(N$8*'Acquisition BS adjustments'!$E205,0)</f>
        <v>0</v>
      </c>
      <c r="O97" s="341">
        <f>+IFERROR(O$7*'Acquisition BS adjustments'!$C205,0)+IFERROR(O$8*'Acquisition BS adjustments'!$E205,0)</f>
        <v>0</v>
      </c>
      <c r="P97" s="341">
        <f>+IFERROR(P$7*'Acquisition BS adjustments'!$C205,0)+IFERROR(P$8*'Acquisition BS adjustments'!$E205,0)</f>
        <v>0</v>
      </c>
      <c r="Q97" s="341">
        <f>+IFERROR(Q$7*'Acquisition BS adjustments'!$C205,0)+IFERROR(Q$8*'Acquisition BS adjustments'!$E205,0)</f>
        <v>0</v>
      </c>
      <c r="R97" s="341">
        <f>+IFERROR(R$7*'Acquisition BS adjustments'!$C205,0)+IFERROR(R$8*'Acquisition BS adjustments'!$E205,0)</f>
        <v>0</v>
      </c>
      <c r="S97" s="341">
        <f>+IFERROR(S$7*'Acquisition BS adjustments'!$C205,0)+IFERROR(S$8*'Acquisition BS adjustments'!$E205,0)</f>
        <v>0</v>
      </c>
      <c r="T97" s="341">
        <f>+IFERROR(T$7*'Acquisition BS adjustments'!$C205,0)+IFERROR(T$8*'Acquisition BS adjustments'!$E205,0)</f>
        <v>0</v>
      </c>
      <c r="U97" s="341">
        <f>+IFERROR(U$7*'Acquisition BS adjustments'!$C205,0)+IFERROR(U$8*'Acquisition BS adjustments'!$E205,0)</f>
        <v>0</v>
      </c>
      <c r="V97" s="341">
        <f>+IFERROR(V$7*'Acquisition BS adjustments'!$C205,0)+IFERROR(V$8*'Acquisition BS adjustments'!$E205,0)</f>
        <v>0</v>
      </c>
      <c r="W97" s="341">
        <f>+IFERROR(W$7*'Acquisition BS adjustments'!$C205,0)+IFERROR(W$8*'Acquisition BS adjustments'!$E205,0)</f>
        <v>0</v>
      </c>
      <c r="X97" s="341">
        <f>+IFERROR(X$7*'Acquisition BS adjustments'!$C205,0)+IFERROR(X$8*'Acquisition BS adjustments'!$E205,0)</f>
        <v>0</v>
      </c>
      <c r="Y97" s="341">
        <f>+IFERROR(Y$7*'Acquisition BS adjustments'!$C205,0)+IFERROR(Y$8*'Acquisition BS adjustments'!$E205,0)</f>
        <v>0</v>
      </c>
      <c r="Z97" s="341">
        <f>+IFERROR(Z$7*'Acquisition BS adjustments'!$C205,0)+IFERROR(Z$8*'Acquisition BS adjustments'!$E205,0)</f>
        <v>0</v>
      </c>
      <c r="AA97" s="341">
        <f>+IFERROR(AA$7*'Acquisition BS adjustments'!$C205,0)+IFERROR(AA$8*'Acquisition BS adjustments'!$E205,0)</f>
        <v>0</v>
      </c>
      <c r="AB97" s="341">
        <f>+IFERROR(AB$7*'Acquisition BS adjustments'!$C205,0)+IFERROR(AB$8*'Acquisition BS adjustments'!$E205,0)</f>
        <v>0</v>
      </c>
      <c r="AC97" s="341">
        <f>+IFERROR(AC$7*'Acquisition BS adjustments'!$C205,0)+IFERROR(AC$8*'Acquisition BS adjustments'!$E205,0)</f>
        <v>0</v>
      </c>
    </row>
    <row r="98" spans="1:29" ht="13.7" outlineLevel="1">
      <c r="C98" s="254"/>
      <c r="D98" s="339" t="s">
        <v>1097</v>
      </c>
      <c r="E98" s="255">
        <f t="shared" ref="E98" si="84">+IFERROR(E9*D95,0)</f>
        <v>0</v>
      </c>
      <c r="F98" s="255">
        <f t="shared" ref="F98" si="85">+IFERROR(F9*E95,0)</f>
        <v>0</v>
      </c>
      <c r="G98" s="255">
        <f t="shared" ref="G98" si="86">+IFERROR(G9*F95,0)</f>
        <v>0</v>
      </c>
      <c r="H98" s="255">
        <f t="shared" ref="H98" si="87">+IFERROR(H9*G95,0)</f>
        <v>0</v>
      </c>
      <c r="I98" s="255">
        <f t="shared" ref="I98" si="88">+IFERROR(I9*H95,0)</f>
        <v>0</v>
      </c>
      <c r="J98" s="255">
        <f t="shared" ref="J98" si="89">+IFERROR(J9*I95,0)</f>
        <v>0</v>
      </c>
      <c r="K98" s="255">
        <f t="shared" ref="K98" si="90">+IFERROR(K9*J95,0)</f>
        <v>0</v>
      </c>
      <c r="L98" s="255">
        <f t="shared" ref="L98" si="91">+IFERROR(L9*K95,0)</f>
        <v>0</v>
      </c>
      <c r="M98" s="255">
        <f t="shared" ref="M98" si="92">+IFERROR(M9*L95,0)</f>
        <v>0</v>
      </c>
      <c r="N98" s="255">
        <f t="shared" ref="N98" si="93">+IFERROR(N9*M95,0)</f>
        <v>0</v>
      </c>
      <c r="O98" s="255">
        <f t="shared" ref="O98" si="94">+IFERROR(O9*N95,0)</f>
        <v>0</v>
      </c>
      <c r="P98" s="255">
        <f t="shared" ref="P98" si="95">+IFERROR(P9*O95,0)</f>
        <v>0</v>
      </c>
      <c r="Q98" s="255">
        <f t="shared" ref="Q98" si="96">+IFERROR(Q9*P95,0)</f>
        <v>0</v>
      </c>
      <c r="R98" s="255">
        <f t="shared" ref="R98" si="97">+IFERROR(R9*Q95,0)</f>
        <v>0</v>
      </c>
      <c r="S98" s="255">
        <f t="shared" ref="S98" si="98">+IFERROR(S9*R95,0)</f>
        <v>0</v>
      </c>
      <c r="T98" s="255">
        <f t="shared" ref="T98" si="99">+IFERROR(T9*S95,0)</f>
        <v>0</v>
      </c>
      <c r="U98" s="255">
        <f t="shared" ref="U98" si="100">+IFERROR(U9*T95,0)</f>
        <v>0</v>
      </c>
      <c r="V98" s="255">
        <f t="shared" ref="V98" si="101">+IFERROR(V9*U95,0)</f>
        <v>0</v>
      </c>
      <c r="W98" s="255">
        <f t="shared" ref="W98" si="102">+IFERROR(W9*V95,0)</f>
        <v>0</v>
      </c>
      <c r="X98" s="255">
        <f t="shared" ref="X98" si="103">+IFERROR(X9*W95,0)</f>
        <v>0</v>
      </c>
      <c r="Y98" s="255">
        <f t="shared" ref="Y98" si="104">+IFERROR(Y9*X95,0)</f>
        <v>0</v>
      </c>
      <c r="Z98" s="255">
        <f t="shared" ref="Z98" si="105">+IFERROR(Z9*Y95,0)</f>
        <v>0</v>
      </c>
      <c r="AA98" s="255">
        <f t="shared" ref="AA98" si="106">+IFERROR(AA9*Z95,0)</f>
        <v>0</v>
      </c>
      <c r="AB98" s="255">
        <f t="shared" ref="AB98" si="107">+IFERROR(AB9*AA95,0)</f>
        <v>0</v>
      </c>
      <c r="AC98" s="255">
        <f t="shared" ref="AC98" si="108">+IFERROR(AC9*AB95,0)</f>
        <v>0</v>
      </c>
    </row>
    <row r="99" spans="1:29" ht="13.7">
      <c r="A99" s="256"/>
      <c r="B99" s="256"/>
      <c r="C99" s="254" t="s">
        <v>231</v>
      </c>
      <c r="D99" s="255"/>
      <c r="E99" s="255">
        <f>SUM(E100:E102)</f>
        <v>0</v>
      </c>
      <c r="F99" s="255">
        <f t="shared" ref="F99:P99" si="109">SUM(F100:F102)</f>
        <v>0</v>
      </c>
      <c r="G99" s="255">
        <f t="shared" si="109"/>
        <v>0</v>
      </c>
      <c r="H99" s="255">
        <f t="shared" si="109"/>
        <v>0</v>
      </c>
      <c r="I99" s="255">
        <f t="shared" si="109"/>
        <v>0</v>
      </c>
      <c r="J99" s="255">
        <f t="shared" si="109"/>
        <v>0</v>
      </c>
      <c r="K99" s="255">
        <f t="shared" ca="1" si="109"/>
        <v>0</v>
      </c>
      <c r="L99" s="255">
        <f t="shared" ca="1" si="109"/>
        <v>0</v>
      </c>
      <c r="M99" s="255">
        <f t="shared" ca="1" si="109"/>
        <v>0</v>
      </c>
      <c r="N99" s="255">
        <f t="shared" ca="1" si="109"/>
        <v>0</v>
      </c>
      <c r="O99" s="255">
        <f t="shared" ca="1" si="109"/>
        <v>0</v>
      </c>
      <c r="P99" s="255">
        <f t="shared" ca="1" si="109"/>
        <v>0</v>
      </c>
      <c r="Q99" s="255">
        <f t="shared" ref="Q99:AC99" si="110">SUM(Q100:Q102)</f>
        <v>0</v>
      </c>
      <c r="R99" s="255">
        <f t="shared" si="110"/>
        <v>0</v>
      </c>
      <c r="S99" s="255">
        <f t="shared" si="110"/>
        <v>0</v>
      </c>
      <c r="T99" s="255">
        <f t="shared" si="110"/>
        <v>0</v>
      </c>
      <c r="U99" s="255">
        <f t="shared" si="110"/>
        <v>0</v>
      </c>
      <c r="V99" s="255">
        <f t="shared" si="110"/>
        <v>0</v>
      </c>
      <c r="W99" s="255">
        <f t="shared" si="110"/>
        <v>0</v>
      </c>
      <c r="X99" s="255">
        <f t="shared" si="110"/>
        <v>0</v>
      </c>
      <c r="Y99" s="255">
        <f t="shared" si="110"/>
        <v>0</v>
      </c>
      <c r="Z99" s="255">
        <f t="shared" si="110"/>
        <v>0</v>
      </c>
      <c r="AA99" s="255">
        <f t="shared" si="110"/>
        <v>0</v>
      </c>
      <c r="AB99" s="255">
        <f t="shared" si="110"/>
        <v>0</v>
      </c>
      <c r="AC99" s="255">
        <f t="shared" si="110"/>
        <v>0</v>
      </c>
    </row>
    <row r="100" spans="1:29" ht="13.7" outlineLevel="1">
      <c r="A100" s="256"/>
      <c r="B100" s="256"/>
      <c r="C100" s="254"/>
      <c r="D100" s="340" t="s">
        <v>1094</v>
      </c>
      <c r="E100" s="340">
        <f>IFERROR(E$6*'Historical Holdco'!D63,0)</f>
        <v>0</v>
      </c>
      <c r="F100" s="340">
        <f>IFERROR(F$6*'Historical Holdco'!E63,0)</f>
        <v>0</v>
      </c>
      <c r="G100" s="340">
        <f>IFERROR(G$6*'Historical Holdco'!F63,0)</f>
        <v>0</v>
      </c>
      <c r="H100" s="340">
        <f>IFERROR(H$6*'Historical Holdco'!G63,0)</f>
        <v>0</v>
      </c>
      <c r="I100" s="340">
        <f>IFERROR(I$6*'Historical Holdco'!H63,0)</f>
        <v>0</v>
      </c>
      <c r="J100" s="340">
        <f>IFERROR(J$6*'Historical Holdco'!I63,0)</f>
        <v>0</v>
      </c>
      <c r="K100" s="340">
        <f>IFERROR(K$6*'Historical Holdco'!J63,0)</f>
        <v>0</v>
      </c>
      <c r="L100" s="340">
        <f>IFERROR(L$6*'Historical Holdco'!K63,0)</f>
        <v>0</v>
      </c>
      <c r="M100" s="340">
        <f>IFERROR(M$6*'Historical Holdco'!L63,0)</f>
        <v>0</v>
      </c>
      <c r="N100" s="340">
        <f>IFERROR(N$6*'Historical Holdco'!M63,0)</f>
        <v>0</v>
      </c>
      <c r="O100" s="340">
        <f>IFERROR(O$6*'Historical Holdco'!N63,0)</f>
        <v>0</v>
      </c>
      <c r="P100" s="340">
        <f>IFERROR(P$6*'Historical Holdco'!O63,0)</f>
        <v>0</v>
      </c>
      <c r="Q100" s="340">
        <f>IFERROR(Q$6*'Historical Holdco'!P63,0)</f>
        <v>0</v>
      </c>
      <c r="R100" s="340">
        <f>IFERROR(R$6*'Historical Holdco'!Q63,0)</f>
        <v>0</v>
      </c>
      <c r="S100" s="340">
        <f>IFERROR(S$6*'Historical Holdco'!R63,0)</f>
        <v>0</v>
      </c>
      <c r="T100" s="340">
        <f>IFERROR(T$6*'Historical Holdco'!S63,0)</f>
        <v>0</v>
      </c>
      <c r="U100" s="340">
        <f>IFERROR(U$6*'Historical Holdco'!T63,0)</f>
        <v>0</v>
      </c>
      <c r="V100" s="340">
        <f>IFERROR(V$6*'Historical Holdco'!U63,0)</f>
        <v>0</v>
      </c>
      <c r="W100" s="340">
        <f>IFERROR(W$6*'Historical Holdco'!V63,0)</f>
        <v>0</v>
      </c>
      <c r="X100" s="340">
        <f>IFERROR(X$6*'Historical Holdco'!W63,0)</f>
        <v>0</v>
      </c>
      <c r="Y100" s="340">
        <f>IFERROR(Y$6*'Historical Holdco'!X63,0)</f>
        <v>0</v>
      </c>
      <c r="Z100" s="340">
        <f>IFERROR(Z$6*'Historical Holdco'!Y63,0)</f>
        <v>0</v>
      </c>
      <c r="AA100" s="340">
        <f>IFERROR(AA$6*'Historical Holdco'!Z63,0)</f>
        <v>0</v>
      </c>
      <c r="AB100" s="340">
        <f>IFERROR(AB$6*'Historical Holdco'!AA63,0)</f>
        <v>0</v>
      </c>
      <c r="AC100" s="340">
        <f>IFERROR(AC$6*'Historical Holdco'!AB63,0)</f>
        <v>0</v>
      </c>
    </row>
    <row r="101" spans="1:29" ht="13.7" outlineLevel="1">
      <c r="A101" s="256"/>
      <c r="B101" s="256"/>
      <c r="C101" s="254"/>
      <c r="D101" s="340" t="s">
        <v>1095</v>
      </c>
      <c r="E101" s="340">
        <f>+IFERROR(E$7*'Acquisition BS adjustments'!$C206,0)+IFERROR(E$8*'Acquisition BS adjustments'!$E206,0)</f>
        <v>0</v>
      </c>
      <c r="F101" s="340">
        <f>+IFERROR(F$7*'Acquisition BS adjustments'!$C206,0)+IFERROR(F$8*'Acquisition BS adjustments'!$E206,0)</f>
        <v>0</v>
      </c>
      <c r="G101" s="340">
        <f>+IFERROR(G$7*'Acquisition BS adjustments'!$C206,0)+IFERROR(G$8*'Acquisition BS adjustments'!$E206,0)</f>
        <v>0</v>
      </c>
      <c r="H101" s="340">
        <f>+IFERROR(H$7*'Acquisition BS adjustments'!$C206,0)+IFERROR(H$8*'Acquisition BS adjustments'!$E206,0)</f>
        <v>0</v>
      </c>
      <c r="I101" s="340">
        <f>+IFERROR(I$7*'Acquisition BS adjustments'!$C206,0)+IFERROR(I$8*'Acquisition BS adjustments'!$E206,0)</f>
        <v>0</v>
      </c>
      <c r="J101" s="340">
        <f>+IFERROR(J$7*'Acquisition BS adjustments'!$C206,0)+IFERROR(J$8*'Acquisition BS adjustments'!$E206,0)</f>
        <v>0</v>
      </c>
      <c r="K101" s="340">
        <f>+IFERROR(K$7*'Acquisition BS adjustments'!$C206,0)+IFERROR(K$8*'Acquisition BS adjustments'!$E206,0)</f>
        <v>0</v>
      </c>
      <c r="L101" s="340">
        <f>+IFERROR(L$7*'Acquisition BS adjustments'!$C206,0)+IFERROR(L$8*'Acquisition BS adjustments'!$E206,0)</f>
        <v>0</v>
      </c>
      <c r="M101" s="340">
        <f>+IFERROR(M$7*'Acquisition BS adjustments'!$C206,0)+IFERROR(M$8*'Acquisition BS adjustments'!$E206,0)</f>
        <v>0</v>
      </c>
      <c r="N101" s="340">
        <f>+IFERROR(N$7*'Acquisition BS adjustments'!$C206,0)+IFERROR(N$8*'Acquisition BS adjustments'!$E206,0)</f>
        <v>0</v>
      </c>
      <c r="O101" s="340">
        <f>+IFERROR(O$7*'Acquisition BS adjustments'!$C206,0)+IFERROR(O$8*'Acquisition BS adjustments'!$E206,0)</f>
        <v>0</v>
      </c>
      <c r="P101" s="340">
        <f>+IFERROR(P$7*'Acquisition BS adjustments'!$C206,0)+IFERROR(P$8*'Acquisition BS adjustments'!$E206,0)</f>
        <v>0</v>
      </c>
      <c r="Q101" s="340">
        <f>+IFERROR(Q$7*'Acquisition BS adjustments'!$C206,0)+IFERROR(Q$8*'Acquisition BS adjustments'!$E206,0)</f>
        <v>0</v>
      </c>
      <c r="R101" s="340">
        <f>+IFERROR(R$7*'Acquisition BS adjustments'!$C206,0)+IFERROR(R$8*'Acquisition BS adjustments'!$E206,0)</f>
        <v>0</v>
      </c>
      <c r="S101" s="340">
        <f>+IFERROR(S$7*'Acquisition BS adjustments'!$C206,0)+IFERROR(S$8*'Acquisition BS adjustments'!$E206,0)</f>
        <v>0</v>
      </c>
      <c r="T101" s="340">
        <f>+IFERROR(T$7*'Acquisition BS adjustments'!$C206,0)+IFERROR(T$8*'Acquisition BS adjustments'!$E206,0)</f>
        <v>0</v>
      </c>
      <c r="U101" s="340">
        <f>+IFERROR(U$7*'Acquisition BS adjustments'!$C206,0)+IFERROR(U$8*'Acquisition BS adjustments'!$E206,0)</f>
        <v>0</v>
      </c>
      <c r="V101" s="340">
        <f>+IFERROR(V$7*'Acquisition BS adjustments'!$C206,0)+IFERROR(V$8*'Acquisition BS adjustments'!$E206,0)</f>
        <v>0</v>
      </c>
      <c r="W101" s="340">
        <f>+IFERROR(W$7*'Acquisition BS adjustments'!$C206,0)+IFERROR(W$8*'Acquisition BS adjustments'!$E206,0)</f>
        <v>0</v>
      </c>
      <c r="X101" s="340">
        <f>+IFERROR(X$7*'Acquisition BS adjustments'!$C206,0)+IFERROR(X$8*'Acquisition BS adjustments'!$E206,0)</f>
        <v>0</v>
      </c>
      <c r="Y101" s="340">
        <f>+IFERROR(Y$7*'Acquisition BS adjustments'!$C206,0)+IFERROR(Y$8*'Acquisition BS adjustments'!$E206,0)</f>
        <v>0</v>
      </c>
      <c r="Z101" s="340">
        <f>+IFERROR(Z$7*'Acquisition BS adjustments'!$C206,0)+IFERROR(Z$8*'Acquisition BS adjustments'!$E206,0)</f>
        <v>0</v>
      </c>
      <c r="AA101" s="340">
        <f>+IFERROR(AA$7*'Acquisition BS adjustments'!$C206,0)+IFERROR(AA$8*'Acquisition BS adjustments'!$E206,0)</f>
        <v>0</v>
      </c>
      <c r="AB101" s="340">
        <f>+IFERROR(AB$7*'Acquisition BS adjustments'!$C206,0)+IFERROR(AB$8*'Acquisition BS adjustments'!$E206,0)</f>
        <v>0</v>
      </c>
      <c r="AC101" s="340">
        <f>+IFERROR(AC$7*'Acquisition BS adjustments'!$C206,0)+IFERROR(AC$8*'Acquisition BS adjustments'!$E206,0)</f>
        <v>0</v>
      </c>
    </row>
    <row r="102" spans="1:29" ht="13.7" outlineLevel="1">
      <c r="A102" s="256"/>
      <c r="B102" s="256"/>
      <c r="C102" s="254"/>
      <c r="D102" s="340" t="s">
        <v>1096</v>
      </c>
      <c r="E102" s="340">
        <f>+IFERROR(E9*INDEX('Financial Quarterly Holdco'!79:79,MATCH('BS Holdco'!E$5,'Financial Quarterly Holdco'!4:4,0)),0)</f>
        <v>0</v>
      </c>
      <c r="F102" s="340">
        <f>+IFERROR(F9*INDEX('Financial Quarterly Holdco'!79:79,MATCH('BS Holdco'!F$5,'Financial Quarterly Holdco'!4:4,0)),0)</f>
        <v>0</v>
      </c>
      <c r="G102" s="340">
        <f>+IFERROR(G9*INDEX('Financial Quarterly Holdco'!79:79,MATCH('BS Holdco'!G$5,'Financial Quarterly Holdco'!4:4,0)),0)</f>
        <v>0</v>
      </c>
      <c r="H102" s="340">
        <f>+IFERROR(H9*INDEX('Financial Quarterly Holdco'!79:79,MATCH('BS Holdco'!H$5,'Financial Quarterly Holdco'!4:4,0)),0)</f>
        <v>0</v>
      </c>
      <c r="I102" s="340">
        <f>+IFERROR(I9*INDEX('Financial Quarterly Holdco'!79:79,MATCH('BS Holdco'!I$5,'Financial Quarterly Holdco'!4:4,0)),0)</f>
        <v>0</v>
      </c>
      <c r="J102" s="340">
        <f>+IFERROR(J9*INDEX('Financial Quarterly Holdco'!79:79,MATCH('BS Holdco'!J$5,'Financial Quarterly Holdco'!4:4,0)),0)</f>
        <v>0</v>
      </c>
      <c r="K102" s="340">
        <f ca="1">+IFERROR(K9*INDEX('Financial Quarterly Holdco'!79:79,MATCH('BS Holdco'!K$5,'Financial Quarterly Holdco'!4:4,0)),0)</f>
        <v>0</v>
      </c>
      <c r="L102" s="340">
        <f ca="1">+IFERROR(L9*INDEX('Financial Quarterly Holdco'!79:79,MATCH('BS Holdco'!L$5,'Financial Quarterly Holdco'!4:4,0)),0)</f>
        <v>0</v>
      </c>
      <c r="M102" s="340">
        <f ca="1">+IFERROR(M9*INDEX('Financial Quarterly Holdco'!79:79,MATCH('BS Holdco'!M$5,'Financial Quarterly Holdco'!4:4,0)),0)</f>
        <v>0</v>
      </c>
      <c r="N102" s="340">
        <f ca="1">+IFERROR(N9*INDEX('Financial Quarterly Holdco'!79:79,MATCH('BS Holdco'!N$5,'Financial Quarterly Holdco'!4:4,0)),0)</f>
        <v>0</v>
      </c>
      <c r="O102" s="340">
        <f ca="1">+IFERROR(O9*INDEX('Financial Quarterly Holdco'!79:79,MATCH('BS Holdco'!O$5,'Financial Quarterly Holdco'!4:4,0)),0)</f>
        <v>0</v>
      </c>
      <c r="P102" s="340">
        <f ca="1">+IFERROR(P9*INDEX('Financial Quarterly Holdco'!79:79,MATCH('BS Holdco'!P$5,'Financial Quarterly Holdco'!4:4,0)),0)</f>
        <v>0</v>
      </c>
      <c r="Q102" s="340">
        <f>+IFERROR(Q9*INDEX('Financial Quarterly Holdco'!79:79,MATCH('BS Holdco'!Q$5,'Financial Quarterly Holdco'!4:4,0)),0)</f>
        <v>0</v>
      </c>
      <c r="R102" s="340">
        <f>+IFERROR(R9*INDEX('Financial Quarterly Holdco'!79:79,MATCH('BS Holdco'!R$5,'Financial Quarterly Holdco'!4:4,0)),0)</f>
        <v>0</v>
      </c>
      <c r="S102" s="340">
        <f>+IFERROR(S9*INDEX('Financial Quarterly Holdco'!79:79,MATCH('BS Holdco'!S$5,'Financial Quarterly Holdco'!4:4,0)),0)</f>
        <v>0</v>
      </c>
      <c r="T102" s="340">
        <f>+IFERROR(T9*INDEX('Financial Quarterly Holdco'!79:79,MATCH('BS Holdco'!T$5,'Financial Quarterly Holdco'!4:4,0)),0)</f>
        <v>0</v>
      </c>
      <c r="U102" s="340">
        <f>+IFERROR(U9*INDEX('Financial Quarterly Holdco'!79:79,MATCH('BS Holdco'!U$5,'Financial Quarterly Holdco'!4:4,0)),0)</f>
        <v>0</v>
      </c>
      <c r="V102" s="340">
        <f>+IFERROR(V9*INDEX('Financial Quarterly Holdco'!79:79,MATCH('BS Holdco'!V$5,'Financial Quarterly Holdco'!4:4,0)),0)</f>
        <v>0</v>
      </c>
      <c r="W102" s="340">
        <f>+IFERROR(W9*INDEX('Financial Quarterly Holdco'!79:79,MATCH('BS Holdco'!W$5,'Financial Quarterly Holdco'!4:4,0)),0)</f>
        <v>0</v>
      </c>
      <c r="X102" s="340">
        <f>+IFERROR(X9*INDEX('Financial Quarterly Holdco'!79:79,MATCH('BS Holdco'!X$5,'Financial Quarterly Holdco'!4:4,0)),0)</f>
        <v>0</v>
      </c>
      <c r="Y102" s="340">
        <f>+IFERROR(Y9*INDEX('Financial Quarterly Holdco'!79:79,MATCH('BS Holdco'!Y$5,'Financial Quarterly Holdco'!4:4,0)),0)</f>
        <v>0</v>
      </c>
      <c r="Z102" s="340">
        <f>+IFERROR(Z9*INDEX('Financial Quarterly Holdco'!79:79,MATCH('BS Holdco'!Z$5,'Financial Quarterly Holdco'!4:4,0)),0)</f>
        <v>0</v>
      </c>
      <c r="AA102" s="340">
        <f>+IFERROR(AA9*INDEX('Financial Quarterly Holdco'!79:79,MATCH('BS Holdco'!AA$5,'Financial Quarterly Holdco'!4:4,0)),0)</f>
        <v>0</v>
      </c>
      <c r="AB102" s="340">
        <f>+IFERROR(AB9*INDEX('Financial Quarterly Holdco'!79:79,MATCH('BS Holdco'!AB$5,'Financial Quarterly Holdco'!4:4,0)),0)</f>
        <v>0</v>
      </c>
      <c r="AC102" s="340">
        <f>+IFERROR(AC9*INDEX('Financial Quarterly Holdco'!79:79,MATCH('BS Holdco'!AC$5,'Financial Quarterly Holdco'!4:4,0)),0)</f>
        <v>0</v>
      </c>
    </row>
    <row r="103" spans="1:29" ht="13.7">
      <c r="A103" s="256"/>
      <c r="B103" s="256"/>
      <c r="C103" s="254" t="s">
        <v>232</v>
      </c>
      <c r="D103" s="255"/>
      <c r="E103" s="255">
        <f>SUM(E104:E105)</f>
        <v>0</v>
      </c>
      <c r="F103" s="255">
        <f t="shared" ref="F103:P103" si="111">SUM(F104:F105)</f>
        <v>0</v>
      </c>
      <c r="G103" s="255">
        <f t="shared" si="111"/>
        <v>0</v>
      </c>
      <c r="H103" s="255">
        <f t="shared" si="111"/>
        <v>0</v>
      </c>
      <c r="I103" s="255">
        <f t="shared" si="111"/>
        <v>0</v>
      </c>
      <c r="J103" s="255">
        <f t="shared" si="111"/>
        <v>0</v>
      </c>
      <c r="K103" s="255">
        <f t="shared" si="111"/>
        <v>0</v>
      </c>
      <c r="L103" s="255">
        <f t="shared" si="111"/>
        <v>0</v>
      </c>
      <c r="M103" s="255">
        <f t="shared" si="111"/>
        <v>0</v>
      </c>
      <c r="N103" s="255">
        <f t="shared" si="111"/>
        <v>0</v>
      </c>
      <c r="O103" s="255">
        <f t="shared" si="111"/>
        <v>0</v>
      </c>
      <c r="P103" s="255">
        <f t="shared" si="111"/>
        <v>0</v>
      </c>
      <c r="Q103" s="255">
        <f t="shared" ref="Q103:AC103" si="112">SUM(Q104:Q105)</f>
        <v>0</v>
      </c>
      <c r="R103" s="255">
        <f t="shared" si="112"/>
        <v>0</v>
      </c>
      <c r="S103" s="255">
        <f t="shared" si="112"/>
        <v>0</v>
      </c>
      <c r="T103" s="255">
        <f t="shared" si="112"/>
        <v>0</v>
      </c>
      <c r="U103" s="255">
        <f t="shared" si="112"/>
        <v>0</v>
      </c>
      <c r="V103" s="255">
        <f t="shared" si="112"/>
        <v>0</v>
      </c>
      <c r="W103" s="255">
        <f t="shared" si="112"/>
        <v>0</v>
      </c>
      <c r="X103" s="255">
        <f t="shared" si="112"/>
        <v>0</v>
      </c>
      <c r="Y103" s="255">
        <f t="shared" si="112"/>
        <v>0</v>
      </c>
      <c r="Z103" s="255">
        <f t="shared" si="112"/>
        <v>0</v>
      </c>
      <c r="AA103" s="255">
        <f t="shared" si="112"/>
        <v>0</v>
      </c>
      <c r="AB103" s="255">
        <f t="shared" si="112"/>
        <v>0</v>
      </c>
      <c r="AC103" s="255">
        <f t="shared" si="112"/>
        <v>0</v>
      </c>
    </row>
    <row r="104" spans="1:29" ht="13.7" outlineLevel="1">
      <c r="A104" s="256"/>
      <c r="B104" s="256"/>
      <c r="C104" s="254"/>
      <c r="D104" s="340" t="s">
        <v>1094</v>
      </c>
      <c r="E104" s="340">
        <f>IFERROR(E$6*'Historical Holdco'!D64,0)</f>
        <v>0</v>
      </c>
      <c r="F104" s="340">
        <f>IFERROR(F$6*'Historical Holdco'!E64,0)</f>
        <v>0</v>
      </c>
      <c r="G104" s="340">
        <f>IFERROR(G$6*'Historical Holdco'!F64,0)</f>
        <v>0</v>
      </c>
      <c r="H104" s="340">
        <f>IFERROR(H$6*'Historical Holdco'!G64,0)</f>
        <v>0</v>
      </c>
      <c r="I104" s="340">
        <f>IFERROR(I$6*'Historical Holdco'!H64,0)</f>
        <v>0</v>
      </c>
      <c r="J104" s="340">
        <f>IFERROR(J$6*'Historical Holdco'!I64,0)</f>
        <v>0</v>
      </c>
      <c r="K104" s="340">
        <f>IFERROR(K$6*'Historical Holdco'!J64,0)</f>
        <v>0</v>
      </c>
      <c r="L104" s="340">
        <f>IFERROR(L$6*'Historical Holdco'!K64,0)</f>
        <v>0</v>
      </c>
      <c r="M104" s="340">
        <f>IFERROR(M$6*'Historical Holdco'!L64,0)</f>
        <v>0</v>
      </c>
      <c r="N104" s="340">
        <f>IFERROR(N$6*'Historical Holdco'!M64,0)</f>
        <v>0</v>
      </c>
      <c r="O104" s="340">
        <f>IFERROR(O$6*'Historical Holdco'!N64,0)</f>
        <v>0</v>
      </c>
      <c r="P104" s="340">
        <f>IFERROR(P$6*'Historical Holdco'!O64,0)</f>
        <v>0</v>
      </c>
      <c r="Q104" s="340">
        <f>IFERROR(Q$6*'Historical Holdco'!P64,0)</f>
        <v>0</v>
      </c>
      <c r="R104" s="340">
        <f>IFERROR(R$6*'Historical Holdco'!Q64,0)</f>
        <v>0</v>
      </c>
      <c r="S104" s="340">
        <f>IFERROR(S$6*'Historical Holdco'!R64,0)</f>
        <v>0</v>
      </c>
      <c r="T104" s="340">
        <f>IFERROR(T$6*'Historical Holdco'!S64,0)</f>
        <v>0</v>
      </c>
      <c r="U104" s="340">
        <f>IFERROR(U$6*'Historical Holdco'!T64,0)</f>
        <v>0</v>
      </c>
      <c r="V104" s="340">
        <f>IFERROR(V$6*'Historical Holdco'!U64,0)</f>
        <v>0</v>
      </c>
      <c r="W104" s="340">
        <f>IFERROR(W$6*'Historical Holdco'!V64,0)</f>
        <v>0</v>
      </c>
      <c r="X104" s="340">
        <f>IFERROR(X$6*'Historical Holdco'!W64,0)</f>
        <v>0</v>
      </c>
      <c r="Y104" s="340">
        <f>IFERROR(Y$6*'Historical Holdco'!X64,0)</f>
        <v>0</v>
      </c>
      <c r="Z104" s="340">
        <f>IFERROR(Z$6*'Historical Holdco'!Y64,0)</f>
        <v>0</v>
      </c>
      <c r="AA104" s="340">
        <f>IFERROR(AA$6*'Historical Holdco'!Z64,0)</f>
        <v>0</v>
      </c>
      <c r="AB104" s="340">
        <f>IFERROR(AB$6*'Historical Holdco'!AA64,0)</f>
        <v>0</v>
      </c>
      <c r="AC104" s="340">
        <f>IFERROR(AC$6*'Historical Holdco'!AB64,0)</f>
        <v>0</v>
      </c>
    </row>
    <row r="105" spans="1:29" ht="13.7" outlineLevel="1">
      <c r="A105" s="256"/>
      <c r="B105" s="256"/>
      <c r="C105" s="254"/>
      <c r="D105" s="340" t="s">
        <v>1095</v>
      </c>
      <c r="E105" s="340">
        <f>+IFERROR(E$7*'Acquisition BS adjustments'!$C207,0)+IFERROR(E$8*'Acquisition BS adjustments'!$E207,0)</f>
        <v>0</v>
      </c>
      <c r="F105" s="340">
        <f>+IFERROR(F$7*'Acquisition BS adjustments'!$C207,0)+IFERROR(F$8*'Acquisition BS adjustments'!$E207,0)</f>
        <v>0</v>
      </c>
      <c r="G105" s="340">
        <f>+IFERROR(G$7*'Acquisition BS adjustments'!$C207,0)+IFERROR(G$8*'Acquisition BS adjustments'!$E207,0)</f>
        <v>0</v>
      </c>
      <c r="H105" s="340">
        <f>+IFERROR(H$7*'Acquisition BS adjustments'!$C207,0)+IFERROR(H$8*'Acquisition BS adjustments'!$E207,0)</f>
        <v>0</v>
      </c>
      <c r="I105" s="340">
        <f>+IFERROR(I$7*'Acquisition BS adjustments'!$C207,0)+IFERROR(I$8*'Acquisition BS adjustments'!$E207,0)</f>
        <v>0</v>
      </c>
      <c r="J105" s="340">
        <f>+IFERROR(J$7*'Acquisition BS adjustments'!$C207,0)+IFERROR(J$8*'Acquisition BS adjustments'!$E207,0)</f>
        <v>0</v>
      </c>
      <c r="K105" s="340">
        <f>+IFERROR(K$7*'Acquisition BS adjustments'!$C207,0)+IFERROR(K$8*'Acquisition BS adjustments'!$E207,0)</f>
        <v>0</v>
      </c>
      <c r="L105" s="340">
        <f>+IFERROR(L$7*'Acquisition BS adjustments'!$C207,0)+IFERROR(L$8*'Acquisition BS adjustments'!$E207,0)</f>
        <v>0</v>
      </c>
      <c r="M105" s="340">
        <f>+IFERROR(M$7*'Acquisition BS adjustments'!$C207,0)+IFERROR(M$8*'Acquisition BS adjustments'!$E207,0)</f>
        <v>0</v>
      </c>
      <c r="N105" s="340">
        <f>+IFERROR(N$7*'Acquisition BS adjustments'!$C207,0)+IFERROR(N$8*'Acquisition BS adjustments'!$E207,0)</f>
        <v>0</v>
      </c>
      <c r="O105" s="340">
        <f>+IFERROR(O$7*'Acquisition BS adjustments'!$C207,0)+IFERROR(O$8*'Acquisition BS adjustments'!$E207,0)</f>
        <v>0</v>
      </c>
      <c r="P105" s="340">
        <f>+IFERROR(P$7*'Acquisition BS adjustments'!$C207,0)+IFERROR(P$8*'Acquisition BS adjustments'!$E207,0)</f>
        <v>0</v>
      </c>
      <c r="Q105" s="340">
        <f>+IFERROR(Q$7*'Acquisition BS adjustments'!$C207,0)+IFERROR(Q$8*'Acquisition BS adjustments'!$E207,0)</f>
        <v>0</v>
      </c>
      <c r="R105" s="340">
        <f>+IFERROR(R$7*'Acquisition BS adjustments'!$C207,0)+IFERROR(R$8*'Acquisition BS adjustments'!$E207,0)</f>
        <v>0</v>
      </c>
      <c r="S105" s="340">
        <f>+IFERROR(S$7*'Acquisition BS adjustments'!$C207,0)+IFERROR(S$8*'Acquisition BS adjustments'!$E207,0)</f>
        <v>0</v>
      </c>
      <c r="T105" s="340">
        <f>+IFERROR(T$7*'Acquisition BS adjustments'!$C207,0)+IFERROR(T$8*'Acquisition BS adjustments'!$E207,0)</f>
        <v>0</v>
      </c>
      <c r="U105" s="340">
        <f>+IFERROR(U$7*'Acquisition BS adjustments'!$C207,0)+IFERROR(U$8*'Acquisition BS adjustments'!$E207,0)</f>
        <v>0</v>
      </c>
      <c r="V105" s="340">
        <f>+IFERROR(V$7*'Acquisition BS adjustments'!$C207,0)+IFERROR(V$8*'Acquisition BS adjustments'!$E207,0)</f>
        <v>0</v>
      </c>
      <c r="W105" s="340">
        <f>+IFERROR(W$7*'Acquisition BS adjustments'!$C207,0)+IFERROR(W$8*'Acquisition BS adjustments'!$E207,0)</f>
        <v>0</v>
      </c>
      <c r="X105" s="340">
        <f>+IFERROR(X$7*'Acquisition BS adjustments'!$C207,0)+IFERROR(X$8*'Acquisition BS adjustments'!$E207,0)</f>
        <v>0</v>
      </c>
      <c r="Y105" s="340">
        <f>+IFERROR(Y$7*'Acquisition BS adjustments'!$C207,0)+IFERROR(Y$8*'Acquisition BS adjustments'!$E207,0)</f>
        <v>0</v>
      </c>
      <c r="Z105" s="340">
        <f>+IFERROR(Z$7*'Acquisition BS adjustments'!$C207,0)+IFERROR(Z$8*'Acquisition BS adjustments'!$E207,0)</f>
        <v>0</v>
      </c>
      <c r="AA105" s="340">
        <f>+IFERROR(AA$7*'Acquisition BS adjustments'!$C207,0)+IFERROR(AA$8*'Acquisition BS adjustments'!$E207,0)</f>
        <v>0</v>
      </c>
      <c r="AB105" s="340">
        <f>+IFERROR(AB$7*'Acquisition BS adjustments'!$C207,0)+IFERROR(AB$8*'Acquisition BS adjustments'!$E207,0)</f>
        <v>0</v>
      </c>
      <c r="AC105" s="340">
        <f>+IFERROR(AC$7*'Acquisition BS adjustments'!$C207,0)+IFERROR(AC$8*'Acquisition BS adjustments'!$E207,0)</f>
        <v>0</v>
      </c>
    </row>
    <row r="106" spans="1:29" ht="13.7">
      <c r="C106" s="46"/>
    </row>
    <row r="107" spans="1:29" ht="13.7">
      <c r="C107" s="181" t="s">
        <v>15</v>
      </c>
      <c r="D107" s="180"/>
      <c r="E107" s="180">
        <f>+E108+E112+E116+E120</f>
        <v>0</v>
      </c>
      <c r="F107" s="180">
        <f t="shared" ref="F107:P107" si="113">+F108+F112+F116+F120</f>
        <v>0</v>
      </c>
      <c r="G107" s="180">
        <f t="shared" si="113"/>
        <v>0</v>
      </c>
      <c r="H107" s="180">
        <f t="shared" si="113"/>
        <v>0</v>
      </c>
      <c r="I107" s="180">
        <f t="shared" si="113"/>
        <v>0</v>
      </c>
      <c r="J107" s="180">
        <f t="shared" si="113"/>
        <v>0</v>
      </c>
      <c r="K107" s="180">
        <f t="shared" ca="1" si="113"/>
        <v>0</v>
      </c>
      <c r="L107" s="180">
        <f t="shared" ca="1" si="113"/>
        <v>0</v>
      </c>
      <c r="M107" s="180">
        <f t="shared" ca="1" si="113"/>
        <v>0</v>
      </c>
      <c r="N107" s="180">
        <f t="shared" ca="1" si="113"/>
        <v>0</v>
      </c>
      <c r="O107" s="180">
        <f t="shared" ca="1" si="113"/>
        <v>0</v>
      </c>
      <c r="P107" s="180">
        <f t="shared" ca="1" si="113"/>
        <v>0</v>
      </c>
      <c r="Q107" s="180">
        <f t="shared" ref="Q107:AC107" si="114">+Q108+Q112+Q116+Q120</f>
        <v>0</v>
      </c>
      <c r="R107" s="180">
        <f t="shared" si="114"/>
        <v>0</v>
      </c>
      <c r="S107" s="180">
        <f t="shared" si="114"/>
        <v>0</v>
      </c>
      <c r="T107" s="180">
        <f t="shared" si="114"/>
        <v>0</v>
      </c>
      <c r="U107" s="180">
        <f t="shared" si="114"/>
        <v>0</v>
      </c>
      <c r="V107" s="180">
        <f t="shared" si="114"/>
        <v>0</v>
      </c>
      <c r="W107" s="180">
        <f t="shared" si="114"/>
        <v>0</v>
      </c>
      <c r="X107" s="180">
        <f t="shared" si="114"/>
        <v>0</v>
      </c>
      <c r="Y107" s="180">
        <f t="shared" si="114"/>
        <v>0</v>
      </c>
      <c r="Z107" s="180">
        <f t="shared" si="114"/>
        <v>0</v>
      </c>
      <c r="AA107" s="180">
        <f t="shared" si="114"/>
        <v>0</v>
      </c>
      <c r="AB107" s="180">
        <f t="shared" si="114"/>
        <v>0</v>
      </c>
      <c r="AC107" s="180">
        <f t="shared" si="114"/>
        <v>0</v>
      </c>
    </row>
    <row r="108" spans="1:29" ht="13.7">
      <c r="C108" s="254" t="s">
        <v>234</v>
      </c>
      <c r="D108" s="255"/>
      <c r="E108" s="255">
        <f>SUM(E109:E111)</f>
        <v>0</v>
      </c>
      <c r="F108" s="255">
        <f t="shared" ref="F108:P108" si="115">SUM(F109:F111)</f>
        <v>0</v>
      </c>
      <c r="G108" s="255">
        <f t="shared" si="115"/>
        <v>0</v>
      </c>
      <c r="H108" s="255">
        <f t="shared" si="115"/>
        <v>0</v>
      </c>
      <c r="I108" s="255">
        <f t="shared" si="115"/>
        <v>0</v>
      </c>
      <c r="J108" s="255">
        <f t="shared" si="115"/>
        <v>0</v>
      </c>
      <c r="K108" s="255">
        <f t="shared" si="115"/>
        <v>0</v>
      </c>
      <c r="L108" s="255">
        <f t="shared" si="115"/>
        <v>0</v>
      </c>
      <c r="M108" s="255">
        <f t="shared" si="115"/>
        <v>0</v>
      </c>
      <c r="N108" s="255">
        <f t="shared" si="115"/>
        <v>0</v>
      </c>
      <c r="O108" s="255">
        <f t="shared" si="115"/>
        <v>0</v>
      </c>
      <c r="P108" s="255">
        <f t="shared" si="115"/>
        <v>0</v>
      </c>
      <c r="Q108" s="255">
        <f t="shared" ref="Q108:AC108" si="116">SUM(Q109:Q111)</f>
        <v>0</v>
      </c>
      <c r="R108" s="255">
        <f t="shared" si="116"/>
        <v>0</v>
      </c>
      <c r="S108" s="255">
        <f t="shared" si="116"/>
        <v>0</v>
      </c>
      <c r="T108" s="255">
        <f t="shared" si="116"/>
        <v>0</v>
      </c>
      <c r="U108" s="255">
        <f t="shared" si="116"/>
        <v>0</v>
      </c>
      <c r="V108" s="255">
        <f t="shared" si="116"/>
        <v>0</v>
      </c>
      <c r="W108" s="255">
        <f t="shared" si="116"/>
        <v>0</v>
      </c>
      <c r="X108" s="255">
        <f t="shared" si="116"/>
        <v>0</v>
      </c>
      <c r="Y108" s="255">
        <f t="shared" si="116"/>
        <v>0</v>
      </c>
      <c r="Z108" s="255">
        <f t="shared" si="116"/>
        <v>0</v>
      </c>
      <c r="AA108" s="255">
        <f t="shared" si="116"/>
        <v>0</v>
      </c>
      <c r="AB108" s="255">
        <f t="shared" si="116"/>
        <v>0</v>
      </c>
      <c r="AC108" s="255">
        <f t="shared" si="116"/>
        <v>0</v>
      </c>
    </row>
    <row r="109" spans="1:29" ht="13.7" outlineLevel="1">
      <c r="C109" s="254"/>
      <c r="D109" s="340" t="s">
        <v>1094</v>
      </c>
      <c r="E109" s="341">
        <f>IFERROR(E$6*'Historical Holdco'!D66,0)</f>
        <v>0</v>
      </c>
      <c r="F109" s="341">
        <f>IFERROR(F$6*'Historical Holdco'!E66,0)</f>
        <v>0</v>
      </c>
      <c r="G109" s="341">
        <f>IFERROR(G$6*'Historical Holdco'!F66,0)</f>
        <v>0</v>
      </c>
      <c r="H109" s="341">
        <f>IFERROR(H$6*'Historical Holdco'!G66,0)</f>
        <v>0</v>
      </c>
      <c r="I109" s="341">
        <f>IFERROR(I$6*'Historical Holdco'!H66,0)</f>
        <v>0</v>
      </c>
      <c r="J109" s="341">
        <f>IFERROR(J$6*'Historical Holdco'!I66,0)</f>
        <v>0</v>
      </c>
      <c r="K109" s="341">
        <f>IFERROR(K$6*'Historical Holdco'!J66,0)</f>
        <v>0</v>
      </c>
      <c r="L109" s="341">
        <f>IFERROR(L$6*'Historical Holdco'!K66,0)</f>
        <v>0</v>
      </c>
      <c r="M109" s="341">
        <f>IFERROR(M$6*'Historical Holdco'!L66,0)</f>
        <v>0</v>
      </c>
      <c r="N109" s="341">
        <f>IFERROR(N$6*'Historical Holdco'!M66,0)</f>
        <v>0</v>
      </c>
      <c r="O109" s="341">
        <f>IFERROR(O$6*'Historical Holdco'!N66,0)</f>
        <v>0</v>
      </c>
      <c r="P109" s="341">
        <f>IFERROR(P$6*'Historical Holdco'!O66,0)</f>
        <v>0</v>
      </c>
      <c r="Q109" s="341">
        <f>IFERROR(Q$6*'Historical Holdco'!P66,0)</f>
        <v>0</v>
      </c>
      <c r="R109" s="341">
        <f>IFERROR(R$6*'Historical Holdco'!Q66,0)</f>
        <v>0</v>
      </c>
      <c r="S109" s="341">
        <f>IFERROR(S$6*'Historical Holdco'!R66,0)</f>
        <v>0</v>
      </c>
      <c r="T109" s="341">
        <f>IFERROR(T$6*'Historical Holdco'!S66,0)</f>
        <v>0</v>
      </c>
      <c r="U109" s="341">
        <f>IFERROR(U$6*'Historical Holdco'!T66,0)</f>
        <v>0</v>
      </c>
      <c r="V109" s="341">
        <f>IFERROR(V$6*'Historical Holdco'!U66,0)</f>
        <v>0</v>
      </c>
      <c r="W109" s="341">
        <f>IFERROR(W$6*'Historical Holdco'!V66,0)</f>
        <v>0</v>
      </c>
      <c r="X109" s="341">
        <f>IFERROR(X$6*'Historical Holdco'!W66,0)</f>
        <v>0</v>
      </c>
      <c r="Y109" s="341">
        <f>IFERROR(Y$6*'Historical Holdco'!X66,0)</f>
        <v>0</v>
      </c>
      <c r="Z109" s="341">
        <f>IFERROR(Z$6*'Historical Holdco'!Y66,0)</f>
        <v>0</v>
      </c>
      <c r="AA109" s="341">
        <f>IFERROR(AA$6*'Historical Holdco'!Z66,0)</f>
        <v>0</v>
      </c>
      <c r="AB109" s="341">
        <f>IFERROR(AB$6*'Historical Holdco'!AA66,0)</f>
        <v>0</v>
      </c>
      <c r="AC109" s="341">
        <f>IFERROR(AC$6*'Historical Holdco'!AB66,0)</f>
        <v>0</v>
      </c>
    </row>
    <row r="110" spans="1:29" ht="13.7" outlineLevel="1">
      <c r="C110" s="254"/>
      <c r="D110" s="340" t="s">
        <v>1095</v>
      </c>
      <c r="E110" s="341">
        <f>+IFERROR(E$7*'Acquisition BS adjustments'!$C210,0)+IFERROR(E$8*'Acquisition BS adjustments'!$E210,0)</f>
        <v>0</v>
      </c>
      <c r="F110" s="341">
        <f>+IFERROR(F$7*'Acquisition BS adjustments'!$C210,0)+IFERROR(F$8*'Acquisition BS adjustments'!$E210,0)</f>
        <v>0</v>
      </c>
      <c r="G110" s="341">
        <f>+IFERROR(G$7*'Acquisition BS adjustments'!$C210,0)+IFERROR(G$8*'Acquisition BS adjustments'!$E210,0)</f>
        <v>0</v>
      </c>
      <c r="H110" s="341">
        <f>+IFERROR(H$7*'Acquisition BS adjustments'!$C210,0)+IFERROR(H$8*'Acquisition BS adjustments'!$E210,0)</f>
        <v>0</v>
      </c>
      <c r="I110" s="341">
        <f>+IFERROR(I$7*'Acquisition BS adjustments'!$C210,0)+IFERROR(I$8*'Acquisition BS adjustments'!$E210,0)</f>
        <v>0</v>
      </c>
      <c r="J110" s="341">
        <f>+IFERROR(J$7*'Acquisition BS adjustments'!$C210,0)+IFERROR(J$8*'Acquisition BS adjustments'!$E210,0)</f>
        <v>0</v>
      </c>
      <c r="K110" s="341">
        <f>+IFERROR(K$7*'Acquisition BS adjustments'!$C210,0)+IFERROR(K$8*'Acquisition BS adjustments'!$E210,0)</f>
        <v>0</v>
      </c>
      <c r="L110" s="341">
        <f>+IFERROR(L$7*'Acquisition BS adjustments'!$C210,0)+IFERROR(L$8*'Acquisition BS adjustments'!$E210,0)</f>
        <v>0</v>
      </c>
      <c r="M110" s="341">
        <f>+IFERROR(M$7*'Acquisition BS adjustments'!$C210,0)+IFERROR(M$8*'Acquisition BS adjustments'!$E210,0)</f>
        <v>0</v>
      </c>
      <c r="N110" s="341">
        <f>+IFERROR(N$7*'Acquisition BS adjustments'!$C210,0)+IFERROR(N$8*'Acquisition BS adjustments'!$E210,0)</f>
        <v>0</v>
      </c>
      <c r="O110" s="341">
        <f>+IFERROR(O$7*'Acquisition BS adjustments'!$C210,0)+IFERROR(O$8*'Acquisition BS adjustments'!$E210,0)</f>
        <v>0</v>
      </c>
      <c r="P110" s="341">
        <f>+IFERROR(P$7*'Acquisition BS adjustments'!$C210,0)+IFERROR(P$8*'Acquisition BS adjustments'!$E210,0)</f>
        <v>0</v>
      </c>
      <c r="Q110" s="341">
        <f>+IFERROR(Q$7*'Acquisition BS adjustments'!$C210,0)+IFERROR(Q$8*'Acquisition BS adjustments'!$E210,0)</f>
        <v>0</v>
      </c>
      <c r="R110" s="341">
        <f>+IFERROR(R$7*'Acquisition BS adjustments'!$C210,0)+IFERROR(R$8*'Acquisition BS adjustments'!$E210,0)</f>
        <v>0</v>
      </c>
      <c r="S110" s="341">
        <f>+IFERROR(S$7*'Acquisition BS adjustments'!$C210,0)+IFERROR(S$8*'Acquisition BS adjustments'!$E210,0)</f>
        <v>0</v>
      </c>
      <c r="T110" s="341">
        <f>+IFERROR(T$7*'Acquisition BS adjustments'!$C210,0)+IFERROR(T$8*'Acquisition BS adjustments'!$E210,0)</f>
        <v>0</v>
      </c>
      <c r="U110" s="341">
        <f>+IFERROR(U$7*'Acquisition BS adjustments'!$C210,0)+IFERROR(U$8*'Acquisition BS adjustments'!$E210,0)</f>
        <v>0</v>
      </c>
      <c r="V110" s="341">
        <f>+IFERROR(V$7*'Acquisition BS adjustments'!$C210,0)+IFERROR(V$8*'Acquisition BS adjustments'!$E210,0)</f>
        <v>0</v>
      </c>
      <c r="W110" s="341">
        <f>+IFERROR(W$7*'Acquisition BS adjustments'!$C210,0)+IFERROR(W$8*'Acquisition BS adjustments'!$E210,0)</f>
        <v>0</v>
      </c>
      <c r="X110" s="341">
        <f>+IFERROR(X$7*'Acquisition BS adjustments'!$C210,0)+IFERROR(X$8*'Acquisition BS adjustments'!$E210,0)</f>
        <v>0</v>
      </c>
      <c r="Y110" s="341">
        <f>+IFERROR(Y$7*'Acquisition BS adjustments'!$C210,0)+IFERROR(Y$8*'Acquisition BS adjustments'!$E210,0)</f>
        <v>0</v>
      </c>
      <c r="Z110" s="341">
        <f>+IFERROR(Z$7*'Acquisition BS adjustments'!$C210,0)+IFERROR(Z$8*'Acquisition BS adjustments'!$E210,0)</f>
        <v>0</v>
      </c>
      <c r="AA110" s="341">
        <f>+IFERROR(AA$7*'Acquisition BS adjustments'!$C210,0)+IFERROR(AA$8*'Acquisition BS adjustments'!$E210,0)</f>
        <v>0</v>
      </c>
      <c r="AB110" s="341">
        <f>+IFERROR(AB$7*'Acquisition BS adjustments'!$C210,0)+IFERROR(AB$8*'Acquisition BS adjustments'!$E210,0)</f>
        <v>0</v>
      </c>
      <c r="AC110" s="341">
        <f>+IFERROR(AC$7*'Acquisition BS adjustments'!$C210,0)+IFERROR(AC$8*'Acquisition BS adjustments'!$E210,0)</f>
        <v>0</v>
      </c>
    </row>
    <row r="111" spans="1:29" ht="13.7" outlineLevel="1">
      <c r="C111" s="254"/>
      <c r="D111" s="339" t="s">
        <v>1097</v>
      </c>
      <c r="E111" s="255">
        <f t="shared" ref="E111" si="117">+IFERROR(D108*E9,0)</f>
        <v>0</v>
      </c>
      <c r="F111" s="255">
        <f t="shared" ref="F111" si="118">+IFERROR(E108*F9,0)</f>
        <v>0</v>
      </c>
      <c r="G111" s="255">
        <f t="shared" ref="G111" si="119">+IFERROR(F108*G9,0)</f>
        <v>0</v>
      </c>
      <c r="H111" s="255">
        <f t="shared" ref="H111" si="120">+IFERROR(G108*H9,0)</f>
        <v>0</v>
      </c>
      <c r="I111" s="255">
        <f t="shared" ref="I111" si="121">+IFERROR(H108*I9,0)</f>
        <v>0</v>
      </c>
      <c r="J111" s="255">
        <f t="shared" ref="J111" si="122">+IFERROR(I108*J9,0)</f>
        <v>0</v>
      </c>
      <c r="K111" s="255">
        <f t="shared" ref="K111" si="123">+IFERROR(J108*K9,0)</f>
        <v>0</v>
      </c>
      <c r="L111" s="255">
        <f t="shared" ref="L111" si="124">+IFERROR(K108*L9,0)</f>
        <v>0</v>
      </c>
      <c r="M111" s="255">
        <f t="shared" ref="M111" si="125">+IFERROR(L108*M9,0)</f>
        <v>0</v>
      </c>
      <c r="N111" s="255">
        <f t="shared" ref="N111" si="126">+IFERROR(M108*N9,0)</f>
        <v>0</v>
      </c>
      <c r="O111" s="255">
        <f t="shared" ref="O111" si="127">+IFERROR(N108*O9,0)</f>
        <v>0</v>
      </c>
      <c r="P111" s="255">
        <f t="shared" ref="P111" si="128">+IFERROR(O108*P9,0)</f>
        <v>0</v>
      </c>
      <c r="Q111" s="255">
        <f t="shared" ref="Q111" si="129">+IFERROR(P108*Q9,0)</f>
        <v>0</v>
      </c>
      <c r="R111" s="255">
        <f t="shared" ref="R111" si="130">+IFERROR(Q108*R9,0)</f>
        <v>0</v>
      </c>
      <c r="S111" s="255">
        <f t="shared" ref="S111" si="131">+IFERROR(R108*S9,0)</f>
        <v>0</v>
      </c>
      <c r="T111" s="255">
        <f t="shared" ref="T111" si="132">+IFERROR(S108*T9,0)</f>
        <v>0</v>
      </c>
      <c r="U111" s="255">
        <f t="shared" ref="U111" si="133">+IFERROR(T108*U9,0)</f>
        <v>0</v>
      </c>
      <c r="V111" s="255">
        <f t="shared" ref="V111" si="134">+IFERROR(U108*V9,0)</f>
        <v>0</v>
      </c>
      <c r="W111" s="255">
        <f t="shared" ref="W111" si="135">+IFERROR(V108*W9,0)</f>
        <v>0</v>
      </c>
      <c r="X111" s="255">
        <f t="shared" ref="X111" si="136">+IFERROR(W108*X9,0)</f>
        <v>0</v>
      </c>
      <c r="Y111" s="255">
        <f t="shared" ref="Y111" si="137">+IFERROR(X108*Y9,0)</f>
        <v>0</v>
      </c>
      <c r="Z111" s="255">
        <f t="shared" ref="Z111" si="138">+IFERROR(Y108*Z9,0)</f>
        <v>0</v>
      </c>
      <c r="AA111" s="255">
        <f t="shared" ref="AA111" si="139">+IFERROR(Z108*AA9,0)</f>
        <v>0</v>
      </c>
      <c r="AB111" s="255">
        <f t="shared" ref="AB111" si="140">+IFERROR(AA108*AB9,0)</f>
        <v>0</v>
      </c>
      <c r="AC111" s="255">
        <f t="shared" ref="AC111" si="141">+IFERROR(AB108*AC9,0)</f>
        <v>0</v>
      </c>
    </row>
    <row r="112" spans="1:29" ht="13.7">
      <c r="C112" s="254" t="s">
        <v>852</v>
      </c>
      <c r="D112" s="255"/>
      <c r="E112" s="255">
        <f>SUM(E113:E115)</f>
        <v>0</v>
      </c>
      <c r="F112" s="255">
        <f t="shared" ref="F112:P112" si="142">SUM(F113:F115)</f>
        <v>0</v>
      </c>
      <c r="G112" s="255">
        <f t="shared" si="142"/>
        <v>0</v>
      </c>
      <c r="H112" s="255">
        <f t="shared" si="142"/>
        <v>0</v>
      </c>
      <c r="I112" s="255">
        <f t="shared" si="142"/>
        <v>0</v>
      </c>
      <c r="J112" s="255">
        <f t="shared" si="142"/>
        <v>0</v>
      </c>
      <c r="K112" s="255">
        <f t="shared" ca="1" si="142"/>
        <v>0</v>
      </c>
      <c r="L112" s="255">
        <f t="shared" ca="1" si="142"/>
        <v>0</v>
      </c>
      <c r="M112" s="255">
        <f t="shared" ca="1" si="142"/>
        <v>0</v>
      </c>
      <c r="N112" s="255">
        <f t="shared" ca="1" si="142"/>
        <v>0</v>
      </c>
      <c r="O112" s="255">
        <f t="shared" ca="1" si="142"/>
        <v>0</v>
      </c>
      <c r="P112" s="255">
        <f t="shared" ca="1" si="142"/>
        <v>0</v>
      </c>
      <c r="Q112" s="255">
        <f t="shared" ref="Q112:AC112" si="143">SUM(Q113:Q115)</f>
        <v>0</v>
      </c>
      <c r="R112" s="255">
        <f t="shared" si="143"/>
        <v>0</v>
      </c>
      <c r="S112" s="255">
        <f t="shared" si="143"/>
        <v>0</v>
      </c>
      <c r="T112" s="255">
        <f t="shared" si="143"/>
        <v>0</v>
      </c>
      <c r="U112" s="255">
        <f t="shared" si="143"/>
        <v>0</v>
      </c>
      <c r="V112" s="255">
        <f t="shared" si="143"/>
        <v>0</v>
      </c>
      <c r="W112" s="255">
        <f t="shared" si="143"/>
        <v>0</v>
      </c>
      <c r="X112" s="255">
        <f t="shared" si="143"/>
        <v>0</v>
      </c>
      <c r="Y112" s="255">
        <f t="shared" si="143"/>
        <v>0</v>
      </c>
      <c r="Z112" s="255">
        <f t="shared" si="143"/>
        <v>0</v>
      </c>
      <c r="AA112" s="255">
        <f t="shared" si="143"/>
        <v>0</v>
      </c>
      <c r="AB112" s="255">
        <f t="shared" si="143"/>
        <v>0</v>
      </c>
      <c r="AC112" s="255">
        <f t="shared" si="143"/>
        <v>0</v>
      </c>
    </row>
    <row r="113" spans="1:29" ht="13.7" outlineLevel="1">
      <c r="A113" s="256"/>
      <c r="B113" s="256"/>
      <c r="C113" s="254"/>
      <c r="D113" s="340" t="s">
        <v>1094</v>
      </c>
      <c r="E113" s="340">
        <f>IFERROR(E$6*'Historical Holdco'!D67,0)</f>
        <v>0</v>
      </c>
      <c r="F113" s="340">
        <f>IFERROR(F$6*'Historical Holdco'!E67,0)</f>
        <v>0</v>
      </c>
      <c r="G113" s="340">
        <f>IFERROR(G$6*'Historical Holdco'!F67,0)</f>
        <v>0</v>
      </c>
      <c r="H113" s="340">
        <f>IFERROR(H$6*'Historical Holdco'!G67,0)</f>
        <v>0</v>
      </c>
      <c r="I113" s="340">
        <f>IFERROR(I$6*'Historical Holdco'!H67,0)</f>
        <v>0</v>
      </c>
      <c r="J113" s="340">
        <f>IFERROR(J$6*'Historical Holdco'!I67,0)</f>
        <v>0</v>
      </c>
      <c r="K113" s="340">
        <f>IFERROR(K$6*'Historical Holdco'!J67,0)</f>
        <v>0</v>
      </c>
      <c r="L113" s="340">
        <f>IFERROR(L$6*'Historical Holdco'!K67,0)</f>
        <v>0</v>
      </c>
      <c r="M113" s="340">
        <f>IFERROR(M$6*'Historical Holdco'!L67,0)</f>
        <v>0</v>
      </c>
      <c r="N113" s="340">
        <f>IFERROR(N$6*'Historical Holdco'!M67,0)</f>
        <v>0</v>
      </c>
      <c r="O113" s="340">
        <f>IFERROR(O$6*'Historical Holdco'!N67,0)</f>
        <v>0</v>
      </c>
      <c r="P113" s="340">
        <f>IFERROR(P$6*'Historical Holdco'!O67,0)</f>
        <v>0</v>
      </c>
      <c r="Q113" s="340">
        <f>IFERROR(Q$6*'Historical Holdco'!P67,0)</f>
        <v>0</v>
      </c>
      <c r="R113" s="340">
        <f>IFERROR(R$6*'Historical Holdco'!Q67,0)</f>
        <v>0</v>
      </c>
      <c r="S113" s="340">
        <f>IFERROR(S$6*'Historical Holdco'!R67,0)</f>
        <v>0</v>
      </c>
      <c r="T113" s="340">
        <f>IFERROR(T$6*'Historical Holdco'!S67,0)</f>
        <v>0</v>
      </c>
      <c r="U113" s="340">
        <f>IFERROR(U$6*'Historical Holdco'!T67,0)</f>
        <v>0</v>
      </c>
      <c r="V113" s="340">
        <f>IFERROR(V$6*'Historical Holdco'!U67,0)</f>
        <v>0</v>
      </c>
      <c r="W113" s="340">
        <f>IFERROR(W$6*'Historical Holdco'!V67,0)</f>
        <v>0</v>
      </c>
      <c r="X113" s="340">
        <f>IFERROR(X$6*'Historical Holdco'!W67,0)</f>
        <v>0</v>
      </c>
      <c r="Y113" s="340">
        <f>IFERROR(Y$6*'Historical Holdco'!X67,0)</f>
        <v>0</v>
      </c>
      <c r="Z113" s="340">
        <f>IFERROR(Z$6*'Historical Holdco'!Y67,0)</f>
        <v>0</v>
      </c>
      <c r="AA113" s="340">
        <f>IFERROR(AA$6*'Historical Holdco'!Z67,0)</f>
        <v>0</v>
      </c>
      <c r="AB113" s="340">
        <f>IFERROR(AB$6*'Historical Holdco'!AA67,0)</f>
        <v>0</v>
      </c>
      <c r="AC113" s="340">
        <f>IFERROR(AC$6*'Historical Holdco'!AB67,0)</f>
        <v>0</v>
      </c>
    </row>
    <row r="114" spans="1:29" ht="13.7" outlineLevel="1">
      <c r="A114" s="256"/>
      <c r="B114" s="256"/>
      <c r="C114" s="254"/>
      <c r="D114" s="340" t="s">
        <v>1095</v>
      </c>
      <c r="E114" s="340">
        <f>+IFERROR(E$7*'Acquisition BS adjustments'!$C211,0)+IFERROR(E$8*'Acquisition BS adjustments'!$E211,0)</f>
        <v>0</v>
      </c>
      <c r="F114" s="340">
        <f>+IFERROR(F$7*'Acquisition BS adjustments'!$C211,0)+IFERROR(F$8*'Acquisition BS adjustments'!$E211,0)</f>
        <v>0</v>
      </c>
      <c r="G114" s="340">
        <f>+IFERROR(G$7*'Acquisition BS adjustments'!$C211,0)+IFERROR(G$8*'Acquisition BS adjustments'!$E211,0)</f>
        <v>0</v>
      </c>
      <c r="H114" s="340">
        <f>+IFERROR(H$7*'Acquisition BS adjustments'!$C211,0)+IFERROR(H$8*'Acquisition BS adjustments'!$E211,0)</f>
        <v>0</v>
      </c>
      <c r="I114" s="340">
        <f>+IFERROR(I$7*'Acquisition BS adjustments'!$C211,0)+IFERROR(I$8*'Acquisition BS adjustments'!$E211,0)</f>
        <v>0</v>
      </c>
      <c r="J114" s="340">
        <f>+IFERROR(J$7*'Acquisition BS adjustments'!$C211,0)+IFERROR(J$8*'Acquisition BS adjustments'!$E211,0)</f>
        <v>0</v>
      </c>
      <c r="K114" s="340">
        <f>+IFERROR(K$7*'Acquisition BS adjustments'!$C211,0)+IFERROR(K$8*'Acquisition BS adjustments'!$E211,0)</f>
        <v>0</v>
      </c>
      <c r="L114" s="340">
        <f>+IFERROR(L$7*'Acquisition BS adjustments'!$C211,0)+IFERROR(L$8*'Acquisition BS adjustments'!$E211,0)</f>
        <v>0</v>
      </c>
      <c r="M114" s="340">
        <f>+IFERROR(M$7*'Acquisition BS adjustments'!$C211,0)+IFERROR(M$8*'Acquisition BS adjustments'!$E211,0)</f>
        <v>0</v>
      </c>
      <c r="N114" s="340">
        <f>+IFERROR(N$7*'Acquisition BS adjustments'!$C211,0)+IFERROR(N$8*'Acquisition BS adjustments'!$E211,0)</f>
        <v>0</v>
      </c>
      <c r="O114" s="340">
        <f>+IFERROR(O$7*'Acquisition BS adjustments'!$C211,0)+IFERROR(O$8*'Acquisition BS adjustments'!$E211,0)</f>
        <v>0</v>
      </c>
      <c r="P114" s="340">
        <f>+IFERROR(P$7*'Acquisition BS adjustments'!$C211,0)+IFERROR(P$8*'Acquisition BS adjustments'!$E211,0)</f>
        <v>0</v>
      </c>
      <c r="Q114" s="340">
        <f>+IFERROR(Q$7*'Acquisition BS adjustments'!$C211,0)+IFERROR(Q$8*'Acquisition BS adjustments'!$E211,0)</f>
        <v>0</v>
      </c>
      <c r="R114" s="340">
        <f>+IFERROR(R$7*'Acquisition BS adjustments'!$C211,0)+IFERROR(R$8*'Acquisition BS adjustments'!$E211,0)</f>
        <v>0</v>
      </c>
      <c r="S114" s="340">
        <f>+IFERROR(S$7*'Acquisition BS adjustments'!$C211,0)+IFERROR(S$8*'Acquisition BS adjustments'!$E211,0)</f>
        <v>0</v>
      </c>
      <c r="T114" s="340">
        <f>+IFERROR(T$7*'Acquisition BS adjustments'!$C211,0)+IFERROR(T$8*'Acquisition BS adjustments'!$E211,0)</f>
        <v>0</v>
      </c>
      <c r="U114" s="340">
        <f>+IFERROR(U$7*'Acquisition BS adjustments'!$C211,0)+IFERROR(U$8*'Acquisition BS adjustments'!$E211,0)</f>
        <v>0</v>
      </c>
      <c r="V114" s="340">
        <f>+IFERROR(V$7*'Acquisition BS adjustments'!$C211,0)+IFERROR(V$8*'Acquisition BS adjustments'!$E211,0)</f>
        <v>0</v>
      </c>
      <c r="W114" s="340">
        <f>+IFERROR(W$7*'Acquisition BS adjustments'!$C211,0)+IFERROR(W$8*'Acquisition BS adjustments'!$E211,0)</f>
        <v>0</v>
      </c>
      <c r="X114" s="340">
        <f>+IFERROR(X$7*'Acquisition BS adjustments'!$C211,0)+IFERROR(X$8*'Acquisition BS adjustments'!$E211,0)</f>
        <v>0</v>
      </c>
      <c r="Y114" s="340">
        <f>+IFERROR(Y$7*'Acquisition BS adjustments'!$C211,0)+IFERROR(Y$8*'Acquisition BS adjustments'!$E211,0)</f>
        <v>0</v>
      </c>
      <c r="Z114" s="340">
        <f>+IFERROR(Z$7*'Acquisition BS adjustments'!$C211,0)+IFERROR(Z$8*'Acquisition BS adjustments'!$E211,0)</f>
        <v>0</v>
      </c>
      <c r="AA114" s="340">
        <f>+IFERROR(AA$7*'Acquisition BS adjustments'!$C211,0)+IFERROR(AA$8*'Acquisition BS adjustments'!$E211,0)</f>
        <v>0</v>
      </c>
      <c r="AB114" s="340">
        <f>+IFERROR(AB$7*'Acquisition BS adjustments'!$C211,0)+IFERROR(AB$8*'Acquisition BS adjustments'!$E211,0)</f>
        <v>0</v>
      </c>
      <c r="AC114" s="340">
        <f>+IFERROR(AC$7*'Acquisition BS adjustments'!$C211,0)+IFERROR(AC$8*'Acquisition BS adjustments'!$E211,0)</f>
        <v>0</v>
      </c>
    </row>
    <row r="115" spans="1:29" ht="13.7" outlineLevel="1">
      <c r="A115" s="256"/>
      <c r="B115" s="256"/>
      <c r="C115" s="254"/>
      <c r="D115" s="340" t="s">
        <v>1096</v>
      </c>
      <c r="E115" s="340">
        <f>+IFERROR(E9*INDEX('Financial Quarterly Holdco'!99:99,MATCH('BS Holdco'!E$5,'Financial Quarterly Holdco'!4:4,0)),0)</f>
        <v>0</v>
      </c>
      <c r="F115" s="340">
        <f>+IFERROR(F9*INDEX('Financial Quarterly Holdco'!99:99,MATCH('BS Holdco'!F$5,'Financial Quarterly Holdco'!4:4,0)),0)</f>
        <v>0</v>
      </c>
      <c r="G115" s="340">
        <f>+IFERROR(G9*INDEX('Financial Quarterly Holdco'!99:99,MATCH('BS Holdco'!G$5,'Financial Quarterly Holdco'!4:4,0)),0)</f>
        <v>0</v>
      </c>
      <c r="H115" s="340">
        <f>+IFERROR(H9*INDEX('Financial Quarterly Holdco'!99:99,MATCH('BS Holdco'!H$5,'Financial Quarterly Holdco'!4:4,0)),0)</f>
        <v>0</v>
      </c>
      <c r="I115" s="340">
        <f>+IFERROR(I9*INDEX('Financial Quarterly Holdco'!99:99,MATCH('BS Holdco'!I$5,'Financial Quarterly Holdco'!4:4,0)),0)</f>
        <v>0</v>
      </c>
      <c r="J115" s="340">
        <f>+IFERROR(J9*INDEX('Financial Quarterly Holdco'!99:99,MATCH('BS Holdco'!J$5,'Financial Quarterly Holdco'!4:4,0)),0)</f>
        <v>0</v>
      </c>
      <c r="K115" s="340">
        <f ca="1">+IFERROR(K9*INDEX('Financial Quarterly Holdco'!99:99,MATCH('BS Holdco'!K$5,'Financial Quarterly Holdco'!4:4,0)),0)</f>
        <v>0</v>
      </c>
      <c r="L115" s="340">
        <f ca="1">+IFERROR(L9*INDEX('Financial Quarterly Holdco'!99:99,MATCH('BS Holdco'!L$5,'Financial Quarterly Holdco'!4:4,0)),0)</f>
        <v>0</v>
      </c>
      <c r="M115" s="340">
        <f ca="1">+IFERROR(M9*INDEX('Financial Quarterly Holdco'!99:99,MATCH('BS Holdco'!M$5,'Financial Quarterly Holdco'!4:4,0)),0)</f>
        <v>0</v>
      </c>
      <c r="N115" s="340">
        <f ca="1">+IFERROR(N9*INDEX('Financial Quarterly Holdco'!99:99,MATCH('BS Holdco'!N$5,'Financial Quarterly Holdco'!4:4,0)),0)</f>
        <v>0</v>
      </c>
      <c r="O115" s="340">
        <f ca="1">+IFERROR(O9*INDEX('Financial Quarterly Holdco'!99:99,MATCH('BS Holdco'!O$5,'Financial Quarterly Holdco'!4:4,0)),0)</f>
        <v>0</v>
      </c>
      <c r="P115" s="340">
        <f ca="1">+IFERROR(P9*INDEX('Financial Quarterly Holdco'!99:99,MATCH('BS Holdco'!P$5,'Financial Quarterly Holdco'!4:4,0)),0)</f>
        <v>0</v>
      </c>
      <c r="Q115" s="340">
        <f>+IFERROR(Q9*INDEX('Financial Quarterly Holdco'!99:99,MATCH('BS Holdco'!Q$5,'Financial Quarterly Holdco'!4:4,0)),0)</f>
        <v>0</v>
      </c>
      <c r="R115" s="340">
        <f>+IFERROR(R9*INDEX('Financial Quarterly Holdco'!99:99,MATCH('BS Holdco'!R$5,'Financial Quarterly Holdco'!4:4,0)),0)</f>
        <v>0</v>
      </c>
      <c r="S115" s="340">
        <f>+IFERROR(S9*INDEX('Financial Quarterly Holdco'!99:99,MATCH('BS Holdco'!S$5,'Financial Quarterly Holdco'!4:4,0)),0)</f>
        <v>0</v>
      </c>
      <c r="T115" s="340">
        <f>+IFERROR(T9*INDEX('Financial Quarterly Holdco'!99:99,MATCH('BS Holdco'!T$5,'Financial Quarterly Holdco'!4:4,0)),0)</f>
        <v>0</v>
      </c>
      <c r="U115" s="340">
        <f>+IFERROR(U9*INDEX('Financial Quarterly Holdco'!99:99,MATCH('BS Holdco'!U$5,'Financial Quarterly Holdco'!4:4,0)),0)</f>
        <v>0</v>
      </c>
      <c r="V115" s="340">
        <f>+IFERROR(V9*INDEX('Financial Quarterly Holdco'!99:99,MATCH('BS Holdco'!V$5,'Financial Quarterly Holdco'!4:4,0)),0)</f>
        <v>0</v>
      </c>
      <c r="W115" s="340">
        <f>+IFERROR(W9*INDEX('Financial Quarterly Holdco'!99:99,MATCH('BS Holdco'!W$5,'Financial Quarterly Holdco'!4:4,0)),0)</f>
        <v>0</v>
      </c>
      <c r="X115" s="340">
        <f>+IFERROR(X9*INDEX('Financial Quarterly Holdco'!99:99,MATCH('BS Holdco'!X$5,'Financial Quarterly Holdco'!4:4,0)),0)</f>
        <v>0</v>
      </c>
      <c r="Y115" s="340">
        <f>+IFERROR(Y9*INDEX('Financial Quarterly Holdco'!99:99,MATCH('BS Holdco'!Y$5,'Financial Quarterly Holdco'!4:4,0)),0)</f>
        <v>0</v>
      </c>
      <c r="Z115" s="340">
        <f>+IFERROR(Z9*INDEX('Financial Quarterly Holdco'!99:99,MATCH('BS Holdco'!Z$5,'Financial Quarterly Holdco'!4:4,0)),0)</f>
        <v>0</v>
      </c>
      <c r="AA115" s="340">
        <f>+IFERROR(AA9*INDEX('Financial Quarterly Holdco'!99:99,MATCH('BS Holdco'!AA$5,'Financial Quarterly Holdco'!4:4,0)),0)</f>
        <v>0</v>
      </c>
      <c r="AB115" s="340">
        <f>+IFERROR(AB9*INDEX('Financial Quarterly Holdco'!99:99,MATCH('BS Holdco'!AB$5,'Financial Quarterly Holdco'!4:4,0)),0)</f>
        <v>0</v>
      </c>
      <c r="AC115" s="340">
        <f>+IFERROR(AC9*INDEX('Financial Quarterly Holdco'!99:99,MATCH('BS Holdco'!AC$5,'Financial Quarterly Holdco'!4:4,0)),0)</f>
        <v>0</v>
      </c>
    </row>
    <row r="116" spans="1:29" ht="13.7">
      <c r="C116" s="254" t="s">
        <v>237</v>
      </c>
      <c r="D116" s="255"/>
      <c r="E116" s="255">
        <f>SUM(E117:E119)</f>
        <v>0</v>
      </c>
      <c r="F116" s="255">
        <f t="shared" ref="F116:P116" si="144">SUM(F117:F119)</f>
        <v>0</v>
      </c>
      <c r="G116" s="255">
        <f t="shared" si="144"/>
        <v>0</v>
      </c>
      <c r="H116" s="255">
        <f t="shared" si="144"/>
        <v>0</v>
      </c>
      <c r="I116" s="255">
        <f t="shared" si="144"/>
        <v>0</v>
      </c>
      <c r="J116" s="255">
        <f t="shared" si="144"/>
        <v>0</v>
      </c>
      <c r="K116" s="255">
        <f t="shared" si="144"/>
        <v>0</v>
      </c>
      <c r="L116" s="255">
        <f t="shared" si="144"/>
        <v>0</v>
      </c>
      <c r="M116" s="255">
        <f t="shared" si="144"/>
        <v>0</v>
      </c>
      <c r="N116" s="255">
        <f t="shared" si="144"/>
        <v>0</v>
      </c>
      <c r="O116" s="255">
        <f t="shared" si="144"/>
        <v>0</v>
      </c>
      <c r="P116" s="255">
        <f t="shared" si="144"/>
        <v>0</v>
      </c>
      <c r="Q116" s="255">
        <f t="shared" ref="Q116:AC116" si="145">SUM(Q117:Q119)</f>
        <v>0</v>
      </c>
      <c r="R116" s="255">
        <f t="shared" si="145"/>
        <v>0</v>
      </c>
      <c r="S116" s="255">
        <f t="shared" si="145"/>
        <v>0</v>
      </c>
      <c r="T116" s="255">
        <f t="shared" si="145"/>
        <v>0</v>
      </c>
      <c r="U116" s="255">
        <f t="shared" si="145"/>
        <v>0</v>
      </c>
      <c r="V116" s="255">
        <f t="shared" si="145"/>
        <v>0</v>
      </c>
      <c r="W116" s="255">
        <f t="shared" si="145"/>
        <v>0</v>
      </c>
      <c r="X116" s="255">
        <f t="shared" si="145"/>
        <v>0</v>
      </c>
      <c r="Y116" s="255">
        <f t="shared" si="145"/>
        <v>0</v>
      </c>
      <c r="Z116" s="255">
        <f t="shared" si="145"/>
        <v>0</v>
      </c>
      <c r="AA116" s="255">
        <f t="shared" si="145"/>
        <v>0</v>
      </c>
      <c r="AB116" s="255">
        <f t="shared" si="145"/>
        <v>0</v>
      </c>
      <c r="AC116" s="255">
        <f t="shared" si="145"/>
        <v>0</v>
      </c>
    </row>
    <row r="117" spans="1:29" ht="13.7" outlineLevel="1">
      <c r="C117" s="254"/>
      <c r="D117" s="340" t="s">
        <v>1094</v>
      </c>
      <c r="E117" s="341">
        <f>IFERROR(E$6*'Historical Holdco'!D69,0)</f>
        <v>0</v>
      </c>
      <c r="F117" s="341">
        <f>IFERROR(F$6*'Historical Holdco'!E69,0)</f>
        <v>0</v>
      </c>
      <c r="G117" s="341">
        <f>IFERROR(G$6*'Historical Holdco'!F69,0)</f>
        <v>0</v>
      </c>
      <c r="H117" s="341">
        <f>IFERROR(H$6*'Historical Holdco'!G69,0)</f>
        <v>0</v>
      </c>
      <c r="I117" s="341">
        <f>IFERROR(I$6*'Historical Holdco'!H69,0)</f>
        <v>0</v>
      </c>
      <c r="J117" s="341">
        <f>IFERROR(J$6*'Historical Holdco'!I69,0)</f>
        <v>0</v>
      </c>
      <c r="K117" s="341">
        <f>IFERROR(K$6*'Historical Holdco'!J69,0)</f>
        <v>0</v>
      </c>
      <c r="L117" s="341">
        <f>IFERROR(L$6*'Historical Holdco'!K69,0)</f>
        <v>0</v>
      </c>
      <c r="M117" s="341">
        <f>IFERROR(M$6*'Historical Holdco'!L69,0)</f>
        <v>0</v>
      </c>
      <c r="N117" s="341">
        <f>IFERROR(N$6*'Historical Holdco'!M69,0)</f>
        <v>0</v>
      </c>
      <c r="O117" s="341">
        <f>IFERROR(O$6*'Historical Holdco'!N69,0)</f>
        <v>0</v>
      </c>
      <c r="P117" s="341">
        <f>IFERROR(P$6*'Historical Holdco'!O69,0)</f>
        <v>0</v>
      </c>
      <c r="Q117" s="341">
        <f>IFERROR(Q$6*'Historical Holdco'!P69,0)</f>
        <v>0</v>
      </c>
      <c r="R117" s="341">
        <f>IFERROR(R$6*'Historical Holdco'!Q69,0)</f>
        <v>0</v>
      </c>
      <c r="S117" s="341">
        <f>IFERROR(S$6*'Historical Holdco'!R69,0)</f>
        <v>0</v>
      </c>
      <c r="T117" s="341">
        <f>IFERROR(T$6*'Historical Holdco'!S69,0)</f>
        <v>0</v>
      </c>
      <c r="U117" s="341">
        <f>IFERROR(U$6*'Historical Holdco'!T69,0)</f>
        <v>0</v>
      </c>
      <c r="V117" s="341">
        <f>IFERROR(V$6*'Historical Holdco'!U69,0)</f>
        <v>0</v>
      </c>
      <c r="W117" s="341">
        <f>IFERROR(W$6*'Historical Holdco'!V69,0)</f>
        <v>0</v>
      </c>
      <c r="X117" s="341">
        <f>IFERROR(X$6*'Historical Holdco'!W69,0)</f>
        <v>0</v>
      </c>
      <c r="Y117" s="341">
        <f>IFERROR(Y$6*'Historical Holdco'!X69,0)</f>
        <v>0</v>
      </c>
      <c r="Z117" s="341">
        <f>IFERROR(Z$6*'Historical Holdco'!Y69,0)</f>
        <v>0</v>
      </c>
      <c r="AA117" s="341">
        <f>IFERROR(AA$6*'Historical Holdco'!Z69,0)</f>
        <v>0</v>
      </c>
      <c r="AB117" s="341">
        <f>IFERROR(AB$6*'Historical Holdco'!AA69,0)</f>
        <v>0</v>
      </c>
      <c r="AC117" s="341">
        <f>IFERROR(AC$6*'Historical Holdco'!AB69,0)</f>
        <v>0</v>
      </c>
    </row>
    <row r="118" spans="1:29" ht="13.7" outlineLevel="1">
      <c r="C118" s="254"/>
      <c r="D118" s="340" t="s">
        <v>1095</v>
      </c>
      <c r="E118" s="341">
        <f>+IFERROR(E$7*'Acquisition BS adjustments'!$C213,0)+IFERROR(E$8*'Acquisition BS adjustments'!$E213,0)</f>
        <v>0</v>
      </c>
      <c r="F118" s="341">
        <f>+IFERROR(F$7*'Acquisition BS adjustments'!$C213,0)+IFERROR(F$8*'Acquisition BS adjustments'!$E213,0)</f>
        <v>0</v>
      </c>
      <c r="G118" s="341">
        <f>+IFERROR(G$7*'Acquisition BS adjustments'!$C213,0)+IFERROR(G$8*'Acquisition BS adjustments'!$E213,0)</f>
        <v>0</v>
      </c>
      <c r="H118" s="341">
        <f>+IFERROR(H$7*'Acquisition BS adjustments'!$C213,0)+IFERROR(H$8*'Acquisition BS adjustments'!$E213,0)</f>
        <v>0</v>
      </c>
      <c r="I118" s="341">
        <f>+IFERROR(I$7*'Acquisition BS adjustments'!$C213,0)+IFERROR(I$8*'Acquisition BS adjustments'!$E213,0)</f>
        <v>0</v>
      </c>
      <c r="J118" s="341">
        <f>+IFERROR(J$7*'Acquisition BS adjustments'!$C213,0)+IFERROR(J$8*'Acquisition BS adjustments'!$E213,0)</f>
        <v>0</v>
      </c>
      <c r="K118" s="341">
        <f>+IFERROR(K$7*'Acquisition BS adjustments'!$C213,0)+IFERROR(K$8*'Acquisition BS adjustments'!$E213,0)</f>
        <v>0</v>
      </c>
      <c r="L118" s="341">
        <f>+IFERROR(L$7*'Acquisition BS adjustments'!$C213,0)+IFERROR(L$8*'Acquisition BS adjustments'!$E213,0)</f>
        <v>0</v>
      </c>
      <c r="M118" s="341">
        <f>+IFERROR(M$7*'Acquisition BS adjustments'!$C213,0)+IFERROR(M$8*'Acquisition BS adjustments'!$E213,0)</f>
        <v>0</v>
      </c>
      <c r="N118" s="341">
        <f>+IFERROR(N$7*'Acquisition BS adjustments'!$C213,0)+IFERROR(N$8*'Acquisition BS adjustments'!$E213,0)</f>
        <v>0</v>
      </c>
      <c r="O118" s="341">
        <f>+IFERROR(O$7*'Acquisition BS adjustments'!$C213,0)+IFERROR(O$8*'Acquisition BS adjustments'!$E213,0)</f>
        <v>0</v>
      </c>
      <c r="P118" s="341">
        <f>+IFERROR(P$7*'Acquisition BS adjustments'!$C213,0)+IFERROR(P$8*'Acquisition BS adjustments'!$E213,0)</f>
        <v>0</v>
      </c>
      <c r="Q118" s="341">
        <f>+IFERROR(Q$7*'Acquisition BS adjustments'!$C213,0)+IFERROR(Q$8*'Acquisition BS adjustments'!$E213,0)</f>
        <v>0</v>
      </c>
      <c r="R118" s="341">
        <f>+IFERROR(R$7*'Acquisition BS adjustments'!$C213,0)+IFERROR(R$8*'Acquisition BS adjustments'!$E213,0)</f>
        <v>0</v>
      </c>
      <c r="S118" s="341">
        <f>+IFERROR(S$7*'Acquisition BS adjustments'!$C213,0)+IFERROR(S$8*'Acquisition BS adjustments'!$E213,0)</f>
        <v>0</v>
      </c>
      <c r="T118" s="341">
        <f>+IFERROR(T$7*'Acquisition BS adjustments'!$C213,0)+IFERROR(T$8*'Acquisition BS adjustments'!$E213,0)</f>
        <v>0</v>
      </c>
      <c r="U118" s="341">
        <f>+IFERROR(U$7*'Acquisition BS adjustments'!$C213,0)+IFERROR(U$8*'Acquisition BS adjustments'!$E213,0)</f>
        <v>0</v>
      </c>
      <c r="V118" s="341">
        <f>+IFERROR(V$7*'Acquisition BS adjustments'!$C213,0)+IFERROR(V$8*'Acquisition BS adjustments'!$E213,0)</f>
        <v>0</v>
      </c>
      <c r="W118" s="341">
        <f>+IFERROR(W$7*'Acquisition BS adjustments'!$C213,0)+IFERROR(W$8*'Acquisition BS adjustments'!$E213,0)</f>
        <v>0</v>
      </c>
      <c r="X118" s="341">
        <f>+IFERROR(X$7*'Acquisition BS adjustments'!$C213,0)+IFERROR(X$8*'Acquisition BS adjustments'!$E213,0)</f>
        <v>0</v>
      </c>
      <c r="Y118" s="341">
        <f>+IFERROR(Y$7*'Acquisition BS adjustments'!$C213,0)+IFERROR(Y$8*'Acquisition BS adjustments'!$E213,0)</f>
        <v>0</v>
      </c>
      <c r="Z118" s="341">
        <f>+IFERROR(Z$7*'Acquisition BS adjustments'!$C213,0)+IFERROR(Z$8*'Acquisition BS adjustments'!$E213,0)</f>
        <v>0</v>
      </c>
      <c r="AA118" s="341">
        <f>+IFERROR(AA$7*'Acquisition BS adjustments'!$C213,0)+IFERROR(AA$8*'Acquisition BS adjustments'!$E213,0)</f>
        <v>0</v>
      </c>
      <c r="AB118" s="341">
        <f>+IFERROR(AB$7*'Acquisition BS adjustments'!$C213,0)+IFERROR(AB$8*'Acquisition BS adjustments'!$E213,0)</f>
        <v>0</v>
      </c>
      <c r="AC118" s="341">
        <f>+IFERROR(AC$7*'Acquisition BS adjustments'!$C213,0)+IFERROR(AC$8*'Acquisition BS adjustments'!$E213,0)</f>
        <v>0</v>
      </c>
    </row>
    <row r="119" spans="1:29" ht="13.7" outlineLevel="1">
      <c r="C119" s="254"/>
      <c r="D119" s="339" t="s">
        <v>1097</v>
      </c>
      <c r="E119" s="255">
        <f t="shared" ref="E119" si="146">+IFERROR(D116*E9,0)</f>
        <v>0</v>
      </c>
      <c r="F119" s="255">
        <f t="shared" ref="F119" si="147">+IFERROR(E116*F9,0)</f>
        <v>0</v>
      </c>
      <c r="G119" s="255">
        <f t="shared" ref="G119" si="148">+IFERROR(F116*G9,0)</f>
        <v>0</v>
      </c>
      <c r="H119" s="255">
        <f t="shared" ref="H119" si="149">+IFERROR(G116*H9,0)</f>
        <v>0</v>
      </c>
      <c r="I119" s="255">
        <f t="shared" ref="I119" si="150">+IFERROR(H116*I9,0)</f>
        <v>0</v>
      </c>
      <c r="J119" s="255">
        <f t="shared" ref="J119" si="151">+IFERROR(I116*J9,0)</f>
        <v>0</v>
      </c>
      <c r="K119" s="255">
        <f t="shared" ref="K119" si="152">+IFERROR(J116*K9,0)</f>
        <v>0</v>
      </c>
      <c r="L119" s="255">
        <f t="shared" ref="L119" si="153">+IFERROR(K116*L9,0)</f>
        <v>0</v>
      </c>
      <c r="M119" s="255">
        <f t="shared" ref="M119" si="154">+IFERROR(L116*M9,0)</f>
        <v>0</v>
      </c>
      <c r="N119" s="255">
        <f t="shared" ref="N119" si="155">+IFERROR(M116*N9,0)</f>
        <v>0</v>
      </c>
      <c r="O119" s="255">
        <f t="shared" ref="O119" si="156">+IFERROR(N116*O9,0)</f>
        <v>0</v>
      </c>
      <c r="P119" s="255">
        <f t="shared" ref="P119" si="157">+IFERROR(O116*P9,0)</f>
        <v>0</v>
      </c>
      <c r="Q119" s="255">
        <f t="shared" ref="Q119" si="158">+IFERROR(P116*Q9,0)</f>
        <v>0</v>
      </c>
      <c r="R119" s="255">
        <f t="shared" ref="R119" si="159">+IFERROR(Q116*R9,0)</f>
        <v>0</v>
      </c>
      <c r="S119" s="255">
        <f t="shared" ref="S119" si="160">+IFERROR(R116*S9,0)</f>
        <v>0</v>
      </c>
      <c r="T119" s="255">
        <f t="shared" ref="T119" si="161">+IFERROR(S116*T9,0)</f>
        <v>0</v>
      </c>
      <c r="U119" s="255">
        <f t="shared" ref="U119" si="162">+IFERROR(T116*U9,0)</f>
        <v>0</v>
      </c>
      <c r="V119" s="255">
        <f t="shared" ref="V119" si="163">+IFERROR(U116*V9,0)</f>
        <v>0</v>
      </c>
      <c r="W119" s="255">
        <f t="shared" ref="W119" si="164">+IFERROR(V116*W9,0)</f>
        <v>0</v>
      </c>
      <c r="X119" s="255">
        <f t="shared" ref="X119" si="165">+IFERROR(W116*X9,0)</f>
        <v>0</v>
      </c>
      <c r="Y119" s="255">
        <f t="shared" ref="Y119" si="166">+IFERROR(X116*Y9,0)</f>
        <v>0</v>
      </c>
      <c r="Z119" s="255">
        <f t="shared" ref="Z119" si="167">+IFERROR(Y116*Z9,0)</f>
        <v>0</v>
      </c>
      <c r="AA119" s="255">
        <f t="shared" ref="AA119" si="168">+IFERROR(Z116*AA9,0)</f>
        <v>0</v>
      </c>
      <c r="AB119" s="255">
        <f t="shared" ref="AB119" si="169">+IFERROR(AA116*AB9,0)</f>
        <v>0</v>
      </c>
      <c r="AC119" s="255">
        <f t="shared" ref="AC119" si="170">+IFERROR(AB116*AC9,0)</f>
        <v>0</v>
      </c>
    </row>
    <row r="120" spans="1:29" ht="13.7">
      <c r="C120" s="258" t="s">
        <v>238</v>
      </c>
      <c r="D120" s="255"/>
      <c r="E120" s="255">
        <f>SUM(E121:E123)</f>
        <v>0</v>
      </c>
      <c r="F120" s="255">
        <f t="shared" ref="F120:P120" si="171">SUM(F121:F123)</f>
        <v>0</v>
      </c>
      <c r="G120" s="255">
        <f t="shared" si="171"/>
        <v>0</v>
      </c>
      <c r="H120" s="255">
        <f t="shared" si="171"/>
        <v>0</v>
      </c>
      <c r="I120" s="255">
        <f t="shared" si="171"/>
        <v>0</v>
      </c>
      <c r="J120" s="255">
        <f t="shared" si="171"/>
        <v>0</v>
      </c>
      <c r="K120" s="255">
        <f t="shared" si="171"/>
        <v>0</v>
      </c>
      <c r="L120" s="255">
        <f t="shared" si="171"/>
        <v>0</v>
      </c>
      <c r="M120" s="255">
        <f t="shared" si="171"/>
        <v>0</v>
      </c>
      <c r="N120" s="255">
        <f t="shared" si="171"/>
        <v>0</v>
      </c>
      <c r="O120" s="255">
        <f t="shared" si="171"/>
        <v>0</v>
      </c>
      <c r="P120" s="255">
        <f t="shared" si="171"/>
        <v>0</v>
      </c>
      <c r="Q120" s="255">
        <f t="shared" ref="Q120:AC120" si="172">SUM(Q121:Q123)</f>
        <v>0</v>
      </c>
      <c r="R120" s="255">
        <f t="shared" si="172"/>
        <v>0</v>
      </c>
      <c r="S120" s="255">
        <f t="shared" si="172"/>
        <v>0</v>
      </c>
      <c r="T120" s="255">
        <f t="shared" si="172"/>
        <v>0</v>
      </c>
      <c r="U120" s="255">
        <f t="shared" si="172"/>
        <v>0</v>
      </c>
      <c r="V120" s="255">
        <f t="shared" si="172"/>
        <v>0</v>
      </c>
      <c r="W120" s="255">
        <f t="shared" si="172"/>
        <v>0</v>
      </c>
      <c r="X120" s="255">
        <f t="shared" si="172"/>
        <v>0</v>
      </c>
      <c r="Y120" s="255">
        <f t="shared" si="172"/>
        <v>0</v>
      </c>
      <c r="Z120" s="255">
        <f t="shared" si="172"/>
        <v>0</v>
      </c>
      <c r="AA120" s="255">
        <f t="shared" si="172"/>
        <v>0</v>
      </c>
      <c r="AB120" s="255">
        <f t="shared" si="172"/>
        <v>0</v>
      </c>
      <c r="AC120" s="255">
        <f t="shared" si="172"/>
        <v>0</v>
      </c>
    </row>
    <row r="121" spans="1:29" ht="13.7" outlineLevel="1">
      <c r="C121" s="254"/>
      <c r="D121" s="340" t="s">
        <v>1094</v>
      </c>
      <c r="E121" s="341">
        <f>IFERROR(E$6*'Historical Holdco'!D70,0)</f>
        <v>0</v>
      </c>
      <c r="F121" s="341">
        <f>IFERROR(F$6*'Historical Holdco'!E70,0)</f>
        <v>0</v>
      </c>
      <c r="G121" s="341">
        <f>IFERROR(G$6*'Historical Holdco'!F70,0)</f>
        <v>0</v>
      </c>
      <c r="H121" s="341">
        <f>IFERROR(H$6*'Historical Holdco'!G70,0)</f>
        <v>0</v>
      </c>
      <c r="I121" s="341">
        <f>IFERROR(I$6*'Historical Holdco'!H70,0)</f>
        <v>0</v>
      </c>
      <c r="J121" s="341">
        <f>IFERROR(J$6*'Historical Holdco'!I70,0)</f>
        <v>0</v>
      </c>
      <c r="K121" s="341">
        <f>IFERROR(K$6*'Historical Holdco'!J70,0)</f>
        <v>0</v>
      </c>
      <c r="L121" s="341">
        <f>IFERROR(L$6*'Historical Holdco'!K70,0)</f>
        <v>0</v>
      </c>
      <c r="M121" s="341">
        <f>IFERROR(M$6*'Historical Holdco'!L70,0)</f>
        <v>0</v>
      </c>
      <c r="N121" s="341">
        <f>IFERROR(N$6*'Historical Holdco'!M70,0)</f>
        <v>0</v>
      </c>
      <c r="O121" s="341">
        <f>IFERROR(O$6*'Historical Holdco'!N70,0)</f>
        <v>0</v>
      </c>
      <c r="P121" s="341">
        <f>IFERROR(P$6*'Historical Holdco'!O70,0)</f>
        <v>0</v>
      </c>
      <c r="Q121" s="341">
        <f>IFERROR(Q$6*'Historical Holdco'!P70,0)</f>
        <v>0</v>
      </c>
      <c r="R121" s="341">
        <f>IFERROR(R$6*'Historical Holdco'!Q70,0)</f>
        <v>0</v>
      </c>
      <c r="S121" s="341">
        <f>IFERROR(S$6*'Historical Holdco'!R70,0)</f>
        <v>0</v>
      </c>
      <c r="T121" s="341">
        <f>IFERROR(T$6*'Historical Holdco'!S70,0)</f>
        <v>0</v>
      </c>
      <c r="U121" s="341">
        <f>IFERROR(U$6*'Historical Holdco'!T70,0)</f>
        <v>0</v>
      </c>
      <c r="V121" s="341">
        <f>IFERROR(V$6*'Historical Holdco'!U70,0)</f>
        <v>0</v>
      </c>
      <c r="W121" s="341">
        <f>IFERROR(W$6*'Historical Holdco'!V70,0)</f>
        <v>0</v>
      </c>
      <c r="X121" s="341">
        <f>IFERROR(X$6*'Historical Holdco'!W70,0)</f>
        <v>0</v>
      </c>
      <c r="Y121" s="341">
        <f>IFERROR(Y$6*'Historical Holdco'!X70,0)</f>
        <v>0</v>
      </c>
      <c r="Z121" s="341">
        <f>IFERROR(Z$6*'Historical Holdco'!Y70,0)</f>
        <v>0</v>
      </c>
      <c r="AA121" s="341">
        <f>IFERROR(AA$6*'Historical Holdco'!Z70,0)</f>
        <v>0</v>
      </c>
      <c r="AB121" s="341">
        <f>IFERROR(AB$6*'Historical Holdco'!AA70,0)</f>
        <v>0</v>
      </c>
      <c r="AC121" s="341">
        <f>IFERROR(AC$6*'Historical Holdco'!AB70,0)</f>
        <v>0</v>
      </c>
    </row>
    <row r="122" spans="1:29" ht="13.7" outlineLevel="1">
      <c r="C122" s="254"/>
      <c r="D122" s="340" t="s">
        <v>1095</v>
      </c>
      <c r="E122" s="341">
        <f>+IFERROR(E$7*'Acquisition BS adjustments'!$C214,0)+IFERROR(E$8*'Acquisition BS adjustments'!$E214,0)</f>
        <v>0</v>
      </c>
      <c r="F122" s="341">
        <f>+IFERROR(F$7*'Acquisition BS adjustments'!$C214,0)+IFERROR(F$8*'Acquisition BS adjustments'!$E214,0)</f>
        <v>0</v>
      </c>
      <c r="G122" s="341">
        <f>+IFERROR(G$7*'Acquisition BS adjustments'!$C214,0)+IFERROR(G$8*'Acquisition BS adjustments'!$E214,0)</f>
        <v>0</v>
      </c>
      <c r="H122" s="341">
        <f>+IFERROR(H$7*'Acquisition BS adjustments'!$C214,0)+IFERROR(H$8*'Acquisition BS adjustments'!$E214,0)</f>
        <v>0</v>
      </c>
      <c r="I122" s="341">
        <f>+IFERROR(I$7*'Acquisition BS adjustments'!$C214,0)+IFERROR(I$8*'Acquisition BS adjustments'!$E214,0)</f>
        <v>0</v>
      </c>
      <c r="J122" s="341">
        <f>+IFERROR(J$7*'Acquisition BS adjustments'!$C214,0)+IFERROR(J$8*'Acquisition BS adjustments'!$E214,0)</f>
        <v>0</v>
      </c>
      <c r="K122" s="341">
        <f>+IFERROR(K$7*'Acquisition BS adjustments'!$C214,0)+IFERROR(K$8*'Acquisition BS adjustments'!$E214,0)</f>
        <v>0</v>
      </c>
      <c r="L122" s="341">
        <f>+IFERROR(L$7*'Acquisition BS adjustments'!$C214,0)+IFERROR(L$8*'Acquisition BS adjustments'!$E214,0)</f>
        <v>0</v>
      </c>
      <c r="M122" s="341">
        <f>+IFERROR(M$7*'Acquisition BS adjustments'!$C214,0)+IFERROR(M$8*'Acquisition BS adjustments'!$E214,0)</f>
        <v>0</v>
      </c>
      <c r="N122" s="341">
        <f>+IFERROR(N$7*'Acquisition BS adjustments'!$C214,0)+IFERROR(N$8*'Acquisition BS adjustments'!$E214,0)</f>
        <v>0</v>
      </c>
      <c r="O122" s="341">
        <f>+IFERROR(O$7*'Acquisition BS adjustments'!$C214,0)+IFERROR(O$8*'Acquisition BS adjustments'!$E214,0)</f>
        <v>0</v>
      </c>
      <c r="P122" s="341">
        <f>+IFERROR(P$7*'Acquisition BS adjustments'!$C214,0)+IFERROR(P$8*'Acquisition BS adjustments'!$E214,0)</f>
        <v>0</v>
      </c>
      <c r="Q122" s="341">
        <f>+IFERROR(Q$7*'Acquisition BS adjustments'!$C214,0)+IFERROR(Q$8*'Acquisition BS adjustments'!$E214,0)</f>
        <v>0</v>
      </c>
      <c r="R122" s="341">
        <f>+IFERROR(R$7*'Acquisition BS adjustments'!$C214,0)+IFERROR(R$8*'Acquisition BS adjustments'!$E214,0)</f>
        <v>0</v>
      </c>
      <c r="S122" s="341">
        <f>+IFERROR(S$7*'Acquisition BS adjustments'!$C214,0)+IFERROR(S$8*'Acquisition BS adjustments'!$E214,0)</f>
        <v>0</v>
      </c>
      <c r="T122" s="341">
        <f>+IFERROR(T$7*'Acquisition BS adjustments'!$C214,0)+IFERROR(T$8*'Acquisition BS adjustments'!$E214,0)</f>
        <v>0</v>
      </c>
      <c r="U122" s="341">
        <f>+IFERROR(U$7*'Acquisition BS adjustments'!$C214,0)+IFERROR(U$8*'Acquisition BS adjustments'!$E214,0)</f>
        <v>0</v>
      </c>
      <c r="V122" s="341">
        <f>+IFERROR(V$7*'Acquisition BS adjustments'!$C214,0)+IFERROR(V$8*'Acquisition BS adjustments'!$E214,0)</f>
        <v>0</v>
      </c>
      <c r="W122" s="341">
        <f>+IFERROR(W$7*'Acquisition BS adjustments'!$C214,0)+IFERROR(W$8*'Acquisition BS adjustments'!$E214,0)</f>
        <v>0</v>
      </c>
      <c r="X122" s="341">
        <f>+IFERROR(X$7*'Acquisition BS adjustments'!$C214,0)+IFERROR(X$8*'Acquisition BS adjustments'!$E214,0)</f>
        <v>0</v>
      </c>
      <c r="Y122" s="341">
        <f>+IFERROR(Y$7*'Acquisition BS adjustments'!$C214,0)+IFERROR(Y$8*'Acquisition BS adjustments'!$E214,0)</f>
        <v>0</v>
      </c>
      <c r="Z122" s="341">
        <f>+IFERROR(Z$7*'Acquisition BS adjustments'!$C214,0)+IFERROR(Z$8*'Acquisition BS adjustments'!$E214,0)</f>
        <v>0</v>
      </c>
      <c r="AA122" s="341">
        <f>+IFERROR(AA$7*'Acquisition BS adjustments'!$C214,0)+IFERROR(AA$8*'Acquisition BS adjustments'!$E214,0)</f>
        <v>0</v>
      </c>
      <c r="AB122" s="341">
        <f>+IFERROR(AB$7*'Acquisition BS adjustments'!$C214,0)+IFERROR(AB$8*'Acquisition BS adjustments'!$E214,0)</f>
        <v>0</v>
      </c>
      <c r="AC122" s="341">
        <f>+IFERROR(AC$7*'Acquisition BS adjustments'!$C214,0)+IFERROR(AC$8*'Acquisition BS adjustments'!$E214,0)</f>
        <v>0</v>
      </c>
    </row>
    <row r="123" spans="1:29" ht="13.7" outlineLevel="1">
      <c r="C123" s="254"/>
      <c r="D123" s="339" t="s">
        <v>1097</v>
      </c>
      <c r="E123" s="255">
        <f>+E$9*D120</f>
        <v>0</v>
      </c>
      <c r="F123" s="255">
        <f t="shared" ref="F123:P123" si="173">+F$9*E120</f>
        <v>0</v>
      </c>
      <c r="G123" s="255">
        <f t="shared" si="173"/>
        <v>0</v>
      </c>
      <c r="H123" s="255">
        <f t="shared" si="173"/>
        <v>0</v>
      </c>
      <c r="I123" s="255">
        <f t="shared" si="173"/>
        <v>0</v>
      </c>
      <c r="J123" s="255">
        <f t="shared" si="173"/>
        <v>0</v>
      </c>
      <c r="K123" s="255">
        <f t="shared" si="173"/>
        <v>0</v>
      </c>
      <c r="L123" s="255">
        <f t="shared" si="173"/>
        <v>0</v>
      </c>
      <c r="M123" s="255">
        <f t="shared" si="173"/>
        <v>0</v>
      </c>
      <c r="N123" s="255">
        <f t="shared" si="173"/>
        <v>0</v>
      </c>
      <c r="O123" s="255">
        <f t="shared" si="173"/>
        <v>0</v>
      </c>
      <c r="P123" s="255">
        <f t="shared" si="173"/>
        <v>0</v>
      </c>
      <c r="Q123" s="255">
        <f t="shared" ref="Q123" si="174">+Q$9*P120</f>
        <v>0</v>
      </c>
      <c r="R123" s="255">
        <f t="shared" ref="R123" si="175">+R$9*Q120</f>
        <v>0</v>
      </c>
      <c r="S123" s="255">
        <f t="shared" ref="S123" si="176">+S$9*R120</f>
        <v>0</v>
      </c>
      <c r="T123" s="255">
        <f t="shared" ref="T123" si="177">+T$9*S120</f>
        <v>0</v>
      </c>
      <c r="U123" s="255">
        <f t="shared" ref="U123" si="178">+U$9*T120</f>
        <v>0</v>
      </c>
      <c r="V123" s="255">
        <f t="shared" ref="V123" si="179">+V$9*U120</f>
        <v>0</v>
      </c>
      <c r="W123" s="255">
        <f t="shared" ref="W123" si="180">+W$9*V120</f>
        <v>0</v>
      </c>
      <c r="X123" s="255">
        <f t="shared" ref="X123" si="181">+X$9*W120</f>
        <v>0</v>
      </c>
      <c r="Y123" s="255">
        <f t="shared" ref="Y123" si="182">+Y$9*X120</f>
        <v>0</v>
      </c>
      <c r="Z123" s="255">
        <f t="shared" ref="Z123" si="183">+Z$9*Y120</f>
        <v>0</v>
      </c>
      <c r="AA123" s="255">
        <f t="shared" ref="AA123" si="184">+AA$9*Z120</f>
        <v>0</v>
      </c>
      <c r="AB123" s="255">
        <f t="shared" ref="AB123" si="185">+AB$9*AA120</f>
        <v>0</v>
      </c>
      <c r="AC123" s="255">
        <f t="shared" ref="AC123" si="186">+AC$9*AB120</f>
        <v>0</v>
      </c>
    </row>
    <row r="124" spans="1:29">
      <c r="C124" s="49"/>
    </row>
    <row r="125" spans="1:29" ht="13.7">
      <c r="C125" s="192" t="s">
        <v>17</v>
      </c>
      <c r="D125" s="195"/>
      <c r="E125" s="195">
        <f>E74+E107</f>
        <v>0</v>
      </c>
      <c r="F125" s="195">
        <f t="shared" ref="F125:P125" si="187">F74+F107</f>
        <v>0</v>
      </c>
      <c r="G125" s="195">
        <f t="shared" si="187"/>
        <v>0</v>
      </c>
      <c r="H125" s="195">
        <f t="shared" si="187"/>
        <v>0</v>
      </c>
      <c r="I125" s="195">
        <f t="shared" si="187"/>
        <v>0</v>
      </c>
      <c r="J125" s="195">
        <f t="shared" si="187"/>
        <v>0</v>
      </c>
      <c r="K125" s="195">
        <f t="shared" ca="1" si="187"/>
        <v>0</v>
      </c>
      <c r="L125" s="195">
        <f t="shared" ca="1" si="187"/>
        <v>0</v>
      </c>
      <c r="M125" s="195">
        <f t="shared" ca="1" si="187"/>
        <v>0</v>
      </c>
      <c r="N125" s="195">
        <f t="shared" ca="1" si="187"/>
        <v>0</v>
      </c>
      <c r="O125" s="195">
        <f t="shared" ca="1" si="187"/>
        <v>0</v>
      </c>
      <c r="P125" s="195">
        <f t="shared" ca="1" si="187"/>
        <v>0</v>
      </c>
      <c r="Q125" s="195">
        <f t="shared" ref="Q125:AC125" si="188">Q74+Q107</f>
        <v>0</v>
      </c>
      <c r="R125" s="195">
        <f t="shared" si="188"/>
        <v>0</v>
      </c>
      <c r="S125" s="195">
        <f t="shared" si="188"/>
        <v>0</v>
      </c>
      <c r="T125" s="195">
        <f t="shared" si="188"/>
        <v>0</v>
      </c>
      <c r="U125" s="195">
        <f t="shared" si="188"/>
        <v>0</v>
      </c>
      <c r="V125" s="195">
        <f t="shared" si="188"/>
        <v>0</v>
      </c>
      <c r="W125" s="195">
        <f t="shared" si="188"/>
        <v>0</v>
      </c>
      <c r="X125" s="195">
        <f t="shared" si="188"/>
        <v>0</v>
      </c>
      <c r="Y125" s="195">
        <f t="shared" si="188"/>
        <v>0</v>
      </c>
      <c r="Z125" s="195">
        <f t="shared" si="188"/>
        <v>0</v>
      </c>
      <c r="AA125" s="195">
        <f t="shared" si="188"/>
        <v>0</v>
      </c>
      <c r="AB125" s="195">
        <f t="shared" si="188"/>
        <v>0</v>
      </c>
      <c r="AC125" s="195">
        <f t="shared" si="188"/>
        <v>0</v>
      </c>
    </row>
    <row r="126" spans="1:29">
      <c r="C126" s="49"/>
    </row>
    <row r="127" spans="1:29" ht="13.7">
      <c r="C127" s="192" t="s">
        <v>18</v>
      </c>
      <c r="D127" s="195"/>
      <c r="E127" s="195">
        <f>SUM(E128:E130)</f>
        <v>0</v>
      </c>
      <c r="F127" s="195">
        <f t="shared" ref="F127:P127" ca="1" si="189">SUM(F128:F130)</f>
        <v>0</v>
      </c>
      <c r="G127" s="195">
        <f t="shared" ca="1" si="189"/>
        <v>0</v>
      </c>
      <c r="H127" s="195">
        <f t="shared" ca="1" si="189"/>
        <v>0</v>
      </c>
      <c r="I127" s="195">
        <f t="shared" ca="1" si="189"/>
        <v>0</v>
      </c>
      <c r="J127" s="195">
        <f ca="1">SUM(J128:J130)</f>
        <v>372544000</v>
      </c>
      <c r="K127" s="195">
        <f ca="1">SUM(K128:K130)</f>
        <v>372544000</v>
      </c>
      <c r="L127" s="195">
        <f t="shared" ca="1" si="189"/>
        <v>372544000</v>
      </c>
      <c r="M127" s="195">
        <f t="shared" ca="1" si="189"/>
        <v>372544000</v>
      </c>
      <c r="N127" s="195">
        <f t="shared" ca="1" si="189"/>
        <v>372544000</v>
      </c>
      <c r="O127" s="195">
        <f t="shared" ca="1" si="189"/>
        <v>372544000</v>
      </c>
      <c r="P127" s="195">
        <f t="shared" ca="1" si="189"/>
        <v>372544000</v>
      </c>
      <c r="Q127" s="195">
        <f t="shared" ref="Q127:AC127" ca="1" si="190">SUM(Q128:Q130)</f>
        <v>0</v>
      </c>
      <c r="R127" s="195">
        <f t="shared" ca="1" si="190"/>
        <v>0</v>
      </c>
      <c r="S127" s="195">
        <f t="shared" ca="1" si="190"/>
        <v>0</v>
      </c>
      <c r="T127" s="195">
        <f t="shared" ca="1" si="190"/>
        <v>0</v>
      </c>
      <c r="U127" s="195">
        <f t="shared" ca="1" si="190"/>
        <v>0</v>
      </c>
      <c r="V127" s="195">
        <f t="shared" ca="1" si="190"/>
        <v>0</v>
      </c>
      <c r="W127" s="195">
        <f t="shared" ca="1" si="190"/>
        <v>0</v>
      </c>
      <c r="X127" s="195">
        <f t="shared" ca="1" si="190"/>
        <v>0</v>
      </c>
      <c r="Y127" s="195">
        <f t="shared" ca="1" si="190"/>
        <v>0</v>
      </c>
      <c r="Z127" s="195">
        <f t="shared" ca="1" si="190"/>
        <v>0</v>
      </c>
      <c r="AA127" s="195">
        <f t="shared" ca="1" si="190"/>
        <v>0</v>
      </c>
      <c r="AB127" s="195">
        <f t="shared" ca="1" si="190"/>
        <v>0</v>
      </c>
      <c r="AC127" s="195">
        <f t="shared" ca="1" si="190"/>
        <v>0</v>
      </c>
    </row>
    <row r="128" spans="1:29" ht="13.7" outlineLevel="1">
      <c r="C128" s="254"/>
      <c r="D128" s="340" t="s">
        <v>1094</v>
      </c>
      <c r="E128" s="341">
        <f>IFERROR(E$6*'Historical Holdco'!D79,0)</f>
        <v>0</v>
      </c>
      <c r="F128" s="341">
        <f>IFERROR(F$6*'Historical Holdco'!E79,0)</f>
        <v>0</v>
      </c>
      <c r="G128" s="341">
        <f>IFERROR(G$6*'Historical Holdco'!F79,0)</f>
        <v>0</v>
      </c>
      <c r="H128" s="341">
        <f>IFERROR(H$6*'Historical Holdco'!G79,0)</f>
        <v>0</v>
      </c>
      <c r="I128" s="341">
        <f>IFERROR(I$6*'Historical Holdco'!H79,0)</f>
        <v>0</v>
      </c>
      <c r="J128" s="341">
        <f>IFERROR(J$6*'Historical Holdco'!I79,0)</f>
        <v>0</v>
      </c>
      <c r="K128" s="341">
        <f>IFERROR(K$6*'Historical Holdco'!J79,0)</f>
        <v>0</v>
      </c>
      <c r="L128" s="341">
        <f>IFERROR(L$6*'Historical Holdco'!K79,0)</f>
        <v>0</v>
      </c>
      <c r="M128" s="341">
        <f>IFERROR(M$6*'Historical Holdco'!L79,0)</f>
        <v>0</v>
      </c>
      <c r="N128" s="341">
        <f>IFERROR(N$6*'Historical Holdco'!M79,0)</f>
        <v>0</v>
      </c>
      <c r="O128" s="341">
        <f>IFERROR(O$6*'Historical Holdco'!N79,0)</f>
        <v>0</v>
      </c>
      <c r="P128" s="341">
        <f>IFERROR(P$6*'Historical Holdco'!O79,0)</f>
        <v>0</v>
      </c>
      <c r="Q128" s="341">
        <f>IFERROR(Q$6*'Historical Holdco'!P79,0)</f>
        <v>0</v>
      </c>
      <c r="R128" s="341">
        <f>IFERROR(R$6*'Historical Holdco'!Q79,0)</f>
        <v>0</v>
      </c>
      <c r="S128" s="341">
        <f>IFERROR(S$6*'Historical Holdco'!R79,0)</f>
        <v>0</v>
      </c>
      <c r="T128" s="341">
        <f>IFERROR(T$6*'Historical Holdco'!S79,0)</f>
        <v>0</v>
      </c>
      <c r="U128" s="341">
        <f>IFERROR(U$6*'Historical Holdco'!T79,0)</f>
        <v>0</v>
      </c>
      <c r="V128" s="341">
        <f>IFERROR(V$6*'Historical Holdco'!U79,0)</f>
        <v>0</v>
      </c>
      <c r="W128" s="341">
        <f>IFERROR(W$6*'Historical Holdco'!V79,0)</f>
        <v>0</v>
      </c>
      <c r="X128" s="341">
        <f>IFERROR(X$6*'Historical Holdco'!W79,0)</f>
        <v>0</v>
      </c>
      <c r="Y128" s="341">
        <f>IFERROR(Y$6*'Historical Holdco'!X79,0)</f>
        <v>0</v>
      </c>
      <c r="Z128" s="341">
        <f>IFERROR(Z$6*'Historical Holdco'!Y79,0)</f>
        <v>0</v>
      </c>
      <c r="AA128" s="341">
        <f>IFERROR(AA$6*'Historical Holdco'!Z79,0)</f>
        <v>0</v>
      </c>
      <c r="AB128" s="341">
        <f>IFERROR(AB$6*'Historical Holdco'!AA79,0)</f>
        <v>0</v>
      </c>
      <c r="AC128" s="341">
        <f>IFERROR(AC$6*'Historical Holdco'!AB79,0)</f>
        <v>0</v>
      </c>
    </row>
    <row r="129" spans="2:29" ht="13.7" outlineLevel="1">
      <c r="C129" s="254"/>
      <c r="D129" s="340" t="s">
        <v>1095</v>
      </c>
      <c r="E129" s="341">
        <f>+IFERROR(E$7*'Acquisition BS adjustments'!$C223,0)+IFERROR(E$8*'Acquisition BS adjustments'!$E223,0)</f>
        <v>0</v>
      </c>
      <c r="F129" s="341">
        <f>+IFERROR(F$7*'Acquisition BS adjustments'!$C223,0)+IFERROR(F$8*'Acquisition BS adjustments'!$E223,0)</f>
        <v>0</v>
      </c>
      <c r="G129" s="341">
        <f>+IFERROR(G$7*'Acquisition BS adjustments'!$C223,0)+IFERROR(G$8*'Acquisition BS adjustments'!$E223,0)</f>
        <v>0</v>
      </c>
      <c r="H129" s="341">
        <f>+IFERROR(H$7*'Acquisition BS adjustments'!$C223,0)+IFERROR(H$8*'Acquisition BS adjustments'!$E223,0)</f>
        <v>0</v>
      </c>
      <c r="I129" s="341">
        <f>+IFERROR(I$7*'Acquisition BS adjustments'!$C223,0)+IFERROR(I$8*'Acquisition BS adjustments'!$E223,0)</f>
        <v>0</v>
      </c>
      <c r="J129" s="341">
        <f>+IFERROR(J$7*'Acquisition BS adjustments'!$C223,0)+IFERROR(J$8*'Acquisition BS adjustments'!$E223,0)</f>
        <v>372544000</v>
      </c>
      <c r="K129" s="341">
        <f>+IFERROR(K$7*'Acquisition BS adjustments'!$C223,0)+IFERROR(K$8*'Acquisition BS adjustments'!$E223,0)</f>
        <v>0</v>
      </c>
      <c r="L129" s="341">
        <f>+IFERROR(L$7*'Acquisition BS adjustments'!$C223,0)+IFERROR(L$8*'Acquisition BS adjustments'!$E223,0)</f>
        <v>0</v>
      </c>
      <c r="M129" s="341">
        <f>+IFERROR(M$7*'Acquisition BS adjustments'!$C223,0)+IFERROR(M$8*'Acquisition BS adjustments'!$E223,0)</f>
        <v>0</v>
      </c>
      <c r="N129" s="341">
        <f>+IFERROR(N$7*'Acquisition BS adjustments'!$C223,0)+IFERROR(N$8*'Acquisition BS adjustments'!$E223,0)</f>
        <v>0</v>
      </c>
      <c r="O129" s="341">
        <f>+IFERROR(O$7*'Acquisition BS adjustments'!$C223,0)+IFERROR(O$8*'Acquisition BS adjustments'!$E223,0)</f>
        <v>0</v>
      </c>
      <c r="P129" s="341">
        <f>+IFERROR(P$7*'Acquisition BS adjustments'!$C223,0)+IFERROR(P$8*'Acquisition BS adjustments'!$E223,0)</f>
        <v>0</v>
      </c>
      <c r="Q129" s="341">
        <f>+IFERROR(Q$7*'Acquisition BS adjustments'!$C223,0)+IFERROR(Q$8*'Acquisition BS adjustments'!$E223,0)</f>
        <v>0</v>
      </c>
      <c r="R129" s="341">
        <f>+IFERROR(R$7*'Acquisition BS adjustments'!$C223,0)+IFERROR(R$8*'Acquisition BS adjustments'!$E223,0)</f>
        <v>0</v>
      </c>
      <c r="S129" s="341">
        <f>+IFERROR(S$7*'Acquisition BS adjustments'!$C223,0)+IFERROR(S$8*'Acquisition BS adjustments'!$E223,0)</f>
        <v>0</v>
      </c>
      <c r="T129" s="341">
        <f>+IFERROR(T$7*'Acquisition BS adjustments'!$C223,0)+IFERROR(T$8*'Acquisition BS adjustments'!$E223,0)</f>
        <v>0</v>
      </c>
      <c r="U129" s="341">
        <f>+IFERROR(U$7*'Acquisition BS adjustments'!$C223,0)+IFERROR(U$8*'Acquisition BS adjustments'!$E223,0)</f>
        <v>0</v>
      </c>
      <c r="V129" s="341">
        <f>+IFERROR(V$7*'Acquisition BS adjustments'!$C223,0)+IFERROR(V$8*'Acquisition BS adjustments'!$E223,0)</f>
        <v>0</v>
      </c>
      <c r="W129" s="341">
        <f>+IFERROR(W$7*'Acquisition BS adjustments'!$C223,0)+IFERROR(W$8*'Acquisition BS adjustments'!$E223,0)</f>
        <v>0</v>
      </c>
      <c r="X129" s="341">
        <f>+IFERROR(X$7*'Acquisition BS adjustments'!$C223,0)+IFERROR(X$8*'Acquisition BS adjustments'!$E223,0)</f>
        <v>0</v>
      </c>
      <c r="Y129" s="341">
        <f>+IFERROR(Y$7*'Acquisition BS adjustments'!$C223,0)+IFERROR(Y$8*'Acquisition BS adjustments'!$E223,0)</f>
        <v>0</v>
      </c>
      <c r="Z129" s="341">
        <f>+IFERROR(Z$7*'Acquisition BS adjustments'!$C223,0)+IFERROR(Z$8*'Acquisition BS adjustments'!$E223,0)</f>
        <v>0</v>
      </c>
      <c r="AA129" s="341">
        <f>+IFERROR(AA$7*'Acquisition BS adjustments'!$C223,0)+IFERROR(AA$8*'Acquisition BS adjustments'!$E223,0)</f>
        <v>0</v>
      </c>
      <c r="AB129" s="341">
        <f>+IFERROR(AB$7*'Acquisition BS adjustments'!$C223,0)+IFERROR(AB$8*'Acquisition BS adjustments'!$E223,0)</f>
        <v>0</v>
      </c>
      <c r="AC129" s="341">
        <f>+IFERROR(AC$7*'Acquisition BS adjustments'!$C223,0)+IFERROR(AC$8*'Acquisition BS adjustments'!$E223,0)</f>
        <v>0</v>
      </c>
    </row>
    <row r="130" spans="2:29" ht="13.7" outlineLevel="1">
      <c r="C130" s="254"/>
      <c r="D130" s="339" t="s">
        <v>872</v>
      </c>
      <c r="E130" s="255">
        <f>+IFERROR(E9*(D127+INDEX('IS Holdco'!67:67,MATCH('BS Holdco'!E5,'IS Holdco'!5:5,0))-INDEX('IS Holdco'!71:71,MATCH('BS Holdco'!E5,'IS Holdco'!5:5,0))),0)</f>
        <v>0</v>
      </c>
      <c r="F130" s="255">
        <f ca="1">+IFERROR(F9*(E127+INDEX('IS Holdco'!67:67,MATCH('BS Holdco'!F5,'IS Holdco'!5:5,0))-INDEX('IS Holdco'!71:71,MATCH('BS Holdco'!F5,'IS Holdco'!5:5,0))),0)</f>
        <v>0</v>
      </c>
      <c r="G130" s="255">
        <f ca="1">+IFERROR(G9*(F127+INDEX('IS Holdco'!67:67,MATCH('BS Holdco'!G5,'IS Holdco'!5:5,0))-INDEX('IS Holdco'!71:71,MATCH('BS Holdco'!G5,'IS Holdco'!5:5,0))),0)</f>
        <v>0</v>
      </c>
      <c r="H130" s="255">
        <f ca="1">+IFERROR(H9*(G127+INDEX('IS Holdco'!67:67,MATCH('BS Holdco'!H5,'IS Holdco'!5:5,0))-INDEX('IS Holdco'!71:71,MATCH('BS Holdco'!H5,'IS Holdco'!5:5,0))),0)</f>
        <v>0</v>
      </c>
      <c r="I130" s="255">
        <f ca="1">+IFERROR(I9*(H127+INDEX('IS Holdco'!67:67,MATCH('BS Holdco'!I5,'IS Holdco'!5:5,0))-INDEX('IS Holdco'!71:71,MATCH('BS Holdco'!I5,'IS Holdco'!5:5,0))),0)</f>
        <v>0</v>
      </c>
      <c r="J130" s="255">
        <f ca="1">+IFERROR(J9*(I127+INDEX('IS Holdco'!67:67,MATCH('BS Holdco'!J5,'IS Holdco'!5:5,0))-INDEX('IS Holdco'!71:71,MATCH('BS Holdco'!J5,'IS Holdco'!5:5,0))),0)</f>
        <v>0</v>
      </c>
      <c r="K130" s="255">
        <f ca="1">+IFERROR(K9*(J127+INDEX('IS Holdco'!67:67,MATCH('BS Holdco'!K5,'IS Holdco'!5:5,0))-INDEX('IS Holdco'!71:71,MATCH('BS Holdco'!K5,'IS Holdco'!5:5,0))),0)</f>
        <v>372544000</v>
      </c>
      <c r="L130" s="255">
        <f ca="1">+IFERROR(L9*(K127+INDEX('IS Holdco'!67:67,MATCH('BS Holdco'!L5,'IS Holdco'!5:5,0))-INDEX('IS Holdco'!71:71,MATCH('BS Holdco'!L5,'IS Holdco'!5:5,0))),0)</f>
        <v>372544000</v>
      </c>
      <c r="M130" s="255">
        <f ca="1">+IFERROR(M9*(L127+INDEX('IS Holdco'!67:67,MATCH('BS Holdco'!M5,'IS Holdco'!5:5,0))-INDEX('IS Holdco'!71:71,MATCH('BS Holdco'!M5,'IS Holdco'!5:5,0))),0)</f>
        <v>372544000</v>
      </c>
      <c r="N130" s="255">
        <f ca="1">+IFERROR(N9*(M127+INDEX('IS Holdco'!67:67,MATCH('BS Holdco'!N5,'IS Holdco'!5:5,0))-INDEX('IS Holdco'!71:71,MATCH('BS Holdco'!N5,'IS Holdco'!5:5,0))),0)</f>
        <v>372544000</v>
      </c>
      <c r="O130" s="255">
        <f ca="1">+IFERROR(O9*(N127+INDEX('IS Holdco'!67:67,MATCH('BS Holdco'!O5,'IS Holdco'!5:5,0))-INDEX('IS Holdco'!71:71,MATCH('BS Holdco'!O5,'IS Holdco'!5:5,0))),0)</f>
        <v>372544000</v>
      </c>
      <c r="P130" s="255">
        <f ca="1">+IFERROR(P9*(O127+INDEX('IS Holdco'!67:67,MATCH('BS Holdco'!P5,'IS Holdco'!5:5,0))-INDEX('IS Holdco'!71:71,MATCH('BS Holdco'!P5,'IS Holdco'!5:5,0))),0)</f>
        <v>372544000</v>
      </c>
      <c r="Q130" s="255">
        <f ca="1">+IFERROR(Q9*(P127+INDEX('IS Holdco'!67:67,MATCH('BS Holdco'!Q5,'IS Holdco'!5:5,0))-INDEX('IS Holdco'!71:71,MATCH('BS Holdco'!Q5,'IS Holdco'!5:5,0))),0)</f>
        <v>0</v>
      </c>
      <c r="R130" s="255">
        <f ca="1">+IFERROR(R9*(Q127+INDEX('IS Holdco'!67:67,MATCH('BS Holdco'!R5,'IS Holdco'!5:5,0))-INDEX('IS Holdco'!71:71,MATCH('BS Holdco'!R5,'IS Holdco'!5:5,0))),0)</f>
        <v>0</v>
      </c>
      <c r="S130" s="255">
        <f ca="1">+IFERROR(S9*(R127+INDEX('IS Holdco'!67:67,MATCH('BS Holdco'!S5,'IS Holdco'!5:5,0))-INDEX('IS Holdco'!71:71,MATCH('BS Holdco'!S5,'IS Holdco'!5:5,0))),0)</f>
        <v>0</v>
      </c>
      <c r="T130" s="255">
        <f ca="1">+IFERROR(T9*(S127+INDEX('IS Holdco'!67:67,MATCH('BS Holdco'!T5,'IS Holdco'!5:5,0))-INDEX('IS Holdco'!71:71,MATCH('BS Holdco'!T5,'IS Holdco'!5:5,0))),0)</f>
        <v>0</v>
      </c>
      <c r="U130" s="255">
        <f ca="1">+IFERROR(U9*(T127+INDEX('IS Holdco'!67:67,MATCH('BS Holdco'!U5,'IS Holdco'!5:5,0))-INDEX('IS Holdco'!71:71,MATCH('BS Holdco'!U5,'IS Holdco'!5:5,0))),0)</f>
        <v>0</v>
      </c>
      <c r="V130" s="255">
        <f ca="1">+IFERROR(V9*(U127+INDEX('IS Holdco'!67:67,MATCH('BS Holdco'!V5,'IS Holdco'!5:5,0))-INDEX('IS Holdco'!71:71,MATCH('BS Holdco'!V5,'IS Holdco'!5:5,0))),0)</f>
        <v>0</v>
      </c>
      <c r="W130" s="255">
        <f ca="1">+IFERROR(W9*(V127+INDEX('IS Holdco'!67:67,MATCH('BS Holdco'!W5,'IS Holdco'!5:5,0))-INDEX('IS Holdco'!71:71,MATCH('BS Holdco'!W5,'IS Holdco'!5:5,0))),0)</f>
        <v>0</v>
      </c>
      <c r="X130" s="255">
        <f ca="1">+IFERROR(X9*(W127+INDEX('IS Holdco'!67:67,MATCH('BS Holdco'!X5,'IS Holdco'!5:5,0))-INDEX('IS Holdco'!71:71,MATCH('BS Holdco'!X5,'IS Holdco'!5:5,0))),0)</f>
        <v>0</v>
      </c>
      <c r="Y130" s="255">
        <f ca="1">+IFERROR(Y9*(X127+INDEX('IS Holdco'!67:67,MATCH('BS Holdco'!Y5,'IS Holdco'!5:5,0))-INDEX('IS Holdco'!71:71,MATCH('BS Holdco'!Y5,'IS Holdco'!5:5,0))),0)</f>
        <v>0</v>
      </c>
      <c r="Z130" s="255">
        <f ca="1">+IFERROR(Z9*(Y127+INDEX('IS Holdco'!67:67,MATCH('BS Holdco'!Z5,'IS Holdco'!5:5,0))-INDEX('IS Holdco'!71:71,MATCH('BS Holdco'!Z5,'IS Holdco'!5:5,0))),0)</f>
        <v>0</v>
      </c>
      <c r="AA130" s="255">
        <f ca="1">+IFERROR(AA9*(Z127+INDEX('IS Holdco'!67:67,MATCH('BS Holdco'!AA5,'IS Holdco'!5:5,0))-INDEX('IS Holdco'!71:71,MATCH('BS Holdco'!AA5,'IS Holdco'!5:5,0))),0)</f>
        <v>0</v>
      </c>
      <c r="AB130" s="255">
        <f ca="1">+IFERROR(AB9*(AA127+INDEX('IS Holdco'!67:67,MATCH('BS Holdco'!AB5,'IS Holdco'!5:5,0))-INDEX('IS Holdco'!71:71,MATCH('BS Holdco'!AB5,'IS Holdco'!5:5,0))),0)</f>
        <v>0</v>
      </c>
      <c r="AC130" s="255">
        <f ca="1">+IFERROR(AC9*(AB127+INDEX('IS Holdco'!67:67,MATCH('BS Holdco'!AC5,'IS Holdco'!5:5,0))-INDEX('IS Holdco'!71:71,MATCH('BS Holdco'!AC5,'IS Holdco'!5:5,0))),0)</f>
        <v>0</v>
      </c>
    </row>
    <row r="131" spans="2:29" ht="13.7"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</row>
    <row r="132" spans="2:29" ht="13.7">
      <c r="C132" s="28"/>
      <c r="D132" s="28"/>
      <c r="E132" s="28"/>
      <c r="F132" s="28"/>
      <c r="G132" s="28"/>
      <c r="H132" s="28"/>
      <c r="I132" s="28"/>
      <c r="J132" s="28"/>
      <c r="K132" s="28"/>
      <c r="L132" s="374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</row>
    <row r="134" spans="2:29" ht="13.7">
      <c r="C134" s="203" t="s">
        <v>19</v>
      </c>
      <c r="D134" s="203"/>
      <c r="E134" s="204" t="str">
        <f t="shared" ref="E134:P134" si="191">IF(ROUND((E127+E125-E72)/Input_unit,1)=0,"-",E127+E125-E72)</f>
        <v>-</v>
      </c>
      <c r="F134" s="204" t="str">
        <f t="shared" ca="1" si="191"/>
        <v>-</v>
      </c>
      <c r="G134" s="204" t="str">
        <f t="shared" ca="1" si="191"/>
        <v>-</v>
      </c>
      <c r="H134" s="204" t="str">
        <f t="shared" ca="1" si="191"/>
        <v>-</v>
      </c>
      <c r="I134" s="204" t="str">
        <f t="shared" ca="1" si="191"/>
        <v>-</v>
      </c>
      <c r="J134" s="204" t="str">
        <f t="shared" ca="1" si="191"/>
        <v>-</v>
      </c>
      <c r="K134" s="204" t="str">
        <f ca="1">IF(ROUND((K127+K125-K72)/Input_unit,1)=0,"-",K127+K125-K72)</f>
        <v>-</v>
      </c>
      <c r="L134" s="204" t="str">
        <f ca="1">IF(ROUND((L127+L125-L72)/Input_unit,1)=0,"-",L127+L125-L72)</f>
        <v>-</v>
      </c>
      <c r="M134" s="204" t="str">
        <f t="shared" ca="1" si="191"/>
        <v>-</v>
      </c>
      <c r="N134" s="204" t="str">
        <f t="shared" ca="1" si="191"/>
        <v>-</v>
      </c>
      <c r="O134" s="204" t="str">
        <f t="shared" ca="1" si="191"/>
        <v>-</v>
      </c>
      <c r="P134" s="204" t="str">
        <f t="shared" ca="1" si="191"/>
        <v>-</v>
      </c>
      <c r="Q134" s="204" t="str">
        <f t="shared" ref="Q134:AC134" ca="1" si="192">IF(ROUND((Q127+Q125-Q72)/Input_unit,1)=0,"-",Q127+Q125-Q72)</f>
        <v>-</v>
      </c>
      <c r="R134" s="204" t="str">
        <f t="shared" ca="1" si="192"/>
        <v>-</v>
      </c>
      <c r="S134" s="204" t="str">
        <f t="shared" ca="1" si="192"/>
        <v>-</v>
      </c>
      <c r="T134" s="204" t="str">
        <f t="shared" ca="1" si="192"/>
        <v>-</v>
      </c>
      <c r="U134" s="204" t="str">
        <f t="shared" ca="1" si="192"/>
        <v>-</v>
      </c>
      <c r="V134" s="204" t="str">
        <f t="shared" ca="1" si="192"/>
        <v>-</v>
      </c>
      <c r="W134" s="204" t="str">
        <f t="shared" ca="1" si="192"/>
        <v>-</v>
      </c>
      <c r="X134" s="204" t="str">
        <f t="shared" ca="1" si="192"/>
        <v>-</v>
      </c>
      <c r="Y134" s="204" t="str">
        <f t="shared" ca="1" si="192"/>
        <v>-</v>
      </c>
      <c r="Z134" s="204" t="str">
        <f t="shared" ca="1" si="192"/>
        <v>-</v>
      </c>
      <c r="AA134" s="204" t="str">
        <f t="shared" ca="1" si="192"/>
        <v>-</v>
      </c>
      <c r="AB134" s="204" t="str">
        <f t="shared" ca="1" si="192"/>
        <v>-</v>
      </c>
      <c r="AC134" s="204" t="str">
        <f t="shared" ca="1" si="192"/>
        <v>-</v>
      </c>
    </row>
    <row r="135" spans="2:29">
      <c r="J135" s="40"/>
      <c r="L135" s="40"/>
      <c r="M135" s="51"/>
      <c r="N135" s="51"/>
      <c r="O135" s="51"/>
      <c r="P135" s="51"/>
      <c r="Q135" s="51"/>
      <c r="U135" s="44"/>
      <c r="V135" s="44"/>
      <c r="Y135" s="40"/>
      <c r="Z135" s="40"/>
    </row>
    <row r="136" spans="2:29" ht="13.7">
      <c r="B136" s="52"/>
    </row>
    <row r="137" spans="2:29" ht="13.7">
      <c r="B137" s="52"/>
    </row>
    <row r="138" spans="2:29" ht="13.7">
      <c r="B138" s="52"/>
    </row>
    <row r="139" spans="2:29" ht="13.7">
      <c r="B139" s="52"/>
    </row>
    <row r="140" spans="2:29" ht="13.7">
      <c r="B140" s="52"/>
    </row>
    <row r="141" spans="2:29" ht="13.7">
      <c r="B141" s="52"/>
    </row>
    <row r="142" spans="2:29" ht="13.7">
      <c r="B142" s="52"/>
    </row>
    <row r="143" spans="2:29" ht="13.7">
      <c r="B143" s="52"/>
    </row>
    <row r="144" spans="2:29" ht="13.7">
      <c r="B144" s="52"/>
    </row>
  </sheetData>
  <phoneticPr fontId="52" type="noConversion"/>
  <conditionalFormatting sqref="E6:AC9">
    <cfRule type="cellIs" dxfId="113" priority="3" operator="equal">
      <formula>TRUE</formula>
    </cfRule>
  </conditionalFormatting>
  <conditionalFormatting sqref="E104:AC105 E24:AC28 E113:AC115 E100:AC102">
    <cfRule type="cellIs" dxfId="112" priority="2" operator="lessThan">
      <formula>0</formula>
    </cfRule>
  </conditionalFormatting>
  <conditionalFormatting sqref="E77:AC77">
    <cfRule type="cellIs" dxfId="111" priority="1" operator="lessThan">
      <formula>0</formula>
    </cfRule>
  </conditionalFormatting>
  <pageMargins left="0.7" right="0.7" top="0.75" bottom="0.75" header="0.3" footer="0.3"/>
  <pageSetup paperSize="9" scale="25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5409" r:id="rId4" name="Drop Down 1">
              <controlPr defaultSize="0" autoLine="0" autoPict="0">
                <anchor moveWithCells="1">
                  <from>
                    <xdr:col>4</xdr:col>
                    <xdr:colOff>100584</xdr:colOff>
                    <xdr:row>14</xdr:row>
                    <xdr:rowOff>18288</xdr:rowOff>
                  </from>
                  <to>
                    <xdr:col>5</xdr:col>
                    <xdr:colOff>502920</xdr:colOff>
                    <xdr:row>15</xdr:row>
                    <xdr:rowOff>36576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tabColor theme="0"/>
    <pageSetUpPr fitToPage="1"/>
  </sheetPr>
  <dimension ref="A1:AC53"/>
  <sheetViews>
    <sheetView view="pageBreakPreview" topLeftCell="A35" zoomScale="90" zoomScaleNormal="90" zoomScaleSheetLayoutView="90" workbookViewId="0">
      <selection activeCell="J50" sqref="J50"/>
    </sheetView>
  </sheetViews>
  <sheetFormatPr defaultColWidth="9.140625" defaultRowHeight="13.7" outlineLevelRow="1" outlineLevelCol="1"/>
  <cols>
    <col min="1" max="2" width="3" style="52" customWidth="1"/>
    <col min="3" max="3" width="3.7109375" style="52" customWidth="1"/>
    <col min="4" max="4" width="22.28515625" style="52" customWidth="1"/>
    <col min="5" max="5" width="16.85546875" style="52" customWidth="1"/>
    <col min="6" max="7" width="14.85546875" style="52" customWidth="1"/>
    <col min="8" max="8" width="18.7109375" style="52" customWidth="1"/>
    <col min="9" max="9" width="17.28515625" style="52" customWidth="1"/>
    <col min="10" max="10" width="16.5703125" style="52" customWidth="1"/>
    <col min="11" max="15" width="14.85546875" style="52" customWidth="1"/>
    <col min="16" max="29" width="14.85546875" style="52" customWidth="1" outlineLevel="1"/>
    <col min="30" max="16384" width="9.140625" style="28"/>
  </cols>
  <sheetData>
    <row r="1" spans="1:29" ht="14.6" customHeight="1" outlineLevel="1">
      <c r="A1" s="18"/>
      <c r="B1" s="18"/>
      <c r="C1" s="24" t="s">
        <v>870</v>
      </c>
      <c r="D1" s="24">
        <f>'Control Panel'!B12</f>
        <v>2019</v>
      </c>
      <c r="E1" s="18" t="s">
        <v>689</v>
      </c>
      <c r="F1" s="5">
        <f>'Control Panel'!B11</f>
        <v>43466</v>
      </c>
      <c r="G1" s="18"/>
      <c r="H1" s="18" t="s">
        <v>691</v>
      </c>
      <c r="I1" s="5">
        <f>'Control Panel'!B9</f>
        <v>43465</v>
      </c>
      <c r="J1" s="18"/>
      <c r="K1" s="18" t="s">
        <v>705</v>
      </c>
      <c r="L1" s="18">
        <f>'Control Panel'!B13-'Control Panel'!B12+1</f>
        <v>6</v>
      </c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 ht="14.6" customHeight="1" outlineLevel="1">
      <c r="A2" s="18"/>
      <c r="B2" s="18"/>
      <c r="C2" s="24" t="s">
        <v>871</v>
      </c>
      <c r="D2" s="24">
        <f>'Financial summary'!E5</f>
        <v>1</v>
      </c>
      <c r="E2" s="18"/>
      <c r="F2" s="18"/>
      <c r="G2" s="18"/>
      <c r="H2" s="18" t="s">
        <v>693</v>
      </c>
      <c r="I2" s="27">
        <f>'Control Panel'!B5</f>
        <v>5</v>
      </c>
      <c r="J2" s="18"/>
      <c r="K2" s="18" t="s">
        <v>1555</v>
      </c>
      <c r="L2" s="18">
        <f>stub_quarter+1</f>
        <v>5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spans="1:29" ht="14.6" customHeight="1" outlineLevel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4.6" customHeight="1" outlineLevel="1">
      <c r="A4" s="1"/>
      <c r="B4" s="1"/>
      <c r="C4" s="1" t="s">
        <v>692</v>
      </c>
      <c r="D4" s="1"/>
      <c r="E4" s="1">
        <v>1</v>
      </c>
      <c r="F4" s="1">
        <f>E4+1</f>
        <v>2</v>
      </c>
      <c r="G4" s="1">
        <f t="shared" ref="G4:AC4" si="0">F4+1</f>
        <v>3</v>
      </c>
      <c r="H4" s="1">
        <f t="shared" si="0"/>
        <v>4</v>
      </c>
      <c r="I4" s="1">
        <f t="shared" si="0"/>
        <v>5</v>
      </c>
      <c r="J4" s="1">
        <f t="shared" si="0"/>
        <v>6</v>
      </c>
      <c r="K4" s="1">
        <f t="shared" si="0"/>
        <v>7</v>
      </c>
      <c r="L4" s="1">
        <f t="shared" si="0"/>
        <v>8</v>
      </c>
      <c r="M4" s="1">
        <f t="shared" si="0"/>
        <v>9</v>
      </c>
      <c r="N4" s="1">
        <f t="shared" si="0"/>
        <v>10</v>
      </c>
      <c r="O4" s="1">
        <f t="shared" si="0"/>
        <v>11</v>
      </c>
      <c r="P4" s="1">
        <f t="shared" si="0"/>
        <v>12</v>
      </c>
      <c r="Q4" s="1">
        <f t="shared" si="0"/>
        <v>13</v>
      </c>
      <c r="R4" s="1">
        <f t="shared" si="0"/>
        <v>14</v>
      </c>
      <c r="S4" s="1">
        <f t="shared" si="0"/>
        <v>15</v>
      </c>
      <c r="T4" s="1">
        <f t="shared" si="0"/>
        <v>16</v>
      </c>
      <c r="U4" s="1">
        <f t="shared" si="0"/>
        <v>17</v>
      </c>
      <c r="V4" s="1">
        <f t="shared" si="0"/>
        <v>18</v>
      </c>
      <c r="W4" s="1">
        <f t="shared" si="0"/>
        <v>19</v>
      </c>
      <c r="X4" s="1">
        <f t="shared" si="0"/>
        <v>20</v>
      </c>
      <c r="Y4" s="1">
        <f t="shared" si="0"/>
        <v>21</v>
      </c>
      <c r="Z4" s="1">
        <f t="shared" si="0"/>
        <v>22</v>
      </c>
      <c r="AA4" s="1">
        <f t="shared" si="0"/>
        <v>23</v>
      </c>
      <c r="AB4" s="1">
        <f t="shared" si="0"/>
        <v>24</v>
      </c>
      <c r="AC4" s="1">
        <f t="shared" si="0"/>
        <v>25</v>
      </c>
    </row>
    <row r="5" spans="1:29" ht="14.6" customHeight="1" outlineLevel="1">
      <c r="A5" s="1"/>
      <c r="B5" s="1"/>
      <c r="C5" s="1" t="s">
        <v>719</v>
      </c>
      <c r="D5" s="1"/>
      <c r="E5" s="29">
        <f>DATE('Control Panel'!B4,'Control Panel'!B6,'Control Panel'!B7)</f>
        <v>42004</v>
      </c>
      <c r="F5" s="29">
        <f>F6*EOMONTH(E5,12)+F7*$I$1+F8*$F$1+IF(F9*E8,DATE($D$1,'Control Panel'!$B$6,'Control Panel'!$B$7),F9*EOMONTH(E5,12))</f>
        <v>42369</v>
      </c>
      <c r="G5" s="29">
        <f>G6*EOMONTH(F5,12)+G7*$I$1+G8*$F$1+IF(G9*F8,DATE($D$1,'Control Panel'!$B$6,'Control Panel'!$B$7),G9*EOMONTH(F5,12))</f>
        <v>42735</v>
      </c>
      <c r="H5" s="29">
        <f>H6*EOMONTH(G5,12)+H7*$I$1+H8*$F$1+IF(H9*G8,DATE($D$1,'Control Panel'!$B$6,'Control Panel'!$B$7),H9*EOMONTH(G5,12))</f>
        <v>43100</v>
      </c>
      <c r="I5" s="29">
        <f>I6*EOMONTH(H5,12)+I7*$I$1+I8*$F$1+IF(I9*H8,DATE($D$1,'Control Panel'!$B$6,'Control Panel'!$B$7),I9*EOMONTH(H5,12))</f>
        <v>43465</v>
      </c>
      <c r="J5" s="29">
        <f>J6*EOMONTH(I5,12)+J7*$I$1+J8*$F$1+IF(J9*I8,DATE($D$1,'Control Panel'!$B$6,'Control Panel'!$B$7),J9*EOMONTH(I5,12))</f>
        <v>43466</v>
      </c>
      <c r="K5" s="29">
        <f>K6*EOMONTH(J5,12)+K7*$I$1+K8*$F$1+IF(K9*J8,DATE($D$1,'Control Panel'!$B$6,'Control Panel'!$B$7),K9*EOMONTH(J5,12))</f>
        <v>43830</v>
      </c>
      <c r="L5" s="29">
        <f>L6*EOMONTH(K5,12)+L7*$I$1+L8*$F$1+IF(L9*K8,DATE($D$1,'Control Panel'!$B$6,'Control Panel'!$B$7),L9*EOMONTH(K5,12))</f>
        <v>44196</v>
      </c>
      <c r="M5" s="29">
        <f>M6*EOMONTH(L5,12)+M7*$I$1+M8*$F$1+IF(M9*L8,DATE($D$1,'Control Panel'!$B$6,'Control Panel'!$B$7),M9*EOMONTH(L5,12))</f>
        <v>44561</v>
      </c>
      <c r="N5" s="29">
        <f>N6*EOMONTH(M5,12)+N7*$I$1+N8*$F$1+IF(N9*M8,DATE($D$1,'Control Panel'!$B$6,'Control Panel'!$B$7),N9*EOMONTH(M5,12))</f>
        <v>44926</v>
      </c>
      <c r="O5" s="29">
        <f>O6*EOMONTH(N5,12)+O7*$I$1+O8*$F$1+IF(O9*N8,DATE($D$1,'Control Panel'!$B$6,'Control Panel'!$B$7),O9*EOMONTH(N5,12))</f>
        <v>45291</v>
      </c>
      <c r="P5" s="29">
        <f>P6*EOMONTH(O5,12)+P7*$I$1+P8*$F$1+IF(P9*O8,DATE($D$1,'Control Panel'!$B$6,'Control Panel'!$B$7),P9*EOMONTH(O5,12))</f>
        <v>45657</v>
      </c>
      <c r="Q5" s="29">
        <f>Q6*EOMONTH(P5,12)+Q7*$I$1+Q8*$F$1+IF(Q9*P8,DATE($D$1,'Control Panel'!$B$6,'Control Panel'!$B$7),Q9*EOMONTH(P5,12))</f>
        <v>0</v>
      </c>
      <c r="R5" s="29">
        <f>R6*EOMONTH(Q5,12)+R7*$I$1+R8*$F$1+IF(R9*Q8,DATE($D$1,'Control Panel'!$B$6,'Control Panel'!$B$7),R9*EOMONTH(Q5,12))</f>
        <v>0</v>
      </c>
      <c r="S5" s="29">
        <f>S6*EOMONTH(R5,12)+S7*$I$1+S8*$F$1+IF(S9*R8,DATE($D$1,'Control Panel'!$B$6,'Control Panel'!$B$7),S9*EOMONTH(R5,12))</f>
        <v>0</v>
      </c>
      <c r="T5" s="29">
        <f>T6*EOMONTH(S5,12)+T7*$I$1+T8*$F$1+IF(T9*S8,DATE($D$1,'Control Panel'!$B$6,'Control Panel'!$B$7),T9*EOMONTH(S5,12))</f>
        <v>0</v>
      </c>
      <c r="U5" s="29">
        <f>U6*EOMONTH(T5,12)+U7*$I$1+U8*$F$1+IF(U9*T8,DATE($D$1,'Control Panel'!$B$6,'Control Panel'!$B$7),U9*EOMONTH(T5,12))</f>
        <v>0</v>
      </c>
      <c r="V5" s="29">
        <f>V6*EOMONTH(U5,12)+V7*$I$1+V8*$F$1+IF(V9*U8,DATE($D$1,'Control Panel'!$B$6,'Control Panel'!$B$7),V9*EOMONTH(U5,12))</f>
        <v>0</v>
      </c>
      <c r="W5" s="29">
        <f>W6*EOMONTH(V5,12)+W7*$I$1+W8*$F$1+IF(W9*V8,DATE($D$1,'Control Panel'!$B$6,'Control Panel'!$B$7),W9*EOMONTH(V5,12))</f>
        <v>0</v>
      </c>
      <c r="X5" s="29">
        <f>X6*EOMONTH(W5,12)+X7*$I$1+X8*$F$1+IF(X9*W8,DATE($D$1,'Control Panel'!$B$6,'Control Panel'!$B$7),X9*EOMONTH(W5,12))</f>
        <v>0</v>
      </c>
      <c r="Y5" s="29">
        <f>Y6*EOMONTH(X5,12)+Y7*$I$1+Y8*$F$1+IF(Y9*X8,DATE($D$1,'Control Panel'!$B$6,'Control Panel'!$B$7),Y9*EOMONTH(X5,12))</f>
        <v>0</v>
      </c>
      <c r="Z5" s="29">
        <f>Z6*EOMONTH(Y5,12)+Z7*$I$1+Z8*$F$1+IF(Z9*Y8,DATE($D$1,'Control Panel'!$B$6,'Control Panel'!$B$7),Z9*EOMONTH(Y5,12))</f>
        <v>0</v>
      </c>
      <c r="AA5" s="29">
        <f>AA6*EOMONTH(Z5,12)+AA7*$I$1+AA8*$F$1+IF(AA9*Z8,DATE($D$1,'Control Panel'!$B$6,'Control Panel'!$B$7),AA9*EOMONTH(Z5,12))</f>
        <v>0</v>
      </c>
      <c r="AB5" s="29">
        <f>AB6*EOMONTH(AA5,12)+AB7*$I$1+AB8*$F$1+IF(AB9*AA8,DATE($D$1,'Control Panel'!$B$6,'Control Panel'!$B$7),AB9*EOMONTH(AA5,12))</f>
        <v>0</v>
      </c>
      <c r="AC5" s="29">
        <f>AC6*EOMONTH(AB5,12)+AC7*$I$1+AC8*$F$1+IF(AC9*AB8,DATE($D$1,'Control Panel'!$B$6,'Control Panel'!$B$7),AC9*EOMONTH(AB5,12))</f>
        <v>0</v>
      </c>
    </row>
    <row r="6" spans="1:29" ht="14.6" customHeight="1" outlineLevel="1">
      <c r="A6" s="1"/>
      <c r="B6" s="1"/>
      <c r="C6" s="1" t="s">
        <v>686</v>
      </c>
      <c r="D6" s="1"/>
      <c r="E6" s="1" t="b">
        <f t="shared" ref="E6:AC6" si="1">E4&lt;=$I$2</f>
        <v>1</v>
      </c>
      <c r="F6" s="1" t="b">
        <f t="shared" si="1"/>
        <v>1</v>
      </c>
      <c r="G6" s="1" t="b">
        <f t="shared" si="1"/>
        <v>1</v>
      </c>
      <c r="H6" s="1" t="b">
        <f t="shared" si="1"/>
        <v>1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1" t="b">
        <f t="shared" si="1"/>
        <v>0</v>
      </c>
      <c r="S6" s="1" t="b">
        <f t="shared" si="1"/>
        <v>0</v>
      </c>
      <c r="T6" s="1" t="b">
        <f t="shared" si="1"/>
        <v>0</v>
      </c>
      <c r="U6" s="1" t="b">
        <f t="shared" si="1"/>
        <v>0</v>
      </c>
      <c r="V6" s="1" t="b">
        <f t="shared" si="1"/>
        <v>0</v>
      </c>
      <c r="W6" s="1" t="b">
        <f t="shared" si="1"/>
        <v>0</v>
      </c>
      <c r="X6" s="1" t="b">
        <f t="shared" si="1"/>
        <v>0</v>
      </c>
      <c r="Y6" s="1" t="b">
        <f t="shared" si="1"/>
        <v>0</v>
      </c>
      <c r="Z6" s="1" t="b">
        <f t="shared" si="1"/>
        <v>0</v>
      </c>
      <c r="AA6" s="1" t="b">
        <f t="shared" si="1"/>
        <v>0</v>
      </c>
      <c r="AB6" s="1" t="b">
        <f t="shared" si="1"/>
        <v>0</v>
      </c>
      <c r="AC6" s="1" t="b">
        <f t="shared" si="1"/>
        <v>0</v>
      </c>
    </row>
    <row r="7" spans="1:29" ht="14.6" customHeight="1" outlineLevel="1">
      <c r="A7" s="1"/>
      <c r="B7" s="1"/>
      <c r="C7" s="1" t="s">
        <v>687</v>
      </c>
      <c r="D7" s="1"/>
      <c r="E7" s="1" t="b">
        <f t="shared" ref="E7:AC7" si="2">(E4=$I$2+1)*stub_switch=1</f>
        <v>0</v>
      </c>
      <c r="F7" s="1" t="b">
        <f t="shared" si="2"/>
        <v>0</v>
      </c>
      <c r="G7" s="1" t="b">
        <f t="shared" si="2"/>
        <v>0</v>
      </c>
      <c r="H7" s="1" t="b">
        <f t="shared" si="2"/>
        <v>0</v>
      </c>
      <c r="I7" s="1" t="b">
        <f t="shared" si="2"/>
        <v>0</v>
      </c>
      <c r="J7" s="1" t="b">
        <f t="shared" si="2"/>
        <v>0</v>
      </c>
      <c r="K7" s="1" t="b">
        <f t="shared" si="2"/>
        <v>0</v>
      </c>
      <c r="L7" s="1" t="b">
        <f t="shared" si="2"/>
        <v>0</v>
      </c>
      <c r="M7" s="1" t="b">
        <f t="shared" si="2"/>
        <v>0</v>
      </c>
      <c r="N7" s="1" t="b">
        <f t="shared" si="2"/>
        <v>0</v>
      </c>
      <c r="O7" s="1" t="b">
        <f t="shared" si="2"/>
        <v>0</v>
      </c>
      <c r="P7" s="1" t="b">
        <f t="shared" si="2"/>
        <v>0</v>
      </c>
      <c r="Q7" s="1" t="b">
        <f t="shared" si="2"/>
        <v>0</v>
      </c>
      <c r="R7" s="1" t="b">
        <f t="shared" si="2"/>
        <v>0</v>
      </c>
      <c r="S7" s="1" t="b">
        <f t="shared" si="2"/>
        <v>0</v>
      </c>
      <c r="T7" s="1" t="b">
        <f t="shared" si="2"/>
        <v>0</v>
      </c>
      <c r="U7" s="1" t="b">
        <f t="shared" si="2"/>
        <v>0</v>
      </c>
      <c r="V7" s="1" t="b">
        <f t="shared" si="2"/>
        <v>0</v>
      </c>
      <c r="W7" s="1" t="b">
        <f t="shared" si="2"/>
        <v>0</v>
      </c>
      <c r="X7" s="1" t="b">
        <f t="shared" si="2"/>
        <v>0</v>
      </c>
      <c r="Y7" s="1" t="b">
        <f t="shared" si="2"/>
        <v>0</v>
      </c>
      <c r="Z7" s="1" t="b">
        <f t="shared" si="2"/>
        <v>0</v>
      </c>
      <c r="AA7" s="1" t="b">
        <f t="shared" si="2"/>
        <v>0</v>
      </c>
      <c r="AB7" s="1" t="b">
        <f t="shared" si="2"/>
        <v>0</v>
      </c>
      <c r="AC7" s="1" t="b">
        <f t="shared" si="2"/>
        <v>0</v>
      </c>
    </row>
    <row r="8" spans="1:29" ht="14.6" customHeight="1" outlineLevel="1">
      <c r="A8" s="1"/>
      <c r="B8" s="1"/>
      <c r="C8" s="1" t="s">
        <v>688</v>
      </c>
      <c r="D8" s="1"/>
      <c r="E8" s="1" t="b">
        <f t="shared" ref="E8:AC8" si="3">E4=$I$2+1+1*stub_switch</f>
        <v>0</v>
      </c>
      <c r="F8" s="1" t="b">
        <f t="shared" si="3"/>
        <v>0</v>
      </c>
      <c r="G8" s="1" t="b">
        <f t="shared" si="3"/>
        <v>0</v>
      </c>
      <c r="H8" s="1" t="b">
        <f t="shared" si="3"/>
        <v>0</v>
      </c>
      <c r="I8" s="1" t="b">
        <f t="shared" si="3"/>
        <v>0</v>
      </c>
      <c r="J8" s="1" t="b">
        <f t="shared" si="3"/>
        <v>1</v>
      </c>
      <c r="K8" s="1" t="b">
        <f t="shared" si="3"/>
        <v>0</v>
      </c>
      <c r="L8" s="1" t="b">
        <f t="shared" si="3"/>
        <v>0</v>
      </c>
      <c r="M8" s="1" t="b">
        <f t="shared" si="3"/>
        <v>0</v>
      </c>
      <c r="N8" s="1" t="b">
        <f t="shared" si="3"/>
        <v>0</v>
      </c>
      <c r="O8" s="1" t="b">
        <f t="shared" si="3"/>
        <v>0</v>
      </c>
      <c r="P8" s="1" t="b">
        <f t="shared" si="3"/>
        <v>0</v>
      </c>
      <c r="Q8" s="1" t="b">
        <f t="shared" si="3"/>
        <v>0</v>
      </c>
      <c r="R8" s="1" t="b">
        <f t="shared" si="3"/>
        <v>0</v>
      </c>
      <c r="S8" s="1" t="b">
        <f t="shared" si="3"/>
        <v>0</v>
      </c>
      <c r="T8" s="1" t="b">
        <f t="shared" si="3"/>
        <v>0</v>
      </c>
      <c r="U8" s="1" t="b">
        <f t="shared" si="3"/>
        <v>0</v>
      </c>
      <c r="V8" s="1" t="b">
        <f t="shared" si="3"/>
        <v>0</v>
      </c>
      <c r="W8" s="1" t="b">
        <f t="shared" si="3"/>
        <v>0</v>
      </c>
      <c r="X8" s="1" t="b">
        <f t="shared" si="3"/>
        <v>0</v>
      </c>
      <c r="Y8" s="1" t="b">
        <f t="shared" si="3"/>
        <v>0</v>
      </c>
      <c r="Z8" s="1" t="b">
        <f t="shared" si="3"/>
        <v>0</v>
      </c>
      <c r="AA8" s="1" t="b">
        <f t="shared" si="3"/>
        <v>0</v>
      </c>
      <c r="AB8" s="1" t="b">
        <f t="shared" si="3"/>
        <v>0</v>
      </c>
      <c r="AC8" s="1" t="b">
        <f t="shared" si="3"/>
        <v>0</v>
      </c>
    </row>
    <row r="9" spans="1:29" ht="14.6" customHeight="1" outlineLevel="1">
      <c r="A9" s="1"/>
      <c r="B9" s="1"/>
      <c r="C9" s="1" t="s">
        <v>694</v>
      </c>
      <c r="D9" s="1"/>
      <c r="E9" s="1" t="b">
        <f t="shared" ref="E9:AC9" si="4">AND(E4&gt;$I$2+1+1*stub_switch,E4&lt;=$L$1+$I$2+1+1*stub_switch)</f>
        <v>0</v>
      </c>
      <c r="F9" s="1" t="b">
        <f t="shared" si="4"/>
        <v>0</v>
      </c>
      <c r="G9" s="1" t="b">
        <f t="shared" si="4"/>
        <v>0</v>
      </c>
      <c r="H9" s="1" t="b">
        <f t="shared" si="4"/>
        <v>0</v>
      </c>
      <c r="I9" s="1" t="b">
        <f t="shared" si="4"/>
        <v>0</v>
      </c>
      <c r="J9" s="1" t="b">
        <f t="shared" si="4"/>
        <v>0</v>
      </c>
      <c r="K9" s="1" t="b">
        <f t="shared" si="4"/>
        <v>1</v>
      </c>
      <c r="L9" s="1" t="b">
        <f t="shared" si="4"/>
        <v>1</v>
      </c>
      <c r="M9" s="1" t="b">
        <f t="shared" si="4"/>
        <v>1</v>
      </c>
      <c r="N9" s="1" t="b">
        <f t="shared" si="4"/>
        <v>1</v>
      </c>
      <c r="O9" s="1" t="b">
        <f t="shared" si="4"/>
        <v>1</v>
      </c>
      <c r="P9" s="1" t="b">
        <f t="shared" si="4"/>
        <v>1</v>
      </c>
      <c r="Q9" s="1" t="b">
        <f t="shared" si="4"/>
        <v>0</v>
      </c>
      <c r="R9" s="1" t="b">
        <f t="shared" si="4"/>
        <v>0</v>
      </c>
      <c r="S9" s="1" t="b">
        <f t="shared" si="4"/>
        <v>0</v>
      </c>
      <c r="T9" s="1" t="b">
        <f t="shared" si="4"/>
        <v>0</v>
      </c>
      <c r="U9" s="1" t="b">
        <f t="shared" si="4"/>
        <v>0</v>
      </c>
      <c r="V9" s="1" t="b">
        <f t="shared" si="4"/>
        <v>0</v>
      </c>
      <c r="W9" s="1" t="b">
        <f t="shared" si="4"/>
        <v>0</v>
      </c>
      <c r="X9" s="1" t="b">
        <f t="shared" si="4"/>
        <v>0</v>
      </c>
      <c r="Y9" s="1" t="b">
        <f t="shared" si="4"/>
        <v>0</v>
      </c>
      <c r="Z9" s="1" t="b">
        <f t="shared" si="4"/>
        <v>0</v>
      </c>
      <c r="AA9" s="1" t="b">
        <f t="shared" si="4"/>
        <v>0</v>
      </c>
      <c r="AB9" s="1" t="b">
        <f t="shared" si="4"/>
        <v>0</v>
      </c>
      <c r="AC9" s="1" t="b">
        <f t="shared" si="4"/>
        <v>0</v>
      </c>
    </row>
    <row r="10" spans="1:29" ht="14.6" customHeight="1" outlineLevel="1">
      <c r="A10" s="1"/>
      <c r="B10" s="1"/>
      <c r="C10" s="1"/>
      <c r="D10" s="1"/>
      <c r="E10" s="110">
        <f>YEAR(E5)</f>
        <v>2014</v>
      </c>
      <c r="F10" s="110">
        <f t="shared" ref="F10:AC10" si="5">YEAR(F5)</f>
        <v>2015</v>
      </c>
      <c r="G10" s="110">
        <f t="shared" si="5"/>
        <v>2016</v>
      </c>
      <c r="H10" s="110">
        <f t="shared" si="5"/>
        <v>2017</v>
      </c>
      <c r="I10" s="110">
        <f t="shared" si="5"/>
        <v>2018</v>
      </c>
      <c r="J10" s="110">
        <f t="shared" si="5"/>
        <v>2019</v>
      </c>
      <c r="K10" s="110">
        <f t="shared" si="5"/>
        <v>2019</v>
      </c>
      <c r="L10" s="110">
        <f t="shared" si="5"/>
        <v>2020</v>
      </c>
      <c r="M10" s="110">
        <f t="shared" si="5"/>
        <v>2021</v>
      </c>
      <c r="N10" s="110">
        <f t="shared" si="5"/>
        <v>2022</v>
      </c>
      <c r="O10" s="110">
        <f t="shared" si="5"/>
        <v>2023</v>
      </c>
      <c r="P10" s="110">
        <f t="shared" si="5"/>
        <v>2024</v>
      </c>
      <c r="Q10" s="110">
        <f t="shared" si="5"/>
        <v>1900</v>
      </c>
      <c r="R10" s="110">
        <f t="shared" si="5"/>
        <v>1900</v>
      </c>
      <c r="S10" s="110">
        <f t="shared" si="5"/>
        <v>1900</v>
      </c>
      <c r="T10" s="110">
        <f t="shared" si="5"/>
        <v>1900</v>
      </c>
      <c r="U10" s="110">
        <f t="shared" si="5"/>
        <v>1900</v>
      </c>
      <c r="V10" s="110">
        <f t="shared" si="5"/>
        <v>1900</v>
      </c>
      <c r="W10" s="110">
        <f t="shared" si="5"/>
        <v>1900</v>
      </c>
      <c r="X10" s="110">
        <f t="shared" si="5"/>
        <v>1900</v>
      </c>
      <c r="Y10" s="110">
        <f t="shared" si="5"/>
        <v>1900</v>
      </c>
      <c r="Z10" s="110">
        <f t="shared" si="5"/>
        <v>1900</v>
      </c>
      <c r="AA10" s="110">
        <f t="shared" si="5"/>
        <v>1900</v>
      </c>
      <c r="AB10" s="110">
        <f t="shared" si="5"/>
        <v>1900</v>
      </c>
      <c r="AC10" s="110">
        <f t="shared" si="5"/>
        <v>1900</v>
      </c>
    </row>
    <row r="11" spans="1:29" ht="14.6" customHeight="1" outlineLevel="1">
      <c r="A11" s="1"/>
      <c r="B11" s="1"/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1"/>
      <c r="Y11" s="1"/>
      <c r="Z11" s="1"/>
      <c r="AA11" s="1"/>
      <c r="AB11" s="1"/>
      <c r="AC11" s="1"/>
    </row>
    <row r="12" spans="1:29" ht="14.6" customHeight="1" outlineLevel="1">
      <c r="A12" s="1"/>
      <c r="B12" s="1"/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1"/>
      <c r="Y12" s="1"/>
      <c r="Z12" s="1"/>
      <c r="AA12" s="1"/>
      <c r="AB12" s="1"/>
      <c r="AC12" s="1"/>
    </row>
    <row r="13" spans="1:29" ht="14.6" customHeight="1" outlineLevel="1">
      <c r="A13" s="1"/>
      <c r="B13" s="1"/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1"/>
      <c r="Y13" s="1"/>
      <c r="Z13" s="1"/>
      <c r="AA13" s="1"/>
      <c r="AB13" s="1"/>
      <c r="AC13" s="1"/>
    </row>
    <row r="14" spans="1:29" ht="14.6" customHeight="1" outlineLevel="1">
      <c r="A14" s="1"/>
      <c r="B14" s="1"/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1"/>
      <c r="Y14" s="1"/>
      <c r="Z14" s="1"/>
      <c r="AA14" s="1"/>
      <c r="AB14" s="1"/>
      <c r="AC14" s="1"/>
    </row>
    <row r="15" spans="1:29" ht="16.600000000000001">
      <c r="A15" s="32"/>
      <c r="B15" s="32"/>
      <c r="C15" s="196" t="str">
        <f>CONCATENATE("Project ",project_name," - Cash Flow Statement")</f>
        <v>Project  - Cash Flow Statement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>
      <c r="A16" s="32"/>
      <c r="B16" s="32"/>
      <c r="C16" s="194" t="str">
        <f>CONCATENATE("In ",model_curr," thousand unless otherwise stated")</f>
        <v>In USD thousand unless otherwise stated</v>
      </c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>
      <c r="A17" s="32"/>
      <c r="B17" s="32"/>
      <c r="C17" s="209"/>
      <c r="D17" s="209"/>
      <c r="E17" s="178" t="str">
        <f>CONCATENATE(YEAR(E5),LEFT(E19,1))</f>
        <v>2014A</v>
      </c>
      <c r="F17" s="178" t="str">
        <f t="shared" ref="F17:AC17" si="6">CONCATENATE(YEAR(F5),LEFT(F19,1))</f>
        <v>2015A</v>
      </c>
      <c r="G17" s="178" t="str">
        <f t="shared" si="6"/>
        <v>2016A</v>
      </c>
      <c r="H17" s="178" t="str">
        <f t="shared" si="6"/>
        <v>2017A</v>
      </c>
      <c r="I17" s="178" t="str">
        <f t="shared" si="6"/>
        <v>2018A</v>
      </c>
      <c r="J17" s="178" t="str">
        <f t="shared" si="6"/>
        <v>2019C</v>
      </c>
      <c r="K17" s="178" t="str">
        <f t="shared" si="6"/>
        <v>2019F</v>
      </c>
      <c r="L17" s="178" t="str">
        <f t="shared" si="6"/>
        <v>2020F</v>
      </c>
      <c r="M17" s="178" t="str">
        <f t="shared" si="6"/>
        <v>2021F</v>
      </c>
      <c r="N17" s="178" t="str">
        <f t="shared" si="6"/>
        <v>2022F</v>
      </c>
      <c r="O17" s="178" t="str">
        <f t="shared" si="6"/>
        <v>2023F</v>
      </c>
      <c r="P17" s="178" t="str">
        <f t="shared" si="6"/>
        <v>2024F</v>
      </c>
      <c r="Q17" s="178" t="e">
        <f t="shared" si="6"/>
        <v>#N/A</v>
      </c>
      <c r="R17" s="178" t="e">
        <f t="shared" si="6"/>
        <v>#N/A</v>
      </c>
      <c r="S17" s="178" t="e">
        <f t="shared" si="6"/>
        <v>#N/A</v>
      </c>
      <c r="T17" s="178" t="e">
        <f t="shared" si="6"/>
        <v>#N/A</v>
      </c>
      <c r="U17" s="178" t="e">
        <f t="shared" si="6"/>
        <v>#N/A</v>
      </c>
      <c r="V17" s="178" t="e">
        <f t="shared" si="6"/>
        <v>#N/A</v>
      </c>
      <c r="W17" s="178" t="e">
        <f t="shared" si="6"/>
        <v>#N/A</v>
      </c>
      <c r="X17" s="178" t="e">
        <f t="shared" si="6"/>
        <v>#N/A</v>
      </c>
      <c r="Y17" s="178" t="e">
        <f t="shared" si="6"/>
        <v>#N/A</v>
      </c>
      <c r="Z17" s="178" t="e">
        <f t="shared" si="6"/>
        <v>#N/A</v>
      </c>
      <c r="AA17" s="178" t="e">
        <f t="shared" si="6"/>
        <v>#N/A</v>
      </c>
      <c r="AB17" s="178" t="e">
        <f t="shared" si="6"/>
        <v>#N/A</v>
      </c>
      <c r="AC17" s="178" t="e">
        <f t="shared" si="6"/>
        <v>#N/A</v>
      </c>
    </row>
    <row r="18" spans="1:29">
      <c r="A18" s="32"/>
      <c r="B18" s="32"/>
      <c r="C18" s="198"/>
      <c r="D18" s="198"/>
      <c r="E18" s="198">
        <f>E5</f>
        <v>42004</v>
      </c>
      <c r="F18" s="198">
        <f t="shared" ref="F18:AC18" si="7">F5</f>
        <v>42369</v>
      </c>
      <c r="G18" s="198">
        <f t="shared" si="7"/>
        <v>42735</v>
      </c>
      <c r="H18" s="198">
        <f t="shared" si="7"/>
        <v>43100</v>
      </c>
      <c r="I18" s="198">
        <f t="shared" si="7"/>
        <v>43465</v>
      </c>
      <c r="J18" s="198">
        <f t="shared" si="7"/>
        <v>43466</v>
      </c>
      <c r="K18" s="198">
        <f t="shared" si="7"/>
        <v>43830</v>
      </c>
      <c r="L18" s="198">
        <f t="shared" si="7"/>
        <v>44196</v>
      </c>
      <c r="M18" s="198">
        <f t="shared" si="7"/>
        <v>44561</v>
      </c>
      <c r="N18" s="198">
        <f t="shared" si="7"/>
        <v>44926</v>
      </c>
      <c r="O18" s="198">
        <f t="shared" si="7"/>
        <v>45291</v>
      </c>
      <c r="P18" s="198">
        <f t="shared" si="7"/>
        <v>45657</v>
      </c>
      <c r="Q18" s="198">
        <f t="shared" si="7"/>
        <v>0</v>
      </c>
      <c r="R18" s="198">
        <f t="shared" si="7"/>
        <v>0</v>
      </c>
      <c r="S18" s="198">
        <f t="shared" si="7"/>
        <v>0</v>
      </c>
      <c r="T18" s="198">
        <f t="shared" si="7"/>
        <v>0</v>
      </c>
      <c r="U18" s="198">
        <f t="shared" si="7"/>
        <v>0</v>
      </c>
      <c r="V18" s="198">
        <f t="shared" si="7"/>
        <v>0</v>
      </c>
      <c r="W18" s="198">
        <f t="shared" si="7"/>
        <v>0</v>
      </c>
      <c r="X18" s="198">
        <f t="shared" si="7"/>
        <v>0</v>
      </c>
      <c r="Y18" s="198">
        <f t="shared" si="7"/>
        <v>0</v>
      </c>
      <c r="Z18" s="198">
        <f t="shared" si="7"/>
        <v>0</v>
      </c>
      <c r="AA18" s="198">
        <f t="shared" si="7"/>
        <v>0</v>
      </c>
      <c r="AB18" s="198">
        <f t="shared" si="7"/>
        <v>0</v>
      </c>
      <c r="AC18" s="198">
        <f t="shared" si="7"/>
        <v>0</v>
      </c>
    </row>
    <row r="19" spans="1:29" hidden="1" outlineLevel="1">
      <c r="A19" s="32"/>
      <c r="B19" s="32"/>
      <c r="C19" s="209"/>
      <c r="D19" s="209"/>
      <c r="E19" s="178" t="str">
        <f>INDEX($E$11:$E$14,MATCH(TRUE,E6:E9,0))</f>
        <v>Actual</v>
      </c>
      <c r="F19" s="178" t="str">
        <f t="shared" ref="F19:AC19" si="8">INDEX($E$11:$E$14,MATCH(TRUE,F6:F9,0))</f>
        <v>Actual</v>
      </c>
      <c r="G19" s="178" t="str">
        <f t="shared" si="8"/>
        <v>Actual</v>
      </c>
      <c r="H19" s="178" t="str">
        <f t="shared" si="8"/>
        <v>Actual</v>
      </c>
      <c r="I19" s="178" t="str">
        <f t="shared" si="8"/>
        <v>Actual</v>
      </c>
      <c r="J19" s="178" t="str">
        <f t="shared" si="8"/>
        <v>Combination</v>
      </c>
      <c r="K19" s="178" t="str">
        <f t="shared" si="8"/>
        <v>Forecast</v>
      </c>
      <c r="L19" s="178" t="str">
        <f t="shared" si="8"/>
        <v>Forecast</v>
      </c>
      <c r="M19" s="178" t="str">
        <f t="shared" si="8"/>
        <v>Forecast</v>
      </c>
      <c r="N19" s="178" t="str">
        <f t="shared" si="8"/>
        <v>Forecast</v>
      </c>
      <c r="O19" s="178" t="str">
        <f t="shared" si="8"/>
        <v>Forecast</v>
      </c>
      <c r="P19" s="178" t="str">
        <f t="shared" si="8"/>
        <v>Forecast</v>
      </c>
      <c r="Q19" s="178" t="e">
        <f t="shared" si="8"/>
        <v>#N/A</v>
      </c>
      <c r="R19" s="178" t="e">
        <f t="shared" si="8"/>
        <v>#N/A</v>
      </c>
      <c r="S19" s="178" t="e">
        <f t="shared" si="8"/>
        <v>#N/A</v>
      </c>
      <c r="T19" s="178" t="e">
        <f t="shared" si="8"/>
        <v>#N/A</v>
      </c>
      <c r="U19" s="178" t="e">
        <f t="shared" si="8"/>
        <v>#N/A</v>
      </c>
      <c r="V19" s="178" t="e">
        <f t="shared" si="8"/>
        <v>#N/A</v>
      </c>
      <c r="W19" s="178" t="e">
        <f t="shared" si="8"/>
        <v>#N/A</v>
      </c>
      <c r="X19" s="178" t="e">
        <f t="shared" si="8"/>
        <v>#N/A</v>
      </c>
      <c r="Y19" s="178" t="e">
        <f t="shared" si="8"/>
        <v>#N/A</v>
      </c>
      <c r="Z19" s="178" t="e">
        <f t="shared" si="8"/>
        <v>#N/A</v>
      </c>
      <c r="AA19" s="178" t="e">
        <f t="shared" si="8"/>
        <v>#N/A</v>
      </c>
      <c r="AB19" s="178" t="e">
        <f t="shared" si="8"/>
        <v>#N/A</v>
      </c>
      <c r="AC19" s="178" t="e">
        <f t="shared" si="8"/>
        <v>#N/A</v>
      </c>
    </row>
    <row r="20" spans="1:29" collapsed="1"/>
    <row r="21" spans="1:29">
      <c r="C21" s="209" t="s">
        <v>1009</v>
      </c>
      <c r="D21" s="209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</row>
    <row r="23" spans="1:29">
      <c r="C23" s="180" t="s">
        <v>868</v>
      </c>
      <c r="D23" s="180"/>
      <c r="E23" s="180"/>
      <c r="F23" s="180">
        <f>'IS Holdco'!F36</f>
        <v>0</v>
      </c>
      <c r="G23" s="180">
        <f>'IS Holdco'!G36</f>
        <v>0</v>
      </c>
      <c r="H23" s="180">
        <f>'IS Holdco'!H36</f>
        <v>0</v>
      </c>
      <c r="I23" s="180">
        <f>'IS Holdco'!I36</f>
        <v>0</v>
      </c>
      <c r="J23" s="180">
        <f>'IS Holdco'!J36</f>
        <v>0</v>
      </c>
      <c r="K23" s="180">
        <f>'IS Holdco'!K36</f>
        <v>0</v>
      </c>
      <c r="L23" s="180">
        <f>'IS Holdco'!L36</f>
        <v>0</v>
      </c>
      <c r="M23" s="180">
        <f>'IS Holdco'!M36</f>
        <v>0</v>
      </c>
      <c r="N23" s="180">
        <f>'IS Holdco'!N36</f>
        <v>0</v>
      </c>
      <c r="O23" s="180">
        <f>'IS Holdco'!O36</f>
        <v>0</v>
      </c>
      <c r="P23" s="180">
        <f>'IS Holdco'!P36</f>
        <v>0</v>
      </c>
      <c r="Q23" s="180">
        <f>'IS Holdco'!Q36</f>
        <v>0</v>
      </c>
      <c r="R23" s="180">
        <f>'IS Holdco'!R36</f>
        <v>0</v>
      </c>
      <c r="S23" s="180">
        <f>'IS Holdco'!S36</f>
        <v>0</v>
      </c>
      <c r="T23" s="180">
        <f>'IS Holdco'!T36</f>
        <v>0</v>
      </c>
      <c r="U23" s="180">
        <f>'IS Holdco'!U36</f>
        <v>0</v>
      </c>
      <c r="V23" s="180">
        <f>'IS Holdco'!V36</f>
        <v>0</v>
      </c>
      <c r="W23" s="180">
        <f>'IS Holdco'!W36</f>
        <v>0</v>
      </c>
      <c r="X23" s="180">
        <f>'IS Holdco'!X36</f>
        <v>0</v>
      </c>
      <c r="Y23" s="180">
        <f>'IS Holdco'!Y36</f>
        <v>0</v>
      </c>
      <c r="Z23" s="180">
        <f>'IS Holdco'!Z36</f>
        <v>0</v>
      </c>
      <c r="AA23" s="180">
        <f>'IS Holdco'!AA36</f>
        <v>0</v>
      </c>
      <c r="AB23" s="180">
        <f>'IS Holdco'!AB36</f>
        <v>0</v>
      </c>
      <c r="AC23" s="180">
        <f>'IS Holdco'!AC36</f>
        <v>0</v>
      </c>
    </row>
    <row r="24" spans="1:29">
      <c r="C24" s="262" t="s">
        <v>20</v>
      </c>
      <c r="D24" s="263"/>
      <c r="E24" s="263"/>
      <c r="F24" s="263">
        <f>IF(E8,IF(stub_switch,('BS Holdco'!D33-'BS Holdco'!F33+'BS Holdco'!D37-'BS Holdco'!F37+'BS Holdco'!D41-'BS Holdco'!F41+'BS Holdco'!D44-'BS Holdco'!F44+'BS Holdco'!F78-'BS Holdco'!D78+'BS Holdco'!F82-'BS Holdco'!D82+'BS Holdco'!F85-'BS Holdco'!D85+'BS Holdco'!F88-'BS Holdco'!D88+'BS Holdco'!F91-'BS Holdco'!D91+'BS Holdco'!F95-'BS Holdco'!D95),('BS Holdco'!D33-'BS Holdco'!F33+'BS Holdco'!D37-'BS Holdco'!F37+'BS Holdco'!D41-'BS Holdco'!F41+'BS Holdco'!D44-'BS Holdco'!F44+'BS Holdco'!F78-'BS Holdco'!D78+'BS Holdco'!F82-'BS Holdco'!D82+'BS Holdco'!F85-'BS Holdco'!D85+'BS Holdco'!F88-'BS Holdco'!D88+'BS Holdco'!F91-'BS Holdco'!D91+'BS Holdco'!F95-'BS Holdco'!D95)),('BS Holdco'!E33-'BS Holdco'!F33+'BS Holdco'!E37-'BS Holdco'!F37+'BS Holdco'!E41-'BS Holdco'!F41+'BS Holdco'!E44-'BS Holdco'!F44+'BS Holdco'!F78-'BS Holdco'!E78+'BS Holdco'!F82-'BS Holdco'!E82+'BS Holdco'!F85-'BS Holdco'!E85+'BS Holdco'!F88-'BS Holdco'!E88+'BS Holdco'!F91-'BS Holdco'!E91+'BS Holdco'!F95-'BS Holdco'!E95))</f>
        <v>0</v>
      </c>
      <c r="G24" s="263">
        <f>IF(F8,IF(stub_switch,('BS Holdco'!E33-'BS Holdco'!G33+'BS Holdco'!E37-'BS Holdco'!G37+'BS Holdco'!E41-'BS Holdco'!G41+'BS Holdco'!E44-'BS Holdco'!G44+'BS Holdco'!G78-'BS Holdco'!E78+'BS Holdco'!G82-'BS Holdco'!E82+'BS Holdco'!G85-'BS Holdco'!E85+'BS Holdco'!G88-'BS Holdco'!E88+'BS Holdco'!G91-'BS Holdco'!E91+'BS Holdco'!G95-'BS Holdco'!E95),('BS Holdco'!E33-'BS Holdco'!G33+'BS Holdco'!E37-'BS Holdco'!G37+'BS Holdco'!E41-'BS Holdco'!G41+'BS Holdco'!E44-'BS Holdco'!G44+'BS Holdco'!G78-'BS Holdco'!E78+'BS Holdco'!G82-'BS Holdco'!E82+'BS Holdco'!G85-'BS Holdco'!E85+'BS Holdco'!G88-'BS Holdco'!E88+'BS Holdco'!G91-'BS Holdco'!E91+'BS Holdco'!G95-'BS Holdco'!E95)),('BS Holdco'!F33-'BS Holdco'!G33+'BS Holdco'!F37-'BS Holdco'!G37+'BS Holdco'!F41-'BS Holdco'!G41+'BS Holdco'!F44-'BS Holdco'!G44+'BS Holdco'!G78-'BS Holdco'!F78+'BS Holdco'!G82-'BS Holdco'!F82+'BS Holdco'!G85-'BS Holdco'!F85+'BS Holdco'!G88-'BS Holdco'!F88+'BS Holdco'!G91-'BS Holdco'!F91+'BS Holdco'!G95-'BS Holdco'!F95))</f>
        <v>0</v>
      </c>
      <c r="H24" s="263">
        <f>IF(G8,IF(stub_switch,('BS Holdco'!F33-'BS Holdco'!H33+'BS Holdco'!F37-'BS Holdco'!H37+'BS Holdco'!F41-'BS Holdco'!H41+'BS Holdco'!F44-'BS Holdco'!H44+'BS Holdco'!H78-'BS Holdco'!F78+'BS Holdco'!H82-'BS Holdco'!F82+'BS Holdco'!H85-'BS Holdco'!F85+'BS Holdco'!H88-'BS Holdco'!F88+'BS Holdco'!H91-'BS Holdco'!F91+'BS Holdco'!H95-'BS Holdco'!F95),('BS Holdco'!F33-'BS Holdco'!H33+'BS Holdco'!F37-'BS Holdco'!H37+'BS Holdco'!F41-'BS Holdco'!H41+'BS Holdco'!F44-'BS Holdco'!H44+'BS Holdco'!H78-'BS Holdco'!F78+'BS Holdco'!H82-'BS Holdco'!F82+'BS Holdco'!H85-'BS Holdco'!F85+'BS Holdco'!H88-'BS Holdco'!F88+'BS Holdco'!H91-'BS Holdco'!F91+'BS Holdco'!H95-'BS Holdco'!F95)),('BS Holdco'!G33-'BS Holdco'!H33+'BS Holdco'!G37-'BS Holdco'!H37+'BS Holdco'!G41-'BS Holdco'!H41+'BS Holdco'!G44-'BS Holdco'!H44+'BS Holdco'!H78-'BS Holdco'!G78+'BS Holdco'!H82-'BS Holdco'!G82+'BS Holdco'!H85-'BS Holdco'!G85+'BS Holdco'!H88-'BS Holdco'!G88+'BS Holdco'!H91-'BS Holdco'!G91+'BS Holdco'!H95-'BS Holdco'!G95))</f>
        <v>0</v>
      </c>
      <c r="I24" s="263">
        <f>IF(H8,IF(stub_switch,('BS Holdco'!G33-'BS Holdco'!I33+'BS Holdco'!G37-'BS Holdco'!I37+'BS Holdco'!G41-'BS Holdco'!I41+'BS Holdco'!G44-'BS Holdco'!I44+'BS Holdco'!I78-'BS Holdco'!G78+'BS Holdco'!I82-'BS Holdco'!G82+'BS Holdco'!I85-'BS Holdco'!G85+'BS Holdco'!I88-'BS Holdco'!G88+'BS Holdco'!I91-'BS Holdco'!G91+'BS Holdco'!I95-'BS Holdco'!G95),('BS Holdco'!G33-'BS Holdco'!I33+'BS Holdco'!G37-'BS Holdco'!I37+'BS Holdco'!G41-'BS Holdco'!I41+'BS Holdco'!G44-'BS Holdco'!I44+'BS Holdco'!I78-'BS Holdco'!G78+'BS Holdco'!I82-'BS Holdco'!G82+'BS Holdco'!I85-'BS Holdco'!G85+'BS Holdco'!I88-'BS Holdco'!G88+'BS Holdco'!I91-'BS Holdco'!G91+'BS Holdco'!I95-'BS Holdco'!G95)),('BS Holdco'!H33-'BS Holdco'!I33+'BS Holdco'!H37-'BS Holdco'!I37+'BS Holdco'!H41-'BS Holdco'!I41+'BS Holdco'!H44-'BS Holdco'!I44+'BS Holdco'!I78-'BS Holdco'!H78+'BS Holdco'!I82-'BS Holdco'!H82+'BS Holdco'!I85-'BS Holdco'!H85+'BS Holdco'!I88-'BS Holdco'!H88+'BS Holdco'!I91-'BS Holdco'!H91+'BS Holdco'!I95-'BS Holdco'!H95))</f>
        <v>0</v>
      </c>
      <c r="J24" s="263">
        <f>IF(I8,IF(stub_switch,('BS Holdco'!H33-'BS Holdco'!J33+'BS Holdco'!H37-'BS Holdco'!J37+'BS Holdco'!H41-'BS Holdco'!J41+'BS Holdco'!H44-'BS Holdco'!J44+'BS Holdco'!J78-'BS Holdco'!H78+'BS Holdco'!J82-'BS Holdco'!H82+'BS Holdco'!J85-'BS Holdco'!H85+'BS Holdco'!J88-'BS Holdco'!H88+'BS Holdco'!J91-'BS Holdco'!H91+'BS Holdco'!J95-'BS Holdco'!H95),('BS Holdco'!H33-'BS Holdco'!J33+'BS Holdco'!H37-'BS Holdco'!J37+'BS Holdco'!H41-'BS Holdco'!J41+'BS Holdco'!H44-'BS Holdco'!J44+'BS Holdco'!J78-'BS Holdco'!H78+'BS Holdco'!J82-'BS Holdco'!H82+'BS Holdco'!J85-'BS Holdco'!H85+'BS Holdco'!J88-'BS Holdco'!H88+'BS Holdco'!J91-'BS Holdco'!H91+'BS Holdco'!J95-'BS Holdco'!H95)),('BS Holdco'!I33-'BS Holdco'!J33+'BS Holdco'!I37-'BS Holdco'!J37+'BS Holdco'!I41-'BS Holdco'!J41+'BS Holdco'!I44-'BS Holdco'!J44+'BS Holdco'!J78-'BS Holdco'!I78+'BS Holdco'!J82-'BS Holdco'!I82+'BS Holdco'!J85-'BS Holdco'!I85+'BS Holdco'!J88-'BS Holdco'!I88+'BS Holdco'!J91-'BS Holdco'!I91+'BS Holdco'!J95-'BS Holdco'!I95))</f>
        <v>0</v>
      </c>
      <c r="K24" s="263">
        <f>IF(J8,IF(stub_switch,('BS Holdco'!I33-'BS Holdco'!K33+'BS Holdco'!I37-'BS Holdco'!K37+'BS Holdco'!I41-'BS Holdco'!K41+'BS Holdco'!I44-'BS Holdco'!K44+'BS Holdco'!K78-'BS Holdco'!I78+'BS Holdco'!K82-'BS Holdco'!I82+'BS Holdco'!K85-'BS Holdco'!I85+'BS Holdco'!K88-'BS Holdco'!I88+'BS Holdco'!K91-'BS Holdco'!I91+'BS Holdco'!K95-'BS Holdco'!I95),('BS Holdco'!I33-'BS Holdco'!K33+'BS Holdco'!I37-'BS Holdco'!K37+'BS Holdco'!I41-'BS Holdco'!K41+'BS Holdco'!I44-'BS Holdco'!K44+'BS Holdco'!K78-'BS Holdco'!I78+'BS Holdco'!K82-'BS Holdco'!I82+'BS Holdco'!K85-'BS Holdco'!I85+'BS Holdco'!K88-'BS Holdco'!I88+'BS Holdco'!K91-'BS Holdco'!I91+'BS Holdco'!K95-'BS Holdco'!I95)),('BS Holdco'!J33-'BS Holdco'!K33+'BS Holdco'!J37-'BS Holdco'!K37+'BS Holdco'!J41-'BS Holdco'!K41+'BS Holdco'!J44-'BS Holdco'!K44+'BS Holdco'!K78-'BS Holdco'!J78+'BS Holdco'!K82-'BS Holdco'!J82+'BS Holdco'!K85-'BS Holdco'!J85+'BS Holdco'!K88-'BS Holdco'!J88+'BS Holdco'!K91-'BS Holdco'!J91+'BS Holdco'!K95-'BS Holdco'!J95))</f>
        <v>0</v>
      </c>
      <c r="L24" s="263">
        <f>IF(K8,IF(stub_switch,('BS Holdco'!J33-'BS Holdco'!L33+'BS Holdco'!J37-'BS Holdco'!L37+'BS Holdco'!J41-'BS Holdco'!L41+'BS Holdco'!J44-'BS Holdco'!L44+'BS Holdco'!L78-'BS Holdco'!J78+'BS Holdco'!L82-'BS Holdco'!J82+'BS Holdco'!L85-'BS Holdco'!J85+'BS Holdco'!L88-'BS Holdco'!J88+'BS Holdco'!L91-'BS Holdco'!J91+'BS Holdco'!L95-'BS Holdco'!J95),('BS Holdco'!J33-'BS Holdco'!L33+'BS Holdco'!J37-'BS Holdco'!L37+'BS Holdco'!J41-'BS Holdco'!L41+'BS Holdco'!J44-'BS Holdco'!L44+'BS Holdco'!L78-'BS Holdco'!J78+'BS Holdco'!L82-'BS Holdco'!J82+'BS Holdco'!L85-'BS Holdco'!J85+'BS Holdco'!L88-'BS Holdco'!J88+'BS Holdco'!L91-'BS Holdco'!J91+'BS Holdco'!L95-'BS Holdco'!J95)),('BS Holdco'!K33-'BS Holdco'!L33+'BS Holdco'!K37-'BS Holdco'!L37+'BS Holdco'!K41-'BS Holdco'!L41+'BS Holdco'!K44-'BS Holdco'!L44+'BS Holdco'!L78-'BS Holdco'!K78+'BS Holdco'!L82-'BS Holdco'!K82+'BS Holdco'!L85-'BS Holdco'!K85+'BS Holdco'!L88-'BS Holdco'!K88+'BS Holdco'!L91-'BS Holdco'!K91+'BS Holdco'!L95-'BS Holdco'!K95))</f>
        <v>0</v>
      </c>
      <c r="M24" s="263">
        <f>IF(L8,IF(stub_switch,('BS Holdco'!K33-'BS Holdco'!M33+'BS Holdco'!K37-'BS Holdco'!M37+'BS Holdco'!K41-'BS Holdco'!M41+'BS Holdco'!K44-'BS Holdco'!M44+'BS Holdco'!M78-'BS Holdco'!K78+'BS Holdco'!M82-'BS Holdco'!K82+'BS Holdco'!M85-'BS Holdco'!K85+'BS Holdco'!M88-'BS Holdco'!K88+'BS Holdco'!M91-'BS Holdco'!K91+'BS Holdco'!M95-'BS Holdco'!K95),('BS Holdco'!K33-'BS Holdco'!M33+'BS Holdco'!K37-'BS Holdco'!M37+'BS Holdco'!K41-'BS Holdco'!M41+'BS Holdco'!K44-'BS Holdco'!M44+'BS Holdco'!M78-'BS Holdco'!K78+'BS Holdco'!M82-'BS Holdco'!K82+'BS Holdco'!M85-'BS Holdco'!K85+'BS Holdco'!M88-'BS Holdco'!K88+'BS Holdco'!M91-'BS Holdco'!K91+'BS Holdco'!M95-'BS Holdco'!K95)),('BS Holdco'!L33-'BS Holdco'!M33+'BS Holdco'!L37-'BS Holdco'!M37+'BS Holdco'!L41-'BS Holdco'!M41+'BS Holdco'!L44-'BS Holdco'!M44+'BS Holdco'!M78-'BS Holdco'!L78+'BS Holdco'!M82-'BS Holdco'!L82+'BS Holdco'!M85-'BS Holdco'!L85+'BS Holdco'!M88-'BS Holdco'!L88+'BS Holdco'!M91-'BS Holdco'!L91+'BS Holdco'!M95-'BS Holdco'!L95))</f>
        <v>0</v>
      </c>
      <c r="N24" s="263">
        <f>IF(M8,IF(stub_switch,('BS Holdco'!L33-'BS Holdco'!N33+'BS Holdco'!L37-'BS Holdco'!N37+'BS Holdco'!L41-'BS Holdco'!N41+'BS Holdco'!L44-'BS Holdco'!N44+'BS Holdco'!N78-'BS Holdco'!L78+'BS Holdco'!N82-'BS Holdco'!L82+'BS Holdco'!N85-'BS Holdco'!L85+'BS Holdco'!N88-'BS Holdco'!L88+'BS Holdco'!N91-'BS Holdco'!L91+'BS Holdco'!N95-'BS Holdco'!L95),('BS Holdco'!L33-'BS Holdco'!N33+'BS Holdco'!L37-'BS Holdco'!N37+'BS Holdco'!L41-'BS Holdco'!N41+'BS Holdco'!L44-'BS Holdco'!N44+'BS Holdco'!N78-'BS Holdco'!L78+'BS Holdco'!N82-'BS Holdco'!L82+'BS Holdco'!N85-'BS Holdco'!L85+'BS Holdco'!N88-'BS Holdco'!L88+'BS Holdco'!N91-'BS Holdco'!L91+'BS Holdco'!N95-'BS Holdco'!L95)),('BS Holdco'!M33-'BS Holdco'!N33+'BS Holdco'!M37-'BS Holdco'!N37+'BS Holdco'!M41-'BS Holdco'!N41+'BS Holdco'!M44-'BS Holdco'!N44+'BS Holdco'!N78-'BS Holdco'!M78+'BS Holdco'!N82-'BS Holdco'!M82+'BS Holdco'!N85-'BS Holdco'!M85+'BS Holdco'!N88-'BS Holdco'!M88+'BS Holdco'!N91-'BS Holdco'!M91+'BS Holdco'!N95-'BS Holdco'!M95))</f>
        <v>0</v>
      </c>
      <c r="O24" s="263">
        <f>IF(N8,IF(stub_switch,('BS Holdco'!M33-'BS Holdco'!O33+'BS Holdco'!M37-'BS Holdco'!O37+'BS Holdco'!M41-'BS Holdco'!O41+'BS Holdco'!M44-'BS Holdco'!O44+'BS Holdco'!O78-'BS Holdco'!M78+'BS Holdco'!O82-'BS Holdco'!M82+'BS Holdco'!O85-'BS Holdco'!M85+'BS Holdco'!O88-'BS Holdco'!M88+'BS Holdco'!O91-'BS Holdco'!M91+'BS Holdco'!O95-'BS Holdco'!M95),('BS Holdco'!M33-'BS Holdco'!O33+'BS Holdco'!M37-'BS Holdco'!O37+'BS Holdco'!M41-'BS Holdco'!O41+'BS Holdco'!M44-'BS Holdco'!O44+'BS Holdco'!O78-'BS Holdco'!M78+'BS Holdco'!O82-'BS Holdco'!M82+'BS Holdco'!O85-'BS Holdco'!M85+'BS Holdco'!O88-'BS Holdco'!M88+'BS Holdco'!O91-'BS Holdco'!M91+'BS Holdco'!O95-'BS Holdco'!M95)),('BS Holdco'!N33-'BS Holdco'!O33+'BS Holdco'!N37-'BS Holdco'!O37+'BS Holdco'!N41-'BS Holdco'!O41+'BS Holdco'!N44-'BS Holdco'!O44+'BS Holdco'!O78-'BS Holdco'!N78+'BS Holdco'!O82-'BS Holdco'!N82+'BS Holdco'!O85-'BS Holdco'!N85+'BS Holdco'!O88-'BS Holdco'!N88+'BS Holdco'!O91-'BS Holdco'!N91+'BS Holdco'!O95-'BS Holdco'!N95))</f>
        <v>0</v>
      </c>
      <c r="P24" s="263">
        <f>IF(O8,IF(stub_switch,('BS Holdco'!N33-'BS Holdco'!P33+'BS Holdco'!N37-'BS Holdco'!P37+'BS Holdco'!N41-'BS Holdco'!P41+'BS Holdco'!N44-'BS Holdco'!P44+'BS Holdco'!P78-'BS Holdco'!N78+'BS Holdco'!P82-'BS Holdco'!N82+'BS Holdco'!P85-'BS Holdco'!N85+'BS Holdco'!P88-'BS Holdco'!N88+'BS Holdco'!P91-'BS Holdco'!N91+'BS Holdco'!P95-'BS Holdco'!N95),('BS Holdco'!N33-'BS Holdco'!P33+'BS Holdco'!N37-'BS Holdco'!P37+'BS Holdco'!N41-'BS Holdco'!P41+'BS Holdco'!N44-'BS Holdco'!P44+'BS Holdco'!P78-'BS Holdco'!N78+'BS Holdco'!P82-'BS Holdco'!N82+'BS Holdco'!P85-'BS Holdco'!N85+'BS Holdco'!P88-'BS Holdco'!N88+'BS Holdco'!P91-'BS Holdco'!N91+'BS Holdco'!P95-'BS Holdco'!N95)),('BS Holdco'!O33-'BS Holdco'!P33+'BS Holdco'!O37-'BS Holdco'!P37+'BS Holdco'!O41-'BS Holdco'!P41+'BS Holdco'!O44-'BS Holdco'!P44+'BS Holdco'!P78-'BS Holdco'!O78+'BS Holdco'!P82-'BS Holdco'!O82+'BS Holdco'!P85-'BS Holdco'!O85+'BS Holdco'!P88-'BS Holdco'!O88+'BS Holdco'!P91-'BS Holdco'!O91+'BS Holdco'!P95-'BS Holdco'!O95))</f>
        <v>0</v>
      </c>
      <c r="Q24" s="263">
        <f>IF(P8,IF(stub_switch,('BS Holdco'!O33-'BS Holdco'!Q33+'BS Holdco'!O37-'BS Holdco'!Q37+'BS Holdco'!O41-'BS Holdco'!Q41+'BS Holdco'!O44-'BS Holdco'!Q44+'BS Holdco'!Q78-'BS Holdco'!O78+'BS Holdco'!Q82-'BS Holdco'!O82+'BS Holdco'!Q85-'BS Holdco'!O85+'BS Holdco'!Q88-'BS Holdco'!O88+'BS Holdco'!Q91-'BS Holdco'!O91+'BS Holdco'!Q95-'BS Holdco'!O95),('BS Holdco'!O33-'BS Holdco'!Q33+'BS Holdco'!O37-'BS Holdco'!Q37+'BS Holdco'!O41-'BS Holdco'!Q41+'BS Holdco'!O44-'BS Holdco'!Q44+'BS Holdco'!Q78-'BS Holdco'!O78+'BS Holdco'!Q82-'BS Holdco'!O82+'BS Holdco'!Q85-'BS Holdco'!O85+'BS Holdco'!Q88-'BS Holdco'!O88+'BS Holdco'!Q91-'BS Holdco'!O91+'BS Holdco'!Q95-'BS Holdco'!O95)),('BS Holdco'!P33-'BS Holdco'!Q33+'BS Holdco'!P37-'BS Holdco'!Q37+'BS Holdco'!P41-'BS Holdco'!Q41+'BS Holdco'!P44-'BS Holdco'!Q44+'BS Holdco'!Q78-'BS Holdco'!P78+'BS Holdco'!Q82-'BS Holdco'!P82+'BS Holdco'!Q85-'BS Holdco'!P85+'BS Holdco'!Q88-'BS Holdco'!P88+'BS Holdco'!Q91-'BS Holdco'!P91+'BS Holdco'!Q95-'BS Holdco'!P95))</f>
        <v>0</v>
      </c>
      <c r="R24" s="263">
        <f>IF(Q8,IF(stub_switch,('BS Holdco'!P33-'BS Holdco'!R33+'BS Holdco'!P37-'BS Holdco'!R37+'BS Holdco'!P41-'BS Holdco'!R41+'BS Holdco'!P44-'BS Holdco'!R44+'BS Holdco'!R78-'BS Holdco'!P78+'BS Holdco'!R82-'BS Holdco'!P82+'BS Holdco'!R85-'BS Holdco'!P85+'BS Holdco'!R88-'BS Holdco'!P88+'BS Holdco'!R91-'BS Holdco'!P91+'BS Holdco'!R95-'BS Holdco'!P95),('BS Holdco'!P33-'BS Holdco'!R33+'BS Holdco'!P37-'BS Holdco'!R37+'BS Holdco'!P41-'BS Holdco'!R41+'BS Holdco'!P44-'BS Holdco'!R44+'BS Holdco'!R78-'BS Holdco'!P78+'BS Holdco'!R82-'BS Holdco'!P82+'BS Holdco'!R85-'BS Holdco'!P85+'BS Holdco'!R88-'BS Holdco'!P88+'BS Holdco'!R91-'BS Holdco'!P91+'BS Holdco'!R95-'BS Holdco'!P95)),('BS Holdco'!Q33-'BS Holdco'!R33+'BS Holdco'!Q37-'BS Holdco'!R37+'BS Holdco'!Q41-'BS Holdco'!R41+'BS Holdco'!Q44-'BS Holdco'!R44+'BS Holdco'!R78-'BS Holdco'!Q78+'BS Holdco'!R82-'BS Holdco'!Q82+'BS Holdco'!R85-'BS Holdco'!Q85+'BS Holdco'!R88-'BS Holdco'!Q88+'BS Holdco'!R91-'BS Holdco'!Q91+'BS Holdco'!R95-'BS Holdco'!Q95))</f>
        <v>0</v>
      </c>
      <c r="S24" s="263">
        <f>IF(R8,IF(stub_switch,('BS Holdco'!Q33-'BS Holdco'!S33+'BS Holdco'!Q37-'BS Holdco'!S37+'BS Holdco'!Q41-'BS Holdco'!S41+'BS Holdco'!Q44-'BS Holdco'!S44+'BS Holdco'!S78-'BS Holdco'!Q78+'BS Holdco'!S82-'BS Holdco'!Q82+'BS Holdco'!S85-'BS Holdco'!Q85+'BS Holdco'!S88-'BS Holdco'!Q88+'BS Holdco'!S91-'BS Holdco'!Q91+'BS Holdco'!S95-'BS Holdco'!Q95),('BS Holdco'!Q33-'BS Holdco'!S33+'BS Holdco'!Q37-'BS Holdco'!S37+'BS Holdco'!Q41-'BS Holdco'!S41+'BS Holdco'!Q44-'BS Holdco'!S44+'BS Holdco'!S78-'BS Holdco'!Q78+'BS Holdco'!S82-'BS Holdco'!Q82+'BS Holdco'!S85-'BS Holdco'!Q85+'BS Holdco'!S88-'BS Holdco'!Q88+'BS Holdco'!S91-'BS Holdco'!Q91+'BS Holdco'!S95-'BS Holdco'!Q95)),('BS Holdco'!R33-'BS Holdco'!S33+'BS Holdco'!R37-'BS Holdco'!S37+'BS Holdco'!R41-'BS Holdco'!S41+'BS Holdco'!R44-'BS Holdco'!S44+'BS Holdco'!S78-'BS Holdco'!R78+'BS Holdco'!S82-'BS Holdco'!R82+'BS Holdco'!S85-'BS Holdco'!R85+'BS Holdco'!S88-'BS Holdco'!R88+'BS Holdco'!S91-'BS Holdco'!R91+'BS Holdco'!S95-'BS Holdco'!R95))</f>
        <v>0</v>
      </c>
      <c r="T24" s="263">
        <f>IF(S8,IF(stub_switch,('BS Holdco'!R33-'BS Holdco'!T33+'BS Holdco'!R37-'BS Holdco'!T37+'BS Holdco'!R41-'BS Holdco'!T41+'BS Holdco'!R44-'BS Holdco'!T44+'BS Holdco'!T78-'BS Holdco'!R78+'BS Holdco'!T82-'BS Holdco'!R82+'BS Holdco'!T85-'BS Holdco'!R85+'BS Holdco'!T88-'BS Holdco'!R88+'BS Holdco'!T91-'BS Holdco'!R91+'BS Holdco'!T95-'BS Holdco'!R95),('BS Holdco'!R33-'BS Holdco'!T33+'BS Holdco'!R37-'BS Holdco'!T37+'BS Holdco'!R41-'BS Holdco'!T41+'BS Holdco'!R44-'BS Holdco'!T44+'BS Holdco'!T78-'BS Holdco'!R78+'BS Holdco'!T82-'BS Holdco'!R82+'BS Holdco'!T85-'BS Holdco'!R85+'BS Holdco'!T88-'BS Holdco'!R88+'BS Holdco'!T91-'BS Holdco'!R91+'BS Holdco'!T95-'BS Holdco'!R95)),('BS Holdco'!S33-'BS Holdco'!T33+'BS Holdco'!S37-'BS Holdco'!T37+'BS Holdco'!S41-'BS Holdco'!T41+'BS Holdco'!S44-'BS Holdco'!T44+'BS Holdco'!T78-'BS Holdco'!S78+'BS Holdco'!T82-'BS Holdco'!S82+'BS Holdco'!T85-'BS Holdco'!S85+'BS Holdco'!T88-'BS Holdco'!S88+'BS Holdco'!T91-'BS Holdco'!S91+'BS Holdco'!T95-'BS Holdco'!S95))</f>
        <v>0</v>
      </c>
      <c r="U24" s="263">
        <f>IF(T8,IF(stub_switch,('BS Holdco'!S33-'BS Holdco'!U33+'BS Holdco'!S37-'BS Holdco'!U37+'BS Holdco'!S41-'BS Holdco'!U41+'BS Holdco'!S44-'BS Holdco'!U44+'BS Holdco'!U78-'BS Holdco'!S78+'BS Holdco'!U82-'BS Holdco'!S82+'BS Holdco'!U85-'BS Holdco'!S85+'BS Holdco'!U88-'BS Holdco'!S88+'BS Holdco'!U91-'BS Holdco'!S91+'BS Holdco'!U95-'BS Holdco'!S95),('BS Holdco'!S33-'BS Holdco'!U33+'BS Holdco'!S37-'BS Holdco'!U37+'BS Holdco'!S41-'BS Holdco'!U41+'BS Holdco'!S44-'BS Holdco'!U44+'BS Holdco'!U78-'BS Holdco'!S78+'BS Holdco'!U82-'BS Holdco'!S82+'BS Holdco'!U85-'BS Holdco'!S85+'BS Holdco'!U88-'BS Holdco'!S88+'BS Holdco'!U91-'BS Holdco'!S91+'BS Holdco'!U95-'BS Holdco'!S95)),('BS Holdco'!T33-'BS Holdco'!U33+'BS Holdco'!T37-'BS Holdco'!U37+'BS Holdco'!T41-'BS Holdco'!U41+'BS Holdco'!T44-'BS Holdco'!U44+'BS Holdco'!U78-'BS Holdco'!T78+'BS Holdco'!U82-'BS Holdco'!T82+'BS Holdco'!U85-'BS Holdco'!T85+'BS Holdco'!U88-'BS Holdco'!T88+'BS Holdco'!U91-'BS Holdco'!T91+'BS Holdco'!U95-'BS Holdco'!T95))</f>
        <v>0</v>
      </c>
      <c r="V24" s="263">
        <f>IF(U8,IF(stub_switch,('BS Holdco'!T33-'BS Holdco'!V33+'BS Holdco'!T37-'BS Holdco'!V37+'BS Holdco'!T41-'BS Holdco'!V41+'BS Holdco'!T44-'BS Holdco'!V44+'BS Holdco'!V78-'BS Holdco'!T78+'BS Holdco'!V82-'BS Holdco'!T82+'BS Holdco'!V85-'BS Holdco'!T85+'BS Holdco'!V88-'BS Holdco'!T88+'BS Holdco'!V91-'BS Holdco'!T91+'BS Holdco'!V95-'BS Holdco'!T95),('BS Holdco'!T33-'BS Holdco'!V33+'BS Holdco'!T37-'BS Holdco'!V37+'BS Holdco'!T41-'BS Holdco'!V41+'BS Holdco'!T44-'BS Holdco'!V44+'BS Holdco'!V78-'BS Holdco'!T78+'BS Holdco'!V82-'BS Holdco'!T82+'BS Holdco'!V85-'BS Holdco'!T85+'BS Holdco'!V88-'BS Holdco'!T88+'BS Holdco'!V91-'BS Holdco'!T91+'BS Holdco'!V95-'BS Holdco'!T95)),('BS Holdco'!U33-'BS Holdco'!V33+'BS Holdco'!U37-'BS Holdco'!V37+'BS Holdco'!U41-'BS Holdco'!V41+'BS Holdco'!U44-'BS Holdco'!V44+'BS Holdco'!V78-'BS Holdco'!U78+'BS Holdco'!V82-'BS Holdco'!U82+'BS Holdco'!V85-'BS Holdco'!U85+'BS Holdco'!V88-'BS Holdco'!U88+'BS Holdco'!V91-'BS Holdco'!U91+'BS Holdco'!V95-'BS Holdco'!U95))</f>
        <v>0</v>
      </c>
      <c r="W24" s="263">
        <f>IF(V8,IF(stub_switch,('BS Holdco'!U33-'BS Holdco'!W33+'BS Holdco'!U37-'BS Holdco'!W37+'BS Holdco'!U41-'BS Holdco'!W41+'BS Holdco'!U44-'BS Holdco'!W44+'BS Holdco'!W78-'BS Holdco'!U78+'BS Holdco'!W82-'BS Holdco'!U82+'BS Holdco'!W85-'BS Holdco'!U85+'BS Holdco'!W88-'BS Holdco'!U88+'BS Holdco'!W91-'BS Holdco'!U91+'BS Holdco'!W95-'BS Holdco'!U95),('BS Holdco'!U33-'BS Holdco'!W33+'BS Holdco'!U37-'BS Holdco'!W37+'BS Holdco'!U41-'BS Holdco'!W41+'BS Holdco'!U44-'BS Holdco'!W44+'BS Holdco'!W78-'BS Holdco'!U78+'BS Holdco'!W82-'BS Holdco'!U82+'BS Holdco'!W85-'BS Holdco'!U85+'BS Holdco'!W88-'BS Holdco'!U88+'BS Holdco'!W91-'BS Holdco'!U91+'BS Holdco'!W95-'BS Holdco'!U95)),('BS Holdco'!V33-'BS Holdco'!W33+'BS Holdco'!V37-'BS Holdco'!W37+'BS Holdco'!V41-'BS Holdco'!W41+'BS Holdco'!V44-'BS Holdco'!W44+'BS Holdco'!W78-'BS Holdco'!V78+'BS Holdco'!W82-'BS Holdco'!V82+'BS Holdco'!W85-'BS Holdco'!V85+'BS Holdco'!W88-'BS Holdco'!V88+'BS Holdco'!W91-'BS Holdco'!V91+'BS Holdco'!W95-'BS Holdco'!V95))</f>
        <v>0</v>
      </c>
      <c r="X24" s="263">
        <f>IF(W8,IF(stub_switch,('BS Holdco'!V33-'BS Holdco'!X33+'BS Holdco'!V37-'BS Holdco'!X37+'BS Holdco'!V41-'BS Holdco'!X41+'BS Holdco'!V44-'BS Holdco'!X44+'BS Holdco'!X78-'BS Holdco'!V78+'BS Holdco'!X82-'BS Holdco'!V82+'BS Holdco'!X85-'BS Holdco'!V85+'BS Holdco'!X88-'BS Holdco'!V88+'BS Holdco'!X91-'BS Holdco'!V91+'BS Holdco'!X95-'BS Holdco'!V95),('BS Holdco'!V33-'BS Holdco'!X33+'BS Holdco'!V37-'BS Holdco'!X37+'BS Holdco'!V41-'BS Holdco'!X41+'BS Holdco'!V44-'BS Holdco'!X44+'BS Holdco'!X78-'BS Holdco'!V78+'BS Holdco'!X82-'BS Holdco'!V82+'BS Holdco'!X85-'BS Holdco'!V85+'BS Holdco'!X88-'BS Holdco'!V88+'BS Holdco'!X91-'BS Holdco'!V91+'BS Holdco'!X95-'BS Holdco'!V95)),('BS Holdco'!W33-'BS Holdco'!X33+'BS Holdco'!W37-'BS Holdco'!X37+'BS Holdco'!W41-'BS Holdco'!X41+'BS Holdco'!W44-'BS Holdco'!X44+'BS Holdco'!X78-'BS Holdco'!W78+'BS Holdco'!X82-'BS Holdco'!W82+'BS Holdco'!X85-'BS Holdco'!W85+'BS Holdco'!X88-'BS Holdco'!W88+'BS Holdco'!X91-'BS Holdco'!W91+'BS Holdco'!X95-'BS Holdco'!W95))</f>
        <v>0</v>
      </c>
      <c r="Y24" s="263">
        <f>IF(X8,IF(stub_switch,('BS Holdco'!W33-'BS Holdco'!Y33+'BS Holdco'!W37-'BS Holdco'!Y37+'BS Holdco'!W41-'BS Holdco'!Y41+'BS Holdco'!W44-'BS Holdco'!Y44+'BS Holdco'!Y78-'BS Holdco'!W78+'BS Holdco'!Y82-'BS Holdco'!W82+'BS Holdco'!Y85-'BS Holdco'!W85+'BS Holdco'!Y88-'BS Holdco'!W88+'BS Holdco'!Y91-'BS Holdco'!W91+'BS Holdco'!Y95-'BS Holdco'!W95),('BS Holdco'!W33-'BS Holdco'!Y33+'BS Holdco'!W37-'BS Holdco'!Y37+'BS Holdco'!W41-'BS Holdco'!Y41+'BS Holdco'!W44-'BS Holdco'!Y44+'BS Holdco'!Y78-'BS Holdco'!W78+'BS Holdco'!Y82-'BS Holdco'!W82+'BS Holdco'!Y85-'BS Holdco'!W85+'BS Holdco'!Y88-'BS Holdco'!W88+'BS Holdco'!Y91-'BS Holdco'!W91+'BS Holdco'!Y95-'BS Holdco'!W95)),('BS Holdco'!X33-'BS Holdco'!Y33+'BS Holdco'!X37-'BS Holdco'!Y37+'BS Holdco'!X41-'BS Holdco'!Y41+'BS Holdco'!X44-'BS Holdco'!Y44+'BS Holdco'!Y78-'BS Holdco'!X78+'BS Holdco'!Y82-'BS Holdco'!X82+'BS Holdco'!Y85-'BS Holdco'!X85+'BS Holdco'!Y88-'BS Holdco'!X88+'BS Holdco'!Y91-'BS Holdco'!X91+'BS Holdco'!Y95-'BS Holdco'!X95))</f>
        <v>0</v>
      </c>
      <c r="Z24" s="263">
        <f>IF(Y8,IF(stub_switch,('BS Holdco'!X33-'BS Holdco'!Z33+'BS Holdco'!X37-'BS Holdco'!Z37+'BS Holdco'!X41-'BS Holdco'!Z41+'BS Holdco'!X44-'BS Holdco'!Z44+'BS Holdco'!Z78-'BS Holdco'!X78+'BS Holdco'!Z82-'BS Holdco'!X82+'BS Holdco'!Z85-'BS Holdco'!X85+'BS Holdco'!Z88-'BS Holdco'!X88+'BS Holdco'!Z91-'BS Holdco'!X91+'BS Holdco'!Z95-'BS Holdco'!X95),('BS Holdco'!X33-'BS Holdco'!Z33+'BS Holdco'!X37-'BS Holdco'!Z37+'BS Holdco'!X41-'BS Holdco'!Z41+'BS Holdco'!X44-'BS Holdco'!Z44+'BS Holdco'!Z78-'BS Holdco'!X78+'BS Holdco'!Z82-'BS Holdco'!X82+'BS Holdco'!Z85-'BS Holdco'!X85+'BS Holdco'!Z88-'BS Holdco'!X88+'BS Holdco'!Z91-'BS Holdco'!X91+'BS Holdco'!Z95-'BS Holdco'!X95)),('BS Holdco'!Y33-'BS Holdco'!Z33+'BS Holdco'!Y37-'BS Holdco'!Z37+'BS Holdco'!Y41-'BS Holdco'!Z41+'BS Holdco'!Y44-'BS Holdco'!Z44+'BS Holdco'!Z78-'BS Holdco'!Y78+'BS Holdco'!Z82-'BS Holdco'!Y82+'BS Holdco'!Z85-'BS Holdco'!Y85+'BS Holdco'!Z88-'BS Holdco'!Y88+'BS Holdco'!Z91-'BS Holdco'!Y91+'BS Holdco'!Z95-'BS Holdco'!Y95))</f>
        <v>0</v>
      </c>
      <c r="AA24" s="263">
        <f>IF(Z8,IF(stub_switch,('BS Holdco'!Y33-'BS Holdco'!AA33+'BS Holdco'!Y37-'BS Holdco'!AA37+'BS Holdco'!Y41-'BS Holdco'!AA41+'BS Holdco'!Y44-'BS Holdco'!AA44+'BS Holdco'!AA78-'BS Holdco'!Y78+'BS Holdco'!AA82-'BS Holdco'!Y82+'BS Holdco'!AA85-'BS Holdco'!Y85+'BS Holdco'!AA88-'BS Holdco'!Y88+'BS Holdco'!AA91-'BS Holdco'!Y91+'BS Holdco'!AA95-'BS Holdco'!Y95),('BS Holdco'!Y33-'BS Holdco'!AA33+'BS Holdco'!Y37-'BS Holdco'!AA37+'BS Holdco'!Y41-'BS Holdco'!AA41+'BS Holdco'!Y44-'BS Holdco'!AA44+'BS Holdco'!AA78-'BS Holdco'!Y78+'BS Holdco'!AA82-'BS Holdco'!Y82+'BS Holdco'!AA85-'BS Holdco'!Y85+'BS Holdco'!AA88-'BS Holdco'!Y88+'BS Holdco'!AA91-'BS Holdco'!Y91+'BS Holdco'!AA95-'BS Holdco'!Y95)),('BS Holdco'!Z33-'BS Holdco'!AA33+'BS Holdco'!Z37-'BS Holdco'!AA37+'BS Holdco'!Z41-'BS Holdco'!AA41+'BS Holdco'!Z44-'BS Holdco'!AA44+'BS Holdco'!AA78-'BS Holdco'!Z78+'BS Holdco'!AA82-'BS Holdco'!Z82+'BS Holdco'!AA85-'BS Holdco'!Z85+'BS Holdco'!AA88-'BS Holdco'!Z88+'BS Holdco'!AA91-'BS Holdco'!Z91+'BS Holdco'!AA95-'BS Holdco'!Z95))</f>
        <v>0</v>
      </c>
      <c r="AB24" s="263">
        <f>IF(AA8,IF(stub_switch,('BS Holdco'!Z33-'BS Holdco'!AB33+'BS Holdco'!Z37-'BS Holdco'!AB37+'BS Holdco'!Z41-'BS Holdco'!AB41+'BS Holdco'!Z44-'BS Holdco'!AB44+'BS Holdco'!AB78-'BS Holdco'!Z78+'BS Holdco'!AB82-'BS Holdco'!Z82+'BS Holdco'!AB85-'BS Holdco'!Z85+'BS Holdco'!AB88-'BS Holdco'!Z88+'BS Holdco'!AB91-'BS Holdco'!Z91+'BS Holdco'!AB95-'BS Holdco'!Z95),('BS Holdco'!Z33-'BS Holdco'!AB33+'BS Holdco'!Z37-'BS Holdco'!AB37+'BS Holdco'!Z41-'BS Holdco'!AB41+'BS Holdco'!Z44-'BS Holdco'!AB44+'BS Holdco'!AB78-'BS Holdco'!Z78+'BS Holdco'!AB82-'BS Holdco'!Z82+'BS Holdco'!AB85-'BS Holdco'!Z85+'BS Holdco'!AB88-'BS Holdco'!Z88+'BS Holdco'!AB91-'BS Holdco'!Z91+'BS Holdco'!AB95-'BS Holdco'!Z95)),('BS Holdco'!AA33-'BS Holdco'!AB33+'BS Holdco'!AA37-'BS Holdco'!AB37+'BS Holdco'!AA41-'BS Holdco'!AB41+'BS Holdco'!AA44-'BS Holdco'!AB44+'BS Holdco'!AB78-'BS Holdco'!AA78+'BS Holdco'!AB82-'BS Holdco'!AA82+'BS Holdco'!AB85-'BS Holdco'!AA85+'BS Holdco'!AB88-'BS Holdco'!AA88+'BS Holdco'!AB91-'BS Holdco'!AA91+'BS Holdco'!AB95-'BS Holdco'!AA95))</f>
        <v>0</v>
      </c>
      <c r="AC24" s="263">
        <f>IF(AB8,IF(stub_switch,('BS Holdco'!AA33-'BS Holdco'!AC33+'BS Holdco'!AA37-'BS Holdco'!AC37+'BS Holdco'!AA41-'BS Holdco'!AC41+'BS Holdco'!AA44-'BS Holdco'!AC44+'BS Holdco'!AC78-'BS Holdco'!AA78+'BS Holdco'!AC82-'BS Holdco'!AA82+'BS Holdco'!AC85-'BS Holdco'!AA85+'BS Holdco'!AC88-'BS Holdco'!AA88+'BS Holdco'!AC91-'BS Holdco'!AA91+'BS Holdco'!AC95-'BS Holdco'!AA95),('BS Holdco'!AA33-'BS Holdco'!AC33+'BS Holdco'!AA37-'BS Holdco'!AC37+'BS Holdco'!AA41-'BS Holdco'!AC41+'BS Holdco'!AA44-'BS Holdco'!AC44+'BS Holdco'!AC78-'BS Holdco'!AA78+'BS Holdco'!AC82-'BS Holdco'!AA82+'BS Holdco'!AC85-'BS Holdco'!AA85+'BS Holdco'!AC88-'BS Holdco'!AA88+'BS Holdco'!AC91-'BS Holdco'!AA91+'BS Holdco'!AC95-'BS Holdco'!AA95)),('BS Holdco'!AB33-'BS Holdco'!AC33+'BS Holdco'!AB37-'BS Holdco'!AC37+'BS Holdco'!AB41-'BS Holdco'!AC41+'BS Holdco'!AB44-'BS Holdco'!AC44+'BS Holdco'!AC78-'BS Holdco'!AB78+'BS Holdco'!AC82-'BS Holdco'!AB82+'BS Holdco'!AC85-'BS Holdco'!AB85+'BS Holdco'!AC88-'BS Holdco'!AB88+'BS Holdco'!AC91-'BS Holdco'!AB91+'BS Holdco'!AC95-'BS Holdco'!AB95))</f>
        <v>0</v>
      </c>
    </row>
    <row r="25" spans="1:29">
      <c r="C25" s="265" t="s">
        <v>677</v>
      </c>
      <c r="D25" s="263"/>
      <c r="E25" s="263"/>
      <c r="F25" s="263">
        <f>+'IS Holdco'!F60+'IS Holdco'!F61+'IS Holdco'!F62</f>
        <v>0</v>
      </c>
      <c r="G25" s="263">
        <f>+'IS Holdco'!G60+'IS Holdco'!G61+'IS Holdco'!G62</f>
        <v>0</v>
      </c>
      <c r="H25" s="263">
        <f>+'IS Holdco'!H60+'IS Holdco'!H61+'IS Holdco'!H62</f>
        <v>0</v>
      </c>
      <c r="I25" s="263">
        <f>+'IS Holdco'!I60+'IS Holdco'!I61+'IS Holdco'!I62</f>
        <v>0</v>
      </c>
      <c r="J25" s="263">
        <f ca="1">+'IS Holdco'!J60+'IS Holdco'!J61+'IS Holdco'!J62</f>
        <v>0</v>
      </c>
      <c r="K25" s="263">
        <f ca="1">+'IS Holdco'!K60+'IS Holdco'!K61+'IS Holdco'!K62</f>
        <v>0</v>
      </c>
      <c r="L25" s="263">
        <f ca="1">+'IS Holdco'!L60+'IS Holdco'!L61+'IS Holdco'!L62</f>
        <v>0</v>
      </c>
      <c r="M25" s="263">
        <f ca="1">+'IS Holdco'!M60+'IS Holdco'!M61+'IS Holdco'!M62</f>
        <v>0</v>
      </c>
      <c r="N25" s="263">
        <f ca="1">+'IS Holdco'!N60+'IS Holdco'!N61+'IS Holdco'!N62</f>
        <v>0</v>
      </c>
      <c r="O25" s="263">
        <f ca="1">+'IS Holdco'!O60+'IS Holdco'!O61+'IS Holdco'!O62</f>
        <v>0</v>
      </c>
      <c r="P25" s="263">
        <f ca="1">+'IS Holdco'!P60+'IS Holdco'!P61+'IS Holdco'!P62</f>
        <v>0</v>
      </c>
      <c r="Q25" s="263">
        <f>+'IS Holdco'!Q60+'IS Holdco'!Q61+'IS Holdco'!Q62</f>
        <v>0</v>
      </c>
      <c r="R25" s="263">
        <f>+'IS Holdco'!R60+'IS Holdco'!R61+'IS Holdco'!R62</f>
        <v>0</v>
      </c>
      <c r="S25" s="263">
        <f>+'IS Holdco'!S60+'IS Holdco'!S61+'IS Holdco'!S62</f>
        <v>0</v>
      </c>
      <c r="T25" s="263">
        <f>+'IS Holdco'!T60+'IS Holdco'!T61+'IS Holdco'!T62</f>
        <v>0</v>
      </c>
      <c r="U25" s="263">
        <f>+'IS Holdco'!U60+'IS Holdco'!U61+'IS Holdco'!U62</f>
        <v>0</v>
      </c>
      <c r="V25" s="263">
        <f>+'IS Holdco'!V60+'IS Holdco'!V61+'IS Holdco'!V62</f>
        <v>0</v>
      </c>
      <c r="W25" s="263">
        <f>+'IS Holdco'!W60+'IS Holdco'!W61+'IS Holdco'!W62</f>
        <v>0</v>
      </c>
      <c r="X25" s="263">
        <f>+'IS Holdco'!X60+'IS Holdco'!X61+'IS Holdco'!X62</f>
        <v>0</v>
      </c>
      <c r="Y25" s="263">
        <f>+'IS Holdco'!Y60+'IS Holdco'!Y61+'IS Holdco'!Y62</f>
        <v>0</v>
      </c>
      <c r="Z25" s="263">
        <f>+'IS Holdco'!Z60+'IS Holdco'!Z61+'IS Holdco'!Z62</f>
        <v>0</v>
      </c>
      <c r="AA25" s="263">
        <f>+'IS Holdco'!AA60+'IS Holdco'!AA61+'IS Holdco'!AA62</f>
        <v>0</v>
      </c>
      <c r="AB25" s="263">
        <f>+'IS Holdco'!AB60+'IS Holdco'!AB61+'IS Holdco'!AB62</f>
        <v>0</v>
      </c>
      <c r="AC25" s="263">
        <f>+'IS Holdco'!AC60+'IS Holdco'!AC61+'IS Holdco'!AC62</f>
        <v>0</v>
      </c>
    </row>
    <row r="26" spans="1:29">
      <c r="C26" s="264" t="s">
        <v>1086</v>
      </c>
      <c r="D26" s="263"/>
      <c r="E26" s="263"/>
      <c r="F26" s="263">
        <f>'BS Holdco'!F116-'BS Holdco'!E116</f>
        <v>0</v>
      </c>
      <c r="G26" s="263">
        <f>'BS Holdco'!G116-'BS Holdco'!F116</f>
        <v>0</v>
      </c>
      <c r="H26" s="263">
        <f>'BS Holdco'!H116-'BS Holdco'!G116</f>
        <v>0</v>
      </c>
      <c r="I26" s="263">
        <f>'BS Holdco'!I116-'BS Holdco'!H116</f>
        <v>0</v>
      </c>
      <c r="J26" s="263">
        <f>'BS Holdco'!J116-'BS Holdco'!I116</f>
        <v>0</v>
      </c>
      <c r="K26" s="263">
        <f>'BS Holdco'!K116-'BS Holdco'!J116</f>
        <v>0</v>
      </c>
      <c r="L26" s="263">
        <f>'BS Holdco'!L116-'BS Holdco'!K116</f>
        <v>0</v>
      </c>
      <c r="M26" s="263">
        <f>'BS Holdco'!M116-'BS Holdco'!L116</f>
        <v>0</v>
      </c>
      <c r="N26" s="263">
        <f>'BS Holdco'!N116-'BS Holdco'!M116</f>
        <v>0</v>
      </c>
      <c r="O26" s="263">
        <f>'BS Holdco'!O116-'BS Holdco'!N116</f>
        <v>0</v>
      </c>
      <c r="P26" s="263">
        <f>'BS Holdco'!P116-'BS Holdco'!O116</f>
        <v>0</v>
      </c>
      <c r="Q26" s="263">
        <f>'BS Holdco'!Q116-'BS Holdco'!P116</f>
        <v>0</v>
      </c>
      <c r="R26" s="263">
        <f>'BS Holdco'!R116-'BS Holdco'!Q116</f>
        <v>0</v>
      </c>
      <c r="S26" s="263">
        <f>'BS Holdco'!S116-'BS Holdco'!R116</f>
        <v>0</v>
      </c>
      <c r="T26" s="263">
        <f>'BS Holdco'!T116-'BS Holdco'!S116</f>
        <v>0</v>
      </c>
      <c r="U26" s="263">
        <f>'BS Holdco'!U116-'BS Holdco'!T116</f>
        <v>0</v>
      </c>
      <c r="V26" s="263">
        <f>'BS Holdco'!V116-'BS Holdco'!U116</f>
        <v>0</v>
      </c>
      <c r="W26" s="263">
        <f>'BS Holdco'!W116-'BS Holdco'!V116</f>
        <v>0</v>
      </c>
      <c r="X26" s="263">
        <f>'BS Holdco'!X116-'BS Holdco'!W116</f>
        <v>0</v>
      </c>
      <c r="Y26" s="263">
        <f>'BS Holdco'!Y116-'BS Holdco'!X116</f>
        <v>0</v>
      </c>
      <c r="Z26" s="263">
        <f>'BS Holdco'!Z116-'BS Holdco'!Y116</f>
        <v>0</v>
      </c>
      <c r="AA26" s="263">
        <f>'BS Holdco'!AA116-'BS Holdco'!Z116</f>
        <v>0</v>
      </c>
      <c r="AB26" s="263">
        <f>'BS Holdco'!AB116-'BS Holdco'!AA116</f>
        <v>0</v>
      </c>
      <c r="AC26" s="263">
        <f>'BS Holdco'!AC116-'BS Holdco'!AB116</f>
        <v>0</v>
      </c>
    </row>
    <row r="27" spans="1:29">
      <c r="C27" s="199" t="s">
        <v>678</v>
      </c>
      <c r="D27" s="199"/>
      <c r="E27" s="199"/>
      <c r="F27" s="199">
        <f t="shared" ref="F27" si="9">SUM(F23:F26)</f>
        <v>0</v>
      </c>
      <c r="G27" s="199">
        <f t="shared" ref="G27:AC27" si="10">SUM(G23:G26)</f>
        <v>0</v>
      </c>
      <c r="H27" s="199">
        <f t="shared" si="10"/>
        <v>0</v>
      </c>
      <c r="I27" s="199">
        <f t="shared" si="10"/>
        <v>0</v>
      </c>
      <c r="J27" s="199">
        <f t="shared" ca="1" si="10"/>
        <v>0</v>
      </c>
      <c r="K27" s="199">
        <f t="shared" ca="1" si="10"/>
        <v>0</v>
      </c>
      <c r="L27" s="199">
        <f t="shared" ca="1" si="10"/>
        <v>0</v>
      </c>
      <c r="M27" s="199">
        <f t="shared" ca="1" si="10"/>
        <v>0</v>
      </c>
      <c r="N27" s="199">
        <f t="shared" ca="1" si="10"/>
        <v>0</v>
      </c>
      <c r="O27" s="199">
        <f t="shared" ca="1" si="10"/>
        <v>0</v>
      </c>
      <c r="P27" s="199">
        <f t="shared" ca="1" si="10"/>
        <v>0</v>
      </c>
      <c r="Q27" s="199">
        <f t="shared" si="10"/>
        <v>0</v>
      </c>
      <c r="R27" s="199">
        <f t="shared" si="10"/>
        <v>0</v>
      </c>
      <c r="S27" s="199">
        <f t="shared" si="10"/>
        <v>0</v>
      </c>
      <c r="T27" s="199">
        <f t="shared" si="10"/>
        <v>0</v>
      </c>
      <c r="U27" s="199">
        <f t="shared" si="10"/>
        <v>0</v>
      </c>
      <c r="V27" s="199">
        <f t="shared" si="10"/>
        <v>0</v>
      </c>
      <c r="W27" s="199">
        <f t="shared" si="10"/>
        <v>0</v>
      </c>
      <c r="X27" s="199">
        <f t="shared" si="10"/>
        <v>0</v>
      </c>
      <c r="Y27" s="199">
        <f t="shared" si="10"/>
        <v>0</v>
      </c>
      <c r="Z27" s="199">
        <f t="shared" si="10"/>
        <v>0</v>
      </c>
      <c r="AA27" s="199">
        <f t="shared" si="10"/>
        <v>0</v>
      </c>
      <c r="AB27" s="199">
        <f t="shared" si="10"/>
        <v>0</v>
      </c>
      <c r="AC27" s="199">
        <f t="shared" si="10"/>
        <v>0</v>
      </c>
    </row>
    <row r="28" spans="1:29">
      <c r="C28" s="372" t="s">
        <v>1449</v>
      </c>
      <c r="D28" s="263"/>
      <c r="E28" s="263"/>
      <c r="F28" s="263">
        <f>-('BS Holdco'!F51-'BS Holdco'!E51+'BS Holdco'!F64-'BS Holdco'!E64+'BS Holdco'!F68-'BS Holdco'!E68)</f>
        <v>0</v>
      </c>
      <c r="G28" s="263">
        <f>-('BS Holdco'!G51-'BS Holdco'!F51+'BS Holdco'!G64-'BS Holdco'!F64+'BS Holdco'!G68-'BS Holdco'!F68)</f>
        <v>0</v>
      </c>
      <c r="H28" s="263">
        <f>-('BS Holdco'!H51-'BS Holdco'!G51+'BS Holdco'!H64-'BS Holdco'!G64+'BS Holdco'!H68-'BS Holdco'!G68)</f>
        <v>0</v>
      </c>
      <c r="I28" s="263">
        <f>-('BS Holdco'!I51-'BS Holdco'!H51+'BS Holdco'!I64-'BS Holdco'!H64+'BS Holdco'!I68-'BS Holdco'!H68)</f>
        <v>0</v>
      </c>
      <c r="J28" s="263">
        <f>-('BS Holdco'!J51-'BS Holdco'!I51+'BS Holdco'!J64-'BS Holdco'!I64+'BS Holdco'!J68-'BS Holdco'!I68)</f>
        <v>0</v>
      </c>
      <c r="K28" s="263">
        <f>-('BS Holdco'!K51-'BS Holdco'!J51+'BS Holdco'!K64-'BS Holdco'!J64+'BS Holdco'!K68-'BS Holdco'!J68)</f>
        <v>0</v>
      </c>
      <c r="L28" s="263">
        <f>-('BS Holdco'!L51-'BS Holdco'!K51+'BS Holdco'!L64-'BS Holdco'!K64+'BS Holdco'!L68-'BS Holdco'!K68)</f>
        <v>0</v>
      </c>
      <c r="M28" s="263">
        <f>-('BS Holdco'!M51-'BS Holdco'!L51+'BS Holdco'!M64-'BS Holdco'!L64+'BS Holdco'!M68-'BS Holdco'!L68)</f>
        <v>0</v>
      </c>
      <c r="N28" s="263">
        <f>-('BS Holdco'!N51-'BS Holdco'!M51+'BS Holdco'!N64-'BS Holdco'!M64+'BS Holdco'!N68-'BS Holdco'!M68)</f>
        <v>0</v>
      </c>
      <c r="O28" s="263">
        <f>-('BS Holdco'!O51-'BS Holdco'!N51+'BS Holdco'!O64-'BS Holdco'!N64+'BS Holdco'!O68-'BS Holdco'!N68)</f>
        <v>0</v>
      </c>
      <c r="P28" s="263">
        <f>-('BS Holdco'!P51-'BS Holdco'!O51+'BS Holdco'!P64-'BS Holdco'!O64+'BS Holdco'!P68-'BS Holdco'!O68)</f>
        <v>0</v>
      </c>
      <c r="Q28" s="263">
        <f>-('BS Holdco'!Q51-'BS Holdco'!P51+'BS Holdco'!Q64-'BS Holdco'!P64+'BS Holdco'!Q68-'BS Holdco'!P68)</f>
        <v>0</v>
      </c>
      <c r="R28" s="263">
        <f>-('BS Holdco'!R51-'BS Holdco'!Q51+'BS Holdco'!R64-'BS Holdco'!Q64+'BS Holdco'!R68-'BS Holdco'!Q68)</f>
        <v>0</v>
      </c>
      <c r="S28" s="263">
        <f>-('BS Holdco'!S51-'BS Holdco'!R51+'BS Holdco'!S64-'BS Holdco'!R64+'BS Holdco'!S68-'BS Holdco'!R68)</f>
        <v>0</v>
      </c>
      <c r="T28" s="263">
        <f>-('BS Holdco'!T51-'BS Holdco'!S51+'BS Holdco'!T64-'BS Holdco'!S64+'BS Holdco'!T68-'BS Holdco'!S68)</f>
        <v>0</v>
      </c>
      <c r="U28" s="263">
        <f>-('BS Holdco'!U51-'BS Holdco'!T51+'BS Holdco'!U64-'BS Holdco'!T64+'BS Holdco'!U68-'BS Holdco'!T68)</f>
        <v>0</v>
      </c>
      <c r="V28" s="263">
        <f>-('BS Holdco'!V51-'BS Holdco'!U51+'BS Holdco'!V64-'BS Holdco'!U64+'BS Holdco'!V68-'BS Holdco'!U68)</f>
        <v>0</v>
      </c>
      <c r="W28" s="263">
        <f>-('BS Holdco'!W51-'BS Holdco'!V51+'BS Holdco'!W64-'BS Holdco'!V64+'BS Holdco'!W68-'BS Holdco'!V68)</f>
        <v>0</v>
      </c>
      <c r="X28" s="263">
        <f>-('BS Holdco'!X51-'BS Holdco'!W51+'BS Holdco'!X64-'BS Holdco'!W64+'BS Holdco'!X68-'BS Holdco'!W68)</f>
        <v>0</v>
      </c>
      <c r="Y28" s="263">
        <f>-('BS Holdco'!Y51-'BS Holdco'!X51+'BS Holdco'!Y64-'BS Holdco'!X64+'BS Holdco'!Y68-'BS Holdco'!X68)</f>
        <v>0</v>
      </c>
      <c r="Z28" s="263">
        <f>-('BS Holdco'!Z51-'BS Holdco'!Y51+'BS Holdco'!Z64-'BS Holdco'!Y64+'BS Holdco'!Z68-'BS Holdco'!Y68)</f>
        <v>0</v>
      </c>
      <c r="AA28" s="263">
        <f>-('BS Holdco'!AA51-'BS Holdco'!Z51+'BS Holdco'!AA64-'BS Holdco'!Z64+'BS Holdco'!AA68-'BS Holdco'!Z68)</f>
        <v>0</v>
      </c>
      <c r="AB28" s="263">
        <f>-('BS Holdco'!AB51-'BS Holdco'!AA51+'BS Holdco'!AB64-'BS Holdco'!AA64+'BS Holdco'!AB68-'BS Holdco'!AA68)</f>
        <v>0</v>
      </c>
      <c r="AC28" s="263">
        <f>-('BS Holdco'!AC51-'BS Holdco'!AB51+'BS Holdco'!AC64-'BS Holdco'!AB64+'BS Holdco'!AC68-'BS Holdco'!AB68)</f>
        <v>0</v>
      </c>
    </row>
    <row r="29" spans="1:29" hidden="1" outlineLevel="1">
      <c r="C29" s="372"/>
      <c r="D29" s="373" t="s">
        <v>1452</v>
      </c>
      <c r="E29" s="263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</row>
    <row r="30" spans="1:29" hidden="1" outlineLevel="1">
      <c r="C30" s="372"/>
      <c r="D30" s="373" t="s">
        <v>1450</v>
      </c>
      <c r="E30" s="263"/>
      <c r="F30" s="197"/>
      <c r="G30" s="197"/>
      <c r="H30" s="197"/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  <c r="AA30" s="197"/>
      <c r="AB30" s="197"/>
      <c r="AC30" s="197"/>
    </row>
    <row r="31" spans="1:29" hidden="1" outlineLevel="1">
      <c r="C31" s="372"/>
      <c r="D31" s="373" t="s">
        <v>1451</v>
      </c>
      <c r="E31" s="263"/>
      <c r="F31" s="263">
        <f t="shared" ref="F31:AC31" si="11">F28-F29-F30</f>
        <v>0</v>
      </c>
      <c r="G31" s="263">
        <f t="shared" si="11"/>
        <v>0</v>
      </c>
      <c r="H31" s="263">
        <f t="shared" si="11"/>
        <v>0</v>
      </c>
      <c r="I31" s="263">
        <f t="shared" si="11"/>
        <v>0</v>
      </c>
      <c r="J31" s="263">
        <f t="shared" si="11"/>
        <v>0</v>
      </c>
      <c r="K31" s="263">
        <f t="shared" si="11"/>
        <v>0</v>
      </c>
      <c r="L31" s="263">
        <f t="shared" si="11"/>
        <v>0</v>
      </c>
      <c r="M31" s="263">
        <f t="shared" si="11"/>
        <v>0</v>
      </c>
      <c r="N31" s="263">
        <f t="shared" si="11"/>
        <v>0</v>
      </c>
      <c r="O31" s="263">
        <f t="shared" si="11"/>
        <v>0</v>
      </c>
      <c r="P31" s="263">
        <f t="shared" si="11"/>
        <v>0</v>
      </c>
      <c r="Q31" s="263">
        <f t="shared" si="11"/>
        <v>0</v>
      </c>
      <c r="R31" s="263">
        <f t="shared" si="11"/>
        <v>0</v>
      </c>
      <c r="S31" s="263">
        <f t="shared" si="11"/>
        <v>0</v>
      </c>
      <c r="T31" s="263">
        <f t="shared" si="11"/>
        <v>0</v>
      </c>
      <c r="U31" s="263">
        <f t="shared" si="11"/>
        <v>0</v>
      </c>
      <c r="V31" s="263">
        <f t="shared" si="11"/>
        <v>0</v>
      </c>
      <c r="W31" s="263">
        <f t="shared" si="11"/>
        <v>0</v>
      </c>
      <c r="X31" s="263">
        <f t="shared" si="11"/>
        <v>0</v>
      </c>
      <c r="Y31" s="263">
        <f t="shared" si="11"/>
        <v>0</v>
      </c>
      <c r="Z31" s="263">
        <f t="shared" si="11"/>
        <v>0</v>
      </c>
      <c r="AA31" s="263">
        <f t="shared" si="11"/>
        <v>0</v>
      </c>
      <c r="AB31" s="263">
        <f t="shared" si="11"/>
        <v>0</v>
      </c>
      <c r="AC31" s="263">
        <f t="shared" si="11"/>
        <v>0</v>
      </c>
    </row>
    <row r="32" spans="1:29" collapsed="1">
      <c r="C32" s="266" t="s">
        <v>853</v>
      </c>
      <c r="D32" s="263"/>
      <c r="E32" s="263"/>
      <c r="F32" s="263">
        <f ca="1">'BS Holdco'!E29-'BS Holdco'!F29+'BS Holdco'!E55-'BS Holdco'!F55+'BS Holdco'!E59-'BS Holdco'!F59+'IS Holdco'!F44+'IS Holdco'!F45-'IS Holdco'!F26</f>
        <v>0</v>
      </c>
      <c r="G32" s="263">
        <f ca="1">'BS Holdco'!F29-'BS Holdco'!G29+'BS Holdco'!F55-'BS Holdco'!G55+'BS Holdco'!F59-'BS Holdco'!G59+'IS Holdco'!G44+'IS Holdco'!G45-'IS Holdco'!G26</f>
        <v>0</v>
      </c>
      <c r="H32" s="263">
        <f ca="1">'BS Holdco'!G29-'BS Holdco'!H29+'BS Holdco'!G55-'BS Holdco'!H55+'BS Holdco'!G59-'BS Holdco'!H59+'IS Holdco'!H44+'IS Holdco'!H45-'IS Holdco'!H26</f>
        <v>0</v>
      </c>
      <c r="I32" s="263">
        <f ca="1">'BS Holdco'!H29-'BS Holdco'!I29+'BS Holdco'!H55-'BS Holdco'!I55+'BS Holdco'!H59-'BS Holdco'!I59+'IS Holdco'!I44+'IS Holdco'!I45-'IS Holdco'!I26</f>
        <v>0</v>
      </c>
      <c r="J32" s="263">
        <f ca="1">'BS Holdco'!I29-'BS Holdco'!J29+'BS Holdco'!I55-'BS Holdco'!J55+'BS Holdco'!I59-'BS Holdco'!J59+'IS Holdco'!J44+'IS Holdco'!J45-'IS Holdco'!J26</f>
        <v>-372544000</v>
      </c>
      <c r="K32" s="263">
        <f ca="1">'BS Holdco'!J29-'BS Holdco'!K29+'BS Holdco'!J55-'BS Holdco'!K55+'BS Holdco'!J59-'BS Holdco'!K59+'IS Holdco'!K44+'IS Holdco'!K45-'IS Holdco'!K26</f>
        <v>0</v>
      </c>
      <c r="L32" s="263">
        <f ca="1">'BS Holdco'!K29-'BS Holdco'!L29+'BS Holdco'!K55-'BS Holdco'!L55+'BS Holdco'!K59-'BS Holdco'!L59+'IS Holdco'!L44+'IS Holdco'!L45-'IS Holdco'!L26</f>
        <v>0</v>
      </c>
      <c r="M32" s="263">
        <f ca="1">'BS Holdco'!L29-'BS Holdco'!M29+'BS Holdco'!L55-'BS Holdco'!M55+'BS Holdco'!L59-'BS Holdco'!M59+'IS Holdco'!M44+'IS Holdco'!M45-'IS Holdco'!M26</f>
        <v>0</v>
      </c>
      <c r="N32" s="263">
        <f ca="1">'BS Holdco'!M29-'BS Holdco'!N29+'BS Holdco'!M55-'BS Holdco'!N55+'BS Holdco'!M59-'BS Holdco'!N59+'IS Holdco'!N44+'IS Holdco'!N45-'IS Holdco'!N26</f>
        <v>0</v>
      </c>
      <c r="O32" s="263">
        <f ca="1">'BS Holdco'!N29-'BS Holdco'!O29+'BS Holdco'!N55-'BS Holdco'!O55+'BS Holdco'!N59-'BS Holdco'!O59+'IS Holdco'!O44+'IS Holdco'!O45-'IS Holdco'!O26</f>
        <v>0</v>
      </c>
      <c r="P32" s="263">
        <f ca="1">'BS Holdco'!O29-'BS Holdco'!P29+'BS Holdco'!O55-'BS Holdco'!P55+'BS Holdco'!O59-'BS Holdco'!P59+'IS Holdco'!P44+'IS Holdco'!P45-'IS Holdco'!P26</f>
        <v>0</v>
      </c>
      <c r="Q32" s="263">
        <f ca="1">'BS Holdco'!P29-'BS Holdco'!Q29+'BS Holdco'!P55-'BS Holdco'!Q55+'BS Holdco'!P59-'BS Holdco'!Q59+'IS Holdco'!Q44+'IS Holdco'!Q45-'IS Holdco'!Q26</f>
        <v>372544000</v>
      </c>
      <c r="R32" s="263">
        <f ca="1">'BS Holdco'!Q29-'BS Holdco'!R29+'BS Holdco'!Q55-'BS Holdco'!R55+'BS Holdco'!Q59-'BS Holdco'!R59+'IS Holdco'!R44+'IS Holdco'!R45-'IS Holdco'!R26</f>
        <v>0</v>
      </c>
      <c r="S32" s="263">
        <f ca="1">'BS Holdco'!R29-'BS Holdco'!S29+'BS Holdco'!R55-'BS Holdco'!S55+'BS Holdco'!R59-'BS Holdco'!S59+'IS Holdco'!S44+'IS Holdco'!S45-'IS Holdco'!S26</f>
        <v>0</v>
      </c>
      <c r="T32" s="263">
        <f ca="1">'BS Holdco'!S29-'BS Holdco'!T29+'BS Holdco'!S55-'BS Holdco'!T55+'BS Holdco'!S59-'BS Holdco'!T59+'IS Holdco'!T44+'IS Holdco'!T45-'IS Holdco'!T26</f>
        <v>0</v>
      </c>
      <c r="U32" s="263">
        <f ca="1">'BS Holdco'!T29-'BS Holdco'!U29+'BS Holdco'!T55-'BS Holdco'!U55+'BS Holdco'!T59-'BS Holdco'!U59+'IS Holdco'!U44+'IS Holdco'!U45-'IS Holdco'!U26</f>
        <v>0</v>
      </c>
      <c r="V32" s="263">
        <f ca="1">'BS Holdco'!U29-'BS Holdco'!V29+'BS Holdco'!U55-'BS Holdco'!V55+'BS Holdco'!U59-'BS Holdco'!V59+'IS Holdco'!V44+'IS Holdco'!V45-'IS Holdco'!V26</f>
        <v>0</v>
      </c>
      <c r="W32" s="263">
        <f ca="1">'BS Holdco'!V29-'BS Holdco'!W29+'BS Holdco'!V55-'BS Holdco'!W55+'BS Holdco'!V59-'BS Holdco'!W59+'IS Holdco'!W44+'IS Holdco'!W45-'IS Holdco'!W26</f>
        <v>0</v>
      </c>
      <c r="X32" s="263">
        <f ca="1">'BS Holdco'!W29-'BS Holdco'!X29+'BS Holdco'!W55-'BS Holdco'!X55+'BS Holdco'!W59-'BS Holdco'!X59+'IS Holdco'!X44+'IS Holdco'!X45-'IS Holdco'!X26</f>
        <v>0</v>
      </c>
      <c r="Y32" s="263">
        <f ca="1">'BS Holdco'!X29-'BS Holdco'!Y29+'BS Holdco'!X55-'BS Holdco'!Y55+'BS Holdco'!X59-'BS Holdco'!Y59+'IS Holdco'!Y44+'IS Holdco'!Y45-'IS Holdco'!Y26</f>
        <v>0</v>
      </c>
      <c r="Z32" s="263">
        <f ca="1">'BS Holdco'!Y29-'BS Holdco'!Z29+'BS Holdco'!Y55-'BS Holdco'!Z55+'BS Holdco'!Y59-'BS Holdco'!Z59+'IS Holdco'!Z44+'IS Holdco'!Z45-'IS Holdco'!Z26</f>
        <v>0</v>
      </c>
      <c r="AA32" s="263">
        <f ca="1">'BS Holdco'!Z29-'BS Holdco'!AA29+'BS Holdco'!Z55-'BS Holdco'!AA55+'BS Holdco'!Z59-'BS Holdco'!AA59+'IS Holdco'!AA44+'IS Holdco'!AA45-'IS Holdco'!AA26</f>
        <v>0</v>
      </c>
      <c r="AB32" s="263">
        <f ca="1">'BS Holdco'!AA29-'BS Holdco'!AB29+'BS Holdco'!AA55-'BS Holdco'!AB55+'BS Holdco'!AA59-'BS Holdco'!AB59+'IS Holdco'!AB44+'IS Holdco'!AB45-'IS Holdco'!AB26</f>
        <v>0</v>
      </c>
      <c r="AC32" s="263">
        <f ca="1">'BS Holdco'!AB29-'BS Holdco'!AC29+'BS Holdco'!AB55-'BS Holdco'!AC55+'BS Holdco'!AB59-'BS Holdco'!AC59+'IS Holdco'!AC44+'IS Holdco'!AC45-'IS Holdco'!AC26</f>
        <v>0</v>
      </c>
    </row>
    <row r="33" spans="1:29">
      <c r="C33" s="199" t="s">
        <v>679</v>
      </c>
      <c r="D33" s="199"/>
      <c r="E33" s="199"/>
      <c r="F33" s="199">
        <f t="shared" ref="F33:AC33" ca="1" si="12">F28+F32</f>
        <v>0</v>
      </c>
      <c r="G33" s="199">
        <f t="shared" ca="1" si="12"/>
        <v>0</v>
      </c>
      <c r="H33" s="199">
        <f t="shared" ca="1" si="12"/>
        <v>0</v>
      </c>
      <c r="I33" s="199">
        <f t="shared" ca="1" si="12"/>
        <v>0</v>
      </c>
      <c r="J33" s="199">
        <f t="shared" ca="1" si="12"/>
        <v>-372544000</v>
      </c>
      <c r="K33" s="199">
        <f t="shared" ca="1" si="12"/>
        <v>0</v>
      </c>
      <c r="L33" s="199">
        <f t="shared" ca="1" si="12"/>
        <v>0</v>
      </c>
      <c r="M33" s="199">
        <f t="shared" ca="1" si="12"/>
        <v>0</v>
      </c>
      <c r="N33" s="199">
        <f t="shared" ca="1" si="12"/>
        <v>0</v>
      </c>
      <c r="O33" s="199">
        <f t="shared" ca="1" si="12"/>
        <v>0</v>
      </c>
      <c r="P33" s="199">
        <f t="shared" ca="1" si="12"/>
        <v>0</v>
      </c>
      <c r="Q33" s="199">
        <f t="shared" ca="1" si="12"/>
        <v>372544000</v>
      </c>
      <c r="R33" s="199">
        <f t="shared" ca="1" si="12"/>
        <v>0</v>
      </c>
      <c r="S33" s="199">
        <f t="shared" ca="1" si="12"/>
        <v>0</v>
      </c>
      <c r="T33" s="199">
        <f t="shared" ca="1" si="12"/>
        <v>0</v>
      </c>
      <c r="U33" s="199">
        <f t="shared" ca="1" si="12"/>
        <v>0</v>
      </c>
      <c r="V33" s="199">
        <f t="shared" ca="1" si="12"/>
        <v>0</v>
      </c>
      <c r="W33" s="199">
        <f t="shared" ca="1" si="12"/>
        <v>0</v>
      </c>
      <c r="X33" s="199">
        <f t="shared" ca="1" si="12"/>
        <v>0</v>
      </c>
      <c r="Y33" s="199">
        <f t="shared" ca="1" si="12"/>
        <v>0</v>
      </c>
      <c r="Z33" s="199">
        <f t="shared" ca="1" si="12"/>
        <v>0</v>
      </c>
      <c r="AA33" s="199">
        <f t="shared" ca="1" si="12"/>
        <v>0</v>
      </c>
      <c r="AB33" s="199">
        <f t="shared" ca="1" si="12"/>
        <v>0</v>
      </c>
      <c r="AC33" s="199">
        <f t="shared" ca="1" si="12"/>
        <v>0</v>
      </c>
    </row>
    <row r="34" spans="1:29">
      <c r="C34" s="195" t="s">
        <v>783</v>
      </c>
      <c r="D34" s="195"/>
      <c r="E34" s="195"/>
      <c r="F34" s="195">
        <f ca="1">F33+F27</f>
        <v>0</v>
      </c>
      <c r="G34" s="195">
        <f t="shared" ref="G34:AC34" ca="1" si="13">G33+G27</f>
        <v>0</v>
      </c>
      <c r="H34" s="195">
        <f t="shared" ca="1" si="13"/>
        <v>0</v>
      </c>
      <c r="I34" s="195">
        <f t="shared" ca="1" si="13"/>
        <v>0</v>
      </c>
      <c r="J34" s="195">
        <f t="shared" ca="1" si="13"/>
        <v>-372544000</v>
      </c>
      <c r="K34" s="195">
        <f t="shared" ca="1" si="13"/>
        <v>0</v>
      </c>
      <c r="L34" s="195">
        <f t="shared" ca="1" si="13"/>
        <v>0</v>
      </c>
      <c r="M34" s="195">
        <f t="shared" ca="1" si="13"/>
        <v>0</v>
      </c>
      <c r="N34" s="195">
        <f t="shared" ca="1" si="13"/>
        <v>0</v>
      </c>
      <c r="O34" s="195">
        <f t="shared" ca="1" si="13"/>
        <v>0</v>
      </c>
      <c r="P34" s="195">
        <f t="shared" ca="1" si="13"/>
        <v>0</v>
      </c>
      <c r="Q34" s="195">
        <f t="shared" ca="1" si="13"/>
        <v>372544000</v>
      </c>
      <c r="R34" s="195">
        <f t="shared" ca="1" si="13"/>
        <v>0</v>
      </c>
      <c r="S34" s="195">
        <f t="shared" ca="1" si="13"/>
        <v>0</v>
      </c>
      <c r="T34" s="195">
        <f t="shared" ca="1" si="13"/>
        <v>0</v>
      </c>
      <c r="U34" s="195">
        <f t="shared" ca="1" si="13"/>
        <v>0</v>
      </c>
      <c r="V34" s="195">
        <f t="shared" ca="1" si="13"/>
        <v>0</v>
      </c>
      <c r="W34" s="195">
        <f t="shared" ca="1" si="13"/>
        <v>0</v>
      </c>
      <c r="X34" s="195">
        <f t="shared" ca="1" si="13"/>
        <v>0</v>
      </c>
      <c r="Y34" s="195">
        <f t="shared" ca="1" si="13"/>
        <v>0</v>
      </c>
      <c r="Z34" s="195">
        <f t="shared" ca="1" si="13"/>
        <v>0</v>
      </c>
      <c r="AA34" s="195">
        <f t="shared" ca="1" si="13"/>
        <v>0</v>
      </c>
      <c r="AB34" s="195">
        <f t="shared" ca="1" si="13"/>
        <v>0</v>
      </c>
      <c r="AC34" s="195">
        <f t="shared" ca="1" si="13"/>
        <v>0</v>
      </c>
    </row>
    <row r="35" spans="1:29">
      <c r="A35" s="53"/>
      <c r="C35" s="265" t="s">
        <v>847</v>
      </c>
      <c r="D35" s="263"/>
      <c r="E35" s="263"/>
      <c r="F35" s="263">
        <f>+'IS Holdco'!F52</f>
        <v>0</v>
      </c>
      <c r="G35" s="263">
        <f>+'IS Holdco'!G52</f>
        <v>0</v>
      </c>
      <c r="H35" s="263">
        <f>+'IS Holdco'!H52</f>
        <v>0</v>
      </c>
      <c r="I35" s="263">
        <f>+'IS Holdco'!I52</f>
        <v>0</v>
      </c>
      <c r="J35" s="263">
        <f ca="1">+'IS Holdco'!J52</f>
        <v>0</v>
      </c>
      <c r="K35" s="263">
        <f ca="1">+'IS Holdco'!K52</f>
        <v>0</v>
      </c>
      <c r="L35" s="263">
        <f ca="1">+'IS Holdco'!L52</f>
        <v>0</v>
      </c>
      <c r="M35" s="263">
        <f ca="1">+'IS Holdco'!M52</f>
        <v>0</v>
      </c>
      <c r="N35" s="263">
        <f ca="1">+'IS Holdco'!N52</f>
        <v>0</v>
      </c>
      <c r="O35" s="263">
        <f ca="1">+'IS Holdco'!O52</f>
        <v>0</v>
      </c>
      <c r="P35" s="263">
        <f ca="1">+'IS Holdco'!P52</f>
        <v>0</v>
      </c>
      <c r="Q35" s="263">
        <f>+'IS Holdco'!Q52</f>
        <v>0</v>
      </c>
      <c r="R35" s="263">
        <f>+'IS Holdco'!R52</f>
        <v>0</v>
      </c>
      <c r="S35" s="263">
        <f>+'IS Holdco'!S52</f>
        <v>0</v>
      </c>
      <c r="T35" s="263">
        <f>+'IS Holdco'!T52</f>
        <v>0</v>
      </c>
      <c r="U35" s="263">
        <f>+'IS Holdco'!U52</f>
        <v>0</v>
      </c>
      <c r="V35" s="263">
        <f>+'IS Holdco'!V52</f>
        <v>0</v>
      </c>
      <c r="W35" s="263">
        <f>+'IS Holdco'!W52</f>
        <v>0</v>
      </c>
      <c r="X35" s="263">
        <f>+'IS Holdco'!X52</f>
        <v>0</v>
      </c>
      <c r="Y35" s="263">
        <f>+'IS Holdco'!Y52</f>
        <v>0</v>
      </c>
      <c r="Z35" s="263">
        <f>+'IS Holdco'!Z52</f>
        <v>0</v>
      </c>
      <c r="AA35" s="263">
        <f>+'IS Holdco'!AA52</f>
        <v>0</v>
      </c>
      <c r="AB35" s="263">
        <f>+'IS Holdco'!AB52</f>
        <v>0</v>
      </c>
      <c r="AC35" s="263">
        <f>+'IS Holdco'!AC52</f>
        <v>0</v>
      </c>
    </row>
    <row r="36" spans="1:29">
      <c r="C36" s="266" t="s">
        <v>1758</v>
      </c>
      <c r="D36" s="263"/>
      <c r="E36" s="263"/>
      <c r="F36" s="263">
        <f>F9*SUMIF('Financial Quarterly Holdco'!7:7,'CF Holdco'!F10,'Financial Quarterly Holdco'!94:94)-F9*SUMIF('Financial Quarterly Holdco'!7:7,'CF Holdco'!F10,'Financial Quarterly Holdco'!93:93)</f>
        <v>0</v>
      </c>
      <c r="G36" s="263">
        <f>G9*SUMIF('Financial Quarterly Holdco'!7:7,'CF Holdco'!G10,'Financial Quarterly Holdco'!94:94)-G9*SUMIF('Financial Quarterly Holdco'!7:7,'CF Holdco'!G10,'Financial Quarterly Holdco'!93:93)</f>
        <v>0</v>
      </c>
      <c r="H36" s="263">
        <f>H9*SUMIF('Financial Quarterly Holdco'!7:7,'CF Holdco'!H10,'Financial Quarterly Holdco'!94:94)-H9*SUMIF('Financial Quarterly Holdco'!7:7,'CF Holdco'!H10,'Financial Quarterly Holdco'!93:93)</f>
        <v>0</v>
      </c>
      <c r="I36" s="263">
        <f>I9*SUMIF('Financial Quarterly Holdco'!7:7,'CF Holdco'!I10,'Financial Quarterly Holdco'!94:94)-I9*SUMIF('Financial Quarterly Holdco'!7:7,'CF Holdco'!I10,'Financial Quarterly Holdco'!93:93)</f>
        <v>0</v>
      </c>
      <c r="J36" s="263">
        <f ca="1">J9*SUMIF('Financial Quarterly Holdco'!7:7,'CF Holdco'!J10,'Financial Quarterly Holdco'!94:94)-J9*SUMIF('Financial Quarterly Holdco'!7:7,'CF Holdco'!J10,'Financial Quarterly Holdco'!93:93)</f>
        <v>0</v>
      </c>
      <c r="K36" s="263">
        <f ca="1">K9*SUMIF('Financial Quarterly Holdco'!7:7,'CF Holdco'!K10,'Financial Quarterly Holdco'!94:94)-K9*SUMIF('Financial Quarterly Holdco'!7:7,'CF Holdco'!K10,'Financial Quarterly Holdco'!93:93)</f>
        <v>0</v>
      </c>
      <c r="L36" s="263">
        <f ca="1">L9*SUMIF('Financial Quarterly Holdco'!7:7,'CF Holdco'!L10,'Financial Quarterly Holdco'!94:94)-L9*SUMIF('Financial Quarterly Holdco'!7:7,'CF Holdco'!L10,'Financial Quarterly Holdco'!93:93)</f>
        <v>0</v>
      </c>
      <c r="M36" s="263">
        <f ca="1">M9*SUMIF('Financial Quarterly Holdco'!7:7,'CF Holdco'!M10,'Financial Quarterly Holdco'!94:94)-M9*SUMIF('Financial Quarterly Holdco'!7:7,'CF Holdco'!M10,'Financial Quarterly Holdco'!93:93)</f>
        <v>0</v>
      </c>
      <c r="N36" s="263">
        <f ca="1">N9*SUMIF('Financial Quarterly Holdco'!7:7,'CF Holdco'!N10,'Financial Quarterly Holdco'!94:94)-N9*SUMIF('Financial Quarterly Holdco'!7:7,'CF Holdco'!N10,'Financial Quarterly Holdco'!93:93)</f>
        <v>0</v>
      </c>
      <c r="O36" s="263">
        <f ca="1">O9*SUMIF('Financial Quarterly Holdco'!7:7,'CF Holdco'!O10,'Financial Quarterly Holdco'!94:94)-O9*SUMIF('Financial Quarterly Holdco'!7:7,'CF Holdco'!O10,'Financial Quarterly Holdco'!93:93)</f>
        <v>0</v>
      </c>
      <c r="P36" s="263">
        <f ca="1">P9*SUMIF('Financial Quarterly Holdco'!7:7,'CF Holdco'!P10,'Financial Quarterly Holdco'!94:94)-P9*SUMIF('Financial Quarterly Holdco'!7:7,'CF Holdco'!P10,'Financial Quarterly Holdco'!93:93)</f>
        <v>0</v>
      </c>
      <c r="Q36" s="263">
        <f>Q9*SUMIF('Financial Quarterly Holdco'!7:7,'CF Holdco'!Q10,'Financial Quarterly Holdco'!94:94)-Q9*SUMIF('Financial Quarterly Holdco'!7:7,'CF Holdco'!Q10,'Financial Quarterly Holdco'!93:93)</f>
        <v>0</v>
      </c>
      <c r="R36" s="263">
        <f>R9*SUMIF('Financial Quarterly Holdco'!7:7,'CF Holdco'!R10,'Financial Quarterly Holdco'!94:94)-R9*SUMIF('Financial Quarterly Holdco'!7:7,'CF Holdco'!R10,'Financial Quarterly Holdco'!93:93)</f>
        <v>0</v>
      </c>
      <c r="S36" s="263">
        <f>S9*SUMIF('Financial Quarterly Holdco'!7:7,'CF Holdco'!S10,'Financial Quarterly Holdco'!94:94)-S9*SUMIF('Financial Quarterly Holdco'!7:7,'CF Holdco'!S10,'Financial Quarterly Holdco'!93:93)</f>
        <v>0</v>
      </c>
      <c r="T36" s="263">
        <f>T9*SUMIF('Financial Quarterly Holdco'!7:7,'CF Holdco'!T10,'Financial Quarterly Holdco'!94:94)-T9*SUMIF('Financial Quarterly Holdco'!7:7,'CF Holdco'!T10,'Financial Quarterly Holdco'!93:93)</f>
        <v>0</v>
      </c>
      <c r="U36" s="263">
        <f>U9*SUMIF('Financial Quarterly Holdco'!7:7,'CF Holdco'!U10,'Financial Quarterly Holdco'!94:94)-U9*SUMIF('Financial Quarterly Holdco'!7:7,'CF Holdco'!U10,'Financial Quarterly Holdco'!93:93)</f>
        <v>0</v>
      </c>
      <c r="V36" s="263">
        <f>V9*SUMIF('Financial Quarterly Holdco'!7:7,'CF Holdco'!V10,'Financial Quarterly Holdco'!94:94)-V9*SUMIF('Financial Quarterly Holdco'!7:7,'CF Holdco'!V10,'Financial Quarterly Holdco'!93:93)</f>
        <v>0</v>
      </c>
      <c r="W36" s="263">
        <f>W9*SUMIF('Financial Quarterly Holdco'!7:7,'CF Holdco'!W10,'Financial Quarterly Holdco'!94:94)-W9*SUMIF('Financial Quarterly Holdco'!7:7,'CF Holdco'!W10,'Financial Quarterly Holdco'!93:93)</f>
        <v>0</v>
      </c>
      <c r="X36" s="263">
        <f>X9*SUMIF('Financial Quarterly Holdco'!7:7,'CF Holdco'!X10,'Financial Quarterly Holdco'!94:94)-X9*SUMIF('Financial Quarterly Holdco'!7:7,'CF Holdco'!X10,'Financial Quarterly Holdco'!93:93)</f>
        <v>0</v>
      </c>
      <c r="Y36" s="263">
        <f>Y9*SUMIF('Financial Quarterly Holdco'!7:7,'CF Holdco'!Y10,'Financial Quarterly Holdco'!94:94)-Y9*SUMIF('Financial Quarterly Holdco'!7:7,'CF Holdco'!Y10,'Financial Quarterly Holdco'!93:93)</f>
        <v>0</v>
      </c>
      <c r="Z36" s="263">
        <f>Z9*SUMIF('Financial Quarterly Holdco'!7:7,'CF Holdco'!Z10,'Financial Quarterly Holdco'!94:94)-Z9*SUMIF('Financial Quarterly Holdco'!7:7,'CF Holdco'!Z10,'Financial Quarterly Holdco'!93:93)</f>
        <v>0</v>
      </c>
      <c r="AA36" s="263">
        <f>AA9*SUMIF('Financial Quarterly Holdco'!7:7,'CF Holdco'!AA10,'Financial Quarterly Holdco'!94:94)-AA9*SUMIF('Financial Quarterly Holdco'!7:7,'CF Holdco'!AA10,'Financial Quarterly Holdco'!93:93)</f>
        <v>0</v>
      </c>
      <c r="AB36" s="263">
        <f>AB9*SUMIF('Financial Quarterly Holdco'!7:7,'CF Holdco'!AB10,'Financial Quarterly Holdco'!94:94)-AB9*SUMIF('Financial Quarterly Holdco'!7:7,'CF Holdco'!AB10,'Financial Quarterly Holdco'!93:93)</f>
        <v>0</v>
      </c>
      <c r="AC36" s="263">
        <f>AC9*SUMIF('Financial Quarterly Holdco'!7:7,'CF Holdco'!AC10,'Financial Quarterly Holdco'!94:94)-AC9*SUMIF('Financial Quarterly Holdco'!7:7,'CF Holdco'!AC10,'Financial Quarterly Holdco'!93:93)</f>
        <v>0</v>
      </c>
    </row>
    <row r="37" spans="1:29">
      <c r="C37" s="375" t="s">
        <v>1455</v>
      </c>
      <c r="D37" s="263"/>
      <c r="E37" s="263"/>
      <c r="F37" s="263">
        <f>+'IS Holdco'!F63</f>
        <v>0</v>
      </c>
      <c r="G37" s="263">
        <f>+'IS Holdco'!G63</f>
        <v>0</v>
      </c>
      <c r="H37" s="263">
        <f>+'IS Holdco'!H63</f>
        <v>0</v>
      </c>
      <c r="I37" s="263">
        <f>+'IS Holdco'!I63</f>
        <v>0</v>
      </c>
      <c r="J37" s="263">
        <f ca="1">+'IS Holdco'!J63</f>
        <v>0</v>
      </c>
      <c r="K37" s="263">
        <f ca="1">+'IS Holdco'!K63</f>
        <v>0</v>
      </c>
      <c r="L37" s="263">
        <f ca="1">+'IS Holdco'!L63</f>
        <v>0</v>
      </c>
      <c r="M37" s="263">
        <f ca="1">+'IS Holdco'!M63</f>
        <v>0</v>
      </c>
      <c r="N37" s="263">
        <f ca="1">+'IS Holdco'!N63</f>
        <v>0</v>
      </c>
      <c r="O37" s="263">
        <f ca="1">+'IS Holdco'!O63</f>
        <v>0</v>
      </c>
      <c r="P37" s="263">
        <f ca="1">+'IS Holdco'!P63</f>
        <v>0</v>
      </c>
      <c r="Q37" s="263">
        <f>+'IS Holdco'!Q63</f>
        <v>0</v>
      </c>
      <c r="R37" s="263">
        <f>+'IS Holdco'!R63</f>
        <v>0</v>
      </c>
      <c r="S37" s="263">
        <f>+'IS Holdco'!S63</f>
        <v>0</v>
      </c>
      <c r="T37" s="263">
        <f>+'IS Holdco'!T63</f>
        <v>0</v>
      </c>
      <c r="U37" s="263">
        <f>+'IS Holdco'!U63</f>
        <v>0</v>
      </c>
      <c r="V37" s="263">
        <f>+'IS Holdco'!V63</f>
        <v>0</v>
      </c>
      <c r="W37" s="263">
        <f>+'IS Holdco'!W63</f>
        <v>0</v>
      </c>
      <c r="X37" s="263">
        <f>+'IS Holdco'!X63</f>
        <v>0</v>
      </c>
      <c r="Y37" s="263">
        <f>+'IS Holdco'!Y63</f>
        <v>0</v>
      </c>
      <c r="Z37" s="263">
        <f>+'IS Holdco'!Z63</f>
        <v>0</v>
      </c>
      <c r="AA37" s="263">
        <f>+'IS Holdco'!AA63</f>
        <v>0</v>
      </c>
      <c r="AB37" s="263">
        <f>+'IS Holdco'!AB63</f>
        <v>0</v>
      </c>
      <c r="AC37" s="263">
        <f>+'IS Holdco'!AC63</f>
        <v>0</v>
      </c>
    </row>
    <row r="38" spans="1:29">
      <c r="C38" s="267" t="s">
        <v>843</v>
      </c>
      <c r="D38" s="263"/>
      <c r="E38" s="263"/>
      <c r="F38" s="263">
        <f>F9*SUMIF('Financial Quarterly Holdco'!7:7,'CF Holdco'!F10,'Financial Quarterly Holdco'!95:95)</f>
        <v>0</v>
      </c>
      <c r="G38" s="263">
        <f>G9*SUMIF('Financial Quarterly Holdco'!7:7,'CF Holdco'!G10,'Financial Quarterly Holdco'!95:95)</f>
        <v>0</v>
      </c>
      <c r="H38" s="263">
        <f>H9*SUMIF('Financial Quarterly Holdco'!7:7,'CF Holdco'!H10,'Financial Quarterly Holdco'!95:95)</f>
        <v>0</v>
      </c>
      <c r="I38" s="263">
        <f>I9*SUMIF('Financial Quarterly Holdco'!7:7,'CF Holdco'!I10,'Financial Quarterly Holdco'!95:95)</f>
        <v>0</v>
      </c>
      <c r="J38" s="263">
        <f ca="1">J9*SUMIF('Financial Quarterly Holdco'!7:7,'CF Holdco'!J10,'Financial Quarterly Holdco'!95:95)</f>
        <v>0</v>
      </c>
      <c r="K38" s="263">
        <f ca="1">K9*SUMIF('Financial Quarterly Holdco'!7:7,'CF Holdco'!K10,'Financial Quarterly Holdco'!95:95)</f>
        <v>0</v>
      </c>
      <c r="L38" s="263">
        <f ca="1">L9*SUMIF('Financial Quarterly Holdco'!7:7,'CF Holdco'!L10,'Financial Quarterly Holdco'!95:95)</f>
        <v>0</v>
      </c>
      <c r="M38" s="263">
        <f ca="1">M9*SUMIF('Financial Quarterly Holdco'!7:7,'CF Holdco'!M10,'Financial Quarterly Holdco'!95:95)</f>
        <v>0</v>
      </c>
      <c r="N38" s="263">
        <f ca="1">N9*SUMIF('Financial Quarterly Holdco'!7:7,'CF Holdco'!N10,'Financial Quarterly Holdco'!95:95)</f>
        <v>0</v>
      </c>
      <c r="O38" s="263">
        <f ca="1">O9*SUMIF('Financial Quarterly Holdco'!7:7,'CF Holdco'!O10,'Financial Quarterly Holdco'!95:95)</f>
        <v>0</v>
      </c>
      <c r="P38" s="263">
        <f ca="1">P9*SUMIF('Financial Quarterly Holdco'!7:7,'CF Holdco'!P10,'Financial Quarterly Holdco'!95:95)</f>
        <v>0</v>
      </c>
      <c r="Q38" s="263">
        <f>Q9*SUMIF('Financial Quarterly Holdco'!7:7,'CF Holdco'!Q10,'Financial Quarterly Holdco'!95:95)</f>
        <v>0</v>
      </c>
      <c r="R38" s="263">
        <f>R9*SUMIF('Financial Quarterly Holdco'!7:7,'CF Holdco'!R10,'Financial Quarterly Holdco'!95:95)</f>
        <v>0</v>
      </c>
      <c r="S38" s="263">
        <f>S9*SUMIF('Financial Quarterly Holdco'!7:7,'CF Holdco'!S10,'Financial Quarterly Holdco'!95:95)</f>
        <v>0</v>
      </c>
      <c r="T38" s="263">
        <f>T9*SUMIF('Financial Quarterly Holdco'!7:7,'CF Holdco'!T10,'Financial Quarterly Holdco'!95:95)</f>
        <v>0</v>
      </c>
      <c r="U38" s="263">
        <f>U9*SUMIF('Financial Quarterly Holdco'!7:7,'CF Holdco'!U10,'Financial Quarterly Holdco'!95:95)</f>
        <v>0</v>
      </c>
      <c r="V38" s="263">
        <f>V9*SUMIF('Financial Quarterly Holdco'!7:7,'CF Holdco'!V10,'Financial Quarterly Holdco'!95:95)</f>
        <v>0</v>
      </c>
      <c r="W38" s="263">
        <f>W9*SUMIF('Financial Quarterly Holdco'!7:7,'CF Holdco'!W10,'Financial Quarterly Holdco'!95:95)</f>
        <v>0</v>
      </c>
      <c r="X38" s="263">
        <f>X9*SUMIF('Financial Quarterly Holdco'!7:7,'CF Holdco'!X10,'Financial Quarterly Holdco'!95:95)</f>
        <v>0</v>
      </c>
      <c r="Y38" s="263">
        <f>Y9*SUMIF('Financial Quarterly Holdco'!7:7,'CF Holdco'!Y10,'Financial Quarterly Holdco'!95:95)</f>
        <v>0</v>
      </c>
      <c r="Z38" s="263">
        <f>Z9*SUMIF('Financial Quarterly Holdco'!7:7,'CF Holdco'!Z10,'Financial Quarterly Holdco'!95:95)</f>
        <v>0</v>
      </c>
      <c r="AA38" s="263">
        <f>AA9*SUMIF('Financial Quarterly Holdco'!7:7,'CF Holdco'!AA10,'Financial Quarterly Holdco'!95:95)</f>
        <v>0</v>
      </c>
      <c r="AB38" s="263">
        <f>AB9*SUMIF('Financial Quarterly Holdco'!7:7,'CF Holdco'!AB10,'Financial Quarterly Holdco'!95:95)</f>
        <v>0</v>
      </c>
      <c r="AC38" s="263">
        <f>AC9*SUMIF('Financial Quarterly Holdco'!7:7,'CF Holdco'!AC10,'Financial Quarterly Holdco'!95:95)</f>
        <v>0</v>
      </c>
    </row>
    <row r="39" spans="1:29">
      <c r="C39" s="267" t="s">
        <v>680</v>
      </c>
      <c r="D39" s="263"/>
      <c r="E39" s="263"/>
      <c r="F39" s="263">
        <f>F9*SUMIF('Financial Quarterly Holdco'!7:7,'CF Holdco'!F10,'Financial Quarterly Holdco'!96:96)</f>
        <v>0</v>
      </c>
      <c r="G39" s="263">
        <f>G9*SUMIF('Financial Quarterly Holdco'!7:7,'CF Holdco'!G10,'Financial Quarterly Holdco'!96:96)</f>
        <v>0</v>
      </c>
      <c r="H39" s="263">
        <f>H9*SUMIF('Financial Quarterly Holdco'!7:7,'CF Holdco'!H10,'Financial Quarterly Holdco'!96:96)</f>
        <v>0</v>
      </c>
      <c r="I39" s="263">
        <f>I9*SUMIF('Financial Quarterly Holdco'!7:7,'CF Holdco'!I10,'Financial Quarterly Holdco'!96:96)</f>
        <v>0</v>
      </c>
      <c r="J39" s="263">
        <f ca="1">J9*SUMIF('Financial Quarterly Holdco'!7:7,'CF Holdco'!J10,'Financial Quarterly Holdco'!96:96)</f>
        <v>0</v>
      </c>
      <c r="K39" s="263">
        <f ca="1">K9*SUMIF('Financial Quarterly Holdco'!7:7,'CF Holdco'!K10,'Financial Quarterly Holdco'!96:96)</f>
        <v>0</v>
      </c>
      <c r="L39" s="263">
        <f ca="1">L9*SUMIF('Financial Quarterly Holdco'!7:7,'CF Holdco'!L10,'Financial Quarterly Holdco'!96:96)</f>
        <v>0</v>
      </c>
      <c r="M39" s="263">
        <f ca="1">M9*SUMIF('Financial Quarterly Holdco'!7:7,'CF Holdco'!M10,'Financial Quarterly Holdco'!96:96)</f>
        <v>0</v>
      </c>
      <c r="N39" s="263">
        <f ca="1">N9*SUMIF('Financial Quarterly Holdco'!7:7,'CF Holdco'!N10,'Financial Quarterly Holdco'!96:96)</f>
        <v>0</v>
      </c>
      <c r="O39" s="263">
        <f ca="1">O9*SUMIF('Financial Quarterly Holdco'!7:7,'CF Holdco'!O10,'Financial Quarterly Holdco'!96:96)</f>
        <v>0</v>
      </c>
      <c r="P39" s="263">
        <f ca="1">P9*SUMIF('Financial Quarterly Holdco'!7:7,'CF Holdco'!P10,'Financial Quarterly Holdco'!96:96)</f>
        <v>0</v>
      </c>
      <c r="Q39" s="263">
        <f>Q9*SUMIF('Financial Quarterly Holdco'!7:7,'CF Holdco'!Q10,'Financial Quarterly Holdco'!96:96)</f>
        <v>0</v>
      </c>
      <c r="R39" s="263">
        <f>R9*SUMIF('Financial Quarterly Holdco'!7:7,'CF Holdco'!R10,'Financial Quarterly Holdco'!96:96)</f>
        <v>0</v>
      </c>
      <c r="S39" s="263">
        <f>S9*SUMIF('Financial Quarterly Holdco'!7:7,'CF Holdco'!S10,'Financial Quarterly Holdco'!96:96)</f>
        <v>0</v>
      </c>
      <c r="T39" s="263">
        <f>T9*SUMIF('Financial Quarterly Holdco'!7:7,'CF Holdco'!T10,'Financial Quarterly Holdco'!96:96)</f>
        <v>0</v>
      </c>
      <c r="U39" s="263">
        <f>U9*SUMIF('Financial Quarterly Holdco'!7:7,'CF Holdco'!U10,'Financial Quarterly Holdco'!96:96)</f>
        <v>0</v>
      </c>
      <c r="V39" s="263">
        <f>V9*SUMIF('Financial Quarterly Holdco'!7:7,'CF Holdco'!V10,'Financial Quarterly Holdco'!96:96)</f>
        <v>0</v>
      </c>
      <c r="W39" s="263">
        <f>W9*SUMIF('Financial Quarterly Holdco'!7:7,'CF Holdco'!W10,'Financial Quarterly Holdco'!96:96)</f>
        <v>0</v>
      </c>
      <c r="X39" s="263">
        <f>X9*SUMIF('Financial Quarterly Holdco'!7:7,'CF Holdco'!X10,'Financial Quarterly Holdco'!96:96)</f>
        <v>0</v>
      </c>
      <c r="Y39" s="263">
        <f>Y9*SUMIF('Financial Quarterly Holdco'!7:7,'CF Holdco'!Y10,'Financial Quarterly Holdco'!96:96)</f>
        <v>0</v>
      </c>
      <c r="Z39" s="263">
        <f>Z9*SUMIF('Financial Quarterly Holdco'!7:7,'CF Holdco'!Z10,'Financial Quarterly Holdco'!96:96)</f>
        <v>0</v>
      </c>
      <c r="AA39" s="263">
        <f>AA9*SUMIF('Financial Quarterly Holdco'!7:7,'CF Holdco'!AA10,'Financial Quarterly Holdco'!96:96)</f>
        <v>0</v>
      </c>
      <c r="AB39" s="263">
        <f>AB9*SUMIF('Financial Quarterly Holdco'!7:7,'CF Holdco'!AB10,'Financial Quarterly Holdco'!96:96)</f>
        <v>0</v>
      </c>
      <c r="AC39" s="263">
        <f>AC9*SUMIF('Financial Quarterly Holdco'!7:7,'CF Holdco'!AC10,'Financial Quarterly Holdco'!96:96)</f>
        <v>0</v>
      </c>
    </row>
    <row r="40" spans="1:29">
      <c r="C40" s="320" t="s">
        <v>1060</v>
      </c>
      <c r="D40" s="263"/>
      <c r="E40" s="263"/>
      <c r="F40" s="263">
        <f>F8*'Financial Quarterly Holdco'!$D$92+F9*SUMIF('Financial Quarterly Holdco'!7:7,'CF Holdco'!F10,'Financial Quarterly Holdco'!92:92)-IFERROR(E8*E40,0)</f>
        <v>0</v>
      </c>
      <c r="G40" s="263">
        <f>G8*'Financial Quarterly Holdco'!$D$92+G9*SUMIF('Financial Quarterly Holdco'!7:7,'CF Holdco'!G10,'Financial Quarterly Holdco'!92:92)-IFERROR(F8*F40,0)</f>
        <v>0</v>
      </c>
      <c r="H40" s="263">
        <f>H8*'Financial Quarterly Holdco'!$D$92+H9*SUMIF('Financial Quarterly Holdco'!7:7,'CF Holdco'!H10,'Financial Quarterly Holdco'!92:92)-IFERROR(G8*G40,0)</f>
        <v>0</v>
      </c>
      <c r="I40" s="263">
        <f>I8*'Financial Quarterly Holdco'!$D$92+I9*SUMIF('Financial Quarterly Holdco'!7:7,'CF Holdco'!I10,'Financial Quarterly Holdco'!92:92)-IFERROR(H8*H40,0)</f>
        <v>0</v>
      </c>
      <c r="J40" s="263">
        <f ca="1">J8*'Financial Quarterly Holdco'!$D$92+J9*SUMIF('Financial Quarterly Holdco'!7:7,'CF Holdco'!J10,'Financial Quarterly Holdco'!92:92)-IFERROR(I8*I40,0)</f>
        <v>0</v>
      </c>
      <c r="K40" s="263">
        <f ca="1">K8*'Financial Quarterly Holdco'!$D$92+K9*SUMIF('Financial Quarterly Holdco'!7:7,'CF Holdco'!K10,'Financial Quarterly Holdco'!92:92)-IFERROR(J8*J40,0)</f>
        <v>0</v>
      </c>
      <c r="L40" s="263">
        <f ca="1">L8*'Financial Quarterly Holdco'!$D$92+L9*SUMIF('Financial Quarterly Holdco'!7:7,'CF Holdco'!L10,'Financial Quarterly Holdco'!92:92)-IFERROR(K8*K40,0)</f>
        <v>0</v>
      </c>
      <c r="M40" s="263">
        <f ca="1">M8*'Financial Quarterly Holdco'!$D$92+M9*SUMIF('Financial Quarterly Holdco'!7:7,'CF Holdco'!M10,'Financial Quarterly Holdco'!92:92)-IFERROR(L8*L40,0)</f>
        <v>0</v>
      </c>
      <c r="N40" s="263">
        <f ca="1">N8*'Financial Quarterly Holdco'!$D$92+N9*SUMIF('Financial Quarterly Holdco'!7:7,'CF Holdco'!N10,'Financial Quarterly Holdco'!92:92)-IFERROR(M8*M40,0)</f>
        <v>0</v>
      </c>
      <c r="O40" s="263">
        <f ca="1">O8*'Financial Quarterly Holdco'!$D$92+O9*SUMIF('Financial Quarterly Holdco'!7:7,'CF Holdco'!O10,'Financial Quarterly Holdco'!92:92)-IFERROR(N8*N40,0)</f>
        <v>0</v>
      </c>
      <c r="P40" s="263">
        <f ca="1">OR(P8,P9)*SUMIF('Financial Quarterly Holdco'!7:7,'CF Holdco'!P10,'Financial Quarterly Holdco'!92:92)-IFERROR(O8*O40,0)</f>
        <v>0</v>
      </c>
      <c r="Q40" s="263">
        <f ca="1">OR(Q8,Q9)*SUMIF('Financial Quarterly Holdco'!7:7,'CF Holdco'!Q10,'Financial Quarterly Holdco'!92:92)-IFERROR(P8*P40,0)</f>
        <v>0</v>
      </c>
      <c r="R40" s="263">
        <f ca="1">OR(R8,R9)*SUMIF('Financial Quarterly Holdco'!7:7,'CF Holdco'!R10,'Financial Quarterly Holdco'!92:92)-IFERROR(Q8*Q40,0)</f>
        <v>0</v>
      </c>
      <c r="S40" s="263">
        <f ca="1">OR(S8,S9)*SUMIF('Financial Quarterly Holdco'!7:7,'CF Holdco'!S10,'Financial Quarterly Holdco'!92:92)-IFERROR(R8*R40,0)</f>
        <v>0</v>
      </c>
      <c r="T40" s="263">
        <f ca="1">OR(T8,T9)*SUMIF('Financial Quarterly Holdco'!7:7,'CF Holdco'!T10,'Financial Quarterly Holdco'!92:92)-IFERROR(S8*S40,0)</f>
        <v>0</v>
      </c>
      <c r="U40" s="263">
        <f ca="1">OR(U8,U9)*SUMIF('Financial Quarterly Holdco'!7:7,'CF Holdco'!U10,'Financial Quarterly Holdco'!92:92)-IFERROR(T8*T40,0)</f>
        <v>0</v>
      </c>
      <c r="V40" s="263">
        <f ca="1">OR(V8,V9)*SUMIF('Financial Quarterly Holdco'!7:7,'CF Holdco'!V10,'Financial Quarterly Holdco'!92:92)-IFERROR(U8*U40,0)</f>
        <v>0</v>
      </c>
      <c r="W40" s="263">
        <f ca="1">OR(W8,W9)*SUMIF('Financial Quarterly Holdco'!7:7,'CF Holdco'!W10,'Financial Quarterly Holdco'!92:92)-IFERROR(V8*V40,0)</f>
        <v>0</v>
      </c>
      <c r="X40" s="263">
        <f ca="1">OR(X8,X9)*SUMIF('Financial Quarterly Holdco'!7:7,'CF Holdco'!X10,'Financial Quarterly Holdco'!92:92)-IFERROR(W8*W40,0)</f>
        <v>0</v>
      </c>
      <c r="Y40" s="263">
        <f ca="1">OR(Y8,Y9)*SUMIF('Financial Quarterly Holdco'!7:7,'CF Holdco'!Y10,'Financial Quarterly Holdco'!92:92)-IFERROR(X8*X40,0)</f>
        <v>0</v>
      </c>
      <c r="Z40" s="263">
        <f ca="1">OR(Z8,Z9)*SUMIF('Financial Quarterly Holdco'!7:7,'CF Holdco'!Z10,'Financial Quarterly Holdco'!92:92)-IFERROR(Y8*Y40,0)</f>
        <v>0</v>
      </c>
      <c r="AA40" s="263">
        <f ca="1">OR(AA8,AA9)*SUMIF('Financial Quarterly Holdco'!7:7,'CF Holdco'!AA10,'Financial Quarterly Holdco'!92:92)-IFERROR(Z8*Z40,0)</f>
        <v>0</v>
      </c>
      <c r="AB40" s="263">
        <f ca="1">OR(AB8,AB9)*SUMIF('Financial Quarterly Holdco'!7:7,'CF Holdco'!AB10,'Financial Quarterly Holdco'!92:92)-IFERROR(AA8*AA40,0)</f>
        <v>0</v>
      </c>
      <c r="AC40" s="263">
        <f ca="1">OR(AC8,AC9)*SUMIF('Financial Quarterly Holdco'!7:7,'CF Holdco'!AC10,'Financial Quarterly Holdco'!92:92)-IFERROR(AB8*AB40,0)</f>
        <v>0</v>
      </c>
    </row>
    <row r="41" spans="1:29">
      <c r="C41" s="320" t="s">
        <v>1476</v>
      </c>
      <c r="D41" s="263"/>
      <c r="E41" s="263"/>
      <c r="F41" s="263">
        <f>+'BS Holdco'!F75-'BS Holdco'!E75+'BS Holdco'!E48-'BS Holdco'!F48</f>
        <v>0</v>
      </c>
      <c r="G41" s="263">
        <f>+'BS Holdco'!G75-'BS Holdco'!F75+'BS Holdco'!F48-'BS Holdco'!G48</f>
        <v>0</v>
      </c>
      <c r="H41" s="263">
        <f>+'BS Holdco'!H75-'BS Holdco'!G75+'BS Holdco'!G48-'BS Holdco'!H48</f>
        <v>0</v>
      </c>
      <c r="I41" s="263">
        <f>+'BS Holdco'!I75-'BS Holdco'!H75+'BS Holdco'!H48-'BS Holdco'!I48</f>
        <v>0</v>
      </c>
      <c r="J41" s="263">
        <f>+'BS Holdco'!J75-'BS Holdco'!I75+'BS Holdco'!I48-'BS Holdco'!J48</f>
        <v>0</v>
      </c>
      <c r="K41" s="263">
        <f ca="1">+'BS Holdco'!K75-'BS Holdco'!J75+'BS Holdco'!J48-'BS Holdco'!K48</f>
        <v>0</v>
      </c>
      <c r="L41" s="263">
        <f ca="1">+'BS Holdco'!L75-'BS Holdco'!K75+'BS Holdco'!K48-'BS Holdco'!L48</f>
        <v>0</v>
      </c>
      <c r="M41" s="263">
        <f ca="1">+'BS Holdco'!M75-'BS Holdco'!L75+'BS Holdco'!L48-'BS Holdco'!M48</f>
        <v>0</v>
      </c>
      <c r="N41" s="263">
        <f ca="1">+'BS Holdco'!N75-'BS Holdco'!M75+'BS Holdco'!M48-'BS Holdco'!N48</f>
        <v>0</v>
      </c>
      <c r="O41" s="263">
        <f ca="1">+'BS Holdco'!O75-'BS Holdco'!N75+'BS Holdco'!N48-'BS Holdco'!O48</f>
        <v>0</v>
      </c>
      <c r="P41" s="263">
        <f ca="1">+'BS Holdco'!P75-'BS Holdco'!O75+'BS Holdco'!O48-'BS Holdco'!P48</f>
        <v>0</v>
      </c>
      <c r="Q41" s="263">
        <f ca="1">+'BS Holdco'!Q75-'BS Holdco'!P75+'BS Holdco'!P48-'BS Holdco'!Q48</f>
        <v>0</v>
      </c>
      <c r="R41" s="263">
        <f>+'BS Holdco'!R75-'BS Holdco'!Q75+'BS Holdco'!Q48-'BS Holdco'!R48</f>
        <v>0</v>
      </c>
      <c r="S41" s="263">
        <f>+'BS Holdco'!S75-'BS Holdco'!R75+'BS Holdco'!R48-'BS Holdco'!S48</f>
        <v>0</v>
      </c>
      <c r="T41" s="263">
        <f>+'BS Holdco'!T75-'BS Holdco'!S75+'BS Holdco'!S48-'BS Holdco'!T48</f>
        <v>0</v>
      </c>
      <c r="U41" s="263">
        <f>+'BS Holdco'!U75-'BS Holdco'!T75+'BS Holdco'!T48-'BS Holdco'!U48</f>
        <v>0</v>
      </c>
      <c r="V41" s="263">
        <f>+'BS Holdco'!V75-'BS Holdco'!U75+'BS Holdco'!U48-'BS Holdco'!V48</f>
        <v>0</v>
      </c>
      <c r="W41" s="263">
        <f>+'BS Holdco'!W75-'BS Holdco'!V75+'BS Holdco'!V48-'BS Holdco'!W48</f>
        <v>0</v>
      </c>
      <c r="X41" s="263">
        <f>+'BS Holdco'!X75-'BS Holdco'!W75+'BS Holdco'!W48-'BS Holdco'!X48</f>
        <v>0</v>
      </c>
      <c r="Y41" s="263">
        <f>+'BS Holdco'!Y75-'BS Holdco'!X75+'BS Holdco'!X48-'BS Holdco'!Y48</f>
        <v>0</v>
      </c>
      <c r="Z41" s="263">
        <f>+'BS Holdco'!Z75-'BS Holdco'!Y75+'BS Holdco'!Y48-'BS Holdco'!Z48</f>
        <v>0</v>
      </c>
      <c r="AA41" s="263">
        <f>+'BS Holdco'!AA75-'BS Holdco'!Z75+'BS Holdco'!Z48-'BS Holdco'!AA48</f>
        <v>0</v>
      </c>
      <c r="AB41" s="263">
        <f>+'BS Holdco'!AB75-'BS Holdco'!AA75+'BS Holdco'!AA48-'BS Holdco'!AB48</f>
        <v>0</v>
      </c>
      <c r="AC41" s="263">
        <f>+'BS Holdco'!AC75-'BS Holdco'!AB75+'BS Holdco'!AB48-'BS Holdco'!AC48</f>
        <v>0</v>
      </c>
    </row>
    <row r="42" spans="1:29">
      <c r="C42" s="266" t="s">
        <v>848</v>
      </c>
      <c r="D42" s="263"/>
      <c r="E42" s="263"/>
      <c r="F42" s="263">
        <f>F9*SUMIF('Financial Quarterly Holdco'!7:7,'CF Holdco'!F10,'Financial Quarterly Holdco'!100:100)</f>
        <v>0</v>
      </c>
      <c r="G42" s="263">
        <f>G9*SUMIF('Financial Quarterly Holdco'!7:7,'CF Holdco'!G10,'Financial Quarterly Holdco'!100:100)</f>
        <v>0</v>
      </c>
      <c r="H42" s="263">
        <f>H9*SUMIF('Financial Quarterly Holdco'!7:7,'CF Holdco'!H10,'Financial Quarterly Holdco'!100:100)</f>
        <v>0</v>
      </c>
      <c r="I42" s="263">
        <f>I9*SUMIF('Financial Quarterly Holdco'!7:7,'CF Holdco'!I10,'Financial Quarterly Holdco'!100:100)</f>
        <v>0</v>
      </c>
      <c r="J42" s="263">
        <f ca="1">J9*SUMIF('Financial Quarterly Holdco'!7:7,'CF Holdco'!J10,'Financial Quarterly Holdco'!100:100)</f>
        <v>0</v>
      </c>
      <c r="K42" s="263">
        <f ca="1">K9*SUMIF('Financial Quarterly Holdco'!7:7,'CF Holdco'!K10,'Financial Quarterly Holdco'!100:100)</f>
        <v>0</v>
      </c>
      <c r="L42" s="263">
        <f ca="1">L9*SUMIF('Financial Quarterly Holdco'!7:7,'CF Holdco'!L10,'Financial Quarterly Holdco'!100:100)</f>
        <v>0</v>
      </c>
      <c r="M42" s="263">
        <f ca="1">M9*SUMIF('Financial Quarterly Holdco'!7:7,'CF Holdco'!M10,'Financial Quarterly Holdco'!100:100)</f>
        <v>0</v>
      </c>
      <c r="N42" s="263">
        <f ca="1">N9*SUMIF('Financial Quarterly Holdco'!7:7,'CF Holdco'!N10,'Financial Quarterly Holdco'!100:100)</f>
        <v>0</v>
      </c>
      <c r="O42" s="263">
        <f ca="1">O9*SUMIF('Financial Quarterly Holdco'!7:7,'CF Holdco'!O10,'Financial Quarterly Holdco'!100:100)</f>
        <v>0</v>
      </c>
      <c r="P42" s="263">
        <f ca="1">P9*SUMIF('Financial Quarterly Holdco'!7:7,'CF Holdco'!P10,'Financial Quarterly Holdco'!100:100)</f>
        <v>0</v>
      </c>
      <c r="Q42" s="263">
        <f>Q9*SUMIF('Financial Quarterly Holdco'!7:7,'CF Holdco'!Q10,'Financial Quarterly Holdco'!100:100)</f>
        <v>0</v>
      </c>
      <c r="R42" s="263">
        <f>R9*SUMIF('Financial Quarterly Holdco'!7:7,'CF Holdco'!R10,'Financial Quarterly Holdco'!100:100)</f>
        <v>0</v>
      </c>
      <c r="S42" s="263">
        <f>S9*SUMIF('Financial Quarterly Holdco'!7:7,'CF Holdco'!S10,'Financial Quarterly Holdco'!100:100)</f>
        <v>0</v>
      </c>
      <c r="T42" s="263">
        <f>T9*SUMIF('Financial Quarterly Holdco'!7:7,'CF Holdco'!T10,'Financial Quarterly Holdco'!100:100)</f>
        <v>0</v>
      </c>
      <c r="U42" s="263">
        <f>U9*SUMIF('Financial Quarterly Holdco'!7:7,'CF Holdco'!U10,'Financial Quarterly Holdco'!100:100)</f>
        <v>0</v>
      </c>
      <c r="V42" s="263">
        <f>V9*SUMIF('Financial Quarterly Holdco'!7:7,'CF Holdco'!V10,'Financial Quarterly Holdco'!100:100)</f>
        <v>0</v>
      </c>
      <c r="W42" s="263">
        <f>W9*SUMIF('Financial Quarterly Holdco'!7:7,'CF Holdco'!W10,'Financial Quarterly Holdco'!100:100)</f>
        <v>0</v>
      </c>
      <c r="X42" s="263">
        <f>X9*SUMIF('Financial Quarterly Holdco'!7:7,'CF Holdco'!X10,'Financial Quarterly Holdco'!100:100)</f>
        <v>0</v>
      </c>
      <c r="Y42" s="263">
        <f>Y9*SUMIF('Financial Quarterly Holdco'!7:7,'CF Holdco'!Y10,'Financial Quarterly Holdco'!100:100)</f>
        <v>0</v>
      </c>
      <c r="Z42" s="263">
        <f>Z9*SUMIF('Financial Quarterly Holdco'!7:7,'CF Holdco'!Z10,'Financial Quarterly Holdco'!100:100)</f>
        <v>0</v>
      </c>
      <c r="AA42" s="263">
        <f>AA9*SUMIF('Financial Quarterly Holdco'!7:7,'CF Holdco'!AA10,'Financial Quarterly Holdco'!100:100)</f>
        <v>0</v>
      </c>
      <c r="AB42" s="263">
        <f>AB9*SUMIF('Financial Quarterly Holdco'!7:7,'CF Holdco'!AB10,'Financial Quarterly Holdco'!100:100)</f>
        <v>0</v>
      </c>
      <c r="AC42" s="263">
        <f>AC9*SUMIF('Financial Quarterly Holdco'!7:7,'CF Holdco'!AC10,'Financial Quarterly Holdco'!100:100)</f>
        <v>0</v>
      </c>
    </row>
    <row r="43" spans="1:29">
      <c r="C43" s="372" t="s">
        <v>1509</v>
      </c>
      <c r="D43" s="263"/>
      <c r="E43" s="263"/>
      <c r="F43" s="263">
        <f>IF(OR(F6,F7),'BS Holdco'!F108-'BS Holdco'!E108+'BS Holdco'!F112-'BS Holdco'!E112+'BS Holdco'!F120-'BS Holdco'!E120+'BS Holdco'!F99-'BS Holdco'!E99+'BS Holdco'!F103-'BS Holdco'!E103,0)+F8*('BS Holdco'!F99-'BS Holdco'!E99+'BS Holdco'!F103-'BS Holdco'!E103+'BS Holdco'!F108-'BS Holdco'!E108-'BS Holdco'!E112+'BS Holdco'!F120-'BS Holdco'!E120)</f>
        <v>0</v>
      </c>
      <c r="G43" s="263">
        <f>IF(OR(G6,G7),'BS Holdco'!G108-'BS Holdco'!F108+'BS Holdco'!G112-'BS Holdco'!F112+'BS Holdco'!G120-'BS Holdco'!F120+'BS Holdco'!G99-'BS Holdco'!F99+'BS Holdco'!G103-'BS Holdco'!F103,0)+G8*('BS Holdco'!G99-'BS Holdco'!F99+'BS Holdco'!G103-'BS Holdco'!F103+'BS Holdco'!G108-'BS Holdco'!F108-'BS Holdco'!F112+'BS Holdco'!G120-'BS Holdco'!F120)</f>
        <v>0</v>
      </c>
      <c r="H43" s="263">
        <f>IF(OR(H6,H7),'BS Holdco'!H108-'BS Holdco'!G108+'BS Holdco'!H112-'BS Holdco'!G112+'BS Holdco'!H120-'BS Holdco'!G120+'BS Holdco'!H99-'BS Holdco'!G99+'BS Holdco'!H103-'BS Holdco'!G103,0)+H8*('BS Holdco'!H99-'BS Holdco'!G99+'BS Holdco'!H103-'BS Holdco'!G103+'BS Holdco'!H108-'BS Holdco'!G108-'BS Holdco'!G112+'BS Holdco'!H120-'BS Holdco'!G120)</f>
        <v>0</v>
      </c>
      <c r="I43" s="263">
        <f>IF(OR(I6,I7),'BS Holdco'!I108-'BS Holdco'!H108+'BS Holdco'!I112-'BS Holdco'!H112+'BS Holdco'!I120-'BS Holdco'!H120+'BS Holdco'!I99-'BS Holdco'!H99+'BS Holdco'!I103-'BS Holdco'!H103,0)+I8*('BS Holdco'!I99-'BS Holdco'!H99+'BS Holdco'!I103-'BS Holdco'!H103+'BS Holdco'!I108-'BS Holdco'!H108-'BS Holdco'!H112+'BS Holdco'!I120-'BS Holdco'!H120)</f>
        <v>0</v>
      </c>
      <c r="J43" s="263">
        <f>IF(OR(J6,J7),'BS Holdco'!J108-'BS Holdco'!I108+'BS Holdco'!J112-'BS Holdco'!I112+'BS Holdco'!J120-'BS Holdco'!I120+'BS Holdco'!J99-'BS Holdco'!I99+'BS Holdco'!J103-'BS Holdco'!I103,0)+J8*('BS Holdco'!J99-'BS Holdco'!I99+'BS Holdco'!J103-'BS Holdco'!I103+'BS Holdco'!J108-'BS Holdco'!I108-'BS Holdco'!I112+'BS Holdco'!J120-'BS Holdco'!I120)</f>
        <v>0</v>
      </c>
      <c r="K43" s="263">
        <f ca="1">IF(OR(K6,K7),'BS Holdco'!K108-'BS Holdco'!J108+'BS Holdco'!K112-'BS Holdco'!J112+'BS Holdco'!K120-'BS Holdco'!J120+'BS Holdco'!K99-'BS Holdco'!J99+'BS Holdco'!K103-'BS Holdco'!J103,0)+K8*('BS Holdco'!K99-'BS Holdco'!J99+'BS Holdco'!K103-'BS Holdco'!J103+'BS Holdco'!K108-'BS Holdco'!J108-'BS Holdco'!J112+'BS Holdco'!K120-'BS Holdco'!J120)</f>
        <v>0</v>
      </c>
      <c r="L43" s="263">
        <f ca="1">IF(OR(L6,L7),'BS Holdco'!L108-'BS Holdco'!K108+'BS Holdco'!L112-'BS Holdco'!K112+'BS Holdco'!L120-'BS Holdco'!K120+'BS Holdco'!L99-'BS Holdco'!K99+'BS Holdco'!L103-'BS Holdco'!K103,0)+L8*('BS Holdco'!L99-'BS Holdco'!K99+'BS Holdco'!L103-'BS Holdco'!K103+'BS Holdco'!L108-'BS Holdco'!K108-'BS Holdco'!K112+'BS Holdco'!L120-'BS Holdco'!K120)</f>
        <v>0</v>
      </c>
      <c r="M43" s="263">
        <f ca="1">IF(OR(M6,M7),'BS Holdco'!M108-'BS Holdco'!L108+'BS Holdco'!M112-'BS Holdco'!L112+'BS Holdco'!M120-'BS Holdco'!L120+'BS Holdco'!M99-'BS Holdco'!L99+'BS Holdco'!M103-'BS Holdco'!L103,0)+M8*('BS Holdco'!M99-'BS Holdco'!L99+'BS Holdco'!M103-'BS Holdco'!L103+'BS Holdco'!M108-'BS Holdco'!L108-'BS Holdco'!L112+'BS Holdco'!M120-'BS Holdco'!L120)</f>
        <v>0</v>
      </c>
      <c r="N43" s="263">
        <f ca="1">IF(OR(N6,N7),'BS Holdco'!N108-'BS Holdco'!M108+'BS Holdco'!N112-'BS Holdco'!M112+'BS Holdco'!N120-'BS Holdco'!M120+'BS Holdco'!N99-'BS Holdco'!M99+'BS Holdco'!N103-'BS Holdco'!M103,0)+N8*('BS Holdco'!N99-'BS Holdco'!M99+'BS Holdco'!N103-'BS Holdco'!M103+'BS Holdco'!N108-'BS Holdco'!M108-'BS Holdco'!M112+'BS Holdco'!N120-'BS Holdco'!M120)</f>
        <v>0</v>
      </c>
      <c r="O43" s="263">
        <f ca="1">IF(OR(O6,O7),'BS Holdco'!O108-'BS Holdco'!N108+'BS Holdco'!O112-'BS Holdco'!N112+'BS Holdco'!O120-'BS Holdco'!N120+'BS Holdco'!O99-'BS Holdco'!N99+'BS Holdco'!O103-'BS Holdco'!N103,0)+O8*('BS Holdco'!O99-'BS Holdco'!N99+'BS Holdco'!O103-'BS Holdco'!N103+'BS Holdco'!O108-'BS Holdco'!N108-'BS Holdco'!N112+'BS Holdco'!O120-'BS Holdco'!N120)</f>
        <v>0</v>
      </c>
      <c r="P43" s="263">
        <f ca="1">IF(OR(P6,P7),'BS Holdco'!P108-'BS Holdco'!O108+'BS Holdco'!P112-'BS Holdco'!O112+'BS Holdco'!P120-'BS Holdco'!O120+'BS Holdco'!P99-'BS Holdco'!O99+'BS Holdco'!P103-'BS Holdco'!O103,0)+P8*('BS Holdco'!P99-'BS Holdco'!O99+'BS Holdco'!P103-'BS Holdco'!O103+'BS Holdco'!P108-'BS Holdco'!O108-'BS Holdco'!O112+'BS Holdco'!P120-'BS Holdco'!O120)</f>
        <v>0</v>
      </c>
      <c r="Q43" s="263">
        <f ca="1">IF(OR(Q6,Q7),'BS Holdco'!Q108-'BS Holdco'!P108+'BS Holdco'!Q112-'BS Holdco'!P112+'BS Holdco'!Q120-'BS Holdco'!P120+'BS Holdco'!Q99-'BS Holdco'!P99+'BS Holdco'!Q103-'BS Holdco'!P103,0)+Q8*('BS Holdco'!Q99-'BS Holdco'!P99+'BS Holdco'!Q103-'BS Holdco'!P103+'BS Holdco'!Q108-'BS Holdco'!P108-'BS Holdco'!P112+'BS Holdco'!Q120-'BS Holdco'!P120)</f>
        <v>0</v>
      </c>
      <c r="R43" s="263">
        <f>IF(OR(R6,R7),'BS Holdco'!R108-'BS Holdco'!Q108+'BS Holdco'!R112-'BS Holdco'!Q112+'BS Holdco'!R120-'BS Holdco'!Q120+'BS Holdco'!R99-'BS Holdco'!Q99+'BS Holdco'!R103-'BS Holdco'!Q103,0)+R8*('BS Holdco'!R99-'BS Holdco'!Q99+'BS Holdco'!R103-'BS Holdco'!Q103+'BS Holdco'!R108-'BS Holdco'!Q108-'BS Holdco'!Q112+'BS Holdco'!R120-'BS Holdco'!Q120)</f>
        <v>0</v>
      </c>
      <c r="S43" s="263">
        <f>IF(OR(S6,S7),'BS Holdco'!S108-'BS Holdco'!R108+'BS Holdco'!S112-'BS Holdco'!R112+'BS Holdco'!S120-'BS Holdco'!R120+'BS Holdco'!S99-'BS Holdco'!R99+'BS Holdco'!S103-'BS Holdco'!R103,0)+S8*('BS Holdco'!S99-'BS Holdco'!R99+'BS Holdco'!S103-'BS Holdco'!R103+'BS Holdco'!S108-'BS Holdco'!R108-'BS Holdco'!R112+'BS Holdco'!S120-'BS Holdco'!R120)</f>
        <v>0</v>
      </c>
      <c r="T43" s="263">
        <f>IF(OR(T6,T7),'BS Holdco'!T108-'BS Holdco'!S108+'BS Holdco'!T112-'BS Holdco'!S112+'BS Holdco'!T120-'BS Holdco'!S120+'BS Holdco'!T99-'BS Holdco'!S99+'BS Holdco'!T103-'BS Holdco'!S103,0)+T8*('BS Holdco'!T99-'BS Holdco'!S99+'BS Holdco'!T103-'BS Holdco'!S103+'BS Holdco'!T108-'BS Holdco'!S108-'BS Holdco'!S112+'BS Holdco'!T120-'BS Holdco'!S120)</f>
        <v>0</v>
      </c>
      <c r="U43" s="263">
        <f>IF(OR(U6,U7),'BS Holdco'!U108-'BS Holdco'!T108+'BS Holdco'!U112-'BS Holdco'!T112+'BS Holdco'!U120-'BS Holdco'!T120+'BS Holdco'!U99-'BS Holdco'!T99+'BS Holdco'!U103-'BS Holdco'!T103,0)+U8*('BS Holdco'!U99-'BS Holdco'!T99+'BS Holdco'!U103-'BS Holdco'!T103+'BS Holdco'!U108-'BS Holdco'!T108-'BS Holdco'!T112+'BS Holdco'!U120-'BS Holdco'!T120)</f>
        <v>0</v>
      </c>
      <c r="V43" s="263">
        <f>IF(OR(V6,V7),'BS Holdco'!V108-'BS Holdco'!U108+'BS Holdco'!V112-'BS Holdco'!U112+'BS Holdco'!V120-'BS Holdco'!U120+'BS Holdco'!V99-'BS Holdco'!U99+'BS Holdco'!V103-'BS Holdco'!U103,0)+V8*('BS Holdco'!V99-'BS Holdco'!U99+'BS Holdco'!V103-'BS Holdco'!U103+'BS Holdco'!V108-'BS Holdco'!U108-'BS Holdco'!U112+'BS Holdco'!V120-'BS Holdco'!U120)</f>
        <v>0</v>
      </c>
      <c r="W43" s="263">
        <f>IF(OR(W6,W7),'BS Holdco'!W108-'BS Holdco'!V108+'BS Holdco'!W112-'BS Holdco'!V112+'BS Holdco'!W120-'BS Holdco'!V120+'BS Holdco'!W99-'BS Holdco'!V99+'BS Holdco'!W103-'BS Holdco'!V103,0)+W8*('BS Holdco'!W99-'BS Holdco'!V99+'BS Holdco'!W103-'BS Holdco'!V103+'BS Holdco'!W108-'BS Holdco'!V108-'BS Holdco'!V112+'BS Holdco'!W120-'BS Holdco'!V120)</f>
        <v>0</v>
      </c>
      <c r="X43" s="263">
        <f>IF(OR(X6,X7),'BS Holdco'!X108-'BS Holdco'!W108+'BS Holdco'!X112-'BS Holdco'!W112+'BS Holdco'!X120-'BS Holdco'!W120+'BS Holdco'!X99-'BS Holdco'!W99+'BS Holdco'!X103-'BS Holdco'!W103,0)+X8*('BS Holdco'!X99-'BS Holdco'!W99+'BS Holdco'!X103-'BS Holdco'!W103+'BS Holdco'!X108-'BS Holdco'!W108-'BS Holdco'!W112+'BS Holdco'!X120-'BS Holdco'!W120)</f>
        <v>0</v>
      </c>
      <c r="Y43" s="263">
        <f>IF(OR(Y6,Y7),'BS Holdco'!Y108-'BS Holdco'!X108+'BS Holdco'!Y112-'BS Holdco'!X112+'BS Holdco'!Y120-'BS Holdco'!X120+'BS Holdco'!Y99-'BS Holdco'!X99+'BS Holdco'!Y103-'BS Holdco'!X103,0)+Y8*('BS Holdco'!Y99-'BS Holdco'!X99+'BS Holdco'!Y103-'BS Holdco'!X103+'BS Holdco'!Y108-'BS Holdco'!X108-'BS Holdco'!X112+'BS Holdco'!Y120-'BS Holdco'!X120)</f>
        <v>0</v>
      </c>
      <c r="Z43" s="263">
        <f>IF(OR(Z6,Z7),'BS Holdco'!Z108-'BS Holdco'!Y108+'BS Holdco'!Z112-'BS Holdco'!Y112+'BS Holdco'!Z120-'BS Holdco'!Y120+'BS Holdco'!Z99-'BS Holdco'!Y99+'BS Holdco'!Z103-'BS Holdco'!Y103,0)+Z8*('BS Holdco'!Z99-'BS Holdco'!Y99+'BS Holdco'!Z103-'BS Holdco'!Y103+'BS Holdco'!Z108-'BS Holdco'!Y108-'BS Holdco'!Y112+'BS Holdco'!Z120-'BS Holdco'!Y120)</f>
        <v>0</v>
      </c>
      <c r="AA43" s="263">
        <f>IF(OR(AA6,AA7),'BS Holdco'!AA108-'BS Holdco'!Z108+'BS Holdco'!AA112-'BS Holdco'!Z112+'BS Holdco'!AA120-'BS Holdco'!Z120+'BS Holdco'!AA99-'BS Holdco'!Z99+'BS Holdco'!AA103-'BS Holdco'!Z103,0)+AA8*('BS Holdco'!AA99-'BS Holdco'!Z99+'BS Holdco'!AA103-'BS Holdco'!Z103+'BS Holdco'!AA108-'BS Holdco'!Z108-'BS Holdco'!Z112+'BS Holdco'!AA120-'BS Holdco'!Z120)</f>
        <v>0</v>
      </c>
      <c r="AB43" s="263">
        <f>IF(OR(AB6,AB7),'BS Holdco'!AB108-'BS Holdco'!AA108+'BS Holdco'!AB112-'BS Holdco'!AA112+'BS Holdco'!AB120-'BS Holdco'!AA120+'BS Holdco'!AB99-'BS Holdco'!AA99+'BS Holdco'!AB103-'BS Holdco'!AA103,0)+AB8*('BS Holdco'!AB99-'BS Holdco'!AA99+'BS Holdco'!AB103-'BS Holdco'!AA103+'BS Holdco'!AB108-'BS Holdco'!AA108-'BS Holdco'!AA112+'BS Holdco'!AB120-'BS Holdco'!AA120)</f>
        <v>0</v>
      </c>
      <c r="AC43" s="263">
        <f>IF(OR(AC6,AC7),'BS Holdco'!AC108-'BS Holdco'!AB108+'BS Holdco'!AC112-'BS Holdco'!AB112+'BS Holdco'!AC120-'BS Holdco'!AB120+'BS Holdco'!AC99-'BS Holdco'!AB99+'BS Holdco'!AC103-'BS Holdco'!AB103,0)+AC8*('BS Holdco'!AC99-'BS Holdco'!AB99+'BS Holdco'!AC103-'BS Holdco'!AB103+'BS Holdco'!AC108-'BS Holdco'!AB108-'BS Holdco'!AB112+'BS Holdco'!AC120-'BS Holdco'!AB120)</f>
        <v>0</v>
      </c>
    </row>
    <row r="44" spans="1:29">
      <c r="C44" s="266" t="s">
        <v>681</v>
      </c>
      <c r="D44" s="263"/>
      <c r="E44" s="263"/>
      <c r="F44" s="263">
        <f ca="1">-'IS Holdco'!F71</f>
        <v>0</v>
      </c>
      <c r="G44" s="263">
        <f ca="1">-'IS Holdco'!G71</f>
        <v>0</v>
      </c>
      <c r="H44" s="263">
        <f ca="1">-'IS Holdco'!H71</f>
        <v>0</v>
      </c>
      <c r="I44" s="263">
        <f ca="1">-'IS Holdco'!I71</f>
        <v>0</v>
      </c>
      <c r="J44" s="263">
        <f ca="1">-'IS Holdco'!J71</f>
        <v>0</v>
      </c>
      <c r="K44" s="263">
        <f ca="1">-'IS Holdco'!K71</f>
        <v>0</v>
      </c>
      <c r="L44" s="263">
        <f ca="1">-'IS Holdco'!L71</f>
        <v>0</v>
      </c>
      <c r="M44" s="263">
        <f ca="1">-'IS Holdco'!M71</f>
        <v>0</v>
      </c>
      <c r="N44" s="263">
        <f ca="1">-'IS Holdco'!N71</f>
        <v>0</v>
      </c>
      <c r="O44" s="263">
        <f ca="1">-'IS Holdco'!O71</f>
        <v>0</v>
      </c>
      <c r="P44" s="263">
        <f ca="1">-'IS Holdco'!P71</f>
        <v>0</v>
      </c>
      <c r="Q44" s="263">
        <f ca="1">-'IS Holdco'!Q71</f>
        <v>0</v>
      </c>
      <c r="R44" s="263">
        <f ca="1">-'IS Holdco'!R71</f>
        <v>0</v>
      </c>
      <c r="S44" s="263">
        <f ca="1">-'IS Holdco'!S71</f>
        <v>0</v>
      </c>
      <c r="T44" s="263">
        <f ca="1">-'IS Holdco'!T71</f>
        <v>0</v>
      </c>
      <c r="U44" s="263">
        <f ca="1">-'IS Holdco'!U71</f>
        <v>0</v>
      </c>
      <c r="V44" s="263">
        <f>-'IS Holdco'!V71</f>
        <v>0</v>
      </c>
      <c r="W44" s="263">
        <f>-'IS Holdco'!W71</f>
        <v>0</v>
      </c>
      <c r="X44" s="263">
        <f>-'IS Holdco'!X71</f>
        <v>0</v>
      </c>
      <c r="Y44" s="263">
        <f>-'IS Holdco'!Y71</f>
        <v>0</v>
      </c>
      <c r="Z44" s="263">
        <f>-'IS Holdco'!Z71</f>
        <v>0</v>
      </c>
      <c r="AA44" s="263">
        <f>-'IS Holdco'!AA71</f>
        <v>0</v>
      </c>
      <c r="AB44" s="263">
        <f>-'IS Holdco'!AB71</f>
        <v>0</v>
      </c>
      <c r="AC44" s="263">
        <f>-'IS Holdco'!AC71</f>
        <v>0</v>
      </c>
    </row>
    <row r="45" spans="1:29">
      <c r="C45" s="199" t="s">
        <v>682</v>
      </c>
      <c r="D45" s="199"/>
      <c r="E45" s="199"/>
      <c r="F45" s="199">
        <f t="shared" ref="F45" ca="1" si="14">SUM(F35:F44)</f>
        <v>0</v>
      </c>
      <c r="G45" s="199">
        <f t="shared" ref="G45:AC45" ca="1" si="15">SUM(G35:G44)</f>
        <v>0</v>
      </c>
      <c r="H45" s="199">
        <f t="shared" ca="1" si="15"/>
        <v>0</v>
      </c>
      <c r="I45" s="199">
        <f t="shared" ca="1" si="15"/>
        <v>0</v>
      </c>
      <c r="J45" s="199">
        <f t="shared" ca="1" si="15"/>
        <v>0</v>
      </c>
      <c r="K45" s="199">
        <f t="shared" ca="1" si="15"/>
        <v>0</v>
      </c>
      <c r="L45" s="199">
        <f t="shared" ca="1" si="15"/>
        <v>0</v>
      </c>
      <c r="M45" s="199">
        <f t="shared" ca="1" si="15"/>
        <v>0</v>
      </c>
      <c r="N45" s="199">
        <f t="shared" ca="1" si="15"/>
        <v>0</v>
      </c>
      <c r="O45" s="199">
        <f t="shared" ca="1" si="15"/>
        <v>0</v>
      </c>
      <c r="P45" s="199">
        <f t="shared" ca="1" si="15"/>
        <v>0</v>
      </c>
      <c r="Q45" s="199">
        <f t="shared" ca="1" si="15"/>
        <v>0</v>
      </c>
      <c r="R45" s="199">
        <f t="shared" ca="1" si="15"/>
        <v>0</v>
      </c>
      <c r="S45" s="199">
        <f t="shared" ca="1" si="15"/>
        <v>0</v>
      </c>
      <c r="T45" s="199">
        <f t="shared" ca="1" si="15"/>
        <v>0</v>
      </c>
      <c r="U45" s="199">
        <f t="shared" ca="1" si="15"/>
        <v>0</v>
      </c>
      <c r="V45" s="199">
        <f t="shared" ca="1" si="15"/>
        <v>0</v>
      </c>
      <c r="W45" s="199">
        <f t="shared" ca="1" si="15"/>
        <v>0</v>
      </c>
      <c r="X45" s="199">
        <f t="shared" ca="1" si="15"/>
        <v>0</v>
      </c>
      <c r="Y45" s="199">
        <f t="shared" ca="1" si="15"/>
        <v>0</v>
      </c>
      <c r="Z45" s="199">
        <f t="shared" ca="1" si="15"/>
        <v>0</v>
      </c>
      <c r="AA45" s="199">
        <f t="shared" ca="1" si="15"/>
        <v>0</v>
      </c>
      <c r="AB45" s="199">
        <f t="shared" ca="1" si="15"/>
        <v>0</v>
      </c>
      <c r="AC45" s="199">
        <f t="shared" ca="1" si="15"/>
        <v>0</v>
      </c>
    </row>
    <row r="46" spans="1:29">
      <c r="C46" s="266" t="s">
        <v>844</v>
      </c>
      <c r="D46" s="263"/>
      <c r="E46" s="263"/>
      <c r="F46" s="263">
        <f>'IS Holdco'!F42-'IS Holdco'!F44-'IS Holdco'!F45</f>
        <v>0</v>
      </c>
      <c r="G46" s="263">
        <f>'IS Holdco'!G42-'IS Holdco'!G44-'IS Holdco'!G45</f>
        <v>0</v>
      </c>
      <c r="H46" s="263">
        <f>'IS Holdco'!H42-'IS Holdco'!H44-'IS Holdco'!H45</f>
        <v>0</v>
      </c>
      <c r="I46" s="263">
        <f>'IS Holdco'!I42-'IS Holdco'!I44-'IS Holdco'!I45</f>
        <v>0</v>
      </c>
      <c r="J46" s="263">
        <f ca="1">'IS Holdco'!J42-'IS Holdco'!J44-'IS Holdco'!J45</f>
        <v>0</v>
      </c>
      <c r="K46" s="263">
        <f ca="1">'IS Holdco'!K42-'IS Holdco'!K44-'IS Holdco'!K45</f>
        <v>0</v>
      </c>
      <c r="L46" s="263">
        <f ca="1">'IS Holdco'!L42-'IS Holdco'!L44-'IS Holdco'!L45</f>
        <v>0</v>
      </c>
      <c r="M46" s="263">
        <f ca="1">'IS Holdco'!M42-'IS Holdco'!M44-'IS Holdco'!M45</f>
        <v>0</v>
      </c>
      <c r="N46" s="263">
        <f ca="1">'IS Holdco'!N42-'IS Holdco'!N44-'IS Holdco'!N45</f>
        <v>0</v>
      </c>
      <c r="O46" s="263">
        <f ca="1">'IS Holdco'!O42-'IS Holdco'!O44-'IS Holdco'!O45</f>
        <v>0</v>
      </c>
      <c r="P46" s="263">
        <f ca="1">'IS Holdco'!P42-'IS Holdco'!P44-'IS Holdco'!P45</f>
        <v>0</v>
      </c>
      <c r="Q46" s="263">
        <f>'IS Holdco'!Q42-'IS Holdco'!Q44-'IS Holdco'!Q45</f>
        <v>0</v>
      </c>
      <c r="R46" s="263">
        <f>'IS Holdco'!R42-'IS Holdco'!R44-'IS Holdco'!R45</f>
        <v>0</v>
      </c>
      <c r="S46" s="263">
        <f>'IS Holdco'!S42-'IS Holdco'!S44-'IS Holdco'!S45</f>
        <v>0</v>
      </c>
      <c r="T46" s="263">
        <f>'IS Holdco'!T42-'IS Holdco'!T44-'IS Holdco'!T45</f>
        <v>0</v>
      </c>
      <c r="U46" s="263">
        <f>'IS Holdco'!U42-'IS Holdco'!U44-'IS Holdco'!U45</f>
        <v>0</v>
      </c>
      <c r="V46" s="263">
        <f>'IS Holdco'!V42-'IS Holdco'!V44-'IS Holdco'!V45</f>
        <v>0</v>
      </c>
      <c r="W46" s="263">
        <f>'IS Holdco'!W42-'IS Holdco'!W44-'IS Holdco'!W45</f>
        <v>0</v>
      </c>
      <c r="X46" s="263">
        <f>'IS Holdco'!X42-'IS Holdco'!X44-'IS Holdco'!X45</f>
        <v>0</v>
      </c>
      <c r="Y46" s="263">
        <f>'IS Holdco'!Y42-'IS Holdco'!Y44-'IS Holdco'!Y45</f>
        <v>0</v>
      </c>
      <c r="Z46" s="263">
        <f>'IS Holdco'!Z42-'IS Holdco'!Z44-'IS Holdco'!Z45</f>
        <v>0</v>
      </c>
      <c r="AA46" s="263">
        <f>'IS Holdco'!AA42-'IS Holdco'!AA44-'IS Holdco'!AA45</f>
        <v>0</v>
      </c>
      <c r="AB46" s="263">
        <f>'IS Holdco'!AB42-'IS Holdco'!AB44-'IS Holdco'!AB45</f>
        <v>0</v>
      </c>
      <c r="AC46" s="263">
        <f>'IS Holdco'!AC42-'IS Holdco'!AC44-'IS Holdco'!AC45</f>
        <v>0</v>
      </c>
    </row>
    <row r="47" spans="1:29">
      <c r="C47" s="266" t="s">
        <v>845</v>
      </c>
      <c r="D47" s="263"/>
      <c r="E47" s="263"/>
      <c r="F47" s="263">
        <f>F8*('Acquisition BS adjustments'!$D218+'Acquisition BS adjustments'!$D$220+'Acquisition BS adjustments'!$D$221+'Acquisition BS adjustments'!$D$216)-F8*F43</f>
        <v>0</v>
      </c>
      <c r="G47" s="263">
        <f>G8*('Acquisition BS adjustments'!$D218+'Acquisition BS adjustments'!$D$220+'Acquisition BS adjustments'!$D$221+'Acquisition BS adjustments'!$D$216)-G8*G43</f>
        <v>0</v>
      </c>
      <c r="H47" s="263">
        <f>H8*('Acquisition BS adjustments'!$D218+'Acquisition BS adjustments'!$D$220+'Acquisition BS adjustments'!$D$221+'Acquisition BS adjustments'!$D$216)-H8*H43</f>
        <v>0</v>
      </c>
      <c r="I47" s="263">
        <f>I8*('Acquisition BS adjustments'!$D218+'Acquisition BS adjustments'!$D$220+'Acquisition BS adjustments'!$D$221+'Acquisition BS adjustments'!$D$216)-I8*I43</f>
        <v>0</v>
      </c>
      <c r="J47" s="263">
        <f>J8*('Acquisition BS adjustments'!$D218+'Acquisition BS adjustments'!$D$220+'Acquisition BS adjustments'!$D$221+'Acquisition BS adjustments'!$D$216)-J8*J43</f>
        <v>372544000</v>
      </c>
      <c r="K47" s="263">
        <f ca="1">K8*('Acquisition BS adjustments'!$D218+'Acquisition BS adjustments'!$D$220+'Acquisition BS adjustments'!$D$221+'Acquisition BS adjustments'!$D$216)-K8*K43</f>
        <v>0</v>
      </c>
      <c r="L47" s="263">
        <f ca="1">L8*('Acquisition BS adjustments'!$D218+'Acquisition BS adjustments'!$D$220+'Acquisition BS adjustments'!$D$221+'Acquisition BS adjustments'!$D$216)-L8*L43</f>
        <v>0</v>
      </c>
      <c r="M47" s="263">
        <f ca="1">M8*('Acquisition BS adjustments'!$D218+'Acquisition BS adjustments'!$D$220+'Acquisition BS adjustments'!$D$221+'Acquisition BS adjustments'!$D$216)-M8*M43</f>
        <v>0</v>
      </c>
      <c r="N47" s="263">
        <f ca="1">N8*('Acquisition BS adjustments'!$D218+'Acquisition BS adjustments'!$D$220+'Acquisition BS adjustments'!$D$221+'Acquisition BS adjustments'!$D$216)-N8*N43</f>
        <v>0</v>
      </c>
      <c r="O47" s="263">
        <f ca="1">O8*('Acquisition BS adjustments'!$D218+'Acquisition BS adjustments'!$D$220+'Acquisition BS adjustments'!$D$221+'Acquisition BS adjustments'!$D$216)-O8*O43</f>
        <v>0</v>
      </c>
      <c r="P47" s="263">
        <f ca="1">P8*('Acquisition BS adjustments'!$D218+'Acquisition BS adjustments'!$D$220+'Acquisition BS adjustments'!$D$221+'Acquisition BS adjustments'!$D$216)-P8*P43</f>
        <v>0</v>
      </c>
      <c r="Q47" s="263">
        <f ca="1">Q8*('Acquisition BS adjustments'!$D218+'Acquisition BS adjustments'!$D$220+'Acquisition BS adjustments'!$D$221+'Acquisition BS adjustments'!$D$216)-Q8*Q43</f>
        <v>0</v>
      </c>
      <c r="R47" s="263">
        <f>R8*('Acquisition BS adjustments'!$D218+'Acquisition BS adjustments'!$D$220+'Acquisition BS adjustments'!$D$221+'Acquisition BS adjustments'!$D$216)-R8*R43</f>
        <v>0</v>
      </c>
      <c r="S47" s="263">
        <f>S8*('Acquisition BS adjustments'!$D218+'Acquisition BS adjustments'!$D$220+'Acquisition BS adjustments'!$D$221+'Acquisition BS adjustments'!$D$216)-S8*S43</f>
        <v>0</v>
      </c>
      <c r="T47" s="263">
        <f>T8*('Acquisition BS adjustments'!$D218+'Acquisition BS adjustments'!$D$220+'Acquisition BS adjustments'!$D$221+'Acquisition BS adjustments'!$D$216)-T8*T43</f>
        <v>0</v>
      </c>
      <c r="U47" s="263">
        <f>U8*('Acquisition BS adjustments'!$D218+'Acquisition BS adjustments'!$D$220+'Acquisition BS adjustments'!$D$221+'Acquisition BS adjustments'!$D$216)-U8*U43</f>
        <v>0</v>
      </c>
      <c r="V47" s="263">
        <f>V8*('Acquisition BS adjustments'!$D218+'Acquisition BS adjustments'!$D$220+'Acquisition BS adjustments'!$D$221+'Acquisition BS adjustments'!$D$216)-V8*V43</f>
        <v>0</v>
      </c>
      <c r="W47" s="263">
        <f>W8*('Acquisition BS adjustments'!$D218+'Acquisition BS adjustments'!$D$220+'Acquisition BS adjustments'!$D$221+'Acquisition BS adjustments'!$D$216)-W8*W43</f>
        <v>0</v>
      </c>
      <c r="X47" s="263">
        <f>X8*('Acquisition BS adjustments'!$D218+'Acquisition BS adjustments'!$D$220+'Acquisition BS adjustments'!$D$221+'Acquisition BS adjustments'!$D$216)-X8*X43</f>
        <v>0</v>
      </c>
      <c r="Y47" s="263">
        <f>Y8*('Acquisition BS adjustments'!$D218+'Acquisition BS adjustments'!$D$220+'Acquisition BS adjustments'!$D$221+'Acquisition BS adjustments'!$D$216)-Y8*Y43</f>
        <v>0</v>
      </c>
      <c r="Z47" s="263">
        <f>Z8*('Acquisition BS adjustments'!$D218+'Acquisition BS adjustments'!$D$220+'Acquisition BS adjustments'!$D$221+'Acquisition BS adjustments'!$D$216)-Z8*Z43</f>
        <v>0</v>
      </c>
      <c r="AA47" s="263">
        <f>AA8*('Acquisition BS adjustments'!$D218+'Acquisition BS adjustments'!$D$220+'Acquisition BS adjustments'!$D$221+'Acquisition BS adjustments'!$D$216)-AA8*AA43</f>
        <v>0</v>
      </c>
      <c r="AB47" s="263">
        <f>AB8*('Acquisition BS adjustments'!$D218+'Acquisition BS adjustments'!$D$220+'Acquisition BS adjustments'!$D$221+'Acquisition BS adjustments'!$D$216)-AB8*AB43</f>
        <v>0</v>
      </c>
      <c r="AC47" s="263">
        <f>AC8*('Acquisition BS adjustments'!$D218+'Acquisition BS adjustments'!$D$220+'Acquisition BS adjustments'!$D$221+'Acquisition BS adjustments'!$D$216)-AC8*AC43</f>
        <v>0</v>
      </c>
    </row>
    <row r="48" spans="1:29">
      <c r="C48" s="195" t="s">
        <v>1004</v>
      </c>
      <c r="D48" s="195"/>
      <c r="E48" s="195"/>
      <c r="F48" s="195">
        <f t="shared" ref="F48:AC48" ca="1" si="16">F27+F33+F45+F46+F47</f>
        <v>0</v>
      </c>
      <c r="G48" s="195">
        <f t="shared" ca="1" si="16"/>
        <v>0</v>
      </c>
      <c r="H48" s="195">
        <f t="shared" ca="1" si="16"/>
        <v>0</v>
      </c>
      <c r="I48" s="195">
        <f t="shared" ca="1" si="16"/>
        <v>0</v>
      </c>
      <c r="J48" s="195">
        <f t="shared" ca="1" si="16"/>
        <v>0</v>
      </c>
      <c r="K48" s="195">
        <f t="shared" ca="1" si="16"/>
        <v>0</v>
      </c>
      <c r="L48" s="195">
        <f t="shared" ca="1" si="16"/>
        <v>0</v>
      </c>
      <c r="M48" s="195">
        <f t="shared" ca="1" si="16"/>
        <v>0</v>
      </c>
      <c r="N48" s="195">
        <f t="shared" ca="1" si="16"/>
        <v>0</v>
      </c>
      <c r="O48" s="195">
        <f t="shared" ca="1" si="16"/>
        <v>0</v>
      </c>
      <c r="P48" s="195">
        <f t="shared" ca="1" si="16"/>
        <v>0</v>
      </c>
      <c r="Q48" s="195">
        <f t="shared" ca="1" si="16"/>
        <v>372544000</v>
      </c>
      <c r="R48" s="195">
        <f t="shared" ca="1" si="16"/>
        <v>0</v>
      </c>
      <c r="S48" s="195">
        <f t="shared" ca="1" si="16"/>
        <v>0</v>
      </c>
      <c r="T48" s="195">
        <f t="shared" ca="1" si="16"/>
        <v>0</v>
      </c>
      <c r="U48" s="195">
        <f t="shared" ca="1" si="16"/>
        <v>0</v>
      </c>
      <c r="V48" s="195">
        <f t="shared" ca="1" si="16"/>
        <v>0</v>
      </c>
      <c r="W48" s="195">
        <f t="shared" ca="1" si="16"/>
        <v>0</v>
      </c>
      <c r="X48" s="195">
        <f t="shared" ca="1" si="16"/>
        <v>0</v>
      </c>
      <c r="Y48" s="195">
        <f t="shared" ca="1" si="16"/>
        <v>0</v>
      </c>
      <c r="Z48" s="195">
        <f t="shared" ca="1" si="16"/>
        <v>0</v>
      </c>
      <c r="AA48" s="195">
        <f t="shared" ca="1" si="16"/>
        <v>0</v>
      </c>
      <c r="AB48" s="195">
        <f t="shared" ca="1" si="16"/>
        <v>0</v>
      </c>
      <c r="AC48" s="195">
        <f t="shared" ca="1" si="16"/>
        <v>0</v>
      </c>
    </row>
    <row r="49" spans="3:29">
      <c r="C49" s="22" t="s">
        <v>21</v>
      </c>
      <c r="D49" s="25"/>
      <c r="E49" s="25"/>
      <c r="F49" s="197">
        <v>0</v>
      </c>
      <c r="G49" s="197">
        <v>0</v>
      </c>
      <c r="H49" s="197">
        <v>0</v>
      </c>
      <c r="I49" s="197">
        <v>0</v>
      </c>
      <c r="J49" s="197">
        <f ca="1">-J48</f>
        <v>0</v>
      </c>
      <c r="K49" s="197">
        <v>0</v>
      </c>
      <c r="L49" s="197">
        <v>0</v>
      </c>
      <c r="M49" s="197">
        <v>0</v>
      </c>
      <c r="N49" s="197">
        <v>0</v>
      </c>
      <c r="O49" s="197">
        <v>0</v>
      </c>
      <c r="P49" s="197">
        <v>0</v>
      </c>
      <c r="Q49" s="197">
        <v>0</v>
      </c>
      <c r="R49" s="197">
        <v>0</v>
      </c>
      <c r="S49" s="197">
        <v>0</v>
      </c>
      <c r="T49" s="197">
        <v>0</v>
      </c>
      <c r="U49" s="197">
        <v>0</v>
      </c>
      <c r="V49" s="197">
        <v>0</v>
      </c>
      <c r="W49" s="197">
        <v>0</v>
      </c>
      <c r="X49" s="197">
        <v>0</v>
      </c>
      <c r="Y49" s="197">
        <v>0</v>
      </c>
      <c r="Z49" s="197">
        <v>0</v>
      </c>
      <c r="AA49" s="197">
        <v>0</v>
      </c>
      <c r="AB49" s="197">
        <v>0</v>
      </c>
      <c r="AC49" s="197">
        <v>0</v>
      </c>
    </row>
    <row r="50" spans="3:29">
      <c r="C50" s="268" t="s">
        <v>683</v>
      </c>
      <c r="D50" s="263"/>
      <c r="E50" s="263"/>
      <c r="F50" s="263">
        <f t="shared" ref="F50:AC50" si="17">E52</f>
        <v>0</v>
      </c>
      <c r="G50" s="263">
        <f t="shared" si="17"/>
        <v>0</v>
      </c>
      <c r="H50" s="263">
        <f t="shared" si="17"/>
        <v>0</v>
      </c>
      <c r="I50" s="263">
        <f t="shared" si="17"/>
        <v>0</v>
      </c>
      <c r="J50" s="263">
        <f t="shared" si="17"/>
        <v>0</v>
      </c>
      <c r="K50" s="263">
        <f t="shared" si="17"/>
        <v>0</v>
      </c>
      <c r="L50" s="263">
        <f t="shared" ca="1" si="17"/>
        <v>0</v>
      </c>
      <c r="M50" s="263">
        <f t="shared" ca="1" si="17"/>
        <v>0</v>
      </c>
      <c r="N50" s="263">
        <f t="shared" ca="1" si="17"/>
        <v>0</v>
      </c>
      <c r="O50" s="263">
        <f t="shared" ca="1" si="17"/>
        <v>0</v>
      </c>
      <c r="P50" s="263">
        <f t="shared" ca="1" si="17"/>
        <v>0</v>
      </c>
      <c r="Q50" s="263">
        <f t="shared" ca="1" si="17"/>
        <v>0</v>
      </c>
      <c r="R50" s="263">
        <f t="shared" si="17"/>
        <v>0</v>
      </c>
      <c r="S50" s="263">
        <f t="shared" si="17"/>
        <v>0</v>
      </c>
      <c r="T50" s="263">
        <f t="shared" si="17"/>
        <v>0</v>
      </c>
      <c r="U50" s="263">
        <f t="shared" si="17"/>
        <v>0</v>
      </c>
      <c r="V50" s="263">
        <f t="shared" si="17"/>
        <v>0</v>
      </c>
      <c r="W50" s="263">
        <f t="shared" si="17"/>
        <v>0</v>
      </c>
      <c r="X50" s="263">
        <f t="shared" si="17"/>
        <v>0</v>
      </c>
      <c r="Y50" s="263">
        <f t="shared" si="17"/>
        <v>0</v>
      </c>
      <c r="Z50" s="263">
        <f t="shared" si="17"/>
        <v>0</v>
      </c>
      <c r="AA50" s="263">
        <f t="shared" si="17"/>
        <v>0</v>
      </c>
      <c r="AB50" s="263">
        <f t="shared" si="17"/>
        <v>0</v>
      </c>
      <c r="AC50" s="263">
        <f t="shared" si="17"/>
        <v>0</v>
      </c>
    </row>
    <row r="51" spans="3:29">
      <c r="C51" s="192" t="s">
        <v>22</v>
      </c>
      <c r="D51" s="195"/>
      <c r="E51" s="195">
        <f>'BS Holdco'!E24</f>
        <v>0</v>
      </c>
      <c r="F51" s="195">
        <f t="shared" ref="F51:AC51" ca="1" si="18">F48+F49+F50</f>
        <v>0</v>
      </c>
      <c r="G51" s="195">
        <f t="shared" ca="1" si="18"/>
        <v>0</v>
      </c>
      <c r="H51" s="195">
        <f t="shared" ca="1" si="18"/>
        <v>0</v>
      </c>
      <c r="I51" s="195">
        <f t="shared" ca="1" si="18"/>
        <v>0</v>
      </c>
      <c r="J51" s="195">
        <f t="shared" ca="1" si="18"/>
        <v>0</v>
      </c>
      <c r="K51" s="195">
        <f t="shared" ca="1" si="18"/>
        <v>0</v>
      </c>
      <c r="L51" s="195">
        <f t="shared" ca="1" si="18"/>
        <v>0</v>
      </c>
      <c r="M51" s="195">
        <f t="shared" ca="1" si="18"/>
        <v>0</v>
      </c>
      <c r="N51" s="195">
        <f t="shared" ca="1" si="18"/>
        <v>0</v>
      </c>
      <c r="O51" s="195">
        <f t="shared" ca="1" si="18"/>
        <v>0</v>
      </c>
      <c r="P51" s="195">
        <f t="shared" ca="1" si="18"/>
        <v>0</v>
      </c>
      <c r="Q51" s="195">
        <f t="shared" ca="1" si="18"/>
        <v>372544000</v>
      </c>
      <c r="R51" s="195">
        <f t="shared" ca="1" si="18"/>
        <v>0</v>
      </c>
      <c r="S51" s="195">
        <f t="shared" ca="1" si="18"/>
        <v>0</v>
      </c>
      <c r="T51" s="195">
        <f t="shared" ca="1" si="18"/>
        <v>0</v>
      </c>
      <c r="U51" s="195">
        <f t="shared" ca="1" si="18"/>
        <v>0</v>
      </c>
      <c r="V51" s="195">
        <f t="shared" ca="1" si="18"/>
        <v>0</v>
      </c>
      <c r="W51" s="195">
        <f t="shared" ca="1" si="18"/>
        <v>0</v>
      </c>
      <c r="X51" s="195">
        <f t="shared" ca="1" si="18"/>
        <v>0</v>
      </c>
      <c r="Y51" s="195">
        <f t="shared" ca="1" si="18"/>
        <v>0</v>
      </c>
      <c r="Z51" s="195">
        <f t="shared" ca="1" si="18"/>
        <v>0</v>
      </c>
      <c r="AA51" s="195">
        <f t="shared" ca="1" si="18"/>
        <v>0</v>
      </c>
      <c r="AB51" s="195">
        <f t="shared" ca="1" si="18"/>
        <v>0</v>
      </c>
      <c r="AC51" s="195">
        <f t="shared" ca="1" si="18"/>
        <v>0</v>
      </c>
    </row>
    <row r="52" spans="3:29">
      <c r="C52" s="255" t="s">
        <v>846</v>
      </c>
      <c r="D52" s="255"/>
      <c r="E52" s="255">
        <f>'BS Holdco'!E24</f>
        <v>0</v>
      </c>
      <c r="F52" s="255">
        <f>'BS Holdco'!F24</f>
        <v>0</v>
      </c>
      <c r="G52" s="255">
        <f>'BS Holdco'!G24</f>
        <v>0</v>
      </c>
      <c r="H52" s="255">
        <f>'BS Holdco'!H24</f>
        <v>0</v>
      </c>
      <c r="I52" s="255">
        <f>'BS Holdco'!I24</f>
        <v>0</v>
      </c>
      <c r="J52" s="255">
        <f>'BS Holdco'!J24</f>
        <v>0</v>
      </c>
      <c r="K52" s="255">
        <f ca="1">'BS Holdco'!K24</f>
        <v>0</v>
      </c>
      <c r="L52" s="255">
        <f ca="1">'BS Holdco'!L24</f>
        <v>0</v>
      </c>
      <c r="M52" s="255">
        <f ca="1">'BS Holdco'!M24</f>
        <v>0</v>
      </c>
      <c r="N52" s="255">
        <f ca="1">'BS Holdco'!N24</f>
        <v>0</v>
      </c>
      <c r="O52" s="255">
        <f ca="1">'BS Holdco'!O24</f>
        <v>0</v>
      </c>
      <c r="P52" s="255">
        <f ca="1">'BS Holdco'!P24</f>
        <v>0</v>
      </c>
      <c r="Q52" s="255">
        <f>'BS Holdco'!Q24</f>
        <v>0</v>
      </c>
      <c r="R52" s="255">
        <f>'BS Holdco'!R24</f>
        <v>0</v>
      </c>
      <c r="S52" s="255">
        <f>'BS Holdco'!S24</f>
        <v>0</v>
      </c>
      <c r="T52" s="255">
        <f>'BS Holdco'!T24</f>
        <v>0</v>
      </c>
      <c r="U52" s="255">
        <f>'BS Holdco'!U24</f>
        <v>0</v>
      </c>
      <c r="V52" s="255">
        <f>'BS Holdco'!V24</f>
        <v>0</v>
      </c>
      <c r="W52" s="255">
        <f>'BS Holdco'!W24</f>
        <v>0</v>
      </c>
      <c r="X52" s="255">
        <f>'BS Holdco'!X24</f>
        <v>0</v>
      </c>
      <c r="Y52" s="255">
        <f>'BS Holdco'!Y24</f>
        <v>0</v>
      </c>
      <c r="Z52" s="255">
        <f>'BS Holdco'!Z24</f>
        <v>0</v>
      </c>
      <c r="AA52" s="255">
        <f>'BS Holdco'!AA24</f>
        <v>0</v>
      </c>
      <c r="AB52" s="255">
        <f>'BS Holdco'!AB24</f>
        <v>0</v>
      </c>
      <c r="AC52" s="255">
        <f>'BS Holdco'!AC24</f>
        <v>0</v>
      </c>
    </row>
    <row r="53" spans="3:29">
      <c r="C53" s="269" t="s">
        <v>701</v>
      </c>
      <c r="D53" s="269"/>
      <c r="E53" s="269"/>
      <c r="F53" s="269">
        <f ca="1">OR(F6,F7,F8,F9)*IFERROR((F52-F51),1)</f>
        <v>0</v>
      </c>
      <c r="G53" s="269">
        <f t="shared" ref="G53:AC53" ca="1" si="19">OR(G6,G7,G8,G9)*IFERROR((G52-G51),1)</f>
        <v>0</v>
      </c>
      <c r="H53" s="269">
        <f t="shared" ca="1" si="19"/>
        <v>0</v>
      </c>
      <c r="I53" s="269">
        <f t="shared" ca="1" si="19"/>
        <v>0</v>
      </c>
      <c r="J53" s="269">
        <f t="shared" ca="1" si="19"/>
        <v>0</v>
      </c>
      <c r="K53" s="269">
        <f t="shared" ca="1" si="19"/>
        <v>0</v>
      </c>
      <c r="L53" s="269">
        <f t="shared" ca="1" si="19"/>
        <v>0</v>
      </c>
      <c r="M53" s="269">
        <f t="shared" ca="1" si="19"/>
        <v>0</v>
      </c>
      <c r="N53" s="269">
        <f t="shared" ca="1" si="19"/>
        <v>0</v>
      </c>
      <c r="O53" s="269">
        <f t="shared" ca="1" si="19"/>
        <v>0</v>
      </c>
      <c r="P53" s="269">
        <f t="shared" ca="1" si="19"/>
        <v>0</v>
      </c>
      <c r="Q53" s="269">
        <f t="shared" ca="1" si="19"/>
        <v>0</v>
      </c>
      <c r="R53" s="269">
        <f t="shared" ca="1" si="19"/>
        <v>0</v>
      </c>
      <c r="S53" s="269">
        <f t="shared" ca="1" si="19"/>
        <v>0</v>
      </c>
      <c r="T53" s="269">
        <f t="shared" ca="1" si="19"/>
        <v>0</v>
      </c>
      <c r="U53" s="269">
        <f t="shared" ca="1" si="19"/>
        <v>0</v>
      </c>
      <c r="V53" s="269">
        <f t="shared" ca="1" si="19"/>
        <v>0</v>
      </c>
      <c r="W53" s="269">
        <f t="shared" ca="1" si="19"/>
        <v>0</v>
      </c>
      <c r="X53" s="269">
        <f t="shared" ca="1" si="19"/>
        <v>0</v>
      </c>
      <c r="Y53" s="269">
        <f t="shared" ca="1" si="19"/>
        <v>0</v>
      </c>
      <c r="Z53" s="269">
        <f t="shared" ca="1" si="19"/>
        <v>0</v>
      </c>
      <c r="AA53" s="269">
        <f t="shared" ca="1" si="19"/>
        <v>0</v>
      </c>
      <c r="AB53" s="269">
        <f t="shared" ca="1" si="19"/>
        <v>0</v>
      </c>
      <c r="AC53" s="269">
        <f t="shared" ca="1" si="19"/>
        <v>0</v>
      </c>
    </row>
  </sheetData>
  <phoneticPr fontId="52" type="noConversion"/>
  <conditionalFormatting sqref="E6:AC9">
    <cfRule type="cellIs" dxfId="110" priority="4" operator="equal">
      <formula>TRUE</formula>
    </cfRule>
  </conditionalFormatting>
  <conditionalFormatting sqref="F42:AC42">
    <cfRule type="cellIs" dxfId="109" priority="3" operator="notEqual">
      <formula>0</formula>
    </cfRule>
  </conditionalFormatting>
  <conditionalFormatting sqref="F53:AC53">
    <cfRule type="cellIs" dxfId="108" priority="2" operator="notBetween">
      <formula>-0.01</formula>
      <formula>0.01</formula>
    </cfRule>
  </conditionalFormatting>
  <conditionalFormatting sqref="E51:Q52">
    <cfRule type="cellIs" dxfId="107" priority="1" operator="lessThan">
      <formula>0</formula>
    </cfRule>
  </conditionalFormatting>
  <pageMargins left="0.7" right="0.7" top="0.75" bottom="0.75" header="0.3" footer="0.3"/>
  <pageSetup paperSize="9" scale="41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6433" r:id="rId4" name="Drop Down 1">
              <controlPr defaultSize="0" autoLine="0" autoPict="0">
                <anchor moveWithCells="1">
                  <from>
                    <xdr:col>4</xdr:col>
                    <xdr:colOff>557784</xdr:colOff>
                    <xdr:row>0</xdr:row>
                    <xdr:rowOff>0</xdr:rowOff>
                  </from>
                  <to>
                    <xdr:col>5</xdr:col>
                    <xdr:colOff>777240</xdr:colOff>
                    <xdr:row>1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tabColor theme="0"/>
  </sheetPr>
  <dimension ref="B1:AF52"/>
  <sheetViews>
    <sheetView topLeftCell="A5" zoomScale="90" zoomScaleNormal="90" workbookViewId="0">
      <selection activeCell="I27" sqref="I27"/>
    </sheetView>
  </sheetViews>
  <sheetFormatPr defaultColWidth="9.140625" defaultRowHeight="14.4" outlineLevelRow="1"/>
  <cols>
    <col min="1" max="1" width="2.7109375" style="1" customWidth="1"/>
    <col min="2" max="2" width="8" style="1" customWidth="1"/>
    <col min="3" max="3" width="45.140625" style="1" customWidth="1"/>
    <col min="4" max="7" width="18" style="1" customWidth="1"/>
    <col min="8" max="11" width="16.7109375" style="1" customWidth="1"/>
    <col min="12" max="12" width="16.85546875" style="1" customWidth="1"/>
    <col min="13" max="24" width="16.7109375" style="1" customWidth="1"/>
    <col min="25" max="27" width="10.5703125" style="1" customWidth="1"/>
    <col min="28" max="28" width="11.7109375" style="1" customWidth="1"/>
    <col min="29" max="32" width="15.42578125" style="1" customWidth="1"/>
    <col min="33" max="16384" width="9.140625" style="1"/>
  </cols>
  <sheetData>
    <row r="1" spans="2:32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2:32" s="209" customFormat="1" ht="14.6" customHeight="1">
      <c r="C2" s="209" t="s">
        <v>871</v>
      </c>
      <c r="D2" s="209">
        <f>'Financial summary'!E5</f>
        <v>1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2:32" ht="14.6" customHeight="1" outlineLevel="1"/>
    <row r="4" spans="2:32" s="34" customFormat="1" ht="14.6" customHeight="1" outlineLevel="1">
      <c r="C4" s="307" t="s">
        <v>719</v>
      </c>
      <c r="D4" s="307">
        <f>EOMONTH('Control Panel'!B11,2)</f>
        <v>43555</v>
      </c>
      <c r="E4" s="307">
        <f>EOMONTH(D4,3)</f>
        <v>43646</v>
      </c>
      <c r="F4" s="307">
        <f t="shared" ref="F4:AB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ref="AC4" si="1">EOMONTH(AB4,3)</f>
        <v>45838</v>
      </c>
      <c r="AD4" s="307">
        <f t="shared" ref="AD4" si="2">EOMONTH(AC4,3)</f>
        <v>45930</v>
      </c>
      <c r="AE4" s="307">
        <f t="shared" ref="AE4" si="3">EOMONTH(AD4,3)</f>
        <v>46022</v>
      </c>
      <c r="AF4" s="307">
        <f t="shared" ref="AF4" si="4">EOMONTH(AE4,3)</f>
        <v>46112</v>
      </c>
    </row>
    <row r="5" spans="2:32" s="28" customFormat="1" ht="14.6" customHeight="1" outlineLevel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</row>
    <row r="6" spans="2:32" s="28" customFormat="1" ht="14.6" customHeight="1" outlineLevel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</row>
    <row r="7" spans="2:32" s="28" customFormat="1" ht="14.6" customHeight="1" outlineLevel="1">
      <c r="C7" s="28" t="s">
        <v>794</v>
      </c>
      <c r="D7" s="28" t="b">
        <f ca="1">IFERROR(AND(OR(D4=('Financing assumptions Holdco'!$F$72),OFFSET(D7,0,-'Financing assumptions Holdco'!$F$73,1,1)),'Financing assumptions Holdco'!$F$69),FALSE)</f>
        <v>0</v>
      </c>
      <c r="E7" s="28" t="b">
        <f ca="1">IFERROR(AND(OR(E4=('Financing assumptions Holdco'!$F$72),OFFSET(E7,0,-'Financing assumptions Holdco'!$F$73,1,1)),'Financing assumptions Holdco'!$F$69),FALSE)</f>
        <v>0</v>
      </c>
      <c r="F7" s="28" t="b">
        <f ca="1">IFERROR(AND(OR(F4=('Financing assumptions Holdco'!$F$72),OFFSET(F7,0,-'Financing assumptions Holdco'!$F$73,1,1)),'Financing assumptions Holdco'!$F$69),FALSE)</f>
        <v>0</v>
      </c>
      <c r="G7" s="28" t="b">
        <f ca="1">IFERROR(AND(OR(G4=('Financing assumptions Holdco'!$F$72),OFFSET(G7,0,-'Financing assumptions Holdco'!$F$73,1,1)),'Financing assumptions Holdco'!$F$69),FALSE)</f>
        <v>0</v>
      </c>
      <c r="H7" s="28" t="b">
        <f ca="1">IFERROR(AND(OR(H4=('Financing assumptions Holdco'!$F$72),OFFSET(H7,0,-'Financing assumptions Holdco'!$F$73,1,1)),'Financing assumptions Holdco'!$F$69),FALSE)</f>
        <v>0</v>
      </c>
      <c r="I7" s="28" t="b">
        <f ca="1">IFERROR(AND(OR(I4=('Financing assumptions Holdco'!$F$72),OFFSET(I7,0,-'Financing assumptions Holdco'!$F$73,1,1)),'Financing assumptions Holdco'!$F$69),FALSE)</f>
        <v>0</v>
      </c>
      <c r="J7" s="28" t="b">
        <f ca="1">IFERROR(AND(OR(J4=('Financing assumptions Holdco'!$F$72),OFFSET(J7,0,-'Financing assumptions Holdco'!$F$73,1,1)),'Financing assumptions Holdco'!$F$69),FALSE)</f>
        <v>0</v>
      </c>
      <c r="K7" s="28" t="b">
        <f ca="1">IFERROR(AND(OR(K4=('Financing assumptions Holdco'!$F$72),OFFSET(K7,0,-'Financing assumptions Holdco'!$F$73,1,1)),'Financing assumptions Holdco'!$F$69),FALSE)</f>
        <v>0</v>
      </c>
      <c r="L7" s="28" t="b">
        <f ca="1">IFERROR(AND(OR(L4=('Financing assumptions Holdco'!$F$72),OFFSET(L7,0,-'Financing assumptions Holdco'!$F$73,1,1)),'Financing assumptions Holdco'!$F$69),FALSE)</f>
        <v>0</v>
      </c>
      <c r="M7" s="28" t="b">
        <f ca="1">IFERROR(AND(OR(M4=('Financing assumptions Holdco'!$F$72),OFFSET(M7,0,-'Financing assumptions Holdco'!$F$73,1,1)),'Financing assumptions Holdco'!$F$69),FALSE)</f>
        <v>0</v>
      </c>
      <c r="N7" s="28" t="b">
        <f ca="1">IFERROR(AND(OR(N4=('Financing assumptions Holdco'!$F$72),OFFSET(N7,0,-'Financing assumptions Holdco'!$F$73,1,1)),'Financing assumptions Holdco'!$F$69),FALSE)</f>
        <v>0</v>
      </c>
      <c r="O7" s="28" t="b">
        <f ca="1">IFERROR(AND(OR(O4=('Financing assumptions Holdco'!$F$72),OFFSET(O7,0,-'Financing assumptions Holdco'!$F$73,1,1)),'Financing assumptions Holdco'!$F$69),FALSE)</f>
        <v>0</v>
      </c>
      <c r="P7" s="28" t="b">
        <f ca="1">IFERROR(AND(OR(P4=('Financing assumptions Holdco'!$F$72),OFFSET(P7,0,-'Financing assumptions Holdco'!$F$73,1,1)),'Financing assumptions Holdco'!$F$69),FALSE)</f>
        <v>0</v>
      </c>
      <c r="Q7" s="28" t="b">
        <f ca="1">IFERROR(AND(OR(Q4=('Financing assumptions Holdco'!$F$72),OFFSET(Q7,0,-'Financing assumptions Holdco'!$F$73,1,1)),'Financing assumptions Holdco'!$F$69),FALSE)</f>
        <v>0</v>
      </c>
      <c r="R7" s="28" t="b">
        <f ca="1">IFERROR(AND(OR(R4=('Financing assumptions Holdco'!$F$72),OFFSET(R7,0,-'Financing assumptions Holdco'!$F$73,1,1)),'Financing assumptions Holdco'!$F$69),FALSE)</f>
        <v>0</v>
      </c>
      <c r="S7" s="28" t="b">
        <f ca="1">IFERROR(AND(OR(S4=('Financing assumptions Holdco'!$F$72),OFFSET(S7,0,-'Financing assumptions Holdco'!$F$73,1,1)),'Financing assumptions Holdco'!$F$69),FALSE)</f>
        <v>0</v>
      </c>
      <c r="T7" s="28" t="b">
        <f ca="1">IFERROR(AND(OR(T4=('Financing assumptions Holdco'!$F$72),OFFSET(T7,0,-'Financing assumptions Holdco'!$F$73,1,1)),'Financing assumptions Holdco'!$F$69),FALSE)</f>
        <v>0</v>
      </c>
      <c r="U7" s="28" t="b">
        <f ca="1">IFERROR(AND(OR(U4=('Financing assumptions Holdco'!$F$72),OFFSET(U7,0,-'Financing assumptions Holdco'!$F$73,1,1)),'Financing assumptions Holdco'!$F$69),FALSE)</f>
        <v>0</v>
      </c>
      <c r="V7" s="28" t="b">
        <f ca="1">IFERROR(AND(OR(V4=('Financing assumptions Holdco'!$F$72),OFFSET(V7,0,-'Financing assumptions Holdco'!$F$73,1,1)),'Financing assumptions Holdco'!$F$69),FALSE)</f>
        <v>0</v>
      </c>
      <c r="W7" s="28" t="b">
        <f ca="1">IFERROR(AND(OR(W4=('Financing assumptions Holdco'!$F$72),OFFSET(W7,0,-'Financing assumptions Holdco'!$F$73,1,1)),'Financing assumptions Holdco'!$F$69),FALSE)</f>
        <v>0</v>
      </c>
      <c r="X7" s="28" t="b">
        <f ca="1">IFERROR(AND(OR(X4=('Financing assumptions Holdco'!$F$72),OFFSET(X7,0,-'Financing assumptions Holdco'!$F$73,1,1)),'Financing assumptions Holdco'!$F$69),FALSE)</f>
        <v>0</v>
      </c>
      <c r="Y7" s="28" t="b">
        <f ca="1">IFERROR(AND(OR(Y4=('Financing assumptions Holdco'!$F$72),OFFSET(Y7,0,-'Financing assumptions Holdco'!$F$73,1,1)),'Financing assumptions Holdco'!$F$69),FALSE)</f>
        <v>0</v>
      </c>
      <c r="Z7" s="28" t="b">
        <f ca="1">IFERROR(AND(OR(Z4=('Financing assumptions Holdco'!$F$72),OFFSET(Z7,0,-'Financing assumptions Holdco'!$F$73,1,1)),'Financing assumptions Holdco'!$F$69),FALSE)</f>
        <v>0</v>
      </c>
      <c r="AA7" s="28" t="b">
        <f ca="1">IFERROR(AND(OR(AA4=('Financing assumptions Holdco'!$F$72),OFFSET(AA7,0,-'Financing assumptions Holdco'!$F$73,1,1)),'Financing assumptions Holdco'!$F$69),FALSE)</f>
        <v>0</v>
      </c>
      <c r="AB7" s="28" t="b">
        <f ca="1">IFERROR(AND(OR(AB4=('Financing assumptions Holdco'!$F$72),OFFSET(AB7,0,-'Financing assumptions Holdco'!$F$73,1,1)),'Financing assumptions Holdco'!$F$69),FALSE)</f>
        <v>0</v>
      </c>
      <c r="AC7" s="28" t="b">
        <f ca="1">IFERROR(AND(OR(AC4=('Financing assumptions Holdco'!$F$72),OFFSET(AC7,0,-'Financing assumptions Holdco'!$F$73,1,1)),'Financing assumptions Holdco'!$F$69),FALSE)</f>
        <v>0</v>
      </c>
      <c r="AD7" s="28" t="b">
        <f ca="1">IFERROR(AND(OR(AD4=('Financing assumptions Holdco'!$F$72),OFFSET(AD7,0,-'Financing assumptions Holdco'!$F$73,1,1)),'Financing assumptions Holdco'!$F$69),FALSE)</f>
        <v>0</v>
      </c>
      <c r="AE7" s="28" t="b">
        <f ca="1">IFERROR(AND(OR(AE4=('Financing assumptions Holdco'!$F$72),OFFSET(AE7,0,-'Financing assumptions Holdco'!$F$73,1,1)),'Financing assumptions Holdco'!$F$69),FALSE)</f>
        <v>0</v>
      </c>
      <c r="AF7" s="28" t="b">
        <f ca="1">IFERROR(AND(OR(AF4=('Financing assumptions Holdco'!$F$72),OFFSET(AF7,0,-'Financing assumptions Holdco'!$F$73,1,1)),'Financing assumptions Holdco'!$F$69),FALSE)</f>
        <v>0</v>
      </c>
    </row>
    <row r="8" spans="2:32" ht="14.6" customHeight="1" outlineLevel="1">
      <c r="D8" s="110">
        <f>YEAR(D4)</f>
        <v>2019</v>
      </c>
      <c r="E8" s="110">
        <f t="shared" ref="E8:AB8" si="5">YEAR(E4)</f>
        <v>2019</v>
      </c>
      <c r="F8" s="110">
        <f t="shared" si="5"/>
        <v>2019</v>
      </c>
      <c r="G8" s="110">
        <f t="shared" si="5"/>
        <v>2019</v>
      </c>
      <c r="H8" s="110">
        <f t="shared" si="5"/>
        <v>2020</v>
      </c>
      <c r="I8" s="110">
        <f t="shared" si="5"/>
        <v>2020</v>
      </c>
      <c r="J8" s="110">
        <f t="shared" si="5"/>
        <v>2020</v>
      </c>
      <c r="K8" s="110">
        <f t="shared" si="5"/>
        <v>2020</v>
      </c>
      <c r="L8" s="110">
        <f t="shared" si="5"/>
        <v>2021</v>
      </c>
      <c r="M8" s="110">
        <f t="shared" si="5"/>
        <v>2021</v>
      </c>
      <c r="N8" s="110">
        <f t="shared" si="5"/>
        <v>2021</v>
      </c>
      <c r="O8" s="110">
        <f t="shared" si="5"/>
        <v>2021</v>
      </c>
      <c r="P8" s="110">
        <f t="shared" si="5"/>
        <v>2022</v>
      </c>
      <c r="Q8" s="110">
        <f t="shared" si="5"/>
        <v>2022</v>
      </c>
      <c r="R8" s="110">
        <f t="shared" si="5"/>
        <v>2022</v>
      </c>
      <c r="S8" s="110">
        <f t="shared" si="5"/>
        <v>2022</v>
      </c>
      <c r="T8" s="110">
        <f t="shared" si="5"/>
        <v>2023</v>
      </c>
      <c r="U8" s="110">
        <f t="shared" si="5"/>
        <v>2023</v>
      </c>
      <c r="V8" s="110">
        <f t="shared" si="5"/>
        <v>2023</v>
      </c>
      <c r="W8" s="110">
        <f t="shared" si="5"/>
        <v>2023</v>
      </c>
      <c r="X8" s="110">
        <f t="shared" si="5"/>
        <v>2024</v>
      </c>
      <c r="Y8" s="110">
        <f t="shared" si="5"/>
        <v>2024</v>
      </c>
      <c r="Z8" s="110">
        <f t="shared" si="5"/>
        <v>2024</v>
      </c>
      <c r="AA8" s="110">
        <f t="shared" si="5"/>
        <v>2024</v>
      </c>
      <c r="AB8" s="110">
        <f t="shared" si="5"/>
        <v>2025</v>
      </c>
      <c r="AC8" s="110">
        <f t="shared" ref="AC8:AF8" si="6">YEAR(AC4)</f>
        <v>2025</v>
      </c>
      <c r="AD8" s="110">
        <f t="shared" si="6"/>
        <v>2025</v>
      </c>
      <c r="AE8" s="110">
        <f t="shared" si="6"/>
        <v>2025</v>
      </c>
      <c r="AF8" s="110">
        <f t="shared" si="6"/>
        <v>2026</v>
      </c>
    </row>
    <row r="9" spans="2:32" ht="14.6" customHeight="1" outlineLevel="1">
      <c r="D9" s="30">
        <f>M2</f>
        <v>1</v>
      </c>
      <c r="E9" s="30">
        <f>IF(D9=4,1,D9+1)</f>
        <v>2</v>
      </c>
      <c r="F9" s="30">
        <f>IF(E9=4,1,E9+1)</f>
        <v>3</v>
      </c>
      <c r="G9" s="30">
        <f>IF(F9=4,1,F9+1)</f>
        <v>4</v>
      </c>
      <c r="H9" s="30">
        <f>IF(G9=4,1,G9+1)</f>
        <v>1</v>
      </c>
      <c r="I9" s="30">
        <f t="shared" ref="I9:AB9" si="7">IF(H9=4,1,H9+1)</f>
        <v>2</v>
      </c>
      <c r="J9" s="30">
        <f t="shared" si="7"/>
        <v>3</v>
      </c>
      <c r="K9" s="30">
        <f t="shared" si="7"/>
        <v>4</v>
      </c>
      <c r="L9" s="30">
        <f t="shared" si="7"/>
        <v>1</v>
      </c>
      <c r="M9" s="30">
        <f t="shared" si="7"/>
        <v>2</v>
      </c>
      <c r="N9" s="30">
        <f t="shared" si="7"/>
        <v>3</v>
      </c>
      <c r="O9" s="30">
        <f t="shared" si="7"/>
        <v>4</v>
      </c>
      <c r="P9" s="30">
        <f t="shared" si="7"/>
        <v>1</v>
      </c>
      <c r="Q9" s="30">
        <f t="shared" si="7"/>
        <v>2</v>
      </c>
      <c r="R9" s="30">
        <f t="shared" si="7"/>
        <v>3</v>
      </c>
      <c r="S9" s="30">
        <f t="shared" si="7"/>
        <v>4</v>
      </c>
      <c r="T9" s="30">
        <f t="shared" si="7"/>
        <v>1</v>
      </c>
      <c r="U9" s="30">
        <f t="shared" si="7"/>
        <v>2</v>
      </c>
      <c r="V9" s="30">
        <f t="shared" si="7"/>
        <v>3</v>
      </c>
      <c r="W9" s="30">
        <f t="shared" si="7"/>
        <v>4</v>
      </c>
      <c r="X9" s="30">
        <f t="shared" si="7"/>
        <v>1</v>
      </c>
      <c r="Y9" s="30">
        <f t="shared" si="7"/>
        <v>2</v>
      </c>
      <c r="Z9" s="30">
        <f t="shared" si="7"/>
        <v>3</v>
      </c>
      <c r="AA9" s="30">
        <f t="shared" si="7"/>
        <v>4</v>
      </c>
      <c r="AB9" s="30">
        <f t="shared" si="7"/>
        <v>1</v>
      </c>
      <c r="AC9" s="30">
        <f t="shared" ref="AC9" si="8">IF(AB9=4,1,AB9+1)</f>
        <v>2</v>
      </c>
      <c r="AD9" s="30">
        <f t="shared" ref="AD9" si="9">IF(AC9=4,1,AC9+1)</f>
        <v>3</v>
      </c>
      <c r="AE9" s="30">
        <f t="shared" ref="AE9" si="10">IF(AD9=4,1,AD9+1)</f>
        <v>4</v>
      </c>
      <c r="AF9" s="30">
        <f t="shared" ref="AF9" si="11">IF(AE9=4,1,AE9+1)</f>
        <v>1</v>
      </c>
    </row>
    <row r="10" spans="2:32" outlineLevel="1" collapsed="1"/>
    <row r="11" spans="2:32" ht="16.600000000000001">
      <c r="B11" s="196" t="str">
        <f>CONCATENATE("Project ",project_name," sources and uses")</f>
        <v>Project  sources and uses</v>
      </c>
    </row>
    <row r="12" spans="2:32">
      <c r="B12" s="209" t="str">
        <f>CONCATENATE("Cash Sweep calculation (cash flows on rolling ",'Covenants Holdco'!D11," quarter basis)")</f>
        <v>Cash Sweep calculation (cash flows on rolling 4 quarter basis)</v>
      </c>
      <c r="C12" s="209"/>
      <c r="D12" s="198">
        <f>D4</f>
        <v>43555</v>
      </c>
      <c r="E12" s="198">
        <f t="shared" ref="E12:AB12" si="12">E4</f>
        <v>43646</v>
      </c>
      <c r="F12" s="198">
        <f t="shared" si="12"/>
        <v>43738</v>
      </c>
      <c r="G12" s="198">
        <f t="shared" si="12"/>
        <v>43830</v>
      </c>
      <c r="H12" s="198">
        <f t="shared" si="12"/>
        <v>43921</v>
      </c>
      <c r="I12" s="198">
        <f t="shared" si="12"/>
        <v>44012</v>
      </c>
      <c r="J12" s="198">
        <f t="shared" si="12"/>
        <v>44104</v>
      </c>
      <c r="K12" s="198">
        <f t="shared" si="12"/>
        <v>44196</v>
      </c>
      <c r="L12" s="198">
        <f t="shared" si="12"/>
        <v>44286</v>
      </c>
      <c r="M12" s="198">
        <f t="shared" si="12"/>
        <v>44377</v>
      </c>
      <c r="N12" s="198">
        <f t="shared" si="12"/>
        <v>44469</v>
      </c>
      <c r="O12" s="198">
        <f t="shared" si="12"/>
        <v>44561</v>
      </c>
      <c r="P12" s="198">
        <f t="shared" si="12"/>
        <v>44651</v>
      </c>
      <c r="Q12" s="198">
        <f t="shared" si="12"/>
        <v>44742</v>
      </c>
      <c r="R12" s="198">
        <f t="shared" si="12"/>
        <v>44834</v>
      </c>
      <c r="S12" s="198">
        <f t="shared" si="12"/>
        <v>44926</v>
      </c>
      <c r="T12" s="198">
        <f t="shared" si="12"/>
        <v>45016</v>
      </c>
      <c r="U12" s="198">
        <f t="shared" si="12"/>
        <v>45107</v>
      </c>
      <c r="V12" s="198">
        <f t="shared" si="12"/>
        <v>45199</v>
      </c>
      <c r="W12" s="198">
        <f t="shared" si="12"/>
        <v>45291</v>
      </c>
      <c r="X12" s="198">
        <f t="shared" si="12"/>
        <v>45382</v>
      </c>
      <c r="Y12" s="198">
        <f t="shared" si="12"/>
        <v>45473</v>
      </c>
      <c r="Z12" s="198">
        <f t="shared" si="12"/>
        <v>45565</v>
      </c>
      <c r="AA12" s="198">
        <f t="shared" si="12"/>
        <v>45657</v>
      </c>
      <c r="AB12" s="198">
        <f t="shared" si="12"/>
        <v>45747</v>
      </c>
      <c r="AC12" s="198">
        <f t="shared" ref="AC12:AF12" si="13">AC4</f>
        <v>45838</v>
      </c>
      <c r="AD12" s="198">
        <f t="shared" si="13"/>
        <v>45930</v>
      </c>
      <c r="AE12" s="198">
        <f t="shared" si="13"/>
        <v>46022</v>
      </c>
      <c r="AF12" s="198">
        <f t="shared" si="13"/>
        <v>46112</v>
      </c>
    </row>
    <row r="13" spans="2:32">
      <c r="B13" s="197" t="b">
        <v>1</v>
      </c>
      <c r="C13" s="180" t="s">
        <v>789</v>
      </c>
      <c r="D13" s="180">
        <f ca="1">NOT(cash_sweep_consol)*IFERROR(OFFSET('Covenants Holdco'!D18,0,-'Covenants Holdco'!$D$11+1)*$B13,0)+cash_sweep_consol*IFERROR(OFFSET('Covenants Consolidated'!D18,0,-'Covenants Consolidated'!$D$11+1)*$B13,0)</f>
        <v>0</v>
      </c>
      <c r="E13" s="180">
        <f ca="1">NOT(cash_sweep_consol)*IFERROR(OFFSET('Covenants Holdco'!E18,0,-'Covenants Holdco'!$D$11+1)*$B13,0)+cash_sweep_consol*IFERROR(OFFSET('Covenants Consolidated'!E18,0,-'Covenants Consolidated'!$D$11+1)*$B13,0)</f>
        <v>0</v>
      </c>
      <c r="F13" s="180">
        <f ca="1">NOT(cash_sweep_consol)*IFERROR(OFFSET('Covenants Holdco'!F18,0,-'Covenants Holdco'!$D$11+1)*$B13,0)+cash_sweep_consol*IFERROR(OFFSET('Covenants Consolidated'!F18,0,-'Covenants Consolidated'!$D$11+1)*$B13,0)</f>
        <v>0</v>
      </c>
      <c r="G13" s="180">
        <f ca="1">NOT(cash_sweep_consol)*IFERROR(OFFSET('Covenants Holdco'!G18,0,-'Covenants Holdco'!$D$11+1)*$B13,0)+cash_sweep_consol*IFERROR(OFFSET('Covenants Consolidated'!G18,0,-'Covenants Consolidated'!$D$11+1)*$B13,0)</f>
        <v>0</v>
      </c>
      <c r="H13" s="180">
        <f ca="1">NOT(cash_sweep_consol)*IFERROR(OFFSET('Covenants Holdco'!H18,0,-'Covenants Holdco'!$D$11+1)*$B13,0)+cash_sweep_consol*IFERROR(OFFSET('Covenants Consolidated'!H18,0,-'Covenants Consolidated'!$D$11+1)*$B13,0)</f>
        <v>0</v>
      </c>
      <c r="I13" s="180">
        <f ca="1">NOT(cash_sweep_consol)*IFERROR(OFFSET('Covenants Holdco'!I18,0,-'Covenants Holdco'!$D$11+1)*$B13,0)+cash_sweep_consol*IFERROR(OFFSET('Covenants Consolidated'!I18,0,-'Covenants Consolidated'!$D$11+1)*$B13,0)</f>
        <v>0</v>
      </c>
      <c r="J13" s="180">
        <f ca="1">NOT(cash_sweep_consol)*IFERROR(OFFSET('Covenants Holdco'!J18,0,-'Covenants Holdco'!$D$11+1)*$B13,0)+cash_sweep_consol*IFERROR(OFFSET('Covenants Consolidated'!J18,0,-'Covenants Consolidated'!$D$11+1)*$B13,0)</f>
        <v>0</v>
      </c>
      <c r="K13" s="180">
        <f ca="1">NOT(cash_sweep_consol)*IFERROR(OFFSET('Covenants Holdco'!K18,0,-'Covenants Holdco'!$D$11+1)*$B13,0)+cash_sweep_consol*IFERROR(OFFSET('Covenants Consolidated'!K18,0,-'Covenants Consolidated'!$D$11+1)*$B13,0)</f>
        <v>0</v>
      </c>
      <c r="L13" s="180">
        <f ca="1">NOT(cash_sweep_consol)*IFERROR(OFFSET('Covenants Holdco'!L18,0,-'Covenants Holdco'!$D$11+1)*$B13,0)+cash_sweep_consol*IFERROR(OFFSET('Covenants Consolidated'!L18,0,-'Covenants Consolidated'!$D$11+1)*$B13,0)</f>
        <v>0</v>
      </c>
      <c r="M13" s="180">
        <f ca="1">NOT(cash_sweep_consol)*IFERROR(OFFSET('Covenants Holdco'!M18,0,-'Covenants Holdco'!$D$11+1)*$B13,0)+cash_sweep_consol*IFERROR(OFFSET('Covenants Consolidated'!M18,0,-'Covenants Consolidated'!$D$11+1)*$B13,0)</f>
        <v>0</v>
      </c>
      <c r="N13" s="180">
        <f ca="1">NOT(cash_sweep_consol)*IFERROR(OFFSET('Covenants Holdco'!N18,0,-'Covenants Holdco'!$D$11+1)*$B13,0)+cash_sweep_consol*IFERROR(OFFSET('Covenants Consolidated'!N18,0,-'Covenants Consolidated'!$D$11+1)*$B13,0)</f>
        <v>0</v>
      </c>
      <c r="O13" s="180">
        <f ca="1">NOT(cash_sweep_consol)*IFERROR(OFFSET('Covenants Holdco'!O18,0,-'Covenants Holdco'!$D$11+1)*$B13,0)+cash_sweep_consol*IFERROR(OFFSET('Covenants Consolidated'!O18,0,-'Covenants Consolidated'!$D$11+1)*$B13,0)</f>
        <v>0</v>
      </c>
      <c r="P13" s="180">
        <f ca="1">NOT(cash_sweep_consol)*IFERROR(OFFSET('Covenants Holdco'!P18,0,-'Covenants Holdco'!$D$11+1)*$B13,0)+cash_sweep_consol*IFERROR(OFFSET('Covenants Consolidated'!P18,0,-'Covenants Consolidated'!$D$11+1)*$B13,0)</f>
        <v>0</v>
      </c>
      <c r="Q13" s="180">
        <f ca="1">NOT(cash_sweep_consol)*IFERROR(OFFSET('Covenants Holdco'!Q18,0,-'Covenants Holdco'!$D$11+1)*$B13,0)+cash_sweep_consol*IFERROR(OFFSET('Covenants Consolidated'!Q18,0,-'Covenants Consolidated'!$D$11+1)*$B13,0)</f>
        <v>0</v>
      </c>
      <c r="R13" s="180">
        <f ca="1">NOT(cash_sweep_consol)*IFERROR(OFFSET('Covenants Holdco'!R18,0,-'Covenants Holdco'!$D$11+1)*$B13,0)+cash_sweep_consol*IFERROR(OFFSET('Covenants Consolidated'!R18,0,-'Covenants Consolidated'!$D$11+1)*$B13,0)</f>
        <v>0</v>
      </c>
      <c r="S13" s="180">
        <f ca="1">NOT(cash_sweep_consol)*IFERROR(OFFSET('Covenants Holdco'!S18,0,-'Covenants Holdco'!$D$11+1)*$B13,0)+cash_sweep_consol*IFERROR(OFFSET('Covenants Consolidated'!S18,0,-'Covenants Consolidated'!$D$11+1)*$B13,0)</f>
        <v>0</v>
      </c>
      <c r="T13" s="180">
        <f ca="1">NOT(cash_sweep_consol)*IFERROR(OFFSET('Covenants Holdco'!T18,0,-'Covenants Holdco'!$D$11+1)*$B13,0)+cash_sweep_consol*IFERROR(OFFSET('Covenants Consolidated'!T18,0,-'Covenants Consolidated'!$D$11+1)*$B13,0)</f>
        <v>0</v>
      </c>
      <c r="U13" s="180">
        <f ca="1">NOT(cash_sweep_consol)*IFERROR(OFFSET('Covenants Holdco'!U18,0,-'Covenants Holdco'!$D$11+1)*$B13,0)+cash_sweep_consol*IFERROR(OFFSET('Covenants Consolidated'!U18,0,-'Covenants Consolidated'!$D$11+1)*$B13,0)</f>
        <v>0</v>
      </c>
      <c r="V13" s="180">
        <f ca="1">NOT(cash_sweep_consol)*IFERROR(OFFSET('Covenants Holdco'!V18,0,-'Covenants Holdco'!$D$11+1)*$B13,0)+cash_sweep_consol*IFERROR(OFFSET('Covenants Consolidated'!V18,0,-'Covenants Consolidated'!$D$11+1)*$B13,0)</f>
        <v>0</v>
      </c>
      <c r="W13" s="180">
        <f ca="1">NOT(cash_sweep_consol)*IFERROR(OFFSET('Covenants Holdco'!W18,0,-'Covenants Holdco'!$D$11+1)*$B13,0)+cash_sweep_consol*IFERROR(OFFSET('Covenants Consolidated'!W18,0,-'Covenants Consolidated'!$D$11+1)*$B13,0)</f>
        <v>0</v>
      </c>
      <c r="X13" s="180">
        <f ca="1">NOT(cash_sweep_consol)*IFERROR(OFFSET('Covenants Holdco'!X18,0,-'Covenants Holdco'!$D$11+1)*$B13,0)+cash_sweep_consol*IFERROR(OFFSET('Covenants Consolidated'!X18,0,-'Covenants Consolidated'!$D$11+1)*$B13,0)</f>
        <v>0</v>
      </c>
      <c r="Y13" s="180">
        <f ca="1">NOT(cash_sweep_consol)*IFERROR(OFFSET('Covenants Holdco'!Y18,0,-'Covenants Holdco'!$D$11+1)*$B13,0)+cash_sweep_consol*IFERROR(OFFSET('Covenants Consolidated'!Y18,0,-'Covenants Consolidated'!$D$11+1)*$B13,0)</f>
        <v>0</v>
      </c>
      <c r="Z13" s="180">
        <f ca="1">NOT(cash_sweep_consol)*IFERROR(OFFSET('Covenants Holdco'!Z18,0,-'Covenants Holdco'!$D$11+1)*$B13,0)+cash_sweep_consol*IFERROR(OFFSET('Covenants Consolidated'!Z18,0,-'Covenants Consolidated'!$D$11+1)*$B13,0)</f>
        <v>0</v>
      </c>
      <c r="AA13" s="180">
        <f ca="1">NOT(cash_sweep_consol)*IFERROR(OFFSET('Covenants Holdco'!AA18,0,-'Covenants Holdco'!$D$11+1)*$B13,0)+cash_sweep_consol*IFERROR(OFFSET('Covenants Consolidated'!AA18,0,-'Covenants Consolidated'!$D$11+1)*$B13,0)</f>
        <v>0</v>
      </c>
      <c r="AB13" s="180">
        <f ca="1">NOT(cash_sweep_consol)*IFERROR(OFFSET('Covenants Holdco'!AB18,0,-'Covenants Holdco'!$D$11+1)*$B13,0)+cash_sweep_consol*IFERROR(OFFSET('Covenants Consolidated'!AB18,0,-'Covenants Consolidated'!$D$11+1)*$B13,0)</f>
        <v>0</v>
      </c>
      <c r="AC13" s="180">
        <f ca="1">NOT(cash_sweep_consol)*IFERROR(OFFSET('Covenants Holdco'!AC18,0,-'Covenants Holdco'!$D$11+1)*$B13,0)+cash_sweep_consol*IFERROR(OFFSET('Covenants Consolidated'!AC18,0,-'Covenants Consolidated'!$D$11+1)*$B13,0)</f>
        <v>0</v>
      </c>
      <c r="AD13" s="180">
        <f ca="1">NOT(cash_sweep_consol)*IFERROR(OFFSET('Covenants Holdco'!AD18,0,-'Covenants Holdco'!$D$11+1)*$B13,0)+cash_sweep_consol*IFERROR(OFFSET('Covenants Consolidated'!AD18,0,-'Covenants Consolidated'!$D$11+1)*$B13,0)</f>
        <v>0</v>
      </c>
      <c r="AE13" s="180">
        <f ca="1">NOT(cash_sweep_consol)*IFERROR(OFFSET('Covenants Holdco'!AE18,0,-'Covenants Holdco'!$D$11+1)*$B13,0)+cash_sweep_consol*IFERROR(OFFSET('Covenants Consolidated'!AE18,0,-'Covenants Consolidated'!$D$11+1)*$B13,0)</f>
        <v>0</v>
      </c>
      <c r="AF13" s="180">
        <f ca="1">NOT(cash_sweep_consol)*IFERROR(OFFSET('Covenants Holdco'!AF18,0,-'Covenants Holdco'!$D$11+1)*$B13,0)+cash_sweep_consol*IFERROR(OFFSET('Covenants Consolidated'!AF18,0,-'Covenants Consolidated'!$D$11+1)*$B13,0)</f>
        <v>0</v>
      </c>
    </row>
    <row r="14" spans="2:32">
      <c r="B14" s="197" t="b">
        <v>1</v>
      </c>
      <c r="C14" s="302" t="s">
        <v>813</v>
      </c>
      <c r="D14" s="303">
        <f>-'Financing assumptions Holdco'!$F$74*1000*$B14</f>
        <v>0</v>
      </c>
      <c r="E14" s="303">
        <f>-'Financing assumptions Holdco'!$F$74*1000*$B14</f>
        <v>0</v>
      </c>
      <c r="F14" s="303">
        <f>-'Financing assumptions Holdco'!$F$74*1000*$B14</f>
        <v>0</v>
      </c>
      <c r="G14" s="303">
        <f>-'Financing assumptions Holdco'!$F$74*1000*$B14</f>
        <v>0</v>
      </c>
      <c r="H14" s="303">
        <f>-'Financing assumptions Holdco'!$F$74*1000*$B14</f>
        <v>0</v>
      </c>
      <c r="I14" s="303">
        <f>-'Financing assumptions Holdco'!$F$74*1000*$B14</f>
        <v>0</v>
      </c>
      <c r="J14" s="303">
        <f>-'Financing assumptions Holdco'!$F$74*1000*$B14</f>
        <v>0</v>
      </c>
      <c r="K14" s="303">
        <f>-'Financing assumptions Holdco'!$F$74*1000*$B14</f>
        <v>0</v>
      </c>
      <c r="L14" s="303">
        <f>-'Financing assumptions Holdco'!$F$74*1000*$B14</f>
        <v>0</v>
      </c>
      <c r="M14" s="303">
        <f>-'Financing assumptions Holdco'!$F$74*1000*$B14</f>
        <v>0</v>
      </c>
      <c r="N14" s="303">
        <f>-'Financing assumptions Holdco'!$F$74*1000*$B14</f>
        <v>0</v>
      </c>
      <c r="O14" s="303">
        <f>-'Financing assumptions Holdco'!$F$74*1000*$B14</f>
        <v>0</v>
      </c>
      <c r="P14" s="303">
        <f>-'Financing assumptions Holdco'!$F$74*1000*$B14</f>
        <v>0</v>
      </c>
      <c r="Q14" s="303">
        <f>-'Financing assumptions Holdco'!$F$74*1000*$B14</f>
        <v>0</v>
      </c>
      <c r="R14" s="303">
        <f>-'Financing assumptions Holdco'!$F$74*1000*$B14</f>
        <v>0</v>
      </c>
      <c r="S14" s="303">
        <f>-'Financing assumptions Holdco'!$F$74*1000*$B14</f>
        <v>0</v>
      </c>
      <c r="T14" s="303">
        <f>-'Financing assumptions Holdco'!$F$74*1000*$B14</f>
        <v>0</v>
      </c>
      <c r="U14" s="303">
        <f>-'Financing assumptions Holdco'!$F$74*1000*$B14</f>
        <v>0</v>
      </c>
      <c r="V14" s="303">
        <f>-'Financing assumptions Holdco'!$F$74*1000*$B14</f>
        <v>0</v>
      </c>
      <c r="W14" s="303">
        <f>-'Financing assumptions Holdco'!$F$74*1000*$B14</f>
        <v>0</v>
      </c>
      <c r="X14" s="303">
        <f>-'Financing assumptions Holdco'!$F$74*1000*$B14</f>
        <v>0</v>
      </c>
      <c r="Y14" s="303">
        <f>-'Financing assumptions Holdco'!$F$74*1000*$B14</f>
        <v>0</v>
      </c>
      <c r="Z14" s="303">
        <f>-'Financing assumptions Holdco'!$F$74*1000*$B14</f>
        <v>0</v>
      </c>
      <c r="AA14" s="303">
        <f>-'Financing assumptions Holdco'!$F$74*1000*$B14</f>
        <v>0</v>
      </c>
      <c r="AB14" s="303">
        <f>-'Financing assumptions Holdco'!$F$74*1000*$B14</f>
        <v>0</v>
      </c>
      <c r="AC14" s="303">
        <f>-'Financing assumptions Holdco'!$F$74*1000*$B14</f>
        <v>0</v>
      </c>
      <c r="AD14" s="303">
        <f>-'Financing assumptions Holdco'!$F$74*1000*$B14</f>
        <v>0</v>
      </c>
      <c r="AE14" s="303">
        <f>-'Financing assumptions Holdco'!$F$74*1000*$B14</f>
        <v>0</v>
      </c>
      <c r="AF14" s="303">
        <f>-'Financing assumptions Holdco'!$F$74*1000*$B14</f>
        <v>0</v>
      </c>
    </row>
    <row r="15" spans="2:32">
      <c r="B15" s="197" t="b">
        <v>1</v>
      </c>
      <c r="C15" s="180" t="s">
        <v>684</v>
      </c>
      <c r="D15" s="180">
        <f ca="1">$B15*(NOT(cash_sweep_consol)*'Covenants Holdco'!D34+cash_sweep_consol*'Covenants Consolidated'!D34)</f>
        <v>0</v>
      </c>
      <c r="E15" s="180">
        <f ca="1">$B15*(NOT(cash_sweep_consol)*'Covenants Holdco'!E34+cash_sweep_consol*'Covenants Consolidated'!E34)</f>
        <v>0</v>
      </c>
      <c r="F15" s="180">
        <f ca="1">$B15*(NOT(cash_sweep_consol)*'Covenants Holdco'!F34+cash_sweep_consol*'Covenants Consolidated'!F34)</f>
        <v>0</v>
      </c>
      <c r="G15" s="180">
        <f ca="1">$B15*(NOT(cash_sweep_consol)*'Covenants Holdco'!G34+cash_sweep_consol*'Covenants Consolidated'!G34)</f>
        <v>0</v>
      </c>
      <c r="H15" s="180">
        <f ca="1">$B15*(NOT(cash_sweep_consol)*'Covenants Holdco'!H34+cash_sweep_consol*'Covenants Consolidated'!H34)</f>
        <v>0</v>
      </c>
      <c r="I15" s="180">
        <f ca="1">$B15*(NOT(cash_sweep_consol)*'Covenants Holdco'!I34+cash_sweep_consol*'Covenants Consolidated'!I34)</f>
        <v>0</v>
      </c>
      <c r="J15" s="180">
        <f ca="1">$B15*(NOT(cash_sweep_consol)*'Covenants Holdco'!J34+cash_sweep_consol*'Covenants Consolidated'!J34)</f>
        <v>0</v>
      </c>
      <c r="K15" s="180">
        <f ca="1">$B15*(NOT(cash_sweep_consol)*'Covenants Holdco'!K34+cash_sweep_consol*'Covenants Consolidated'!K34)</f>
        <v>0</v>
      </c>
      <c r="L15" s="180">
        <f ca="1">$B15*(NOT(cash_sweep_consol)*'Covenants Holdco'!L34+cash_sweep_consol*'Covenants Consolidated'!L34)</f>
        <v>0</v>
      </c>
      <c r="M15" s="180">
        <f ca="1">$B15*(NOT(cash_sweep_consol)*'Covenants Holdco'!M34+cash_sweep_consol*'Covenants Consolidated'!M34)</f>
        <v>0</v>
      </c>
      <c r="N15" s="180">
        <f ca="1">$B15*(NOT(cash_sweep_consol)*'Covenants Holdco'!N34+cash_sweep_consol*'Covenants Consolidated'!N34)</f>
        <v>0</v>
      </c>
      <c r="O15" s="180">
        <f ca="1">$B15*(NOT(cash_sweep_consol)*'Covenants Holdco'!O34+cash_sweep_consol*'Covenants Consolidated'!O34)</f>
        <v>0</v>
      </c>
      <c r="P15" s="180">
        <f ca="1">$B15*(NOT(cash_sweep_consol)*'Covenants Holdco'!P34+cash_sweep_consol*'Covenants Consolidated'!P34)</f>
        <v>0</v>
      </c>
      <c r="Q15" s="180">
        <f ca="1">$B15*(NOT(cash_sweep_consol)*'Covenants Holdco'!Q34+cash_sweep_consol*'Covenants Consolidated'!Q34)</f>
        <v>0</v>
      </c>
      <c r="R15" s="180">
        <f ca="1">$B15*(NOT(cash_sweep_consol)*'Covenants Holdco'!R34+cash_sweep_consol*'Covenants Consolidated'!R34)</f>
        <v>0</v>
      </c>
      <c r="S15" s="180">
        <f ca="1">$B15*(NOT(cash_sweep_consol)*'Covenants Holdco'!S34+cash_sweep_consol*'Covenants Consolidated'!S34)</f>
        <v>0</v>
      </c>
      <c r="T15" s="180">
        <f ca="1">$B15*(NOT(cash_sweep_consol)*'Covenants Holdco'!T34+cash_sweep_consol*'Covenants Consolidated'!T34)</f>
        <v>0</v>
      </c>
      <c r="U15" s="180">
        <f ca="1">$B15*(NOT(cash_sweep_consol)*'Covenants Holdco'!U34+cash_sweep_consol*'Covenants Consolidated'!U34)</f>
        <v>0</v>
      </c>
      <c r="V15" s="180">
        <f ca="1">$B15*(NOT(cash_sweep_consol)*'Covenants Holdco'!V34+cash_sweep_consol*'Covenants Consolidated'!V34)</f>
        <v>0</v>
      </c>
      <c r="W15" s="180">
        <f ca="1">$B15*(NOT(cash_sweep_consol)*'Covenants Holdco'!W34+cash_sweep_consol*'Covenants Consolidated'!W34)</f>
        <v>0</v>
      </c>
      <c r="X15" s="180">
        <f ca="1">$B15*(NOT(cash_sweep_consol)*'Covenants Holdco'!X34+cash_sweep_consol*'Covenants Consolidated'!X34)</f>
        <v>0</v>
      </c>
      <c r="Y15" s="180">
        <f ca="1">$B15*(NOT(cash_sweep_consol)*'Covenants Holdco'!Y34+cash_sweep_consol*'Covenants Consolidated'!Y34)</f>
        <v>0</v>
      </c>
      <c r="Z15" s="180">
        <f ca="1">$B15*(NOT(cash_sweep_consol)*'Covenants Holdco'!Z34+cash_sweep_consol*'Covenants Consolidated'!Z34)</f>
        <v>0</v>
      </c>
      <c r="AA15" s="180">
        <f ca="1">$B15*(NOT(cash_sweep_consol)*'Covenants Holdco'!AA34+cash_sweep_consol*'Covenants Consolidated'!AA34)</f>
        <v>0</v>
      </c>
      <c r="AB15" s="180" t="e">
        <f ca="1">$B15*(NOT(cash_sweep_consol)*'Covenants Holdco'!AB34+cash_sweep_consol*'Covenants Consolidated'!AB34)</f>
        <v>#VALUE!</v>
      </c>
      <c r="AC15" s="180" t="e">
        <f ca="1">$B15*(NOT(cash_sweep_consol)*'Covenants Holdco'!AC34+cash_sweep_consol*'Covenants Consolidated'!AC34)</f>
        <v>#VALUE!</v>
      </c>
      <c r="AD15" s="180" t="e">
        <f ca="1">$B15*(NOT(cash_sweep_consol)*'Covenants Holdco'!AD34+cash_sweep_consol*'Covenants Consolidated'!AD34)</f>
        <v>#VALUE!</v>
      </c>
      <c r="AE15" s="180" t="e">
        <f ca="1">$B15*(NOT(cash_sweep_consol)*'Covenants Holdco'!AE34+cash_sweep_consol*'Covenants Consolidated'!AE34)</f>
        <v>#VALUE!</v>
      </c>
      <c r="AF15" s="180" t="e">
        <f ca="1">$B15*(NOT(cash_sweep_consol)*'Covenants Holdco'!AF34+cash_sweep_consol*'Covenants Consolidated'!AF34)</f>
        <v>#VALUE!</v>
      </c>
    </row>
    <row r="16" spans="2:32">
      <c r="B16" s="197" t="b">
        <v>1</v>
      </c>
      <c r="C16" s="302" t="s">
        <v>809</v>
      </c>
      <c r="D16" s="291"/>
      <c r="E16" s="291"/>
      <c r="F16" s="291"/>
      <c r="G16" s="291"/>
      <c r="H16" s="291"/>
      <c r="I16" s="291"/>
      <c r="J16" s="291"/>
      <c r="K16" s="291"/>
      <c r="L16" s="291"/>
      <c r="M16" s="291"/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  <c r="AE16" s="291"/>
      <c r="AF16" s="291"/>
    </row>
    <row r="17" spans="2:32">
      <c r="B17" s="197" t="b">
        <v>1</v>
      </c>
      <c r="C17" s="302" t="s">
        <v>810</v>
      </c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</row>
    <row r="18" spans="2:32">
      <c r="B18" s="197" t="b">
        <v>1</v>
      </c>
      <c r="C18" s="302" t="s">
        <v>863</v>
      </c>
      <c r="D18" s="291">
        <f>$B18*(SUM('Financial Quarterly Holdco'!A94:D94)+cash_sweep_consol*(Stake_Bu1*SUM('Financial Quarterly offshore'!A100:D100)))</f>
        <v>0</v>
      </c>
      <c r="E18" s="291">
        <f ca="1">$B18*(SUM('Financial Quarterly Holdco'!B94:E94)+cash_sweep_consol*(Stake_Bu1*SUM('Financial Quarterly offshore'!B100:E100)))</f>
        <v>0</v>
      </c>
      <c r="F18" s="291">
        <f ca="1">$B18*(SUM('Financial Quarterly Holdco'!C94:F94)+cash_sweep_consol*(Stake_Bu1*SUM('Financial Quarterly offshore'!C100:F100)))</f>
        <v>0</v>
      </c>
      <c r="G18" s="291">
        <f ca="1">$B18*(SUM('Financial Quarterly Holdco'!D94:G94)+cash_sweep_consol*(Stake_Bu1*SUM('Financial Quarterly offshore'!D100:G100)))</f>
        <v>0</v>
      </c>
      <c r="H18" s="291">
        <f ca="1">$B18*(SUM('Financial Quarterly Holdco'!E94:H94)+cash_sweep_consol*(Stake_Bu1*SUM('Financial Quarterly offshore'!E100:H100)))</f>
        <v>0</v>
      </c>
      <c r="I18" s="291">
        <f ca="1">$B18*(SUM('Financial Quarterly Holdco'!F94:I94)+cash_sweep_consol*(Stake_Bu1*SUM('Financial Quarterly offshore'!F100:I100)))</f>
        <v>0</v>
      </c>
      <c r="J18" s="291">
        <f ca="1">$B18*(SUM('Financial Quarterly Holdco'!G94:J94)+cash_sweep_consol*(Stake_Bu1*SUM('Financial Quarterly offshore'!G100:J100)))</f>
        <v>0</v>
      </c>
      <c r="K18" s="291">
        <f ca="1">$B18*(SUM('Financial Quarterly Holdco'!H94:K94)+cash_sweep_consol*(Stake_Bu1*SUM('Financial Quarterly offshore'!H100:K100)))</f>
        <v>0</v>
      </c>
      <c r="L18" s="291">
        <f ca="1">$B18*(SUM('Financial Quarterly Holdco'!I94:L94)+cash_sweep_consol*(Stake_Bu1*SUM('Financial Quarterly offshore'!I100:L100)))</f>
        <v>0</v>
      </c>
      <c r="M18" s="291">
        <f ca="1">$B18*(SUM('Financial Quarterly Holdco'!J94:M94)+cash_sweep_consol*(Stake_Bu1*SUM('Financial Quarterly offshore'!J100:M100)))</f>
        <v>0</v>
      </c>
      <c r="N18" s="291">
        <f ca="1">$B18*(SUM('Financial Quarterly Holdco'!K94:N94)+cash_sweep_consol*(Stake_Bu1*SUM('Financial Quarterly offshore'!K100:N100)))</f>
        <v>0</v>
      </c>
      <c r="O18" s="291">
        <f ca="1">$B18*(SUM('Financial Quarterly Holdco'!L94:O94)+cash_sweep_consol*(Stake_Bu1*SUM('Financial Quarterly offshore'!L100:O100)))</f>
        <v>0</v>
      </c>
      <c r="P18" s="291">
        <f ca="1">$B18*(SUM('Financial Quarterly Holdco'!M94:P94)+cash_sweep_consol*(Stake_Bu1*SUM('Financial Quarterly offshore'!M100:P100)))</f>
        <v>0</v>
      </c>
      <c r="Q18" s="291">
        <f ca="1">$B18*(SUM('Financial Quarterly Holdco'!N94:Q94)+cash_sweep_consol*(Stake_Bu1*SUM('Financial Quarterly offshore'!N100:Q100)))</f>
        <v>0</v>
      </c>
      <c r="R18" s="291">
        <f ca="1">$B18*(SUM('Financial Quarterly Holdco'!O94:R94)+cash_sweep_consol*(Stake_Bu1*SUM('Financial Quarterly offshore'!O100:R100)))</f>
        <v>0</v>
      </c>
      <c r="S18" s="291">
        <f ca="1">$B18*(SUM('Financial Quarterly Holdco'!P94:S94)+cash_sweep_consol*(Stake_Bu1*SUM('Financial Quarterly offshore'!P100:S100)))</f>
        <v>0</v>
      </c>
      <c r="T18" s="291">
        <f ca="1">$B18*(SUM('Financial Quarterly Holdco'!Q94:T94)+cash_sweep_consol*(Stake_Bu1*SUM('Financial Quarterly offshore'!Q100:T100)))</f>
        <v>0</v>
      </c>
      <c r="U18" s="291">
        <f ca="1">$B18*(SUM('Financial Quarterly Holdco'!R94:U94)+cash_sweep_consol*(Stake_Bu1*SUM('Financial Quarterly offshore'!R100:U100)))</f>
        <v>0</v>
      </c>
      <c r="V18" s="291">
        <f ca="1">$B18*(SUM('Financial Quarterly Holdco'!S94:V94)+cash_sweep_consol*(Stake_Bu1*SUM('Financial Quarterly offshore'!S100:V100)))</f>
        <v>0</v>
      </c>
      <c r="W18" s="291">
        <f ca="1">$B18*(SUM('Financial Quarterly Holdco'!T94:W94)+cash_sweep_consol*(Stake_Bu1*SUM('Financial Quarterly offshore'!T100:W100)))</f>
        <v>0</v>
      </c>
      <c r="X18" s="291">
        <f ca="1">$B18*(SUM('Financial Quarterly Holdco'!U94:X94)+cash_sweep_consol*(Stake_Bu1*SUM('Financial Quarterly offshore'!U100:X100)))</f>
        <v>0</v>
      </c>
      <c r="Y18" s="291">
        <f ca="1">$B18*(SUM('Financial Quarterly Holdco'!V94:Y94)+cash_sweep_consol*(Stake_Bu1*SUM('Financial Quarterly offshore'!V100:Y100)))</f>
        <v>0</v>
      </c>
      <c r="Z18" s="291">
        <f ca="1">$B18*(SUM('Financial Quarterly Holdco'!W94:Z94)+cash_sweep_consol*(Stake_Bu1*SUM('Financial Quarterly offshore'!W100:Z100)))</f>
        <v>0</v>
      </c>
      <c r="AA18" s="291">
        <f ca="1">$B18*(SUM('Financial Quarterly Holdco'!X94:AA94)+cash_sweep_consol*(Stake_Bu1*SUM('Financial Quarterly offshore'!X100:AA100)))</f>
        <v>0</v>
      </c>
      <c r="AB18" s="291">
        <f ca="1">$B18*(SUM('Financial Quarterly Holdco'!Y94:AB94)+cash_sweep_consol*(Stake_Bu1*SUM('Financial Quarterly offshore'!Y100:AB100)))</f>
        <v>0</v>
      </c>
      <c r="AC18" s="291" t="e">
        <f ca="1">$B18*(SUM('Financial Quarterly Holdco'!Z94:AC94)+cash_sweep_consol*(Stake_Bu1*SUM('Financial Quarterly offshore'!Z100:AC100)))</f>
        <v>#N/A</v>
      </c>
      <c r="AD18" s="291" t="e">
        <f ca="1">$B18*(SUM('Financial Quarterly Holdco'!AA94:AD94)+cash_sweep_consol*(Stake_Bu1*SUM('Financial Quarterly offshore'!AA100:AD100)))</f>
        <v>#N/A</v>
      </c>
      <c r="AE18" s="291" t="e">
        <f ca="1">$B18*(SUM('Financial Quarterly Holdco'!AB94:AE94)+cash_sweep_consol*(Stake_Bu1*SUM('Financial Quarterly offshore'!AB100:AE100)))</f>
        <v>#N/A</v>
      </c>
      <c r="AF18" s="291" t="e">
        <f ca="1">$B18*(SUM('Financial Quarterly Holdco'!AC94:AF94)+cash_sweep_consol*(Stake_Bu1*SUM('Financial Quarterly offshore'!AC100:AF100)))</f>
        <v>#N/A</v>
      </c>
    </row>
    <row r="19" spans="2:32">
      <c r="B19" s="197" t="b">
        <v>1</v>
      </c>
      <c r="C19" s="302" t="s">
        <v>862</v>
      </c>
      <c r="D19" s="291">
        <f>$B19*(SUM('Financial Quarterly Holdco'!A95:D95)+cash_sweep_consol*(Stake_Bu1*SUM('Financial Quarterly offshore'!A101:D101)))</f>
        <v>0</v>
      </c>
      <c r="E19" s="291">
        <f ca="1">$B19*(SUM('Financial Quarterly Holdco'!B95:E95)+cash_sweep_consol*(Stake_Bu1*SUM('Financial Quarterly offshore'!B101:E101)))</f>
        <v>0</v>
      </c>
      <c r="F19" s="291">
        <f ca="1">$B19*(SUM('Financial Quarterly Holdco'!C95:F95)+cash_sweep_consol*(Stake_Bu1*SUM('Financial Quarterly offshore'!C101:F101)))</f>
        <v>0</v>
      </c>
      <c r="G19" s="291">
        <f ca="1">$B19*(SUM('Financial Quarterly Holdco'!D95:G95)+cash_sweep_consol*(Stake_Bu1*SUM('Financial Quarterly offshore'!D101:G101)))</f>
        <v>0</v>
      </c>
      <c r="H19" s="291">
        <f ca="1">$B19*(SUM('Financial Quarterly Holdco'!E95:H95)+cash_sweep_consol*(Stake_Bu1*SUM('Financial Quarterly offshore'!E101:H101)))</f>
        <v>0</v>
      </c>
      <c r="I19" s="291">
        <f ca="1">$B19*(SUM('Financial Quarterly Holdco'!F95:I95)+cash_sweep_consol*(Stake_Bu1*SUM('Financial Quarterly offshore'!F101:I101)))</f>
        <v>0</v>
      </c>
      <c r="J19" s="291">
        <f ca="1">$B19*(SUM('Financial Quarterly Holdco'!G95:J95)+cash_sweep_consol*(Stake_Bu1*SUM('Financial Quarterly offshore'!G101:J101)))</f>
        <v>0</v>
      </c>
      <c r="K19" s="291">
        <f ca="1">$B19*(SUM('Financial Quarterly Holdco'!H95:K95)+cash_sweep_consol*(Stake_Bu1*SUM('Financial Quarterly offshore'!H101:K101)))</f>
        <v>0</v>
      </c>
      <c r="L19" s="291">
        <f ca="1">$B19*(SUM('Financial Quarterly Holdco'!I95:L95)+cash_sweep_consol*(Stake_Bu1*SUM('Financial Quarterly offshore'!I101:L101)))</f>
        <v>0</v>
      </c>
      <c r="M19" s="291">
        <f ca="1">$B19*(SUM('Financial Quarterly Holdco'!J95:M95)+cash_sweep_consol*(Stake_Bu1*SUM('Financial Quarterly offshore'!J101:M101)))</f>
        <v>0</v>
      </c>
      <c r="N19" s="291">
        <f ca="1">$B19*(SUM('Financial Quarterly Holdco'!K95:N95)+cash_sweep_consol*(Stake_Bu1*SUM('Financial Quarterly offshore'!K101:N101)))</f>
        <v>0</v>
      </c>
      <c r="O19" s="291">
        <f ca="1">$B19*(SUM('Financial Quarterly Holdco'!L95:O95)+cash_sweep_consol*(Stake_Bu1*SUM('Financial Quarterly offshore'!L101:O101)))</f>
        <v>0</v>
      </c>
      <c r="P19" s="291">
        <f ca="1">$B19*(SUM('Financial Quarterly Holdco'!M95:P95)+cash_sweep_consol*(Stake_Bu1*SUM('Financial Quarterly offshore'!M101:P101)))</f>
        <v>0</v>
      </c>
      <c r="Q19" s="291">
        <f ca="1">$B19*(SUM('Financial Quarterly Holdco'!N95:Q95)+cash_sweep_consol*(Stake_Bu1*SUM('Financial Quarterly offshore'!N101:Q101)))</f>
        <v>0</v>
      </c>
      <c r="R19" s="291">
        <f ca="1">$B19*(SUM('Financial Quarterly Holdco'!O95:R95)+cash_sweep_consol*(Stake_Bu1*SUM('Financial Quarterly offshore'!O101:R101)))</f>
        <v>0</v>
      </c>
      <c r="S19" s="291">
        <f ca="1">$B19*(SUM('Financial Quarterly Holdco'!P95:S95)+cash_sweep_consol*(Stake_Bu1*SUM('Financial Quarterly offshore'!P101:S101)))</f>
        <v>0</v>
      </c>
      <c r="T19" s="291">
        <f ca="1">$B19*(SUM('Financial Quarterly Holdco'!Q95:T95)+cash_sweep_consol*(Stake_Bu1*SUM('Financial Quarterly offshore'!Q101:T101)))</f>
        <v>0</v>
      </c>
      <c r="U19" s="291">
        <f ca="1">$B19*(SUM('Financial Quarterly Holdco'!R95:U95)+cash_sweep_consol*(Stake_Bu1*SUM('Financial Quarterly offshore'!R101:U101)))</f>
        <v>0</v>
      </c>
      <c r="V19" s="291">
        <f ca="1">$B19*(SUM('Financial Quarterly Holdco'!S95:V95)+cash_sweep_consol*(Stake_Bu1*SUM('Financial Quarterly offshore'!S101:V101)))</f>
        <v>0</v>
      </c>
      <c r="W19" s="291">
        <f ca="1">$B19*(SUM('Financial Quarterly Holdco'!T95:W95)+cash_sweep_consol*(Stake_Bu1*SUM('Financial Quarterly offshore'!T101:W101)))</f>
        <v>0</v>
      </c>
      <c r="X19" s="291">
        <f ca="1">$B19*(SUM('Financial Quarterly Holdco'!U95:X95)+cash_sweep_consol*(Stake_Bu1*SUM('Financial Quarterly offshore'!U101:X101)))</f>
        <v>0</v>
      </c>
      <c r="Y19" s="291">
        <f ca="1">$B19*(SUM('Financial Quarterly Holdco'!V95:Y95)+cash_sweep_consol*(Stake_Bu1*SUM('Financial Quarterly offshore'!V101:Y101)))</f>
        <v>0</v>
      </c>
      <c r="Z19" s="291">
        <f ca="1">$B19*(SUM('Financial Quarterly Holdco'!W95:Z95)+cash_sweep_consol*(Stake_Bu1*SUM('Financial Quarterly offshore'!W101:Z101)))</f>
        <v>0</v>
      </c>
      <c r="AA19" s="291">
        <f ca="1">$B19*(SUM('Financial Quarterly Holdco'!X95:AA95)+cash_sweep_consol*(Stake_Bu1*SUM('Financial Quarterly offshore'!X101:AA101)))</f>
        <v>0</v>
      </c>
      <c r="AB19" s="291">
        <f ca="1">$B19*(SUM('Financial Quarterly Holdco'!Y95:AB95)+cash_sweep_consol*(Stake_Bu1*SUM('Financial Quarterly offshore'!Y101:AB101)))</f>
        <v>0</v>
      </c>
      <c r="AC19" s="291" t="e">
        <f ca="1">$B19*(SUM('Financial Quarterly Holdco'!Z95:AC95)+cash_sweep_consol*(Stake_Bu1*SUM('Financial Quarterly offshore'!Z101:AC101)))</f>
        <v>#N/A</v>
      </c>
      <c r="AD19" s="291" t="e">
        <f ca="1">$B19*(SUM('Financial Quarterly Holdco'!AA95:AD95)+cash_sweep_consol*(Stake_Bu1*SUM('Financial Quarterly offshore'!AA101:AD101)))</f>
        <v>#N/A</v>
      </c>
      <c r="AE19" s="291" t="e">
        <f ca="1">$B19*(SUM('Financial Quarterly Holdco'!AB95:AE95)+cash_sweep_consol*(Stake_Bu1*SUM('Financial Quarterly offshore'!AB101:AE101)))</f>
        <v>#N/A</v>
      </c>
      <c r="AF19" s="291" t="e">
        <f ca="1">$B19*(SUM('Financial Quarterly Holdco'!AC95:AF95)+cash_sweep_consol*(Stake_Bu1*SUM('Financial Quarterly offshore'!AC101:AF101)))</f>
        <v>#N/A</v>
      </c>
    </row>
    <row r="20" spans="2:32">
      <c r="B20" s="197" t="b">
        <v>1</v>
      </c>
      <c r="C20" s="302" t="s">
        <v>811</v>
      </c>
      <c r="D20" s="291">
        <f ca="1">$B20*(NOT(cash_sweep_consol)*-'Covenants Holdco'!D35+cash_sweep_consol*-'Covenants Consolidated'!D35)</f>
        <v>0</v>
      </c>
      <c r="E20" s="291">
        <f ca="1">$B20*(NOT(cash_sweep_consol)*-'Covenants Holdco'!E35+cash_sweep_consol*-'Covenants Consolidated'!E35)</f>
        <v>0</v>
      </c>
      <c r="F20" s="291">
        <f ca="1">$B20*(NOT(cash_sweep_consol)*-'Covenants Holdco'!F35+cash_sweep_consol*-'Covenants Consolidated'!F35)</f>
        <v>0</v>
      </c>
      <c r="G20" s="291">
        <f ca="1">$B20*(NOT(cash_sweep_consol)*-'Covenants Holdco'!G35+cash_sweep_consol*-'Covenants Consolidated'!G35)</f>
        <v>0</v>
      </c>
      <c r="H20" s="291">
        <f ca="1">$B20*(NOT(cash_sweep_consol)*-'Covenants Holdco'!H35+cash_sweep_consol*-'Covenants Consolidated'!H35)</f>
        <v>0</v>
      </c>
      <c r="I20" s="291">
        <f ca="1">$B20*(NOT(cash_sweep_consol)*-'Covenants Holdco'!I35+cash_sweep_consol*-'Covenants Consolidated'!I35)</f>
        <v>0</v>
      </c>
      <c r="J20" s="291">
        <f ca="1">$B20*(NOT(cash_sweep_consol)*-'Covenants Holdco'!J35+cash_sweep_consol*-'Covenants Consolidated'!J35)</f>
        <v>0</v>
      </c>
      <c r="K20" s="291">
        <f ca="1">$B20*(NOT(cash_sweep_consol)*-'Covenants Holdco'!K35+cash_sweep_consol*-'Covenants Consolidated'!K35)</f>
        <v>0</v>
      </c>
      <c r="L20" s="291">
        <f ca="1">$B20*(NOT(cash_sweep_consol)*-'Covenants Holdco'!L35+cash_sweep_consol*-'Covenants Consolidated'!L35)</f>
        <v>0</v>
      </c>
      <c r="M20" s="291">
        <f ca="1">$B20*(NOT(cash_sweep_consol)*-'Covenants Holdco'!M35+cash_sweep_consol*-'Covenants Consolidated'!M35)</f>
        <v>0</v>
      </c>
      <c r="N20" s="291">
        <f ca="1">$B20*(NOT(cash_sweep_consol)*-'Covenants Holdco'!N35+cash_sweep_consol*-'Covenants Consolidated'!N35)</f>
        <v>0</v>
      </c>
      <c r="O20" s="291">
        <f ca="1">$B20*(NOT(cash_sweep_consol)*-'Covenants Holdco'!O35+cash_sweep_consol*-'Covenants Consolidated'!O35)</f>
        <v>0</v>
      </c>
      <c r="P20" s="291">
        <f ca="1">$B20*(NOT(cash_sweep_consol)*-'Covenants Holdco'!P35+cash_sweep_consol*-'Covenants Consolidated'!P35)</f>
        <v>0</v>
      </c>
      <c r="Q20" s="291">
        <f ca="1">$B20*(NOT(cash_sweep_consol)*-'Covenants Holdco'!Q35+cash_sweep_consol*-'Covenants Consolidated'!Q35)</f>
        <v>0</v>
      </c>
      <c r="R20" s="291">
        <f ca="1">$B20*(NOT(cash_sweep_consol)*-'Covenants Holdco'!R35+cash_sweep_consol*-'Covenants Consolidated'!R35)</f>
        <v>0</v>
      </c>
      <c r="S20" s="291">
        <f ca="1">$B20*(NOT(cash_sweep_consol)*-'Covenants Holdco'!S35+cash_sweep_consol*-'Covenants Consolidated'!S35)</f>
        <v>0</v>
      </c>
      <c r="T20" s="291">
        <f ca="1">$B20*(NOT(cash_sweep_consol)*-'Covenants Holdco'!T35+cash_sweep_consol*-'Covenants Consolidated'!T35)</f>
        <v>0</v>
      </c>
      <c r="U20" s="291">
        <f ca="1">$B20*(NOT(cash_sweep_consol)*-'Covenants Holdco'!U35+cash_sweep_consol*-'Covenants Consolidated'!U35)</f>
        <v>0</v>
      </c>
      <c r="V20" s="291">
        <f ca="1">$B20*(NOT(cash_sweep_consol)*-'Covenants Holdco'!V35+cash_sweep_consol*-'Covenants Consolidated'!V35)</f>
        <v>0</v>
      </c>
      <c r="W20" s="291">
        <f ca="1">$B20*(NOT(cash_sweep_consol)*-'Covenants Holdco'!W35+cash_sweep_consol*-'Covenants Consolidated'!W35)</f>
        <v>0</v>
      </c>
      <c r="X20" s="291">
        <f ca="1">$B20*(NOT(cash_sweep_consol)*-'Covenants Holdco'!X35+cash_sweep_consol*-'Covenants Consolidated'!X35)</f>
        <v>0</v>
      </c>
      <c r="Y20" s="291">
        <f ca="1">$B20*(NOT(cash_sweep_consol)*-'Covenants Holdco'!Y35+cash_sweep_consol*-'Covenants Consolidated'!Y35)</f>
        <v>0</v>
      </c>
      <c r="Z20" s="291">
        <f ca="1">$B20*(NOT(cash_sweep_consol)*-'Covenants Holdco'!Z35+cash_sweep_consol*-'Covenants Consolidated'!Z35)</f>
        <v>0</v>
      </c>
      <c r="AA20" s="291">
        <f ca="1">$B20*(NOT(cash_sweep_consol)*-'Covenants Holdco'!AA35+cash_sweep_consol*-'Covenants Consolidated'!AA35)</f>
        <v>0</v>
      </c>
      <c r="AB20" s="291" t="e">
        <f ca="1">$B20*(NOT(cash_sweep_consol)*-'Covenants Holdco'!AB35+cash_sweep_consol*-'Covenants Consolidated'!AB35)</f>
        <v>#VALUE!</v>
      </c>
      <c r="AC20" s="291" t="e">
        <f ca="1">$B20*(NOT(cash_sweep_consol)*-'Covenants Holdco'!AC35+cash_sweep_consol*-'Covenants Consolidated'!AC35)</f>
        <v>#VALUE!</v>
      </c>
      <c r="AD20" s="291" t="e">
        <f ca="1">$B20*(NOT(cash_sweep_consol)*-'Covenants Holdco'!AD35+cash_sweep_consol*-'Covenants Consolidated'!AD35)</f>
        <v>#VALUE!</v>
      </c>
      <c r="AE20" s="291" t="e">
        <f ca="1">$B20*(NOT(cash_sweep_consol)*-'Covenants Holdco'!AE35+cash_sweep_consol*-'Covenants Consolidated'!AE35)</f>
        <v>#VALUE!</v>
      </c>
      <c r="AF20" s="291" t="e">
        <f ca="1">$B20*(NOT(cash_sweep_consol)*-'Covenants Holdco'!AF35+cash_sweep_consol*-'Covenants Consolidated'!AF35)</f>
        <v>#VALUE!</v>
      </c>
    </row>
    <row r="21" spans="2:32">
      <c r="B21" s="197" t="b">
        <v>1</v>
      </c>
      <c r="C21" s="302" t="s">
        <v>685</v>
      </c>
      <c r="D21" s="291">
        <f ca="1">$B21*(SUM(OFFSET('Financial Quarterly Holdco'!D85,0,0,1,-'Covenants Holdco'!$D$11),OFFSET('Operating quarterly Holdco'!L24,0,0,1,-'Covenants Holdco'!$D$11))+cash_sweep_consol*Stake_Bu1*SUM(OFFSET('Financial Quarterly offshore'!D91,0,0,1,-'Covenants Holdco'!$D$11),OFFSET('Operating quarterly offshore'!L25,0,0,1,-'Covenants Holdco'!$D$11)))</f>
        <v>0</v>
      </c>
      <c r="E21" s="291">
        <f ca="1">$B21*(SUM(OFFSET('Financial Quarterly Holdco'!E85,0,0,1,-'Covenants Holdco'!$D$11),OFFSET('Operating quarterly Holdco'!M24,0,0,1,-'Covenants Holdco'!$D$11))+cash_sweep_consol*Stake_Bu1*SUM(OFFSET('Financial Quarterly offshore'!E91,0,0,1,-'Covenants Holdco'!$D$11),OFFSET('Operating quarterly offshore'!M25,0,0,1,-'Covenants Holdco'!$D$11)))</f>
        <v>0</v>
      </c>
      <c r="F21" s="291">
        <f ca="1">$B21*(SUM(OFFSET('Financial Quarterly Holdco'!F85,0,0,1,-'Covenants Holdco'!$D$11),OFFSET('Operating quarterly Holdco'!N24,0,0,1,-'Covenants Holdco'!$D$11))+cash_sweep_consol*Stake_Bu1*SUM(OFFSET('Financial Quarterly offshore'!F91,0,0,1,-'Covenants Holdco'!$D$11),OFFSET('Operating quarterly offshore'!N25,0,0,1,-'Covenants Holdco'!$D$11)))</f>
        <v>0</v>
      </c>
      <c r="G21" s="291">
        <f ca="1">$B21*(SUM(OFFSET('Financial Quarterly Holdco'!G85,0,0,1,-'Covenants Holdco'!$D$11),OFFSET('Operating quarterly Holdco'!O24,0,0,1,-'Covenants Holdco'!$D$11))+cash_sweep_consol*Stake_Bu1*SUM(OFFSET('Financial Quarterly offshore'!G91,0,0,1,-'Covenants Holdco'!$D$11),OFFSET('Operating quarterly offshore'!O25,0,0,1,-'Covenants Holdco'!$D$11)))</f>
        <v>0</v>
      </c>
      <c r="H21" s="291">
        <f ca="1">$B21*(SUM(OFFSET('Financial Quarterly Holdco'!H85,0,0,1,-'Covenants Holdco'!$D$11),OFFSET('Operating quarterly Holdco'!P24,0,0,1,-'Covenants Holdco'!$D$11))+cash_sweep_consol*Stake_Bu1*SUM(OFFSET('Financial Quarterly offshore'!H91,0,0,1,-'Covenants Holdco'!$D$11),OFFSET('Operating quarterly offshore'!P25,0,0,1,-'Covenants Holdco'!$D$11)))</f>
        <v>0</v>
      </c>
      <c r="I21" s="291">
        <f ca="1">$B21*(SUM(OFFSET('Financial Quarterly Holdco'!I85,0,0,1,-'Covenants Holdco'!$D$11),OFFSET('Operating quarterly Holdco'!Q24,0,0,1,-'Covenants Holdco'!$D$11))+cash_sweep_consol*Stake_Bu1*SUM(OFFSET('Financial Quarterly offshore'!I91,0,0,1,-'Covenants Holdco'!$D$11),OFFSET('Operating quarterly offshore'!Q25,0,0,1,-'Covenants Holdco'!$D$11)))</f>
        <v>0</v>
      </c>
      <c r="J21" s="291">
        <f ca="1">$B21*(SUM(OFFSET('Financial Quarterly Holdco'!J85,0,0,1,-'Covenants Holdco'!$D$11),OFFSET('Operating quarterly Holdco'!R24,0,0,1,-'Covenants Holdco'!$D$11))+cash_sweep_consol*Stake_Bu1*SUM(OFFSET('Financial Quarterly offshore'!J91,0,0,1,-'Covenants Holdco'!$D$11),OFFSET('Operating quarterly offshore'!R25,0,0,1,-'Covenants Holdco'!$D$11)))</f>
        <v>0</v>
      </c>
      <c r="K21" s="291">
        <f ca="1">$B21*(SUM(OFFSET('Financial Quarterly Holdco'!K85,0,0,1,-'Covenants Holdco'!$D$11),OFFSET('Operating quarterly Holdco'!S24,0,0,1,-'Covenants Holdco'!$D$11))+cash_sweep_consol*Stake_Bu1*SUM(OFFSET('Financial Quarterly offshore'!K91,0,0,1,-'Covenants Holdco'!$D$11),OFFSET('Operating quarterly offshore'!S25,0,0,1,-'Covenants Holdco'!$D$11)))</f>
        <v>0</v>
      </c>
      <c r="L21" s="291">
        <f ca="1">$B21*(SUM(OFFSET('Financial Quarterly Holdco'!L85,0,0,1,-'Covenants Holdco'!$D$11),OFFSET('Operating quarterly Holdco'!T24,0,0,1,-'Covenants Holdco'!$D$11))+cash_sweep_consol*Stake_Bu1*SUM(OFFSET('Financial Quarterly offshore'!L91,0,0,1,-'Covenants Holdco'!$D$11),OFFSET('Operating quarterly offshore'!T25,0,0,1,-'Covenants Holdco'!$D$11)))</f>
        <v>0</v>
      </c>
      <c r="M21" s="291">
        <f ca="1">$B21*(SUM(OFFSET('Financial Quarterly Holdco'!M85,0,0,1,-'Covenants Holdco'!$D$11),OFFSET('Operating quarterly Holdco'!U24,0,0,1,-'Covenants Holdco'!$D$11))+cash_sweep_consol*Stake_Bu1*SUM(OFFSET('Financial Quarterly offshore'!M91,0,0,1,-'Covenants Holdco'!$D$11),OFFSET('Operating quarterly offshore'!U25,0,0,1,-'Covenants Holdco'!$D$11)))</f>
        <v>0</v>
      </c>
      <c r="N21" s="291">
        <f ca="1">$B21*(SUM(OFFSET('Financial Quarterly Holdco'!N85,0,0,1,-'Covenants Holdco'!$D$11),OFFSET('Operating quarterly Holdco'!V24,0,0,1,-'Covenants Holdco'!$D$11))+cash_sweep_consol*Stake_Bu1*SUM(OFFSET('Financial Quarterly offshore'!N91,0,0,1,-'Covenants Holdco'!$D$11),OFFSET('Operating quarterly offshore'!V25,0,0,1,-'Covenants Holdco'!$D$11)))</f>
        <v>0</v>
      </c>
      <c r="O21" s="291">
        <f ca="1">$B21*(SUM(OFFSET('Financial Quarterly Holdco'!O85,0,0,1,-'Covenants Holdco'!$D$11),OFFSET('Operating quarterly Holdco'!W24,0,0,1,-'Covenants Holdco'!$D$11))+cash_sweep_consol*Stake_Bu1*SUM(OFFSET('Financial Quarterly offshore'!O91,0,0,1,-'Covenants Holdco'!$D$11),OFFSET('Operating quarterly offshore'!W25,0,0,1,-'Covenants Holdco'!$D$11)))</f>
        <v>0</v>
      </c>
      <c r="P21" s="291">
        <f ca="1">$B21*(SUM(OFFSET('Financial Quarterly Holdco'!P85,0,0,1,-'Covenants Holdco'!$D$11),OFFSET('Operating quarterly Holdco'!X24,0,0,1,-'Covenants Holdco'!$D$11))+cash_sweep_consol*Stake_Bu1*SUM(OFFSET('Financial Quarterly offshore'!P91,0,0,1,-'Covenants Holdco'!$D$11),OFFSET('Operating quarterly offshore'!X25,0,0,1,-'Covenants Holdco'!$D$11)))</f>
        <v>0</v>
      </c>
      <c r="Q21" s="291">
        <f ca="1">$B21*(SUM(OFFSET('Financial Quarterly Holdco'!Q85,0,0,1,-'Covenants Holdco'!$D$11),OFFSET('Operating quarterly Holdco'!Y24,0,0,1,-'Covenants Holdco'!$D$11))+cash_sweep_consol*Stake_Bu1*SUM(OFFSET('Financial Quarterly offshore'!Q91,0,0,1,-'Covenants Holdco'!$D$11),OFFSET('Operating quarterly offshore'!Y25,0,0,1,-'Covenants Holdco'!$D$11)))</f>
        <v>0</v>
      </c>
      <c r="R21" s="291">
        <f ca="1">$B21*(SUM(OFFSET('Financial Quarterly Holdco'!R85,0,0,1,-'Covenants Holdco'!$D$11),OFFSET('Operating quarterly Holdco'!Z24,0,0,1,-'Covenants Holdco'!$D$11))+cash_sweep_consol*Stake_Bu1*SUM(OFFSET('Financial Quarterly offshore'!R91,0,0,1,-'Covenants Holdco'!$D$11),OFFSET('Operating quarterly offshore'!Z25,0,0,1,-'Covenants Holdco'!$D$11)))</f>
        <v>0</v>
      </c>
      <c r="S21" s="291">
        <f ca="1">$B21*(SUM(OFFSET('Financial Quarterly Holdco'!S85,0,0,1,-'Covenants Holdco'!$D$11),OFFSET('Operating quarterly Holdco'!AA24,0,0,1,-'Covenants Holdco'!$D$11))+cash_sweep_consol*Stake_Bu1*SUM(OFFSET('Financial Quarterly offshore'!S91,0,0,1,-'Covenants Holdco'!$D$11),OFFSET('Operating quarterly offshore'!AA25,0,0,1,-'Covenants Holdco'!$D$11)))</f>
        <v>0</v>
      </c>
      <c r="T21" s="291">
        <f ca="1">$B21*(SUM(OFFSET('Financial Quarterly Holdco'!T85,0,0,1,-'Covenants Holdco'!$D$11),OFFSET('Operating quarterly Holdco'!AB24,0,0,1,-'Covenants Holdco'!$D$11))+cash_sweep_consol*Stake_Bu1*SUM(OFFSET('Financial Quarterly offshore'!T91,0,0,1,-'Covenants Holdco'!$D$11),OFFSET('Operating quarterly offshore'!AB25,0,0,1,-'Covenants Holdco'!$D$11)))</f>
        <v>0</v>
      </c>
      <c r="U21" s="291">
        <f ca="1">$B21*(SUM(OFFSET('Financial Quarterly Holdco'!U85,0,0,1,-'Covenants Holdco'!$D$11),OFFSET('Operating quarterly Holdco'!AC24,0,0,1,-'Covenants Holdco'!$D$11))+cash_sweep_consol*Stake_Bu1*SUM(OFFSET('Financial Quarterly offshore'!U91,0,0,1,-'Covenants Holdco'!$D$11),OFFSET('Operating quarterly offshore'!AC25,0,0,1,-'Covenants Holdco'!$D$11)))</f>
        <v>0</v>
      </c>
      <c r="V21" s="291">
        <f ca="1">$B21*(SUM(OFFSET('Financial Quarterly Holdco'!V85,0,0,1,-'Covenants Holdco'!$D$11),OFFSET('Operating quarterly Holdco'!AD24,0,0,1,-'Covenants Holdco'!$D$11))+cash_sweep_consol*Stake_Bu1*SUM(OFFSET('Financial Quarterly offshore'!V91,0,0,1,-'Covenants Holdco'!$D$11),OFFSET('Operating quarterly offshore'!AD25,0,0,1,-'Covenants Holdco'!$D$11)))</f>
        <v>0</v>
      </c>
      <c r="W21" s="291">
        <f ca="1">$B21*(SUM(OFFSET('Financial Quarterly Holdco'!W85,0,0,1,-'Covenants Holdco'!$D$11),OFFSET('Operating quarterly Holdco'!AE24,0,0,1,-'Covenants Holdco'!$D$11))+cash_sweep_consol*Stake_Bu1*SUM(OFFSET('Financial Quarterly offshore'!W91,0,0,1,-'Covenants Holdco'!$D$11),OFFSET('Operating quarterly offshore'!AE25,0,0,1,-'Covenants Holdco'!$D$11)))</f>
        <v>0</v>
      </c>
      <c r="X21" s="291">
        <f ca="1">$B21*(SUM(OFFSET('Financial Quarterly Holdco'!X85,0,0,1,-'Covenants Holdco'!$D$11),OFFSET('Operating quarterly Holdco'!AF24,0,0,1,-'Covenants Holdco'!$D$11))+cash_sweep_consol*Stake_Bu1*SUM(OFFSET('Financial Quarterly offshore'!X91,0,0,1,-'Covenants Holdco'!$D$11),OFFSET('Operating quarterly offshore'!AF25,0,0,1,-'Covenants Holdco'!$D$11)))</f>
        <v>0</v>
      </c>
      <c r="Y21" s="291">
        <f ca="1">$B21*(SUM(OFFSET('Financial Quarterly Holdco'!Y85,0,0,1,-'Covenants Holdco'!$D$11),OFFSET('Operating quarterly Holdco'!AG24,0,0,1,-'Covenants Holdco'!$D$11))+cash_sweep_consol*Stake_Bu1*SUM(OFFSET('Financial Quarterly offshore'!Y91,0,0,1,-'Covenants Holdco'!$D$11),OFFSET('Operating quarterly offshore'!AG25,0,0,1,-'Covenants Holdco'!$D$11)))</f>
        <v>0</v>
      </c>
      <c r="Z21" s="291">
        <f ca="1">$B21*(SUM(OFFSET('Financial Quarterly Holdco'!Z85,0,0,1,-'Covenants Holdco'!$D$11),OFFSET('Operating quarterly Holdco'!AH24,0,0,1,-'Covenants Holdco'!$D$11))+cash_sweep_consol*Stake_Bu1*SUM(OFFSET('Financial Quarterly offshore'!Z91,0,0,1,-'Covenants Holdco'!$D$11),OFFSET('Operating quarterly offshore'!AH25,0,0,1,-'Covenants Holdco'!$D$11)))</f>
        <v>0</v>
      </c>
      <c r="AA21" s="291">
        <f ca="1">$B21*(SUM(OFFSET('Financial Quarterly Holdco'!AA85,0,0,1,-'Covenants Holdco'!$D$11),OFFSET('Operating quarterly Holdco'!AI24,0,0,1,-'Covenants Holdco'!$D$11))+cash_sweep_consol*Stake_Bu1*SUM(OFFSET('Financial Quarterly offshore'!AA91,0,0,1,-'Covenants Holdco'!$D$11),OFFSET('Operating quarterly offshore'!AI25,0,0,1,-'Covenants Holdco'!$D$11)))</f>
        <v>0</v>
      </c>
      <c r="AB21" s="291" t="e">
        <f ca="1">$B21*(SUM(OFFSET('Financial Quarterly Holdco'!AB85,0,0,1,-'Covenants Holdco'!$D$11),OFFSET('Operating quarterly Holdco'!AJ24,0,0,1,-'Covenants Holdco'!$D$11))+cash_sweep_consol*Stake_Bu1*SUM(OFFSET('Financial Quarterly offshore'!AB91,0,0,1,-'Covenants Holdco'!$D$11),OFFSET('Operating quarterly offshore'!AJ25,0,0,1,-'Covenants Holdco'!$D$11)))</f>
        <v>#N/A</v>
      </c>
      <c r="AC21" s="291" t="e">
        <f ca="1">$B21*(SUM(OFFSET('Financial Quarterly Holdco'!AC85,0,0,1,-'Covenants Holdco'!$D$11),OFFSET('Operating quarterly Holdco'!AK24,0,0,1,-'Covenants Holdco'!$D$11))+cash_sweep_consol*Stake_Bu1*SUM(OFFSET('Financial Quarterly offshore'!AC91,0,0,1,-'Covenants Holdco'!$D$11),OFFSET('Operating quarterly offshore'!AK25,0,0,1,-'Covenants Holdco'!$D$11)))</f>
        <v>#N/A</v>
      </c>
      <c r="AD21" s="291" t="e">
        <f ca="1">$B21*(SUM(OFFSET('Financial Quarterly Holdco'!AD85,0,0,1,-'Covenants Holdco'!$D$11),OFFSET('Operating quarterly Holdco'!AL24,0,0,1,-'Covenants Holdco'!$D$11))+cash_sweep_consol*Stake_Bu1*SUM(OFFSET('Financial Quarterly offshore'!AD91,0,0,1,-'Covenants Holdco'!$D$11),OFFSET('Operating quarterly offshore'!AL25,0,0,1,-'Covenants Holdco'!$D$11)))</f>
        <v>#N/A</v>
      </c>
      <c r="AE21" s="291" t="e">
        <f ca="1">$B21*(SUM(OFFSET('Financial Quarterly Holdco'!AE85,0,0,1,-'Covenants Holdco'!$D$11),OFFSET('Operating quarterly Holdco'!AM24,0,0,1,-'Covenants Holdco'!$D$11))+cash_sweep_consol*Stake_Bu1*SUM(OFFSET('Financial Quarterly offshore'!AE91,0,0,1,-'Covenants Holdco'!$D$11),OFFSET('Operating quarterly offshore'!AM25,0,0,1,-'Covenants Holdco'!$D$11)))</f>
        <v>#N/A</v>
      </c>
      <c r="AF21" s="291" t="e">
        <f ca="1">$B21*(SUM(OFFSET('Financial Quarterly Holdco'!AF85,0,0,1,-'Covenants Holdco'!$D$11),OFFSET('Operating quarterly Holdco'!AN24,0,0,1,-'Covenants Holdco'!$D$11))+cash_sweep_consol*Stake_Bu1*SUM(OFFSET('Financial Quarterly offshore'!AF91,0,0,1,-'Covenants Holdco'!$D$11),OFFSET('Operating quarterly offshore'!AN25,0,0,1,-'Covenants Holdco'!$D$11)))</f>
        <v>#N/A</v>
      </c>
    </row>
    <row r="22" spans="2:32">
      <c r="B22" s="197" t="b">
        <v>1</v>
      </c>
      <c r="C22" s="333" t="s">
        <v>1087</v>
      </c>
      <c r="D22" s="291">
        <v>0</v>
      </c>
      <c r="E22" s="291">
        <v>0</v>
      </c>
      <c r="F22" s="291">
        <v>0</v>
      </c>
      <c r="G22" s="291">
        <v>0</v>
      </c>
      <c r="H22" s="291">
        <v>0</v>
      </c>
      <c r="I22" s="291">
        <v>0</v>
      </c>
      <c r="J22" s="291">
        <v>0</v>
      </c>
      <c r="K22" s="291">
        <v>0</v>
      </c>
      <c r="L22" s="291">
        <v>0</v>
      </c>
      <c r="M22" s="291">
        <v>0</v>
      </c>
      <c r="N22" s="291">
        <v>0</v>
      </c>
      <c r="O22" s="291">
        <v>0</v>
      </c>
      <c r="P22" s="291">
        <v>0</v>
      </c>
      <c r="Q22" s="291">
        <v>0</v>
      </c>
      <c r="R22" s="291">
        <v>0</v>
      </c>
      <c r="S22" s="291">
        <v>0</v>
      </c>
      <c r="T22" s="291">
        <v>0</v>
      </c>
      <c r="U22" s="291">
        <v>0</v>
      </c>
      <c r="V22" s="291">
        <v>0</v>
      </c>
      <c r="W22" s="291">
        <v>0</v>
      </c>
      <c r="X22" s="291">
        <v>0</v>
      </c>
      <c r="Y22" s="291">
        <v>0</v>
      </c>
      <c r="Z22" s="291">
        <v>0</v>
      </c>
      <c r="AA22" s="291">
        <v>0</v>
      </c>
      <c r="AB22" s="291">
        <v>0</v>
      </c>
      <c r="AC22" s="291">
        <v>0</v>
      </c>
      <c r="AD22" s="291">
        <v>0</v>
      </c>
      <c r="AE22" s="291">
        <v>0</v>
      </c>
      <c r="AF22" s="291">
        <v>0</v>
      </c>
    </row>
    <row r="23" spans="2:32">
      <c r="B23" s="197" t="b">
        <v>1</v>
      </c>
      <c r="C23" s="302" t="s">
        <v>812</v>
      </c>
      <c r="D23" s="291">
        <f ca="1">$B23*(SUM(OFFSET('Operating quarterly Holdco'!L28,0,0,1,-'Covenants Holdco'!$D$11))+cash_sweep_consol*SUM(OFFSET('Operating quarterly offshore'!L24,0,0,1,-'Covenants Holdco'!$D$11)))</f>
        <v>0</v>
      </c>
      <c r="E23" s="291">
        <f ca="1">$B23*(SUM(OFFSET('Operating quarterly Holdco'!M28,0,0,1,-'Covenants Holdco'!$D$11))+cash_sweep_consol*SUM(OFFSET('Operating quarterly offshore'!M24,0,0,1,-'Covenants Holdco'!$D$11)))</f>
        <v>0</v>
      </c>
      <c r="F23" s="291">
        <f ca="1">$B23*(SUM(OFFSET('Operating quarterly Holdco'!N28,0,0,1,-'Covenants Holdco'!$D$11))+cash_sweep_consol*SUM(OFFSET('Operating quarterly offshore'!N24,0,0,1,-'Covenants Holdco'!$D$11)))</f>
        <v>0</v>
      </c>
      <c r="G23" s="291">
        <f ca="1">$B23*(SUM(OFFSET('Operating quarterly Holdco'!O28,0,0,1,-'Covenants Holdco'!$D$11))+cash_sweep_consol*SUM(OFFSET('Operating quarterly offshore'!O24,0,0,1,-'Covenants Holdco'!$D$11)))</f>
        <v>0</v>
      </c>
      <c r="H23" s="291">
        <f ca="1">$B23*(SUM(OFFSET('Operating quarterly Holdco'!P28,0,0,1,-'Covenants Holdco'!$D$11))+cash_sweep_consol*SUM(OFFSET('Operating quarterly offshore'!P24,0,0,1,-'Covenants Holdco'!$D$11)))</f>
        <v>0</v>
      </c>
      <c r="I23" s="291">
        <f ca="1">$B23*(SUM(OFFSET('Operating quarterly Holdco'!Q28,0,0,1,-'Covenants Holdco'!$D$11))+cash_sweep_consol*SUM(OFFSET('Operating quarterly offshore'!Q24,0,0,1,-'Covenants Holdco'!$D$11)))</f>
        <v>0</v>
      </c>
      <c r="J23" s="291">
        <f ca="1">$B23*(SUM(OFFSET('Operating quarterly Holdco'!R28,0,0,1,-'Covenants Holdco'!$D$11))+cash_sweep_consol*SUM(OFFSET('Operating quarterly offshore'!R24,0,0,1,-'Covenants Holdco'!$D$11)))</f>
        <v>0</v>
      </c>
      <c r="K23" s="291">
        <f ca="1">$B23*(SUM(OFFSET('Operating quarterly Holdco'!S28,0,0,1,-'Covenants Holdco'!$D$11))+cash_sweep_consol*SUM(OFFSET('Operating quarterly offshore'!S24,0,0,1,-'Covenants Holdco'!$D$11)))</f>
        <v>0</v>
      </c>
      <c r="L23" s="291">
        <f ca="1">$B23*(SUM(OFFSET('Operating quarterly Holdco'!T28,0,0,1,-'Covenants Holdco'!$D$11))+cash_sweep_consol*SUM(OFFSET('Operating quarterly offshore'!T24,0,0,1,-'Covenants Holdco'!$D$11)))</f>
        <v>0</v>
      </c>
      <c r="M23" s="291">
        <f ca="1">$B23*(SUM(OFFSET('Operating quarterly Holdco'!U28,0,0,1,-'Covenants Holdco'!$D$11))+cash_sweep_consol*SUM(OFFSET('Operating quarterly offshore'!U24,0,0,1,-'Covenants Holdco'!$D$11)))</f>
        <v>0</v>
      </c>
      <c r="N23" s="291">
        <f ca="1">$B23*(SUM(OFFSET('Operating quarterly Holdco'!V28,0,0,1,-'Covenants Holdco'!$D$11))+cash_sweep_consol*SUM(OFFSET('Operating quarterly offshore'!V24,0,0,1,-'Covenants Holdco'!$D$11)))</f>
        <v>0</v>
      </c>
      <c r="O23" s="291">
        <f ca="1">$B23*(SUM(OFFSET('Operating quarterly Holdco'!W28,0,0,1,-'Covenants Holdco'!$D$11))+cash_sweep_consol*SUM(OFFSET('Operating quarterly offshore'!W24,0,0,1,-'Covenants Holdco'!$D$11)))</f>
        <v>0</v>
      </c>
      <c r="P23" s="291">
        <f ca="1">$B23*(SUM(OFFSET('Operating quarterly Holdco'!X28,0,0,1,-'Covenants Holdco'!$D$11))+cash_sweep_consol*SUM(OFFSET('Operating quarterly offshore'!X24,0,0,1,-'Covenants Holdco'!$D$11)))</f>
        <v>0</v>
      </c>
      <c r="Q23" s="291">
        <f ca="1">$B23*(SUM(OFFSET('Operating quarterly Holdco'!Y28,0,0,1,-'Covenants Holdco'!$D$11))+cash_sweep_consol*SUM(OFFSET('Operating quarterly offshore'!Y24,0,0,1,-'Covenants Holdco'!$D$11)))</f>
        <v>0</v>
      </c>
      <c r="R23" s="291">
        <f ca="1">$B23*(SUM(OFFSET('Operating quarterly Holdco'!Z28,0,0,1,-'Covenants Holdco'!$D$11))+cash_sweep_consol*SUM(OFFSET('Operating quarterly offshore'!Z24,0,0,1,-'Covenants Holdco'!$D$11)))</f>
        <v>0</v>
      </c>
      <c r="S23" s="291">
        <f ca="1">$B23*(SUM(OFFSET('Operating quarterly Holdco'!AA28,0,0,1,-'Covenants Holdco'!$D$11))+cash_sweep_consol*SUM(OFFSET('Operating quarterly offshore'!AA24,0,0,1,-'Covenants Holdco'!$D$11)))</f>
        <v>0</v>
      </c>
      <c r="T23" s="291">
        <f ca="1">$B23*(SUM(OFFSET('Operating quarterly Holdco'!AB28,0,0,1,-'Covenants Holdco'!$D$11))+cash_sweep_consol*SUM(OFFSET('Operating quarterly offshore'!AB24,0,0,1,-'Covenants Holdco'!$D$11)))</f>
        <v>0</v>
      </c>
      <c r="U23" s="291">
        <f ca="1">$B23*(SUM(OFFSET('Operating quarterly Holdco'!AC28,0,0,1,-'Covenants Holdco'!$D$11))+cash_sweep_consol*SUM(OFFSET('Operating quarterly offshore'!AC24,0,0,1,-'Covenants Holdco'!$D$11)))</f>
        <v>0</v>
      </c>
      <c r="V23" s="291">
        <f ca="1">$B23*(SUM(OFFSET('Operating quarterly Holdco'!AD28,0,0,1,-'Covenants Holdco'!$D$11))+cash_sweep_consol*SUM(OFFSET('Operating quarterly offshore'!AD24,0,0,1,-'Covenants Holdco'!$D$11)))</f>
        <v>0</v>
      </c>
      <c r="W23" s="291">
        <f ca="1">$B23*(SUM(OFFSET('Operating quarterly Holdco'!AE28,0,0,1,-'Covenants Holdco'!$D$11))+cash_sweep_consol*SUM(OFFSET('Operating quarterly offshore'!AE24,0,0,1,-'Covenants Holdco'!$D$11)))</f>
        <v>0</v>
      </c>
      <c r="X23" s="291">
        <f ca="1">$B23*(SUM(OFFSET('Operating quarterly Holdco'!AF28,0,0,1,-'Covenants Holdco'!$D$11))+cash_sweep_consol*SUM(OFFSET('Operating quarterly offshore'!AF24,0,0,1,-'Covenants Holdco'!$D$11)))</f>
        <v>0</v>
      </c>
      <c r="Y23" s="291">
        <f ca="1">$B23*(SUM(OFFSET('Operating quarterly Holdco'!AG28,0,0,1,-'Covenants Holdco'!$D$11))+cash_sweep_consol*SUM(OFFSET('Operating quarterly offshore'!AG24,0,0,1,-'Covenants Holdco'!$D$11)))</f>
        <v>0</v>
      </c>
      <c r="Z23" s="291">
        <f ca="1">$B23*(SUM(OFFSET('Operating quarterly Holdco'!AH28,0,0,1,-'Covenants Holdco'!$D$11))+cash_sweep_consol*SUM(OFFSET('Operating quarterly offshore'!AH24,0,0,1,-'Covenants Holdco'!$D$11)))</f>
        <v>0</v>
      </c>
      <c r="AA23" s="291">
        <f ca="1">$B23*(SUM(OFFSET('Operating quarterly Holdco'!AI28,0,0,1,-'Covenants Holdco'!$D$11))+cash_sweep_consol*SUM(OFFSET('Operating quarterly offshore'!AI24,0,0,1,-'Covenants Holdco'!$D$11)))</f>
        <v>0</v>
      </c>
      <c r="AB23" s="291" t="e">
        <f ca="1">$B23*(SUM(OFFSET('Operating quarterly Holdco'!AJ28,0,0,1,-'Covenants Holdco'!$D$11))+cash_sweep_consol*SUM(OFFSET('Operating quarterly offshore'!AJ24,0,0,1,-'Covenants Holdco'!$D$11)))</f>
        <v>#N/A</v>
      </c>
      <c r="AC23" s="291" t="e">
        <f ca="1">$B23*(SUM(OFFSET('Operating quarterly Holdco'!AK28,0,0,1,-'Covenants Holdco'!$D$11))+cash_sweep_consol*SUM(OFFSET('Operating quarterly offshore'!AK24,0,0,1,-'Covenants Holdco'!$D$11)))</f>
        <v>#N/A</v>
      </c>
      <c r="AD23" s="291" t="e">
        <f ca="1">$B23*(SUM(OFFSET('Operating quarterly Holdco'!AL28,0,0,1,-'Covenants Holdco'!$D$11))+cash_sweep_consol*SUM(OFFSET('Operating quarterly offshore'!AL24,0,0,1,-'Covenants Holdco'!$D$11)))</f>
        <v>#N/A</v>
      </c>
      <c r="AE23" s="291" t="e">
        <f ca="1">$B23*(SUM(OFFSET('Operating quarterly Holdco'!AM28,0,0,1,-'Covenants Holdco'!$D$11))+cash_sweep_consol*SUM(OFFSET('Operating quarterly offshore'!AM24,0,0,1,-'Covenants Holdco'!$D$11)))</f>
        <v>#N/A</v>
      </c>
      <c r="AF23" s="291" t="e">
        <f ca="1">$B23*(SUM(OFFSET('Operating quarterly Holdco'!AN28,0,0,1,-'Covenants Holdco'!$D$11))+cash_sweep_consol*SUM(OFFSET('Operating quarterly offshore'!AN24,0,0,1,-'Covenants Holdco'!$D$11)))</f>
        <v>#N/A</v>
      </c>
    </row>
    <row r="24" spans="2:32">
      <c r="B24" s="197" t="b">
        <v>1</v>
      </c>
      <c r="C24" s="302" t="s">
        <v>864</v>
      </c>
      <c r="D24" s="291">
        <f>$B24*(-'Financial Quarterly Holdco'!D79-cash_sweep_consol*'Financial Quarterly offshore'!D80)</f>
        <v>0</v>
      </c>
      <c r="E24" s="291">
        <f ca="1">$B24*(-'Financial Quarterly Holdco'!E79-cash_sweep_consol*'Financial Quarterly offshore'!E80)</f>
        <v>0</v>
      </c>
      <c r="F24" s="291">
        <f ca="1">$B24*(-'Financial Quarterly Holdco'!F79-cash_sweep_consol*'Financial Quarterly offshore'!F80)</f>
        <v>0</v>
      </c>
      <c r="G24" s="291">
        <f ca="1">$B24*(-'Financial Quarterly Holdco'!G79-cash_sweep_consol*'Financial Quarterly offshore'!G80)</f>
        <v>0</v>
      </c>
      <c r="H24" s="291">
        <f ca="1">$B24*(-'Financial Quarterly Holdco'!H79-cash_sweep_consol*'Financial Quarterly offshore'!H80)</f>
        <v>0</v>
      </c>
      <c r="I24" s="291">
        <f ca="1">$B24*(-'Financial Quarterly Holdco'!I79-cash_sweep_consol*'Financial Quarterly offshore'!I80)</f>
        <v>0</v>
      </c>
      <c r="J24" s="291">
        <f ca="1">$B24*(-'Financial Quarterly Holdco'!J79-cash_sweep_consol*'Financial Quarterly offshore'!J80)</f>
        <v>0</v>
      </c>
      <c r="K24" s="291">
        <f ca="1">$B24*(-'Financial Quarterly Holdco'!K79-cash_sweep_consol*'Financial Quarterly offshore'!K80)</f>
        <v>0</v>
      </c>
      <c r="L24" s="291">
        <f ca="1">$B24*(-'Financial Quarterly Holdco'!L79-cash_sweep_consol*'Financial Quarterly offshore'!L80)</f>
        <v>0</v>
      </c>
      <c r="M24" s="291">
        <f ca="1">$B24*(-'Financial Quarterly Holdco'!M79-cash_sweep_consol*'Financial Quarterly offshore'!M80)</f>
        <v>0</v>
      </c>
      <c r="N24" s="291">
        <f ca="1">$B24*(-'Financial Quarterly Holdco'!N79-cash_sweep_consol*'Financial Quarterly offshore'!N80)</f>
        <v>0</v>
      </c>
      <c r="O24" s="291">
        <f ca="1">$B24*(-'Financial Quarterly Holdco'!O79-cash_sweep_consol*'Financial Quarterly offshore'!O80)</f>
        <v>0</v>
      </c>
      <c r="P24" s="291">
        <f ca="1">$B24*(-'Financial Quarterly Holdco'!P79-cash_sweep_consol*'Financial Quarterly offshore'!P80)</f>
        <v>0</v>
      </c>
      <c r="Q24" s="291">
        <f ca="1">$B24*(-'Financial Quarterly Holdco'!Q79-cash_sweep_consol*'Financial Quarterly offshore'!Q80)</f>
        <v>0</v>
      </c>
      <c r="R24" s="291">
        <f ca="1">$B24*(-'Financial Quarterly Holdco'!R79-cash_sweep_consol*'Financial Quarterly offshore'!R80)</f>
        <v>0</v>
      </c>
      <c r="S24" s="291">
        <f ca="1">$B24*(-'Financial Quarterly Holdco'!S79-cash_sweep_consol*'Financial Quarterly offshore'!S80)</f>
        <v>0</v>
      </c>
      <c r="T24" s="291">
        <f ca="1">$B24*(-'Financial Quarterly Holdco'!T79-cash_sweep_consol*'Financial Quarterly offshore'!T80)</f>
        <v>0</v>
      </c>
      <c r="U24" s="291">
        <f ca="1">$B24*(-'Financial Quarterly Holdco'!U79-cash_sweep_consol*'Financial Quarterly offshore'!U80)</f>
        <v>0</v>
      </c>
      <c r="V24" s="291">
        <f ca="1">$B24*(-'Financial Quarterly Holdco'!V79-cash_sweep_consol*'Financial Quarterly offshore'!V80)</f>
        <v>0</v>
      </c>
      <c r="W24" s="291">
        <f ca="1">$B24*(-'Financial Quarterly Holdco'!W79-cash_sweep_consol*'Financial Quarterly offshore'!W80)</f>
        <v>0</v>
      </c>
      <c r="X24" s="291">
        <f ca="1">$B24*(-'Financial Quarterly Holdco'!X79-cash_sweep_consol*'Financial Quarterly offshore'!X80)</f>
        <v>0</v>
      </c>
      <c r="Y24" s="291">
        <f ca="1">$B24*(-'Financial Quarterly Holdco'!Y79-cash_sweep_consol*'Financial Quarterly offshore'!Y80)</f>
        <v>0</v>
      </c>
      <c r="Z24" s="291">
        <f ca="1">$B24*(-'Financial Quarterly Holdco'!Z79-cash_sweep_consol*'Financial Quarterly offshore'!Z80)</f>
        <v>0</v>
      </c>
      <c r="AA24" s="291">
        <f ca="1">$B24*(-'Financial Quarterly Holdco'!AA79-cash_sweep_consol*'Financial Quarterly offshore'!AA80)</f>
        <v>0</v>
      </c>
      <c r="AB24" s="291" t="e">
        <f ca="1">$B24*(-'Financial Quarterly Holdco'!AB79-cash_sweep_consol*'Financial Quarterly offshore'!AB80)</f>
        <v>#N/A</v>
      </c>
      <c r="AC24" s="291" t="e">
        <f ca="1">$B24*(-'Financial Quarterly Holdco'!AC79-cash_sweep_consol*'Financial Quarterly offshore'!AC80)</f>
        <v>#N/A</v>
      </c>
      <c r="AD24" s="291" t="e">
        <f ca="1">$B24*(-'Financial Quarterly Holdco'!AD79-cash_sweep_consol*'Financial Quarterly offshore'!AD80)</f>
        <v>#N/A</v>
      </c>
      <c r="AE24" s="291" t="e">
        <f ca="1">$B24*(-'Financial Quarterly Holdco'!AE79-cash_sweep_consol*'Financial Quarterly offshore'!AE80)</f>
        <v>#N/A</v>
      </c>
      <c r="AF24" s="291" t="e">
        <f ca="1">$B24*(-'Financial Quarterly Holdco'!AF79-cash_sweep_consol*'Financial Quarterly offshore'!AF80)</f>
        <v>#N/A</v>
      </c>
    </row>
    <row r="25" spans="2:32">
      <c r="B25" s="197" t="b">
        <v>1</v>
      </c>
      <c r="C25" s="303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</row>
    <row r="26" spans="2:32">
      <c r="C26" s="199" t="s">
        <v>806</v>
      </c>
      <c r="D26" s="199">
        <f ca="1">SUM(D13:D25)</f>
        <v>0</v>
      </c>
      <c r="E26" s="199">
        <f t="shared" ref="E26:AB26" ca="1" si="14">SUM(E13:E25)</f>
        <v>0</v>
      </c>
      <c r="F26" s="199">
        <f t="shared" ca="1" si="14"/>
        <v>0</v>
      </c>
      <c r="G26" s="199">
        <f ca="1">SUM(G13:G25)</f>
        <v>0</v>
      </c>
      <c r="H26" s="199">
        <f t="shared" ca="1" si="14"/>
        <v>0</v>
      </c>
      <c r="I26" s="199">
        <f t="shared" ca="1" si="14"/>
        <v>0</v>
      </c>
      <c r="J26" s="199">
        <f t="shared" ca="1" si="14"/>
        <v>0</v>
      </c>
      <c r="K26" s="199">
        <f t="shared" ca="1" si="14"/>
        <v>0</v>
      </c>
      <c r="L26" s="199">
        <f t="shared" ca="1" si="14"/>
        <v>0</v>
      </c>
      <c r="M26" s="199">
        <f t="shared" ca="1" si="14"/>
        <v>0</v>
      </c>
      <c r="N26" s="199">
        <f t="shared" ca="1" si="14"/>
        <v>0</v>
      </c>
      <c r="O26" s="199">
        <f t="shared" ca="1" si="14"/>
        <v>0</v>
      </c>
      <c r="P26" s="199">
        <f t="shared" ca="1" si="14"/>
        <v>0</v>
      </c>
      <c r="Q26" s="199">
        <f t="shared" ca="1" si="14"/>
        <v>0</v>
      </c>
      <c r="R26" s="199">
        <f t="shared" ca="1" si="14"/>
        <v>0</v>
      </c>
      <c r="S26" s="199">
        <f t="shared" ca="1" si="14"/>
        <v>0</v>
      </c>
      <c r="T26" s="199">
        <f t="shared" ca="1" si="14"/>
        <v>0</v>
      </c>
      <c r="U26" s="199">
        <f t="shared" ca="1" si="14"/>
        <v>0</v>
      </c>
      <c r="V26" s="199">
        <f t="shared" ca="1" si="14"/>
        <v>0</v>
      </c>
      <c r="W26" s="199">
        <f t="shared" ca="1" si="14"/>
        <v>0</v>
      </c>
      <c r="X26" s="199">
        <f t="shared" ca="1" si="14"/>
        <v>0</v>
      </c>
      <c r="Y26" s="199">
        <f t="shared" ca="1" si="14"/>
        <v>0</v>
      </c>
      <c r="Z26" s="199">
        <f t="shared" ca="1" si="14"/>
        <v>0</v>
      </c>
      <c r="AA26" s="199">
        <f t="shared" ca="1" si="14"/>
        <v>0</v>
      </c>
      <c r="AB26" s="199" t="e">
        <f t="shared" ca="1" si="14"/>
        <v>#VALUE!</v>
      </c>
      <c r="AC26" s="199" t="e">
        <f t="shared" ref="AC26:AF26" ca="1" si="15">SUM(AC13:AC25)</f>
        <v>#VALUE!</v>
      </c>
      <c r="AD26" s="199" t="e">
        <f t="shared" ca="1" si="15"/>
        <v>#VALUE!</v>
      </c>
      <c r="AE26" s="199" t="e">
        <f t="shared" ca="1" si="15"/>
        <v>#VALUE!</v>
      </c>
      <c r="AF26" s="199" t="e">
        <f t="shared" ca="1" si="15"/>
        <v>#VALUE!</v>
      </c>
    </row>
    <row r="27" spans="2:32">
      <c r="C27" s="214" t="str">
        <f>'Financing assumptions Holdco'!H70</f>
        <v>Senior Net leverage</v>
      </c>
      <c r="D27" s="261" t="str">
        <f>CHOOSE('Financing assumptions Holdco'!$J$10,INDEX('Covenants Consolidated'!D$43:D$87,MATCH('Financing assumptions Holdco'!$H70,'Covenants Consolidated'!$C$43:$C$87,0)),INDEX('Covenants Holdco'!D$43:D$87,MATCH('Financing assumptions Holdco'!$H70,'Covenants Holdco'!$C$43:$C$87,0)))</f>
        <v>na</v>
      </c>
      <c r="E27" s="261" t="str">
        <f>CHOOSE('Financing assumptions Holdco'!$J$10,INDEX('Covenants Consolidated'!E$43:E$87,MATCH('Financing assumptions Holdco'!$H70,'Covenants Consolidated'!$C$43:$C$87,0)),INDEX('Covenants Holdco'!E$43:E$87,MATCH('Financing assumptions Holdco'!$H70,'Covenants Holdco'!$C$43:$C$87,0)))</f>
        <v>na</v>
      </c>
      <c r="F27" s="261" t="str">
        <f>CHOOSE('Financing assumptions Holdco'!$J$10,INDEX('Covenants Consolidated'!F$43:F$87,MATCH('Financing assumptions Holdco'!$H70,'Covenants Consolidated'!$C$43:$C$87,0)),INDEX('Covenants Holdco'!F$43:F$87,MATCH('Financing assumptions Holdco'!$H70,'Covenants Holdco'!$C$43:$C$87,0)))</f>
        <v>na</v>
      </c>
      <c r="G27" s="261" t="e">
        <f ca="1">CHOOSE('Financing assumptions Holdco'!$J$10,INDEX('Covenants Consolidated'!G$43:G$87,MATCH('Financing assumptions Holdco'!$H70,'Covenants Consolidated'!$C$43:$C$87,0)),INDEX('Covenants Holdco'!G$43:G$87,MATCH('Financing assumptions Holdco'!$H70,'Covenants Holdco'!$C$43:$C$87,0)))</f>
        <v>#DIV/0!</v>
      </c>
      <c r="H27" s="261" t="e">
        <f ca="1">CHOOSE('Financing assumptions Holdco'!$J$10,INDEX('Covenants Consolidated'!H$43:H$87,MATCH('Financing assumptions Holdco'!$H70,'Covenants Consolidated'!$C$43:$C$87,0)),INDEX('Covenants Holdco'!H$43:H$87,MATCH('Financing assumptions Holdco'!$H70,'Covenants Holdco'!$C$43:$C$87,0)))</f>
        <v>#DIV/0!</v>
      </c>
      <c r="I27" s="261" t="e">
        <f ca="1">CHOOSE('Financing assumptions Holdco'!$J$10,INDEX('Covenants Consolidated'!I$43:I$87,MATCH('Financing assumptions Holdco'!$H70,'Covenants Consolidated'!$C$43:$C$87,0)),INDEX('Covenants Holdco'!I$43:I$87,MATCH('Financing assumptions Holdco'!$H70,'Covenants Holdco'!$C$43:$C$87,0)))</f>
        <v>#DIV/0!</v>
      </c>
      <c r="J27" s="261" t="e">
        <f ca="1">CHOOSE('Financing assumptions Holdco'!$J$10,INDEX('Covenants Consolidated'!J$43:J$87,MATCH('Financing assumptions Holdco'!$H70,'Covenants Consolidated'!$C$43:$C$87,0)),INDEX('Covenants Holdco'!J$43:J$87,MATCH('Financing assumptions Holdco'!$H70,'Covenants Holdco'!$C$43:$C$87,0)))</f>
        <v>#DIV/0!</v>
      </c>
      <c r="K27" s="261" t="e">
        <f ca="1">CHOOSE('Financing assumptions Holdco'!$J$10,INDEX('Covenants Consolidated'!K$43:K$87,MATCH('Financing assumptions Holdco'!$H70,'Covenants Consolidated'!$C$43:$C$87,0)),INDEX('Covenants Holdco'!K$43:K$87,MATCH('Financing assumptions Holdco'!$H70,'Covenants Holdco'!$C$43:$C$87,0)))</f>
        <v>#DIV/0!</v>
      </c>
      <c r="L27" s="261" t="e">
        <f ca="1">CHOOSE('Financing assumptions Holdco'!$J$10,INDEX('Covenants Consolidated'!L$43:L$87,MATCH('Financing assumptions Holdco'!$H70,'Covenants Consolidated'!$C$43:$C$87,0)),INDEX('Covenants Holdco'!L$43:L$87,MATCH('Financing assumptions Holdco'!$H70,'Covenants Holdco'!$C$43:$C$87,0)))</f>
        <v>#DIV/0!</v>
      </c>
      <c r="M27" s="261" t="e">
        <f ca="1">CHOOSE('Financing assumptions Holdco'!$J$10,INDEX('Covenants Consolidated'!M$43:M$87,MATCH('Financing assumptions Holdco'!$H70,'Covenants Consolidated'!$C$43:$C$87,0)),INDEX('Covenants Holdco'!M$43:M$87,MATCH('Financing assumptions Holdco'!$H70,'Covenants Holdco'!$C$43:$C$87,0)))</f>
        <v>#DIV/0!</v>
      </c>
      <c r="N27" s="261" t="e">
        <f ca="1">CHOOSE('Financing assumptions Holdco'!$J$10,INDEX('Covenants Consolidated'!N$43:N$87,MATCH('Financing assumptions Holdco'!$H70,'Covenants Consolidated'!$C$43:$C$87,0)),INDEX('Covenants Holdco'!N$43:N$87,MATCH('Financing assumptions Holdco'!$H70,'Covenants Holdco'!$C$43:$C$87,0)))</f>
        <v>#DIV/0!</v>
      </c>
      <c r="O27" s="261" t="e">
        <f ca="1">CHOOSE('Financing assumptions Holdco'!$J$10,INDEX('Covenants Consolidated'!O$43:O$87,MATCH('Financing assumptions Holdco'!$H70,'Covenants Consolidated'!$C$43:$C$87,0)),INDEX('Covenants Holdco'!O$43:O$87,MATCH('Financing assumptions Holdco'!$H70,'Covenants Holdco'!$C$43:$C$87,0)))</f>
        <v>#DIV/0!</v>
      </c>
      <c r="P27" s="261" t="e">
        <f ca="1">CHOOSE('Financing assumptions Holdco'!$J$10,INDEX('Covenants Consolidated'!P$43:P$87,MATCH('Financing assumptions Holdco'!$H70,'Covenants Consolidated'!$C$43:$C$87,0)),INDEX('Covenants Holdco'!P$43:P$87,MATCH('Financing assumptions Holdco'!$H70,'Covenants Holdco'!$C$43:$C$87,0)))</f>
        <v>#DIV/0!</v>
      </c>
      <c r="Q27" s="261" t="e">
        <f ca="1">CHOOSE('Financing assumptions Holdco'!$J$10,INDEX('Covenants Consolidated'!Q$43:Q$87,MATCH('Financing assumptions Holdco'!$H70,'Covenants Consolidated'!$C$43:$C$87,0)),INDEX('Covenants Holdco'!Q$43:Q$87,MATCH('Financing assumptions Holdco'!$H70,'Covenants Holdco'!$C$43:$C$87,0)))</f>
        <v>#DIV/0!</v>
      </c>
      <c r="R27" s="261" t="e">
        <f ca="1">CHOOSE('Financing assumptions Holdco'!$J$10,INDEX('Covenants Consolidated'!R$43:R$87,MATCH('Financing assumptions Holdco'!$H70,'Covenants Consolidated'!$C$43:$C$87,0)),INDEX('Covenants Holdco'!R$43:R$87,MATCH('Financing assumptions Holdco'!$H70,'Covenants Holdco'!$C$43:$C$87,0)))</f>
        <v>#DIV/0!</v>
      </c>
      <c r="S27" s="261" t="e">
        <f ca="1">CHOOSE('Financing assumptions Holdco'!$J$10,INDEX('Covenants Consolidated'!S$43:S$87,MATCH('Financing assumptions Holdco'!$H70,'Covenants Consolidated'!$C$43:$C$87,0)),INDEX('Covenants Holdco'!S$43:S$87,MATCH('Financing assumptions Holdco'!$H70,'Covenants Holdco'!$C$43:$C$87,0)))</f>
        <v>#DIV/0!</v>
      </c>
      <c r="T27" s="261" t="e">
        <f ca="1">CHOOSE('Financing assumptions Holdco'!$J$10,INDEX('Covenants Consolidated'!T$43:T$87,MATCH('Financing assumptions Holdco'!$H70,'Covenants Consolidated'!$C$43:$C$87,0)),INDEX('Covenants Holdco'!T$43:T$87,MATCH('Financing assumptions Holdco'!$H70,'Covenants Holdco'!$C$43:$C$87,0)))</f>
        <v>#DIV/0!</v>
      </c>
      <c r="U27" s="261" t="e">
        <f ca="1">CHOOSE('Financing assumptions Holdco'!$J$10,INDEX('Covenants Consolidated'!U$43:U$87,MATCH('Financing assumptions Holdco'!$H70,'Covenants Consolidated'!$C$43:$C$87,0)),INDEX('Covenants Holdco'!U$43:U$87,MATCH('Financing assumptions Holdco'!$H70,'Covenants Holdco'!$C$43:$C$87,0)))</f>
        <v>#DIV/0!</v>
      </c>
      <c r="V27" s="261" t="e">
        <f ca="1">CHOOSE('Financing assumptions Holdco'!$J$10,INDEX('Covenants Consolidated'!V$43:V$87,MATCH('Financing assumptions Holdco'!$H70,'Covenants Consolidated'!$C$43:$C$87,0)),INDEX('Covenants Holdco'!V$43:V$87,MATCH('Financing assumptions Holdco'!$H70,'Covenants Holdco'!$C$43:$C$87,0)))</f>
        <v>#DIV/0!</v>
      </c>
      <c r="W27" s="261" t="e">
        <f ca="1">CHOOSE('Financing assumptions Holdco'!$J$10,INDEX('Covenants Consolidated'!W$43:W$87,MATCH('Financing assumptions Holdco'!$H70,'Covenants Consolidated'!$C$43:$C$87,0)),INDEX('Covenants Holdco'!W$43:W$87,MATCH('Financing assumptions Holdco'!$H70,'Covenants Holdco'!$C$43:$C$87,0)))</f>
        <v>#DIV/0!</v>
      </c>
      <c r="X27" s="261" t="e">
        <f ca="1">CHOOSE('Financing assumptions Holdco'!$J$10,INDEX('Covenants Consolidated'!X$43:X$87,MATCH('Financing assumptions Holdco'!$H70,'Covenants Consolidated'!$C$43:$C$87,0)),INDEX('Covenants Holdco'!X$43:X$87,MATCH('Financing assumptions Holdco'!$H70,'Covenants Holdco'!$C$43:$C$87,0)))</f>
        <v>#DIV/0!</v>
      </c>
      <c r="Y27" s="261" t="e">
        <f ca="1">CHOOSE('Financing assumptions Holdco'!$J$10,INDEX('Covenants Consolidated'!Y$43:Y$87,MATCH('Financing assumptions Holdco'!$H70,'Covenants Consolidated'!$C$43:$C$87,0)),INDEX('Covenants Holdco'!Y$43:Y$87,MATCH('Financing assumptions Holdco'!$H70,'Covenants Holdco'!$C$43:$C$87,0)))</f>
        <v>#DIV/0!</v>
      </c>
      <c r="Z27" s="261" t="e">
        <f ca="1">CHOOSE('Financing assumptions Holdco'!$J$10,INDEX('Covenants Consolidated'!Z$43:Z$87,MATCH('Financing assumptions Holdco'!$H70,'Covenants Consolidated'!$C$43:$C$87,0)),INDEX('Covenants Holdco'!Z$43:Z$87,MATCH('Financing assumptions Holdco'!$H70,'Covenants Holdco'!$C$43:$C$87,0)))</f>
        <v>#DIV/0!</v>
      </c>
      <c r="AA27" s="261" t="e">
        <f ca="1">CHOOSE('Financing assumptions Holdco'!$J$10,INDEX('Covenants Consolidated'!AA$43:AA$87,MATCH('Financing assumptions Holdco'!$H70,'Covenants Consolidated'!$C$43:$C$87,0)),INDEX('Covenants Holdco'!AA$43:AA$87,MATCH('Financing assumptions Holdco'!$H70,'Covenants Holdco'!$C$43:$C$87,0)))</f>
        <v>#DIV/0!</v>
      </c>
      <c r="AB27" s="261" t="e">
        <f ca="1">CHOOSE('Financing assumptions Holdco'!$J$10,INDEX('Covenants Consolidated'!AB$43:AB$87,MATCH('Financing assumptions Holdco'!$H70,'Covenants Consolidated'!$C$43:$C$87,0)),INDEX('Covenants Holdco'!AB$43:AB$87,MATCH('Financing assumptions Holdco'!$H70,'Covenants Holdco'!$C$43:$C$87,0)))</f>
        <v>#N/A</v>
      </c>
      <c r="AC27" s="261" t="e">
        <f ca="1">CHOOSE('Financing assumptions Holdco'!$J$10,INDEX('Covenants Consolidated'!AC$43:AC$87,MATCH('Financing assumptions Holdco'!$H70,'Covenants Consolidated'!$C$43:$C$87,0)),INDEX('Covenants Holdco'!AC$43:AC$87,MATCH('Financing assumptions Holdco'!$H70,'Covenants Holdco'!$C$43:$C$87,0)))</f>
        <v>#N/A</v>
      </c>
      <c r="AD27" s="261" t="e">
        <f ca="1">CHOOSE('Financing assumptions Holdco'!$J$10,INDEX('Covenants Consolidated'!AD$43:AD$87,MATCH('Financing assumptions Holdco'!$H70,'Covenants Consolidated'!$C$43:$C$87,0)),INDEX('Covenants Holdco'!AD$43:AD$87,MATCH('Financing assumptions Holdco'!$H70,'Covenants Holdco'!$C$43:$C$87,0)))</f>
        <v>#N/A</v>
      </c>
      <c r="AE27" s="261" t="e">
        <f ca="1">CHOOSE('Financing assumptions Holdco'!$J$10,INDEX('Covenants Consolidated'!AE$43:AE$87,MATCH('Financing assumptions Holdco'!$H70,'Covenants Consolidated'!$C$43:$C$87,0)),INDEX('Covenants Holdco'!AE$43:AE$87,MATCH('Financing assumptions Holdco'!$H70,'Covenants Holdco'!$C$43:$C$87,0)))</f>
        <v>#N/A</v>
      </c>
      <c r="AF27" s="261" t="e">
        <f ca="1">CHOOSE('Financing assumptions Holdco'!$J$10,INDEX('Covenants Consolidated'!AF$43:AF$87,MATCH('Financing assumptions Holdco'!$H70,'Covenants Consolidated'!$C$43:$C$87,0)),INDEX('Covenants Holdco'!AF$43:AF$87,MATCH('Financing assumptions Holdco'!$H70,'Covenants Holdco'!$C$43:$C$87,0)))</f>
        <v>#N/A</v>
      </c>
    </row>
    <row r="28" spans="2:32">
      <c r="C28" s="221" t="s">
        <v>807</v>
      </c>
      <c r="D28" s="185" t="str">
        <f>IFERROR(INDEX('Financing assumptions Holdco'!$J$71:$J$78,MATCH('Cash sweep &amp; dividend Holdco'!D27,'Financing assumptions Holdco'!$I$71:$I$78,-1)),"na")</f>
        <v>na</v>
      </c>
      <c r="E28" s="185" t="str">
        <f>IFERROR(INDEX('Financing assumptions Holdco'!$J$71:$J$78,MATCH('Cash sweep &amp; dividend Holdco'!E27,'Financing assumptions Holdco'!$I$71:$I$78,-1)),"na")</f>
        <v>na</v>
      </c>
      <c r="F28" s="185" t="str">
        <f>IFERROR(INDEX('Financing assumptions Holdco'!$J$71:$J$78,MATCH('Cash sweep &amp; dividend Holdco'!F27,'Financing assumptions Holdco'!$I$71:$I$78,-1)),"na")</f>
        <v>na</v>
      </c>
      <c r="G28" s="185" t="str">
        <f ca="1">IFERROR(INDEX('Financing assumptions Holdco'!$J$71:$J$78,MATCH('Cash sweep &amp; dividend Holdco'!G27,'Financing assumptions Holdco'!$I$71:$I$78,-1)),"na")</f>
        <v>na</v>
      </c>
      <c r="H28" s="185" t="str">
        <f ca="1">IFERROR(INDEX('Financing assumptions Holdco'!$J$71:$J$78,MATCH('Cash sweep &amp; dividend Holdco'!H27,'Financing assumptions Holdco'!$I$71:$I$78,-1)),"na")</f>
        <v>na</v>
      </c>
      <c r="I28" s="185" t="str">
        <f ca="1">IFERROR(INDEX('Financing assumptions Holdco'!$J$71:$J$78,MATCH('Cash sweep &amp; dividend Holdco'!I27,'Financing assumptions Holdco'!$I$71:$I$78,-1)),"na")</f>
        <v>na</v>
      </c>
      <c r="J28" s="185" t="str">
        <f ca="1">IFERROR(INDEX('Financing assumptions Holdco'!$J$71:$J$78,MATCH('Cash sweep &amp; dividend Holdco'!J27,'Financing assumptions Holdco'!$I$71:$I$78,-1)),"na")</f>
        <v>na</v>
      </c>
      <c r="K28" s="185" t="str">
        <f ca="1">IFERROR(INDEX('Financing assumptions Holdco'!$J$71:$J$78,MATCH('Cash sweep &amp; dividend Holdco'!K27,'Financing assumptions Holdco'!$I$71:$I$78,-1)),"na")</f>
        <v>na</v>
      </c>
      <c r="L28" s="185" t="str">
        <f ca="1">IFERROR(INDEX('Financing assumptions Holdco'!$J$71:$J$78,MATCH('Cash sweep &amp; dividend Holdco'!L27,'Financing assumptions Holdco'!$I$71:$I$78,-1)),"na")</f>
        <v>na</v>
      </c>
      <c r="M28" s="185" t="str">
        <f ca="1">IFERROR(INDEX('Financing assumptions Holdco'!$J$71:$J$78,MATCH('Cash sweep &amp; dividend Holdco'!M27,'Financing assumptions Holdco'!$I$71:$I$78,-1)),"na")</f>
        <v>na</v>
      </c>
      <c r="N28" s="185" t="str">
        <f ca="1">IFERROR(INDEX('Financing assumptions Holdco'!$J$71:$J$78,MATCH('Cash sweep &amp; dividend Holdco'!N27,'Financing assumptions Holdco'!$I$71:$I$78,-1)),"na")</f>
        <v>na</v>
      </c>
      <c r="O28" s="185" t="str">
        <f ca="1">IFERROR(INDEX('Financing assumptions Holdco'!$J$71:$J$78,MATCH('Cash sweep &amp; dividend Holdco'!O27,'Financing assumptions Holdco'!$I$71:$I$78,-1)),"na")</f>
        <v>na</v>
      </c>
      <c r="P28" s="185" t="str">
        <f ca="1">IFERROR(INDEX('Financing assumptions Holdco'!$J$71:$J$78,MATCH('Cash sweep &amp; dividend Holdco'!P27,'Financing assumptions Holdco'!$I$71:$I$78,-1)),"na")</f>
        <v>na</v>
      </c>
      <c r="Q28" s="185" t="str">
        <f ca="1">IFERROR(INDEX('Financing assumptions Holdco'!$J$71:$J$78,MATCH('Cash sweep &amp; dividend Holdco'!Q27,'Financing assumptions Holdco'!$I$71:$I$78,-1)),"na")</f>
        <v>na</v>
      </c>
      <c r="R28" s="185" t="str">
        <f ca="1">IFERROR(INDEX('Financing assumptions Holdco'!$J$71:$J$78,MATCH('Cash sweep &amp; dividend Holdco'!R27,'Financing assumptions Holdco'!$I$71:$I$78,-1)),"na")</f>
        <v>na</v>
      </c>
      <c r="S28" s="185" t="str">
        <f ca="1">IFERROR(INDEX('Financing assumptions Holdco'!$J$71:$J$78,MATCH('Cash sweep &amp; dividend Holdco'!S27,'Financing assumptions Holdco'!$I$71:$I$78,-1)),"na")</f>
        <v>na</v>
      </c>
      <c r="T28" s="185" t="str">
        <f ca="1">IFERROR(INDEX('Financing assumptions Holdco'!$J$71:$J$78,MATCH('Cash sweep &amp; dividend Holdco'!T27,'Financing assumptions Holdco'!$I$71:$I$78,-1)),"na")</f>
        <v>na</v>
      </c>
      <c r="U28" s="185" t="str">
        <f ca="1">IFERROR(INDEX('Financing assumptions Holdco'!$J$71:$J$78,MATCH('Cash sweep &amp; dividend Holdco'!U27,'Financing assumptions Holdco'!$I$71:$I$78,-1)),"na")</f>
        <v>na</v>
      </c>
      <c r="V28" s="185" t="str">
        <f ca="1">IFERROR(INDEX('Financing assumptions Holdco'!$J$71:$J$78,MATCH('Cash sweep &amp; dividend Holdco'!V27,'Financing assumptions Holdco'!$I$71:$I$78,-1)),"na")</f>
        <v>na</v>
      </c>
      <c r="W28" s="185" t="str">
        <f ca="1">IFERROR(INDEX('Financing assumptions Holdco'!$J$71:$J$78,MATCH('Cash sweep &amp; dividend Holdco'!W27,'Financing assumptions Holdco'!$I$71:$I$78,-1)),"na")</f>
        <v>na</v>
      </c>
      <c r="X28" s="185" t="str">
        <f ca="1">IFERROR(INDEX('Financing assumptions Holdco'!$J$71:$J$78,MATCH('Cash sweep &amp; dividend Holdco'!X27,'Financing assumptions Holdco'!$I$71:$I$78,-1)),"na")</f>
        <v>na</v>
      </c>
      <c r="Y28" s="185" t="str">
        <f ca="1">IFERROR(INDEX('Financing assumptions Holdco'!$J$71:$J$78,MATCH('Cash sweep &amp; dividend Holdco'!Y27,'Financing assumptions Holdco'!$I$71:$I$78,-1)),"na")</f>
        <v>na</v>
      </c>
      <c r="Z28" s="185" t="str">
        <f ca="1">IFERROR(INDEX('Financing assumptions Holdco'!$J$71:$J$78,MATCH('Cash sweep &amp; dividend Holdco'!Z27,'Financing assumptions Holdco'!$I$71:$I$78,-1)),"na")</f>
        <v>na</v>
      </c>
      <c r="AA28" s="185" t="str">
        <f ca="1">IFERROR(INDEX('Financing assumptions Holdco'!$J$71:$J$78,MATCH('Cash sweep &amp; dividend Holdco'!AA27,'Financing assumptions Holdco'!$I$71:$I$78,-1)),"na")</f>
        <v>na</v>
      </c>
      <c r="AB28" s="185" t="str">
        <f ca="1">IFERROR(INDEX('Financing assumptions Holdco'!$J$71:$J$78,MATCH('Cash sweep &amp; dividend Holdco'!AB27,'Financing assumptions Holdco'!$I$71:$I$78,-1)),"na")</f>
        <v>na</v>
      </c>
      <c r="AC28" s="185" t="str">
        <f ca="1">IFERROR(INDEX('Financing assumptions Holdco'!$J$71:$J$78,MATCH('Cash sweep &amp; dividend Holdco'!AC27,'Financing assumptions Holdco'!$I$71:$I$78,-1)),"na")</f>
        <v>na</v>
      </c>
      <c r="AD28" s="185" t="str">
        <f ca="1">IFERROR(INDEX('Financing assumptions Holdco'!$J$71:$J$78,MATCH('Cash sweep &amp; dividend Holdco'!AD27,'Financing assumptions Holdco'!$I$71:$I$78,-1)),"na")</f>
        <v>na</v>
      </c>
      <c r="AE28" s="185" t="str">
        <f ca="1">IFERROR(INDEX('Financing assumptions Holdco'!$J$71:$J$78,MATCH('Cash sweep &amp; dividend Holdco'!AE27,'Financing assumptions Holdco'!$I$71:$I$78,-1)),"na")</f>
        <v>na</v>
      </c>
      <c r="AF28" s="185" t="str">
        <f ca="1">IFERROR(INDEX('Financing assumptions Holdco'!$J$71:$J$78,MATCH('Cash sweep &amp; dividend Holdco'!AF27,'Financing assumptions Holdco'!$I$71:$I$78,-1)),"na")</f>
        <v>na</v>
      </c>
    </row>
    <row r="29" spans="2:32">
      <c r="C29" s="180" t="s">
        <v>814</v>
      </c>
      <c r="D29" s="180">
        <f t="shared" ref="D29:AB29" ca="1" si="16">IFERROR(MAX(0,D28*D26*D7),0)</f>
        <v>0</v>
      </c>
      <c r="E29" s="180">
        <f t="shared" ca="1" si="16"/>
        <v>0</v>
      </c>
      <c r="F29" s="180">
        <f t="shared" ca="1" si="16"/>
        <v>0</v>
      </c>
      <c r="G29" s="180">
        <f t="shared" ca="1" si="16"/>
        <v>0</v>
      </c>
      <c r="H29" s="180">
        <f ca="1">IFERROR(MAX(0,H28*H26*H7),0)</f>
        <v>0</v>
      </c>
      <c r="I29" s="180">
        <f t="shared" ca="1" si="16"/>
        <v>0</v>
      </c>
      <c r="J29" s="180">
        <f t="shared" ca="1" si="16"/>
        <v>0</v>
      </c>
      <c r="K29" s="180">
        <f t="shared" ca="1" si="16"/>
        <v>0</v>
      </c>
      <c r="L29" s="180">
        <f t="shared" ca="1" si="16"/>
        <v>0</v>
      </c>
      <c r="M29" s="180">
        <f t="shared" ca="1" si="16"/>
        <v>0</v>
      </c>
      <c r="N29" s="180">
        <f t="shared" ca="1" si="16"/>
        <v>0</v>
      </c>
      <c r="O29" s="180">
        <f t="shared" ca="1" si="16"/>
        <v>0</v>
      </c>
      <c r="P29" s="180">
        <f t="shared" ca="1" si="16"/>
        <v>0</v>
      </c>
      <c r="Q29" s="180">
        <f t="shared" ca="1" si="16"/>
        <v>0</v>
      </c>
      <c r="R29" s="180">
        <f t="shared" ca="1" si="16"/>
        <v>0</v>
      </c>
      <c r="S29" s="180">
        <f t="shared" ca="1" si="16"/>
        <v>0</v>
      </c>
      <c r="T29" s="180">
        <f t="shared" ca="1" si="16"/>
        <v>0</v>
      </c>
      <c r="U29" s="180">
        <f t="shared" ca="1" si="16"/>
        <v>0</v>
      </c>
      <c r="V29" s="180">
        <f t="shared" ca="1" si="16"/>
        <v>0</v>
      </c>
      <c r="W29" s="180">
        <f t="shared" ca="1" si="16"/>
        <v>0</v>
      </c>
      <c r="X29" s="180">
        <f t="shared" ca="1" si="16"/>
        <v>0</v>
      </c>
      <c r="Y29" s="180">
        <f t="shared" ca="1" si="16"/>
        <v>0</v>
      </c>
      <c r="Z29" s="180">
        <f t="shared" ca="1" si="16"/>
        <v>0</v>
      </c>
      <c r="AA29" s="180">
        <f t="shared" ca="1" si="16"/>
        <v>0</v>
      </c>
      <c r="AB29" s="180">
        <f t="shared" ca="1" si="16"/>
        <v>0</v>
      </c>
      <c r="AC29" s="180">
        <f t="shared" ref="AC29:AF29" ca="1" si="17">IFERROR(MAX(0,AC28*AC26*AC7),0)</f>
        <v>0</v>
      </c>
      <c r="AD29" s="180">
        <f t="shared" ca="1" si="17"/>
        <v>0</v>
      </c>
      <c r="AE29" s="180">
        <f t="shared" ca="1" si="17"/>
        <v>0</v>
      </c>
      <c r="AF29" s="180">
        <f t="shared" ca="1" si="17"/>
        <v>0</v>
      </c>
    </row>
    <row r="30" spans="2:32">
      <c r="C30" s="195" t="s">
        <v>1033</v>
      </c>
      <c r="D30" s="195"/>
      <c r="E30" s="195">
        <f ca="1">D29</f>
        <v>0</v>
      </c>
      <c r="F30" s="195">
        <f t="shared" ref="F30:AB30" ca="1" si="18">E29</f>
        <v>0</v>
      </c>
      <c r="G30" s="195">
        <f t="shared" ca="1" si="18"/>
        <v>0</v>
      </c>
      <c r="H30" s="195">
        <f t="shared" ca="1" si="18"/>
        <v>0</v>
      </c>
      <c r="I30" s="195">
        <f t="shared" ca="1" si="18"/>
        <v>0</v>
      </c>
      <c r="J30" s="195">
        <f t="shared" ca="1" si="18"/>
        <v>0</v>
      </c>
      <c r="K30" s="195">
        <f t="shared" ca="1" si="18"/>
        <v>0</v>
      </c>
      <c r="L30" s="195">
        <f t="shared" ca="1" si="18"/>
        <v>0</v>
      </c>
      <c r="M30" s="195">
        <f t="shared" ca="1" si="18"/>
        <v>0</v>
      </c>
      <c r="N30" s="195">
        <f t="shared" ca="1" si="18"/>
        <v>0</v>
      </c>
      <c r="O30" s="195">
        <f t="shared" ca="1" si="18"/>
        <v>0</v>
      </c>
      <c r="P30" s="195">
        <f t="shared" ca="1" si="18"/>
        <v>0</v>
      </c>
      <c r="Q30" s="195">
        <f t="shared" ca="1" si="18"/>
        <v>0</v>
      </c>
      <c r="R30" s="195">
        <f t="shared" ca="1" si="18"/>
        <v>0</v>
      </c>
      <c r="S30" s="195">
        <f t="shared" ca="1" si="18"/>
        <v>0</v>
      </c>
      <c r="T30" s="195">
        <f t="shared" ca="1" si="18"/>
        <v>0</v>
      </c>
      <c r="U30" s="195">
        <f t="shared" ca="1" si="18"/>
        <v>0</v>
      </c>
      <c r="V30" s="195">
        <f t="shared" ca="1" si="18"/>
        <v>0</v>
      </c>
      <c r="W30" s="195">
        <f t="shared" ca="1" si="18"/>
        <v>0</v>
      </c>
      <c r="X30" s="195">
        <f t="shared" ca="1" si="18"/>
        <v>0</v>
      </c>
      <c r="Y30" s="195">
        <f t="shared" ca="1" si="18"/>
        <v>0</v>
      </c>
      <c r="Z30" s="195">
        <f t="shared" ca="1" si="18"/>
        <v>0</v>
      </c>
      <c r="AA30" s="195">
        <f t="shared" ca="1" si="18"/>
        <v>0</v>
      </c>
      <c r="AB30" s="195">
        <f t="shared" ca="1" si="18"/>
        <v>0</v>
      </c>
      <c r="AC30" s="195">
        <f t="shared" ref="AC30" ca="1" si="19">AB29</f>
        <v>0</v>
      </c>
      <c r="AD30" s="195">
        <f t="shared" ref="AD30" ca="1" si="20">AC29</f>
        <v>0</v>
      </c>
      <c r="AE30" s="195">
        <f t="shared" ref="AE30" ca="1" si="21">AD29</f>
        <v>0</v>
      </c>
      <c r="AF30" s="195">
        <f t="shared" ref="AF30" ca="1" si="22">AE29</f>
        <v>0</v>
      </c>
    </row>
    <row r="32" spans="2:32">
      <c r="B32" s="209" t="s">
        <v>816</v>
      </c>
      <c r="C32" s="209"/>
      <c r="D32" s="305">
        <f>D12</f>
        <v>43555</v>
      </c>
      <c r="E32" s="305">
        <f t="shared" ref="E32:AB32" si="23">E12</f>
        <v>43646</v>
      </c>
      <c r="F32" s="305">
        <f t="shared" si="23"/>
        <v>43738</v>
      </c>
      <c r="G32" s="305">
        <f t="shared" si="23"/>
        <v>43830</v>
      </c>
      <c r="H32" s="305">
        <f t="shared" si="23"/>
        <v>43921</v>
      </c>
      <c r="I32" s="305">
        <f t="shared" si="23"/>
        <v>44012</v>
      </c>
      <c r="J32" s="305">
        <f t="shared" si="23"/>
        <v>44104</v>
      </c>
      <c r="K32" s="305">
        <f t="shared" si="23"/>
        <v>44196</v>
      </c>
      <c r="L32" s="305">
        <f t="shared" si="23"/>
        <v>44286</v>
      </c>
      <c r="M32" s="305">
        <f t="shared" si="23"/>
        <v>44377</v>
      </c>
      <c r="N32" s="305">
        <f t="shared" si="23"/>
        <v>44469</v>
      </c>
      <c r="O32" s="305">
        <f t="shared" si="23"/>
        <v>44561</v>
      </c>
      <c r="P32" s="305">
        <f t="shared" si="23"/>
        <v>44651</v>
      </c>
      <c r="Q32" s="305">
        <f t="shared" si="23"/>
        <v>44742</v>
      </c>
      <c r="R32" s="305">
        <f t="shared" si="23"/>
        <v>44834</v>
      </c>
      <c r="S32" s="305">
        <f t="shared" si="23"/>
        <v>44926</v>
      </c>
      <c r="T32" s="305">
        <f t="shared" si="23"/>
        <v>45016</v>
      </c>
      <c r="U32" s="305">
        <f t="shared" si="23"/>
        <v>45107</v>
      </c>
      <c r="V32" s="305">
        <f t="shared" si="23"/>
        <v>45199</v>
      </c>
      <c r="W32" s="305">
        <f t="shared" si="23"/>
        <v>45291</v>
      </c>
      <c r="X32" s="305">
        <f t="shared" si="23"/>
        <v>45382</v>
      </c>
      <c r="Y32" s="305">
        <f t="shared" si="23"/>
        <v>45473</v>
      </c>
      <c r="Z32" s="305">
        <f t="shared" si="23"/>
        <v>45565</v>
      </c>
      <c r="AA32" s="305">
        <f t="shared" si="23"/>
        <v>45657</v>
      </c>
      <c r="AB32" s="305">
        <f t="shared" si="23"/>
        <v>45747</v>
      </c>
      <c r="AC32" s="305">
        <f t="shared" ref="AC32:AF32" si="24">AC12</f>
        <v>45838</v>
      </c>
      <c r="AD32" s="305">
        <f t="shared" si="24"/>
        <v>45930</v>
      </c>
      <c r="AE32" s="305">
        <f t="shared" si="24"/>
        <v>46022</v>
      </c>
      <c r="AF32" s="305">
        <f t="shared" si="24"/>
        <v>46112</v>
      </c>
    </row>
    <row r="33" spans="3:32" s="183" customFormat="1" ht="13.7">
      <c r="C33" s="183" t="s">
        <v>790</v>
      </c>
      <c r="D33" s="183">
        <f>'Financing assumptions Holdco'!$M$70</f>
        <v>1</v>
      </c>
      <c r="E33" s="183">
        <f>'Financing assumptions Holdco'!$M$70</f>
        <v>1</v>
      </c>
      <c r="F33" s="183">
        <f>'Financing assumptions Holdco'!$M$70</f>
        <v>1</v>
      </c>
      <c r="G33" s="183">
        <f>'Financing assumptions Holdco'!$M$70</f>
        <v>1</v>
      </c>
      <c r="H33" s="183">
        <f>'Financing assumptions Holdco'!$M$70</f>
        <v>1</v>
      </c>
      <c r="I33" s="183">
        <f>'Financing assumptions Holdco'!$M$70</f>
        <v>1</v>
      </c>
      <c r="J33" s="183">
        <f>'Financing assumptions Holdco'!$M$70</f>
        <v>1</v>
      </c>
      <c r="K33" s="183">
        <f>'Financing assumptions Holdco'!$M$70</f>
        <v>1</v>
      </c>
      <c r="L33" s="183">
        <f>'Financing assumptions Holdco'!$M$70</f>
        <v>1</v>
      </c>
      <c r="M33" s="183">
        <f>'Financing assumptions Holdco'!$M$70</f>
        <v>1</v>
      </c>
      <c r="N33" s="183">
        <f>'Financing assumptions Holdco'!$M$70</f>
        <v>1</v>
      </c>
      <c r="O33" s="183">
        <f>'Financing assumptions Holdco'!$M$70</f>
        <v>1</v>
      </c>
      <c r="P33" s="183">
        <f>'Financing assumptions Holdco'!$M$70</f>
        <v>1</v>
      </c>
      <c r="Q33" s="183">
        <f>'Financing assumptions Holdco'!$M$70</f>
        <v>1</v>
      </c>
      <c r="R33" s="183">
        <f>'Financing assumptions Holdco'!$M$70</f>
        <v>1</v>
      </c>
      <c r="S33" s="183">
        <f>'Financing assumptions Holdco'!$M$70</f>
        <v>1</v>
      </c>
      <c r="T33" s="183">
        <f>'Financing assumptions Holdco'!$M$70</f>
        <v>1</v>
      </c>
      <c r="U33" s="183">
        <f>'Financing assumptions Holdco'!$M$70</f>
        <v>1</v>
      </c>
      <c r="V33" s="183">
        <f>'Financing assumptions Holdco'!$M$70</f>
        <v>1</v>
      </c>
      <c r="W33" s="183">
        <f>'Financing assumptions Holdco'!$M$70</f>
        <v>1</v>
      </c>
      <c r="X33" s="183">
        <f>'Financing assumptions Holdco'!$M$70</f>
        <v>1</v>
      </c>
      <c r="Y33" s="183">
        <f>'Financing assumptions Holdco'!$M$70</f>
        <v>1</v>
      </c>
      <c r="Z33" s="183">
        <f>'Financing assumptions Holdco'!$M$70</f>
        <v>1</v>
      </c>
      <c r="AA33" s="183">
        <f>'Financing assumptions Holdco'!$M$70</f>
        <v>1</v>
      </c>
      <c r="AB33" s="183">
        <f>'Financing assumptions Holdco'!$M$70</f>
        <v>1</v>
      </c>
      <c r="AC33" s="183">
        <f>'Financing assumptions Holdco'!$M$70</f>
        <v>1</v>
      </c>
      <c r="AD33" s="183">
        <f>'Financing assumptions Holdco'!$M$70</f>
        <v>1</v>
      </c>
      <c r="AE33" s="183">
        <f>'Financing assumptions Holdco'!$M$70</f>
        <v>1</v>
      </c>
      <c r="AF33" s="183">
        <f>'Financing assumptions Holdco'!$M$70</f>
        <v>1</v>
      </c>
    </row>
    <row r="34" spans="3:32" s="183" customFormat="1" ht="13.7">
      <c r="C34" s="183" t="s">
        <v>791</v>
      </c>
      <c r="D34" s="183">
        <f>'Financing assumptions Holdco'!$M$71</f>
        <v>0</v>
      </c>
      <c r="E34" s="183">
        <f>'Financing assumptions Holdco'!$M$71</f>
        <v>0</v>
      </c>
      <c r="F34" s="183">
        <f>'Financing assumptions Holdco'!$M$71</f>
        <v>0</v>
      </c>
      <c r="G34" s="183">
        <f>'Financing assumptions Holdco'!$M$71</f>
        <v>0</v>
      </c>
      <c r="H34" s="183">
        <f>'Financing assumptions Holdco'!$M$71</f>
        <v>0</v>
      </c>
      <c r="I34" s="183">
        <f>'Financing assumptions Holdco'!$M$71</f>
        <v>0</v>
      </c>
      <c r="J34" s="183">
        <f>'Financing assumptions Holdco'!$M$71</f>
        <v>0</v>
      </c>
      <c r="K34" s="183">
        <f>'Financing assumptions Holdco'!$M$71</f>
        <v>0</v>
      </c>
      <c r="L34" s="183">
        <f>'Financing assumptions Holdco'!$M$71</f>
        <v>0</v>
      </c>
      <c r="M34" s="183">
        <f>'Financing assumptions Holdco'!$M$71</f>
        <v>0</v>
      </c>
      <c r="N34" s="183">
        <f>'Financing assumptions Holdco'!$M$71</f>
        <v>0</v>
      </c>
      <c r="O34" s="183">
        <f>'Financing assumptions Holdco'!$M$71</f>
        <v>0</v>
      </c>
      <c r="P34" s="183">
        <f>'Financing assumptions Holdco'!$M$71</f>
        <v>0</v>
      </c>
      <c r="Q34" s="183">
        <f>'Financing assumptions Holdco'!$M$71</f>
        <v>0</v>
      </c>
      <c r="R34" s="183">
        <f>'Financing assumptions Holdco'!$M$71</f>
        <v>0</v>
      </c>
      <c r="S34" s="183">
        <f>'Financing assumptions Holdco'!$M$71</f>
        <v>0</v>
      </c>
      <c r="T34" s="183">
        <f>'Financing assumptions Holdco'!$M$71</f>
        <v>0</v>
      </c>
      <c r="U34" s="183">
        <f>'Financing assumptions Holdco'!$M$71</f>
        <v>0</v>
      </c>
      <c r="V34" s="183">
        <f>'Financing assumptions Holdco'!$M$71</f>
        <v>0</v>
      </c>
      <c r="W34" s="183">
        <f>'Financing assumptions Holdco'!$M$71</f>
        <v>0</v>
      </c>
      <c r="X34" s="183">
        <f>'Financing assumptions Holdco'!$M$71</f>
        <v>0</v>
      </c>
      <c r="Y34" s="183">
        <f>'Financing assumptions Holdco'!$M$71</f>
        <v>0</v>
      </c>
      <c r="Z34" s="183">
        <f>'Financing assumptions Holdco'!$M$71</f>
        <v>0</v>
      </c>
      <c r="AA34" s="183">
        <f>'Financing assumptions Holdco'!$M$71</f>
        <v>0</v>
      </c>
      <c r="AB34" s="183">
        <f>'Financing assumptions Holdco'!$M$71</f>
        <v>0</v>
      </c>
      <c r="AC34" s="183">
        <f>'Financing assumptions Holdco'!$M$71</f>
        <v>0</v>
      </c>
      <c r="AD34" s="183">
        <f>'Financing assumptions Holdco'!$M$71</f>
        <v>0</v>
      </c>
      <c r="AE34" s="183">
        <f>'Financing assumptions Holdco'!$M$71</f>
        <v>0</v>
      </c>
      <c r="AF34" s="183">
        <f>'Financing assumptions Holdco'!$M$71</f>
        <v>0</v>
      </c>
    </row>
    <row r="35" spans="3:32" s="183" customFormat="1" ht="13.7">
      <c r="C35" s="183" t="s">
        <v>792</v>
      </c>
      <c r="D35" s="183">
        <f>'Financing assumptions Holdco'!$M$72</f>
        <v>0</v>
      </c>
      <c r="E35" s="183">
        <f>'Financing assumptions Holdco'!$M$72</f>
        <v>0</v>
      </c>
      <c r="F35" s="183">
        <f>'Financing assumptions Holdco'!$M$72</f>
        <v>0</v>
      </c>
      <c r="G35" s="183">
        <f>'Financing assumptions Holdco'!$M$72</f>
        <v>0</v>
      </c>
      <c r="H35" s="183">
        <f>'Financing assumptions Holdco'!$M$72</f>
        <v>0</v>
      </c>
      <c r="I35" s="183">
        <f>'Financing assumptions Holdco'!$M$72</f>
        <v>0</v>
      </c>
      <c r="J35" s="183">
        <f>'Financing assumptions Holdco'!$M$72</f>
        <v>0</v>
      </c>
      <c r="K35" s="183">
        <f>'Financing assumptions Holdco'!$M$72</f>
        <v>0</v>
      </c>
      <c r="L35" s="183">
        <f>'Financing assumptions Holdco'!$M$72</f>
        <v>0</v>
      </c>
      <c r="M35" s="183">
        <f>'Financing assumptions Holdco'!$M$72</f>
        <v>0</v>
      </c>
      <c r="N35" s="183">
        <f>'Financing assumptions Holdco'!$M$72</f>
        <v>0</v>
      </c>
      <c r="O35" s="183">
        <f>'Financing assumptions Holdco'!$M$72</f>
        <v>0</v>
      </c>
      <c r="P35" s="183">
        <f>'Financing assumptions Holdco'!$M$72</f>
        <v>0</v>
      </c>
      <c r="Q35" s="183">
        <f>'Financing assumptions Holdco'!$M$72</f>
        <v>0</v>
      </c>
      <c r="R35" s="183">
        <f>'Financing assumptions Holdco'!$M$72</f>
        <v>0</v>
      </c>
      <c r="S35" s="183">
        <f>'Financing assumptions Holdco'!$M$72</f>
        <v>0</v>
      </c>
      <c r="T35" s="183">
        <f>'Financing assumptions Holdco'!$M$72</f>
        <v>0</v>
      </c>
      <c r="U35" s="183">
        <f>'Financing assumptions Holdco'!$M$72</f>
        <v>0</v>
      </c>
      <c r="V35" s="183">
        <f>'Financing assumptions Holdco'!$M$72</f>
        <v>0</v>
      </c>
      <c r="W35" s="183">
        <f>'Financing assumptions Holdco'!$M$72</f>
        <v>0</v>
      </c>
      <c r="X35" s="183">
        <f>'Financing assumptions Holdco'!$M$72</f>
        <v>0</v>
      </c>
      <c r="Y35" s="183">
        <f>'Financing assumptions Holdco'!$M$72</f>
        <v>0</v>
      </c>
      <c r="Z35" s="183">
        <f>'Financing assumptions Holdco'!$M$72</f>
        <v>0</v>
      </c>
      <c r="AA35" s="183">
        <f>'Financing assumptions Holdco'!$M$72</f>
        <v>0</v>
      </c>
      <c r="AB35" s="183">
        <f>'Financing assumptions Holdco'!$M$72</f>
        <v>0</v>
      </c>
      <c r="AC35" s="183">
        <f>'Financing assumptions Holdco'!$M$72</f>
        <v>0</v>
      </c>
      <c r="AD35" s="183">
        <f>'Financing assumptions Holdco'!$M$72</f>
        <v>0</v>
      </c>
      <c r="AE35" s="183">
        <f>'Financing assumptions Holdco'!$M$72</f>
        <v>0</v>
      </c>
      <c r="AF35" s="183">
        <f>'Financing assumptions Holdco'!$M$72</f>
        <v>0</v>
      </c>
    </row>
    <row r="36" spans="3:32" s="183" customFormat="1" ht="13.7">
      <c r="C36" s="183" t="s">
        <v>793</v>
      </c>
      <c r="D36" s="183">
        <f>'Financing assumptions Holdco'!$M$73</f>
        <v>0</v>
      </c>
      <c r="E36" s="183">
        <f>'Financing assumptions Holdco'!$M$73</f>
        <v>0</v>
      </c>
      <c r="F36" s="183">
        <f>'Financing assumptions Holdco'!$M$73</f>
        <v>0</v>
      </c>
      <c r="G36" s="183">
        <f>'Financing assumptions Holdco'!$M$73</f>
        <v>0</v>
      </c>
      <c r="H36" s="183">
        <f>'Financing assumptions Holdco'!$M$73</f>
        <v>0</v>
      </c>
      <c r="I36" s="183">
        <f>'Financing assumptions Holdco'!$M$73</f>
        <v>0</v>
      </c>
      <c r="J36" s="183">
        <f>'Financing assumptions Holdco'!$M$73</f>
        <v>0</v>
      </c>
      <c r="K36" s="183">
        <f>'Financing assumptions Holdco'!$M$73</f>
        <v>0</v>
      </c>
      <c r="L36" s="183">
        <f>'Financing assumptions Holdco'!$M$73</f>
        <v>0</v>
      </c>
      <c r="M36" s="183">
        <f>'Financing assumptions Holdco'!$M$73</f>
        <v>0</v>
      </c>
      <c r="N36" s="183">
        <f>'Financing assumptions Holdco'!$M$73</f>
        <v>0</v>
      </c>
      <c r="O36" s="183">
        <f>'Financing assumptions Holdco'!$M$73</f>
        <v>0</v>
      </c>
      <c r="P36" s="183">
        <f>'Financing assumptions Holdco'!$M$73</f>
        <v>0</v>
      </c>
      <c r="Q36" s="183">
        <f>'Financing assumptions Holdco'!$M$73</f>
        <v>0</v>
      </c>
      <c r="R36" s="183">
        <f>'Financing assumptions Holdco'!$M$73</f>
        <v>0</v>
      </c>
      <c r="S36" s="183">
        <f>'Financing assumptions Holdco'!$M$73</f>
        <v>0</v>
      </c>
      <c r="T36" s="183">
        <f>'Financing assumptions Holdco'!$M$73</f>
        <v>0</v>
      </c>
      <c r="U36" s="183">
        <f>'Financing assumptions Holdco'!$M$73</f>
        <v>0</v>
      </c>
      <c r="V36" s="183">
        <f>'Financing assumptions Holdco'!$M$73</f>
        <v>0</v>
      </c>
      <c r="W36" s="183">
        <f>'Financing assumptions Holdco'!$M$73</f>
        <v>0</v>
      </c>
      <c r="X36" s="183">
        <f>'Financing assumptions Holdco'!$M$73</f>
        <v>0</v>
      </c>
      <c r="Y36" s="183">
        <f>'Financing assumptions Holdco'!$M$73</f>
        <v>0</v>
      </c>
      <c r="Z36" s="183">
        <f>'Financing assumptions Holdco'!$M$73</f>
        <v>0</v>
      </c>
      <c r="AA36" s="183">
        <f>'Financing assumptions Holdco'!$M$73</f>
        <v>0</v>
      </c>
      <c r="AB36" s="183">
        <f>'Financing assumptions Holdco'!$M$73</f>
        <v>0</v>
      </c>
      <c r="AC36" s="183">
        <f>'Financing assumptions Holdco'!$M$73</f>
        <v>0</v>
      </c>
      <c r="AD36" s="183">
        <f>'Financing assumptions Holdco'!$M$73</f>
        <v>0</v>
      </c>
      <c r="AE36" s="183">
        <f>'Financing assumptions Holdco'!$M$73</f>
        <v>0</v>
      </c>
      <c r="AF36" s="183">
        <f>'Financing assumptions Holdco'!$M$73</f>
        <v>0</v>
      </c>
    </row>
    <row r="38" spans="3:32" s="291" customFormat="1" ht="13.7">
      <c r="C38" s="303" t="s">
        <v>817</v>
      </c>
      <c r="D38" s="291">
        <f>'Financial Quarterly Holdco'!D17+'Financial Quarterly Holdco'!D18+'Financial Quarterly Holdco'!D19+'Financial Quarterly Holdco'!D20+'Financial Quarterly Holdco'!D23+'Financial Quarterly Holdco'!D21</f>
        <v>0</v>
      </c>
      <c r="E38" s="291">
        <f>'Financial Quarterly Holdco'!E17+'Financial Quarterly Holdco'!E18+'Financial Quarterly Holdco'!E19+'Financial Quarterly Holdco'!E20+'Financial Quarterly Holdco'!E23+'Financial Quarterly Holdco'!E21</f>
        <v>0</v>
      </c>
      <c r="F38" s="291">
        <f ca="1">'Financial Quarterly Holdco'!F17+'Financial Quarterly Holdco'!F18+'Financial Quarterly Holdco'!F19+'Financial Quarterly Holdco'!F20+'Financial Quarterly Holdco'!F23+'Financial Quarterly Holdco'!F21</f>
        <v>0</v>
      </c>
      <c r="G38" s="291">
        <f ca="1">'Financial Quarterly Holdco'!G17+'Financial Quarterly Holdco'!G18+'Financial Quarterly Holdco'!G19+'Financial Quarterly Holdco'!G20+'Financial Quarterly Holdco'!G23+'Financial Quarterly Holdco'!G21</f>
        <v>0</v>
      </c>
      <c r="H38" s="291">
        <f ca="1">'Financial Quarterly Holdco'!H17+'Financial Quarterly Holdco'!H18+'Financial Quarterly Holdco'!H19+'Financial Quarterly Holdco'!H20+'Financial Quarterly Holdco'!H23+'Financial Quarterly Holdco'!H21</f>
        <v>0</v>
      </c>
      <c r="I38" s="291">
        <f ca="1">'Financial Quarterly Holdco'!I17+'Financial Quarterly Holdco'!I18+'Financial Quarterly Holdco'!I19+'Financial Quarterly Holdco'!I20+'Financial Quarterly Holdco'!I23+'Financial Quarterly Holdco'!I21</f>
        <v>0</v>
      </c>
      <c r="J38" s="291">
        <f ca="1">'Financial Quarterly Holdco'!J17+'Financial Quarterly Holdco'!J18+'Financial Quarterly Holdco'!J19+'Financial Quarterly Holdco'!J20+'Financial Quarterly Holdco'!J23+'Financial Quarterly Holdco'!J21</f>
        <v>0</v>
      </c>
      <c r="K38" s="291">
        <f ca="1">'Financial Quarterly Holdco'!K17+'Financial Quarterly Holdco'!K18+'Financial Quarterly Holdco'!K19+'Financial Quarterly Holdco'!K20+'Financial Quarterly Holdco'!K23+'Financial Quarterly Holdco'!K21</f>
        <v>0</v>
      </c>
      <c r="L38" s="291">
        <f ca="1">'Financial Quarterly Holdco'!L17+'Financial Quarterly Holdco'!L18+'Financial Quarterly Holdco'!L19+'Financial Quarterly Holdco'!L20+'Financial Quarterly Holdco'!L23+'Financial Quarterly Holdco'!L21</f>
        <v>0</v>
      </c>
      <c r="M38" s="291">
        <f ca="1">'Financial Quarterly Holdco'!M17+'Financial Quarterly Holdco'!M18+'Financial Quarterly Holdco'!M19+'Financial Quarterly Holdco'!M20+'Financial Quarterly Holdco'!M23+'Financial Quarterly Holdco'!M21</f>
        <v>0</v>
      </c>
      <c r="N38" s="291">
        <f ca="1">'Financial Quarterly Holdco'!N17+'Financial Quarterly Holdco'!N18+'Financial Quarterly Holdco'!N19+'Financial Quarterly Holdco'!N20+'Financial Quarterly Holdco'!N23+'Financial Quarterly Holdco'!N21</f>
        <v>0</v>
      </c>
      <c r="O38" s="291">
        <f ca="1">'Financial Quarterly Holdco'!O17+'Financial Quarterly Holdco'!O18+'Financial Quarterly Holdco'!O19+'Financial Quarterly Holdco'!O20+'Financial Quarterly Holdco'!O23+'Financial Quarterly Holdco'!O21</f>
        <v>0</v>
      </c>
      <c r="P38" s="291">
        <f ca="1">'Financial Quarterly Holdco'!P17+'Financial Quarterly Holdco'!P18+'Financial Quarterly Holdco'!P19+'Financial Quarterly Holdco'!P20+'Financial Quarterly Holdco'!P23+'Financial Quarterly Holdco'!P21</f>
        <v>0</v>
      </c>
      <c r="Q38" s="291">
        <f ca="1">'Financial Quarterly Holdco'!Q17+'Financial Quarterly Holdco'!Q18+'Financial Quarterly Holdco'!Q19+'Financial Quarterly Holdco'!Q20+'Financial Quarterly Holdco'!Q23+'Financial Quarterly Holdco'!Q21</f>
        <v>0</v>
      </c>
      <c r="R38" s="291">
        <f ca="1">'Financial Quarterly Holdco'!R17+'Financial Quarterly Holdco'!R18+'Financial Quarterly Holdco'!R19+'Financial Quarterly Holdco'!R20+'Financial Quarterly Holdco'!R23+'Financial Quarterly Holdco'!R21</f>
        <v>0</v>
      </c>
      <c r="S38" s="291">
        <f ca="1">'Financial Quarterly Holdco'!S17+'Financial Quarterly Holdco'!S18+'Financial Quarterly Holdco'!S19+'Financial Quarterly Holdco'!S20+'Financial Quarterly Holdco'!S23+'Financial Quarterly Holdco'!S21</f>
        <v>0</v>
      </c>
      <c r="T38" s="291">
        <f ca="1">'Financial Quarterly Holdco'!T17+'Financial Quarterly Holdco'!T18+'Financial Quarterly Holdco'!T19+'Financial Quarterly Holdco'!T20+'Financial Quarterly Holdco'!T23+'Financial Quarterly Holdco'!T21</f>
        <v>0</v>
      </c>
      <c r="U38" s="291">
        <f ca="1">'Financial Quarterly Holdco'!U17+'Financial Quarterly Holdco'!U18+'Financial Quarterly Holdco'!U19+'Financial Quarterly Holdco'!U20+'Financial Quarterly Holdco'!U23+'Financial Quarterly Holdco'!U21</f>
        <v>0</v>
      </c>
      <c r="V38" s="291">
        <f ca="1">'Financial Quarterly Holdco'!V17+'Financial Quarterly Holdco'!V18+'Financial Quarterly Holdco'!V19+'Financial Quarterly Holdco'!V20+'Financial Quarterly Holdco'!V23+'Financial Quarterly Holdco'!V21</f>
        <v>0</v>
      </c>
      <c r="W38" s="291">
        <f ca="1">'Financial Quarterly Holdco'!W17+'Financial Quarterly Holdco'!W18+'Financial Quarterly Holdco'!W19+'Financial Quarterly Holdco'!W20+'Financial Quarterly Holdco'!W23+'Financial Quarterly Holdco'!W21</f>
        <v>0</v>
      </c>
      <c r="X38" s="291">
        <f ca="1">'Financial Quarterly Holdco'!X17+'Financial Quarterly Holdco'!X18+'Financial Quarterly Holdco'!X19+'Financial Quarterly Holdco'!X20+'Financial Quarterly Holdco'!X23+'Financial Quarterly Holdco'!X21</f>
        <v>0</v>
      </c>
      <c r="Y38" s="291">
        <f ca="1">'Financial Quarterly Holdco'!Y17+'Financial Quarterly Holdco'!Y18+'Financial Quarterly Holdco'!Y19+'Financial Quarterly Holdco'!Y20+'Financial Quarterly Holdco'!Y23+'Financial Quarterly Holdco'!Y21</f>
        <v>0</v>
      </c>
      <c r="Z38" s="291">
        <f ca="1">'Financial Quarterly Holdco'!Z17+'Financial Quarterly Holdco'!Z18+'Financial Quarterly Holdco'!Z19+'Financial Quarterly Holdco'!Z20+'Financial Quarterly Holdco'!Z23+'Financial Quarterly Holdco'!Z21</f>
        <v>0</v>
      </c>
      <c r="AA38" s="291">
        <f ca="1">'Financial Quarterly Holdco'!AA17+'Financial Quarterly Holdco'!AA18+'Financial Quarterly Holdco'!AA19+'Financial Quarterly Holdco'!AA20+'Financial Quarterly Holdco'!AA23+'Financial Quarterly Holdco'!AA21</f>
        <v>0</v>
      </c>
      <c r="AB38" s="291">
        <f ca="1">'Financial Quarterly Holdco'!AB17+'Financial Quarterly Holdco'!AB18+'Financial Quarterly Holdco'!AB19+'Financial Quarterly Holdco'!AB20+'Financial Quarterly Holdco'!AB23+'Financial Quarterly Holdco'!AB21</f>
        <v>0</v>
      </c>
      <c r="AC38" s="291">
        <f ca="1">'Financial Quarterly Holdco'!AC17+'Financial Quarterly Holdco'!AC18+'Financial Quarterly Holdco'!AC19+'Financial Quarterly Holdco'!AC20+'Financial Quarterly Holdco'!AC23+'Financial Quarterly Holdco'!AC21</f>
        <v>0</v>
      </c>
      <c r="AD38" s="291">
        <f ca="1">'Financial Quarterly Holdco'!AD17+'Financial Quarterly Holdco'!AD18+'Financial Quarterly Holdco'!AD19+'Financial Quarterly Holdco'!AD20+'Financial Quarterly Holdco'!AD23+'Financial Quarterly Holdco'!AD21</f>
        <v>0</v>
      </c>
      <c r="AE38" s="291">
        <f ca="1">'Financial Quarterly Holdco'!AE17+'Financial Quarterly Holdco'!AE18+'Financial Quarterly Holdco'!AE19+'Financial Quarterly Holdco'!AE20+'Financial Quarterly Holdco'!AE23+'Financial Quarterly Holdco'!AE21</f>
        <v>0</v>
      </c>
      <c r="AF38" s="291">
        <f ca="1">'Financial Quarterly Holdco'!AF17+'Financial Quarterly Holdco'!AF18+'Financial Quarterly Holdco'!AF19+'Financial Quarterly Holdco'!AF20+'Financial Quarterly Holdco'!AF23+'Financial Quarterly Holdco'!AF21</f>
        <v>0</v>
      </c>
    </row>
    <row r="39" spans="3:32" s="291" customFormat="1" ht="13.7">
      <c r="C39" s="303" t="s">
        <v>818</v>
      </c>
      <c r="D39" s="291">
        <f>MAX(-D33*D$30,-D38)</f>
        <v>0</v>
      </c>
      <c r="E39" s="291">
        <f t="shared" ref="E39:AB39" ca="1" si="25">MAX(-E33*E$30,-E38)</f>
        <v>0</v>
      </c>
      <c r="F39" s="291">
        <f t="shared" ca="1" si="25"/>
        <v>0</v>
      </c>
      <c r="G39" s="291">
        <f t="shared" ca="1" si="25"/>
        <v>0</v>
      </c>
      <c r="H39" s="291">
        <f t="shared" ca="1" si="25"/>
        <v>0</v>
      </c>
      <c r="I39" s="291">
        <f t="shared" ca="1" si="25"/>
        <v>0</v>
      </c>
      <c r="J39" s="291">
        <f t="shared" ca="1" si="25"/>
        <v>0</v>
      </c>
      <c r="K39" s="291">
        <f t="shared" ca="1" si="25"/>
        <v>0</v>
      </c>
      <c r="L39" s="291">
        <f t="shared" ca="1" si="25"/>
        <v>0</v>
      </c>
      <c r="M39" s="291">
        <f t="shared" ca="1" si="25"/>
        <v>0</v>
      </c>
      <c r="N39" s="291">
        <f t="shared" ca="1" si="25"/>
        <v>0</v>
      </c>
      <c r="O39" s="291">
        <f t="shared" ca="1" si="25"/>
        <v>0</v>
      </c>
      <c r="P39" s="291">
        <f t="shared" ca="1" si="25"/>
        <v>0</v>
      </c>
      <c r="Q39" s="291">
        <f t="shared" ca="1" si="25"/>
        <v>0</v>
      </c>
      <c r="R39" s="291">
        <f t="shared" ca="1" si="25"/>
        <v>0</v>
      </c>
      <c r="S39" s="291">
        <f t="shared" ca="1" si="25"/>
        <v>0</v>
      </c>
      <c r="T39" s="291">
        <f t="shared" ca="1" si="25"/>
        <v>0</v>
      </c>
      <c r="U39" s="291">
        <f t="shared" ca="1" si="25"/>
        <v>0</v>
      </c>
      <c r="V39" s="291">
        <f t="shared" ca="1" si="25"/>
        <v>0</v>
      </c>
      <c r="W39" s="291">
        <f t="shared" ca="1" si="25"/>
        <v>0</v>
      </c>
      <c r="X39" s="291">
        <f t="shared" ca="1" si="25"/>
        <v>0</v>
      </c>
      <c r="Y39" s="291">
        <f t="shared" ca="1" si="25"/>
        <v>0</v>
      </c>
      <c r="Z39" s="291">
        <f t="shared" ca="1" si="25"/>
        <v>0</v>
      </c>
      <c r="AA39" s="291">
        <f t="shared" ca="1" si="25"/>
        <v>0</v>
      </c>
      <c r="AB39" s="291">
        <f t="shared" ca="1" si="25"/>
        <v>0</v>
      </c>
      <c r="AC39" s="291">
        <f t="shared" ref="AC39:AF39" ca="1" si="26">MAX(-AC33*AC$30,-AC38)</f>
        <v>0</v>
      </c>
      <c r="AD39" s="291">
        <f t="shared" ca="1" si="26"/>
        <v>0</v>
      </c>
      <c r="AE39" s="291">
        <f t="shared" ca="1" si="26"/>
        <v>0</v>
      </c>
      <c r="AF39" s="291">
        <f t="shared" ca="1" si="26"/>
        <v>0</v>
      </c>
    </row>
    <row r="40" spans="3:32" s="291" customFormat="1" ht="13.7">
      <c r="C40" s="303" t="s">
        <v>819</v>
      </c>
      <c r="D40" s="291">
        <f>+'Financial Quarterly Holdco'!D30+'Financial Quarterly Holdco'!D31+'Financial Quarterly Holdco'!D32+'Financial Quarterly Holdco'!D33+'Financial Quarterly Holdco'!D34+'Financial Quarterly Holdco'!D36</f>
        <v>0</v>
      </c>
      <c r="E40" s="291">
        <f>+'Financial Quarterly Holdco'!E30+'Financial Quarterly Holdco'!E31+'Financial Quarterly Holdco'!E32+'Financial Quarterly Holdco'!E33+'Financial Quarterly Holdco'!E34+'Financial Quarterly Holdco'!E36</f>
        <v>0</v>
      </c>
      <c r="F40" s="291">
        <f ca="1">+'Financial Quarterly Holdco'!F30+'Financial Quarterly Holdco'!F31+'Financial Quarterly Holdco'!F32+'Financial Quarterly Holdco'!F33+'Financial Quarterly Holdco'!F34+'Financial Quarterly Holdco'!F36</f>
        <v>0</v>
      </c>
      <c r="G40" s="291">
        <f ca="1">+'Financial Quarterly Holdco'!G30+'Financial Quarterly Holdco'!G31+'Financial Quarterly Holdco'!G32+'Financial Quarterly Holdco'!G33+'Financial Quarterly Holdco'!G34+'Financial Quarterly Holdco'!G36</f>
        <v>0</v>
      </c>
      <c r="H40" s="291">
        <f ca="1">+'Financial Quarterly Holdco'!H30+'Financial Quarterly Holdco'!H31+'Financial Quarterly Holdco'!H32+'Financial Quarterly Holdco'!H33+'Financial Quarterly Holdco'!H34+'Financial Quarterly Holdco'!H36</f>
        <v>0</v>
      </c>
      <c r="I40" s="291">
        <f ca="1">+'Financial Quarterly Holdco'!I30+'Financial Quarterly Holdco'!I31+'Financial Quarterly Holdco'!I32+'Financial Quarterly Holdco'!I33+'Financial Quarterly Holdco'!I34+'Financial Quarterly Holdco'!I36</f>
        <v>0</v>
      </c>
      <c r="J40" s="291">
        <f ca="1">+'Financial Quarterly Holdco'!J30+'Financial Quarterly Holdco'!J31+'Financial Quarterly Holdco'!J32+'Financial Quarterly Holdco'!J33+'Financial Quarterly Holdco'!J34+'Financial Quarterly Holdco'!J36</f>
        <v>0</v>
      </c>
      <c r="K40" s="291">
        <f ca="1">+'Financial Quarterly Holdco'!K30+'Financial Quarterly Holdco'!K31+'Financial Quarterly Holdco'!K32+'Financial Quarterly Holdco'!K33+'Financial Quarterly Holdco'!K34+'Financial Quarterly Holdco'!K36</f>
        <v>0</v>
      </c>
      <c r="L40" s="291">
        <f ca="1">+'Financial Quarterly Holdco'!L30+'Financial Quarterly Holdco'!L31+'Financial Quarterly Holdco'!L32+'Financial Quarterly Holdco'!L33+'Financial Quarterly Holdco'!L34+'Financial Quarterly Holdco'!L36</f>
        <v>0</v>
      </c>
      <c r="M40" s="291">
        <f ca="1">+'Financial Quarterly Holdco'!M30+'Financial Quarterly Holdco'!M31+'Financial Quarterly Holdco'!M32+'Financial Quarterly Holdco'!M33+'Financial Quarterly Holdco'!M34+'Financial Quarterly Holdco'!M36</f>
        <v>0</v>
      </c>
      <c r="N40" s="291">
        <f ca="1">+'Financial Quarterly Holdco'!N30+'Financial Quarterly Holdco'!N31+'Financial Quarterly Holdco'!N32+'Financial Quarterly Holdco'!N33+'Financial Quarterly Holdco'!N34+'Financial Quarterly Holdco'!N36</f>
        <v>0</v>
      </c>
      <c r="O40" s="291">
        <f ca="1">+'Financial Quarterly Holdco'!O30+'Financial Quarterly Holdco'!O31+'Financial Quarterly Holdco'!O32+'Financial Quarterly Holdco'!O33+'Financial Quarterly Holdco'!O34+'Financial Quarterly Holdco'!O36</f>
        <v>0</v>
      </c>
      <c r="P40" s="291">
        <f ca="1">+'Financial Quarterly Holdco'!P30+'Financial Quarterly Holdco'!P31+'Financial Quarterly Holdco'!P32+'Financial Quarterly Holdco'!P33+'Financial Quarterly Holdco'!P34+'Financial Quarterly Holdco'!P36</f>
        <v>0</v>
      </c>
      <c r="Q40" s="291">
        <f ca="1">+'Financial Quarterly Holdco'!Q30+'Financial Quarterly Holdco'!Q31+'Financial Quarterly Holdco'!Q32+'Financial Quarterly Holdco'!Q33+'Financial Quarterly Holdco'!Q34+'Financial Quarterly Holdco'!Q36</f>
        <v>0</v>
      </c>
      <c r="R40" s="291">
        <f ca="1">+'Financial Quarterly Holdco'!R30+'Financial Quarterly Holdco'!R31+'Financial Quarterly Holdco'!R32+'Financial Quarterly Holdco'!R33+'Financial Quarterly Holdco'!R34+'Financial Quarterly Holdco'!R36</f>
        <v>0</v>
      </c>
      <c r="S40" s="291">
        <f ca="1">+'Financial Quarterly Holdco'!S30+'Financial Quarterly Holdco'!S31+'Financial Quarterly Holdco'!S32+'Financial Quarterly Holdco'!S33+'Financial Quarterly Holdco'!S34+'Financial Quarterly Holdco'!S36</f>
        <v>0</v>
      </c>
      <c r="T40" s="291">
        <f ca="1">+'Financial Quarterly Holdco'!T30+'Financial Quarterly Holdco'!T31+'Financial Quarterly Holdco'!T32+'Financial Quarterly Holdco'!T33+'Financial Quarterly Holdco'!T34+'Financial Quarterly Holdco'!T36</f>
        <v>0</v>
      </c>
      <c r="U40" s="291">
        <f ca="1">+'Financial Quarterly Holdco'!U30+'Financial Quarterly Holdco'!U31+'Financial Quarterly Holdco'!U32+'Financial Quarterly Holdco'!U33+'Financial Quarterly Holdco'!U34+'Financial Quarterly Holdco'!U36</f>
        <v>0</v>
      </c>
      <c r="V40" s="291">
        <f ca="1">+'Financial Quarterly Holdco'!V30+'Financial Quarterly Holdco'!V31+'Financial Quarterly Holdco'!V32+'Financial Quarterly Holdco'!V33+'Financial Quarterly Holdco'!V34+'Financial Quarterly Holdco'!V36</f>
        <v>0</v>
      </c>
      <c r="W40" s="291">
        <f ca="1">+'Financial Quarterly Holdco'!W30+'Financial Quarterly Holdco'!W31+'Financial Quarterly Holdco'!W32+'Financial Quarterly Holdco'!W33+'Financial Quarterly Holdco'!W34+'Financial Quarterly Holdco'!W36</f>
        <v>0</v>
      </c>
      <c r="X40" s="291">
        <f ca="1">+'Financial Quarterly Holdco'!X30+'Financial Quarterly Holdco'!X31+'Financial Quarterly Holdco'!X32+'Financial Quarterly Holdco'!X33+'Financial Quarterly Holdco'!X34+'Financial Quarterly Holdco'!X36</f>
        <v>0</v>
      </c>
      <c r="Y40" s="291">
        <f ca="1">+'Financial Quarterly Holdco'!Y30+'Financial Quarterly Holdco'!Y31+'Financial Quarterly Holdco'!Y32+'Financial Quarterly Holdco'!Y33+'Financial Quarterly Holdco'!Y34+'Financial Quarterly Holdco'!Y36</f>
        <v>0</v>
      </c>
      <c r="Z40" s="291">
        <f ca="1">+'Financial Quarterly Holdco'!Z30+'Financial Quarterly Holdco'!Z31+'Financial Quarterly Holdco'!Z32+'Financial Quarterly Holdco'!Z33+'Financial Quarterly Holdco'!Z34+'Financial Quarterly Holdco'!Z36</f>
        <v>0</v>
      </c>
      <c r="AA40" s="291">
        <f ca="1">+'Financial Quarterly Holdco'!AA30+'Financial Quarterly Holdco'!AA31+'Financial Quarterly Holdco'!AA32+'Financial Quarterly Holdco'!AA33+'Financial Quarterly Holdco'!AA34+'Financial Quarterly Holdco'!AA36</f>
        <v>0</v>
      </c>
      <c r="AB40" s="291">
        <f ca="1">+'Financial Quarterly Holdco'!AB30+'Financial Quarterly Holdco'!AB31+'Financial Quarterly Holdco'!AB32+'Financial Quarterly Holdco'!AB33+'Financial Quarterly Holdco'!AB34+'Financial Quarterly Holdco'!AB36</f>
        <v>0</v>
      </c>
      <c r="AC40" s="291">
        <f ca="1">+'Financial Quarterly Holdco'!AC30+'Financial Quarterly Holdco'!AC31+'Financial Quarterly Holdco'!AC32+'Financial Quarterly Holdco'!AC33+'Financial Quarterly Holdco'!AC34+'Financial Quarterly Holdco'!AC36</f>
        <v>0</v>
      </c>
      <c r="AD40" s="291">
        <f ca="1">+'Financial Quarterly Holdco'!AD30+'Financial Quarterly Holdco'!AD31+'Financial Quarterly Holdco'!AD32+'Financial Quarterly Holdco'!AD33+'Financial Quarterly Holdco'!AD34+'Financial Quarterly Holdco'!AD36</f>
        <v>0</v>
      </c>
      <c r="AE40" s="291">
        <f ca="1">+'Financial Quarterly Holdco'!AE30+'Financial Quarterly Holdco'!AE31+'Financial Quarterly Holdco'!AE32+'Financial Quarterly Holdco'!AE33+'Financial Quarterly Holdco'!AE34+'Financial Quarterly Holdco'!AE36</f>
        <v>0</v>
      </c>
      <c r="AF40" s="291">
        <f ca="1">+'Financial Quarterly Holdco'!AF30+'Financial Quarterly Holdco'!AF31+'Financial Quarterly Holdco'!AF32+'Financial Quarterly Holdco'!AF33+'Financial Quarterly Holdco'!AF34+'Financial Quarterly Holdco'!AF36</f>
        <v>0</v>
      </c>
    </row>
    <row r="41" spans="3:32" s="291" customFormat="1" ht="13.7">
      <c r="C41" s="303" t="s">
        <v>818</v>
      </c>
      <c r="D41" s="291">
        <f>IFERROR(MAX(-(D30+D39)*D34/(SUM(D34:D$36)),-D40),0)</f>
        <v>0</v>
      </c>
      <c r="E41" s="291">
        <f ca="1">IFERROR(MAX(-(E30+E39)*E34/(SUM(E34:E$36)),-E40),0)</f>
        <v>0</v>
      </c>
      <c r="F41" s="291">
        <f ca="1">IFERROR(MAX(-(F30+F39)*F34/(SUM(F34:F$36)),-F40),0)</f>
        <v>0</v>
      </c>
      <c r="G41" s="291">
        <f ca="1">IFERROR(MAX(-(G30+G39)*G34/(SUM(G34:G$36)),-G40),0)</f>
        <v>0</v>
      </c>
      <c r="H41" s="291">
        <f ca="1">IFERROR(MAX(-(H30+H39)*H34/(SUM(H34:H$36)),-H40),0)</f>
        <v>0</v>
      </c>
      <c r="I41" s="291">
        <f ca="1">IFERROR(MAX(-(I30+I39)*I34/(SUM(I34:I$36)),-I40),0)</f>
        <v>0</v>
      </c>
      <c r="J41" s="291">
        <f ca="1">IFERROR(MAX(-(J30+J39)*J34/(SUM(J34:J$36)),-J40),0)</f>
        <v>0</v>
      </c>
      <c r="K41" s="291">
        <f ca="1">IFERROR(MAX(-(K30+K39)*K34/(SUM(K34:K$36)),-K40),0)</f>
        <v>0</v>
      </c>
      <c r="L41" s="291">
        <f ca="1">IFERROR(MAX(-(L30+L39)*L34/(SUM(L34:L$36)),-L40),0)</f>
        <v>0</v>
      </c>
      <c r="M41" s="291">
        <f ca="1">IFERROR(MAX(-(M30+M39)*M34/(SUM(M34:M$36)),-M40),0)</f>
        <v>0</v>
      </c>
      <c r="N41" s="291">
        <f ca="1">IFERROR(MAX(-(N30+N39)*N34/(SUM(N34:N$36)),-N40),0)</f>
        <v>0</v>
      </c>
      <c r="O41" s="291">
        <f ca="1">IFERROR(MAX(-(O30+O39)*O34/(SUM(O34:O$36)),-O40),0)</f>
        <v>0</v>
      </c>
      <c r="P41" s="291">
        <f ca="1">IFERROR(MAX(-(P30+P39)*P34/(SUM(P34:P$36)),-P40),0)</f>
        <v>0</v>
      </c>
      <c r="Q41" s="291">
        <f ca="1">IFERROR(MAX(-(Q30+Q39)*Q34/(SUM(Q34:Q$36)),-Q40),0)</f>
        <v>0</v>
      </c>
      <c r="R41" s="291">
        <f ca="1">IFERROR(MAX(-(R30+R39)*R34/(SUM(R34:R$36)),-R40),0)</f>
        <v>0</v>
      </c>
      <c r="S41" s="291">
        <f ca="1">IFERROR(MAX(-(S30+S39)*S34/(SUM(S34:S$36)),-S40),0)</f>
        <v>0</v>
      </c>
      <c r="T41" s="291">
        <f ca="1">IFERROR(MAX(-(T30+T39)*T34/(SUM(T34:T$36)),-T40),0)</f>
        <v>0</v>
      </c>
      <c r="U41" s="291">
        <f ca="1">IFERROR(MAX(-(U30+U39)*U34/(SUM(U34:U$36)),-U40),0)</f>
        <v>0</v>
      </c>
      <c r="V41" s="291">
        <f ca="1">IFERROR(MAX(-(V30+V39)*V34/(SUM(V34:V$36)),-V40),0)</f>
        <v>0</v>
      </c>
      <c r="W41" s="291">
        <f ca="1">IFERROR(MAX(-(W30+W39)*W34/(SUM(W34:W$36)),-W40),0)</f>
        <v>0</v>
      </c>
      <c r="X41" s="291">
        <f ca="1">IFERROR(MAX(-(X30+X39)*X34/(SUM(X34:X$36)),-X40),0)</f>
        <v>0</v>
      </c>
      <c r="Y41" s="291">
        <f ca="1">IFERROR(MAX(-(Y30+Y39)*Y34/(SUM(Y34:Y$36)),-Y40),0)</f>
        <v>0</v>
      </c>
      <c r="Z41" s="291">
        <f ca="1">IFERROR(MAX(-(Z30+Z39)*Z34/(SUM(Z34:Z$36)),-Z40),0)</f>
        <v>0</v>
      </c>
      <c r="AA41" s="291">
        <f ca="1">IFERROR(MAX(-(AA30+AA39)*AA34/(SUM(AA34:AA$36)),-AA40),0)</f>
        <v>0</v>
      </c>
      <c r="AB41" s="291">
        <f ca="1">IFERROR(MAX(-(AB30+AB39)*AB34/(SUM(AB34:AB$36)),-AB40),0)</f>
        <v>0</v>
      </c>
      <c r="AC41" s="291">
        <f ca="1">IFERROR(MAX(-(AC30+AC39)*AC34/(SUM(AC34:AC$36)),-AC40),0)</f>
        <v>0</v>
      </c>
      <c r="AD41" s="291">
        <f ca="1">IFERROR(MAX(-(AD30+AD39)*AD34/(SUM(AD34:AD$36)),-AD40),0)</f>
        <v>0</v>
      </c>
      <c r="AE41" s="291">
        <f ca="1">IFERROR(MAX(-(AE30+AE39)*AE34/(SUM(AE34:AE$36)),-AE40),0)</f>
        <v>0</v>
      </c>
      <c r="AF41" s="291">
        <f ca="1">IFERROR(MAX(-(AF30+AF39)*AF34/(SUM(AF34:AF$36)),-AF40),0)</f>
        <v>0</v>
      </c>
    </row>
    <row r="42" spans="3:32" s="291" customFormat="1" ht="13.7">
      <c r="C42" s="303" t="s">
        <v>820</v>
      </c>
      <c r="D42" s="291">
        <f ca="1">'Financial Quarterly Holdco'!D44+'Financial Quarterly Holdco'!D45+'Financial Quarterly Holdco'!D46+'Financial Quarterly Holdco'!D47+'Financial Quarterly Holdco'!D48+'Financial Quarterly Holdco'!D50</f>
        <v>0</v>
      </c>
      <c r="E42" s="291">
        <f ca="1">'Financial Quarterly Holdco'!E44+'Financial Quarterly Holdco'!E45+'Financial Quarterly Holdco'!E46+'Financial Quarterly Holdco'!E47+'Financial Quarterly Holdco'!E48+'Financial Quarterly Holdco'!E50</f>
        <v>0</v>
      </c>
      <c r="F42" s="291">
        <f ca="1">'Financial Quarterly Holdco'!F44+'Financial Quarterly Holdco'!F45+'Financial Quarterly Holdco'!F46+'Financial Quarterly Holdco'!F47+'Financial Quarterly Holdco'!F48+'Financial Quarterly Holdco'!F50</f>
        <v>0</v>
      </c>
      <c r="G42" s="291">
        <f ca="1">'Financial Quarterly Holdco'!G44+'Financial Quarterly Holdco'!G45+'Financial Quarterly Holdco'!G46+'Financial Quarterly Holdco'!G47+'Financial Quarterly Holdco'!G48+'Financial Quarterly Holdco'!G50</f>
        <v>0</v>
      </c>
      <c r="H42" s="291">
        <f ca="1">'Financial Quarterly Holdco'!H44+'Financial Quarterly Holdco'!H45+'Financial Quarterly Holdco'!H46+'Financial Quarterly Holdco'!H47+'Financial Quarterly Holdco'!H48+'Financial Quarterly Holdco'!H50</f>
        <v>0</v>
      </c>
      <c r="I42" s="291">
        <f ca="1">'Financial Quarterly Holdco'!I44+'Financial Quarterly Holdco'!I45+'Financial Quarterly Holdco'!I46+'Financial Quarterly Holdco'!I47+'Financial Quarterly Holdco'!I48+'Financial Quarterly Holdco'!I50</f>
        <v>0</v>
      </c>
      <c r="J42" s="291">
        <f ca="1">'Financial Quarterly Holdco'!J44+'Financial Quarterly Holdco'!J45+'Financial Quarterly Holdco'!J46+'Financial Quarterly Holdco'!J47+'Financial Quarterly Holdco'!J48+'Financial Quarterly Holdco'!J50</f>
        <v>0</v>
      </c>
      <c r="K42" s="291">
        <f ca="1">'Financial Quarterly Holdco'!K44+'Financial Quarterly Holdco'!K45+'Financial Quarterly Holdco'!K46+'Financial Quarterly Holdco'!K47+'Financial Quarterly Holdco'!K48+'Financial Quarterly Holdco'!K50</f>
        <v>0</v>
      </c>
      <c r="L42" s="291">
        <f ca="1">'Financial Quarterly Holdco'!L44+'Financial Quarterly Holdco'!L45+'Financial Quarterly Holdco'!L46+'Financial Quarterly Holdco'!L47+'Financial Quarterly Holdco'!L48+'Financial Quarterly Holdco'!L50</f>
        <v>0</v>
      </c>
      <c r="M42" s="291">
        <f ca="1">'Financial Quarterly Holdco'!M44+'Financial Quarterly Holdco'!M45+'Financial Quarterly Holdco'!M46+'Financial Quarterly Holdco'!M47+'Financial Quarterly Holdco'!M48+'Financial Quarterly Holdco'!M50</f>
        <v>0</v>
      </c>
      <c r="N42" s="291">
        <f ca="1">'Financial Quarterly Holdco'!N44+'Financial Quarterly Holdco'!N45+'Financial Quarterly Holdco'!N46+'Financial Quarterly Holdco'!N47+'Financial Quarterly Holdco'!N48+'Financial Quarterly Holdco'!N50</f>
        <v>0</v>
      </c>
      <c r="O42" s="291">
        <f ca="1">'Financial Quarterly Holdco'!O44+'Financial Quarterly Holdco'!O45+'Financial Quarterly Holdco'!O46+'Financial Quarterly Holdco'!O47+'Financial Quarterly Holdco'!O48+'Financial Quarterly Holdco'!O50</f>
        <v>0</v>
      </c>
      <c r="P42" s="291">
        <f ca="1">'Financial Quarterly Holdco'!P44+'Financial Quarterly Holdco'!P45+'Financial Quarterly Holdco'!P46+'Financial Quarterly Holdco'!P47+'Financial Quarterly Holdco'!P48+'Financial Quarterly Holdco'!P50</f>
        <v>0</v>
      </c>
      <c r="Q42" s="291">
        <f ca="1">'Financial Quarterly Holdco'!Q44+'Financial Quarterly Holdco'!Q45+'Financial Quarterly Holdco'!Q46+'Financial Quarterly Holdco'!Q47+'Financial Quarterly Holdco'!Q48+'Financial Quarterly Holdco'!Q50</f>
        <v>0</v>
      </c>
      <c r="R42" s="291">
        <f ca="1">'Financial Quarterly Holdco'!R44+'Financial Quarterly Holdco'!R45+'Financial Quarterly Holdco'!R46+'Financial Quarterly Holdco'!R47+'Financial Quarterly Holdco'!R48+'Financial Quarterly Holdco'!R50</f>
        <v>0</v>
      </c>
      <c r="S42" s="291">
        <f ca="1">'Financial Quarterly Holdco'!S44+'Financial Quarterly Holdco'!S45+'Financial Quarterly Holdco'!S46+'Financial Quarterly Holdco'!S47+'Financial Quarterly Holdco'!S48+'Financial Quarterly Holdco'!S50</f>
        <v>0</v>
      </c>
      <c r="T42" s="291">
        <f ca="1">'Financial Quarterly Holdco'!T44+'Financial Quarterly Holdco'!T45+'Financial Quarterly Holdco'!T46+'Financial Quarterly Holdco'!T47+'Financial Quarterly Holdco'!T48+'Financial Quarterly Holdco'!T50</f>
        <v>0</v>
      </c>
      <c r="U42" s="291">
        <f ca="1">'Financial Quarterly Holdco'!U44+'Financial Quarterly Holdco'!U45+'Financial Quarterly Holdco'!U46+'Financial Quarterly Holdco'!U47+'Financial Quarterly Holdco'!U48+'Financial Quarterly Holdco'!U50</f>
        <v>0</v>
      </c>
      <c r="V42" s="291">
        <f ca="1">'Financial Quarterly Holdco'!V44+'Financial Quarterly Holdco'!V45+'Financial Quarterly Holdco'!V46+'Financial Quarterly Holdco'!V47+'Financial Quarterly Holdco'!V48+'Financial Quarterly Holdco'!V50</f>
        <v>0</v>
      </c>
      <c r="W42" s="291">
        <f ca="1">'Financial Quarterly Holdco'!W44+'Financial Quarterly Holdco'!W45+'Financial Quarterly Holdco'!W46+'Financial Quarterly Holdco'!W47+'Financial Quarterly Holdco'!W48+'Financial Quarterly Holdco'!W50</f>
        <v>0</v>
      </c>
      <c r="X42" s="291">
        <f ca="1">'Financial Quarterly Holdco'!X44+'Financial Quarterly Holdco'!X45+'Financial Quarterly Holdco'!X46+'Financial Quarterly Holdco'!X47+'Financial Quarterly Holdco'!X48+'Financial Quarterly Holdco'!X50</f>
        <v>0</v>
      </c>
      <c r="Y42" s="291">
        <f ca="1">'Financial Quarterly Holdco'!Y44+'Financial Quarterly Holdco'!Y45+'Financial Quarterly Holdco'!Y46+'Financial Quarterly Holdco'!Y47+'Financial Quarterly Holdco'!Y48+'Financial Quarterly Holdco'!Y50</f>
        <v>0</v>
      </c>
      <c r="Z42" s="291">
        <f ca="1">'Financial Quarterly Holdco'!Z44+'Financial Quarterly Holdco'!Z45+'Financial Quarterly Holdco'!Z46+'Financial Quarterly Holdco'!Z47+'Financial Quarterly Holdco'!Z48+'Financial Quarterly Holdco'!Z50</f>
        <v>0</v>
      </c>
      <c r="AA42" s="291">
        <f ca="1">'Financial Quarterly Holdco'!AA44+'Financial Quarterly Holdco'!AA45+'Financial Quarterly Holdco'!AA46+'Financial Quarterly Holdco'!AA47+'Financial Quarterly Holdco'!AA48+'Financial Quarterly Holdco'!AA50</f>
        <v>0</v>
      </c>
      <c r="AB42" s="291">
        <f ca="1">'Financial Quarterly Holdco'!AB44+'Financial Quarterly Holdco'!AB45+'Financial Quarterly Holdco'!AB46+'Financial Quarterly Holdco'!AB47+'Financial Quarterly Holdco'!AB48+'Financial Quarterly Holdco'!AB50</f>
        <v>0</v>
      </c>
      <c r="AC42" s="291">
        <f ca="1">'Financial Quarterly Holdco'!AC44+'Financial Quarterly Holdco'!AC45+'Financial Quarterly Holdco'!AC46+'Financial Quarterly Holdco'!AC47+'Financial Quarterly Holdco'!AC48+'Financial Quarterly Holdco'!AC50</f>
        <v>0</v>
      </c>
      <c r="AD42" s="291">
        <f ca="1">'Financial Quarterly Holdco'!AD44+'Financial Quarterly Holdco'!AD45+'Financial Quarterly Holdco'!AD46+'Financial Quarterly Holdco'!AD47+'Financial Quarterly Holdco'!AD48+'Financial Quarterly Holdco'!AD50</f>
        <v>0</v>
      </c>
      <c r="AE42" s="291">
        <f ca="1">'Financial Quarterly Holdco'!AE44+'Financial Quarterly Holdco'!AE45+'Financial Quarterly Holdco'!AE46+'Financial Quarterly Holdco'!AE47+'Financial Quarterly Holdco'!AE48+'Financial Quarterly Holdco'!AE50</f>
        <v>0</v>
      </c>
      <c r="AF42" s="291">
        <f ca="1">'Financial Quarterly Holdco'!AF44+'Financial Quarterly Holdco'!AF45+'Financial Quarterly Holdco'!AF46+'Financial Quarterly Holdco'!AF47+'Financial Quarterly Holdco'!AF48+'Financial Quarterly Holdco'!AF50</f>
        <v>0</v>
      </c>
    </row>
    <row r="43" spans="3:32" s="291" customFormat="1" ht="13.7">
      <c r="C43" s="303" t="s">
        <v>818</v>
      </c>
      <c r="D43" s="291">
        <f ca="1">IFERROR(MAX(-(D30+D39+D41)*D35/(SUM(D35:D$36)),-D42),0)</f>
        <v>0</v>
      </c>
      <c r="E43" s="291">
        <f ca="1">IFERROR(MAX(-(E30+E39+E41)*E35/(SUM(E35:E$36)),-E42),0)</f>
        <v>0</v>
      </c>
      <c r="F43" s="291">
        <f ca="1">IFERROR(MAX(-(F30+F39+F41)*F35/(SUM(F35:F$36)),-F42),0)</f>
        <v>0</v>
      </c>
      <c r="G43" s="291">
        <f ca="1">IFERROR(MAX(-(G30+G39+G41)*G35/(SUM(G35:G$36)),-G42),0)</f>
        <v>0</v>
      </c>
      <c r="H43" s="291">
        <f ca="1">IFERROR(MAX(-(H30+H39+H41)*H35/(SUM(H35:H$36)),-H42),0)</f>
        <v>0</v>
      </c>
      <c r="I43" s="291">
        <f ca="1">IFERROR(MAX(-(I30+I39+I41)*I35/(SUM(I35:I$36)),-I42),0)</f>
        <v>0</v>
      </c>
      <c r="J43" s="291">
        <f ca="1">IFERROR(MAX(-(J30+J39+J41)*J35/(SUM(J35:J$36)),-J42),0)</f>
        <v>0</v>
      </c>
      <c r="K43" s="291">
        <f ca="1">IFERROR(MAX(-(K30+K39+K41)*K35/(SUM(K35:K$36)),-K42),0)</f>
        <v>0</v>
      </c>
      <c r="L43" s="291">
        <f ca="1">IFERROR(MAX(-(L30+L39+L41)*L35/(SUM(L35:L$36)),-L42),0)</f>
        <v>0</v>
      </c>
      <c r="M43" s="291">
        <f ca="1">IFERROR(MAX(-(M30+M39+M41)*M35/(SUM(M35:M$36)),-M42),0)</f>
        <v>0</v>
      </c>
      <c r="N43" s="291">
        <f ca="1">IFERROR(MAX(-(N30+N39+N41)*N35/(SUM(N35:N$36)),-N42),0)</f>
        <v>0</v>
      </c>
      <c r="O43" s="291">
        <f ca="1">IFERROR(MAX(-(O30+O39+O41)*O35/(SUM(O35:O$36)),-O42),0)</f>
        <v>0</v>
      </c>
      <c r="P43" s="291">
        <f ca="1">IFERROR(MAX(-(P30+P39+P41)*P35/(SUM(P35:P$36)),-P42),0)</f>
        <v>0</v>
      </c>
      <c r="Q43" s="291">
        <f ca="1">IFERROR(MAX(-(Q30+Q39+Q41)*Q35/(SUM(Q35:Q$36)),-Q42),0)</f>
        <v>0</v>
      </c>
      <c r="R43" s="291">
        <f ca="1">IFERROR(MAX(-(R30+R39+R41)*R35/(SUM(R35:R$36)),-R42),0)</f>
        <v>0</v>
      </c>
      <c r="S43" s="291">
        <f ca="1">IFERROR(MAX(-(S30+S39+S41)*S35/(SUM(S35:S$36)),-S42),0)</f>
        <v>0</v>
      </c>
      <c r="T43" s="291">
        <f ca="1">IFERROR(MAX(-(T30+T39+T41)*T35/(SUM(T35:T$36)),-T42),0)</f>
        <v>0</v>
      </c>
      <c r="U43" s="291">
        <f ca="1">IFERROR(MAX(-(U30+U39+U41)*U35/(SUM(U35:U$36)),-U42),0)</f>
        <v>0</v>
      </c>
      <c r="V43" s="291">
        <f ca="1">IFERROR(MAX(-(V30+V39+V41)*V35/(SUM(V35:V$36)),-V42),0)</f>
        <v>0</v>
      </c>
      <c r="W43" s="291">
        <f ca="1">IFERROR(MAX(-(W30+W39+W41)*W35/(SUM(W35:W$36)),-W42),0)</f>
        <v>0</v>
      </c>
      <c r="X43" s="291">
        <f ca="1">IFERROR(MAX(-(X30+X39+X41)*X35/(SUM(X35:X$36)),-X42),0)</f>
        <v>0</v>
      </c>
      <c r="Y43" s="291">
        <f ca="1">IFERROR(MAX(-(Y30+Y39+Y41)*Y35/(SUM(Y35:Y$36)),-Y42),0)</f>
        <v>0</v>
      </c>
      <c r="Z43" s="291">
        <f ca="1">IFERROR(MAX(-(Z30+Z39+Z41)*Z35/(SUM(Z35:Z$36)),-Z42),0)</f>
        <v>0</v>
      </c>
      <c r="AA43" s="291">
        <f ca="1">IFERROR(MAX(-(AA30+AA39+AA41)*AA35/(SUM(AA35:AA$36)),-AA42),0)</f>
        <v>0</v>
      </c>
      <c r="AB43" s="291">
        <f ca="1">IFERROR(MAX(-(AB30+AB39+AB41)*AB35/(SUM(AB35:AB$36)),-AB42),0)</f>
        <v>0</v>
      </c>
      <c r="AC43" s="291">
        <f ca="1">IFERROR(MAX(-(AC30+AC39+AC41)*AC35/(SUM(AC35:AC$36)),-AC42),0)</f>
        <v>0</v>
      </c>
      <c r="AD43" s="291">
        <f ca="1">IFERROR(MAX(-(AD30+AD39+AD41)*AD35/(SUM(AD35:AD$36)),-AD42),0)</f>
        <v>0</v>
      </c>
      <c r="AE43" s="291">
        <f ca="1">IFERROR(MAX(-(AE30+AE39+AE41)*AE35/(SUM(AE35:AE$36)),-AE42),0)</f>
        <v>0</v>
      </c>
      <c r="AF43" s="291">
        <f ca="1">IFERROR(MAX(-(AF30+AF39+AF41)*AF35/(SUM(AF35:AF$36)),-AF42),0)</f>
        <v>0</v>
      </c>
    </row>
    <row r="44" spans="3:32" s="291" customFormat="1" ht="13.7">
      <c r="C44" s="303" t="s">
        <v>821</v>
      </c>
      <c r="D44" s="291">
        <f>+'Financial Quarterly Holdco'!D59+'Financial Quarterly Holdco'!D60+'Financial Quarterly Holdco'!D61+'Financial Quarterly Holdco'!D62+'Financial Quarterly Holdco'!D65</f>
        <v>0</v>
      </c>
      <c r="E44" s="291">
        <f ca="1">+'Financial Quarterly Holdco'!E59+'Financial Quarterly Holdco'!E60+'Financial Quarterly Holdco'!E61+'Financial Quarterly Holdco'!E62+'Financial Quarterly Holdco'!E65</f>
        <v>0</v>
      </c>
      <c r="F44" s="291">
        <f ca="1">+'Financial Quarterly Holdco'!F59+'Financial Quarterly Holdco'!F60+'Financial Quarterly Holdco'!F61+'Financial Quarterly Holdco'!F62+'Financial Quarterly Holdco'!F65</f>
        <v>0</v>
      </c>
      <c r="G44" s="291">
        <f ca="1">+'Financial Quarterly Holdco'!G59+'Financial Quarterly Holdco'!G60+'Financial Quarterly Holdco'!G61+'Financial Quarterly Holdco'!G62+'Financial Quarterly Holdco'!G65</f>
        <v>0</v>
      </c>
      <c r="H44" s="291">
        <f ca="1">+'Financial Quarterly Holdco'!H59+'Financial Quarterly Holdco'!H60+'Financial Quarterly Holdco'!H61+'Financial Quarterly Holdco'!H62+'Financial Quarterly Holdco'!H65</f>
        <v>0</v>
      </c>
      <c r="I44" s="291">
        <f ca="1">+'Financial Quarterly Holdco'!I59+'Financial Quarterly Holdco'!I60+'Financial Quarterly Holdco'!I61+'Financial Quarterly Holdco'!I62+'Financial Quarterly Holdco'!I65</f>
        <v>0</v>
      </c>
      <c r="J44" s="291">
        <f ca="1">+'Financial Quarterly Holdco'!J59+'Financial Quarterly Holdco'!J60+'Financial Quarterly Holdco'!J61+'Financial Quarterly Holdco'!J62+'Financial Quarterly Holdco'!J65</f>
        <v>0</v>
      </c>
      <c r="K44" s="291">
        <f ca="1">+'Financial Quarterly Holdco'!K59+'Financial Quarterly Holdco'!K60+'Financial Quarterly Holdco'!K61+'Financial Quarterly Holdco'!K62+'Financial Quarterly Holdco'!K65</f>
        <v>0</v>
      </c>
      <c r="L44" s="291">
        <f ca="1">+'Financial Quarterly Holdco'!L59+'Financial Quarterly Holdco'!L60+'Financial Quarterly Holdco'!L61+'Financial Quarterly Holdco'!L62+'Financial Quarterly Holdco'!L65</f>
        <v>0</v>
      </c>
      <c r="M44" s="291">
        <f ca="1">+'Financial Quarterly Holdco'!M59+'Financial Quarterly Holdco'!M60+'Financial Quarterly Holdco'!M61+'Financial Quarterly Holdco'!M62+'Financial Quarterly Holdco'!M65</f>
        <v>0</v>
      </c>
      <c r="N44" s="291">
        <f ca="1">+'Financial Quarterly Holdco'!N59+'Financial Quarterly Holdco'!N60+'Financial Quarterly Holdco'!N61+'Financial Quarterly Holdco'!N62+'Financial Quarterly Holdco'!N65</f>
        <v>0</v>
      </c>
      <c r="O44" s="291">
        <f ca="1">+'Financial Quarterly Holdco'!O59+'Financial Quarterly Holdco'!O60+'Financial Quarterly Holdco'!O61+'Financial Quarterly Holdco'!O62+'Financial Quarterly Holdco'!O65</f>
        <v>0</v>
      </c>
      <c r="P44" s="291">
        <f ca="1">+'Financial Quarterly Holdco'!P59+'Financial Quarterly Holdco'!P60+'Financial Quarterly Holdco'!P61+'Financial Quarterly Holdco'!P62+'Financial Quarterly Holdco'!P65</f>
        <v>0</v>
      </c>
      <c r="Q44" s="291">
        <f ca="1">+'Financial Quarterly Holdco'!Q59+'Financial Quarterly Holdco'!Q60+'Financial Quarterly Holdco'!Q61+'Financial Quarterly Holdco'!Q62+'Financial Quarterly Holdco'!Q65</f>
        <v>0</v>
      </c>
      <c r="R44" s="291">
        <f ca="1">+'Financial Quarterly Holdco'!R59+'Financial Quarterly Holdco'!R60+'Financial Quarterly Holdco'!R61+'Financial Quarterly Holdco'!R62+'Financial Quarterly Holdco'!R65</f>
        <v>0</v>
      </c>
      <c r="S44" s="291">
        <f ca="1">+'Financial Quarterly Holdco'!S59+'Financial Quarterly Holdco'!S60+'Financial Quarterly Holdco'!S61+'Financial Quarterly Holdco'!S62+'Financial Quarterly Holdco'!S65</f>
        <v>0</v>
      </c>
      <c r="T44" s="291">
        <f ca="1">+'Financial Quarterly Holdco'!T59+'Financial Quarterly Holdco'!T60+'Financial Quarterly Holdco'!T61+'Financial Quarterly Holdco'!T62+'Financial Quarterly Holdco'!T65</f>
        <v>0</v>
      </c>
      <c r="U44" s="291">
        <f ca="1">+'Financial Quarterly Holdco'!U59+'Financial Quarterly Holdco'!U60+'Financial Quarterly Holdco'!U61+'Financial Quarterly Holdco'!U62+'Financial Quarterly Holdco'!U65</f>
        <v>0</v>
      </c>
      <c r="V44" s="291">
        <f ca="1">+'Financial Quarterly Holdco'!V59+'Financial Quarterly Holdco'!V60+'Financial Quarterly Holdco'!V61+'Financial Quarterly Holdco'!V62+'Financial Quarterly Holdco'!V65</f>
        <v>0</v>
      </c>
      <c r="W44" s="291">
        <f ca="1">+'Financial Quarterly Holdco'!W59+'Financial Quarterly Holdco'!W60+'Financial Quarterly Holdco'!W61+'Financial Quarterly Holdco'!W62+'Financial Quarterly Holdco'!W65</f>
        <v>0</v>
      </c>
      <c r="X44" s="291">
        <f ca="1">+'Financial Quarterly Holdco'!X59+'Financial Quarterly Holdco'!X60+'Financial Quarterly Holdco'!X61+'Financial Quarterly Holdco'!X62+'Financial Quarterly Holdco'!X65</f>
        <v>0</v>
      </c>
      <c r="Y44" s="291">
        <f ca="1">+'Financial Quarterly Holdco'!Y59+'Financial Quarterly Holdco'!Y60+'Financial Quarterly Holdco'!Y61+'Financial Quarterly Holdco'!Y62+'Financial Quarterly Holdco'!Y65</f>
        <v>0</v>
      </c>
      <c r="Z44" s="291">
        <f ca="1">+'Financial Quarterly Holdco'!Z59+'Financial Quarterly Holdco'!Z60+'Financial Quarterly Holdco'!Z61+'Financial Quarterly Holdco'!Z62+'Financial Quarterly Holdco'!Z65</f>
        <v>0</v>
      </c>
      <c r="AA44" s="291">
        <f ca="1">+'Financial Quarterly Holdco'!AA59+'Financial Quarterly Holdco'!AA60+'Financial Quarterly Holdco'!AA61+'Financial Quarterly Holdco'!AA62+'Financial Quarterly Holdco'!AA65</f>
        <v>0</v>
      </c>
      <c r="AB44" s="291">
        <f ca="1">+'Financial Quarterly Holdco'!AB59+'Financial Quarterly Holdco'!AB60+'Financial Quarterly Holdco'!AB61+'Financial Quarterly Holdco'!AB62+'Financial Quarterly Holdco'!AB65</f>
        <v>0</v>
      </c>
      <c r="AC44" s="291">
        <f ca="1">+'Financial Quarterly Holdco'!AC59+'Financial Quarterly Holdco'!AC60+'Financial Quarterly Holdco'!AC61+'Financial Quarterly Holdco'!AC62+'Financial Quarterly Holdco'!AC65</f>
        <v>0</v>
      </c>
      <c r="AD44" s="291">
        <f ca="1">+'Financial Quarterly Holdco'!AD59+'Financial Quarterly Holdco'!AD60+'Financial Quarterly Holdco'!AD61+'Financial Quarterly Holdco'!AD62+'Financial Quarterly Holdco'!AD65</f>
        <v>0</v>
      </c>
      <c r="AE44" s="291">
        <f ca="1">+'Financial Quarterly Holdco'!AE59+'Financial Quarterly Holdco'!AE60+'Financial Quarterly Holdco'!AE61+'Financial Quarterly Holdco'!AE62+'Financial Quarterly Holdco'!AE65</f>
        <v>0</v>
      </c>
      <c r="AF44" s="291">
        <f ca="1">+'Financial Quarterly Holdco'!AF59+'Financial Quarterly Holdco'!AF60+'Financial Quarterly Holdco'!AF61+'Financial Quarterly Holdco'!AF62+'Financial Quarterly Holdco'!AF65</f>
        <v>0</v>
      </c>
    </row>
    <row r="45" spans="3:32" s="291" customFormat="1" ht="13.7">
      <c r="C45" s="303" t="s">
        <v>818</v>
      </c>
      <c r="D45" s="291">
        <f ca="1">MAX(-(D30+D39+D41+D43),-D44)</f>
        <v>0</v>
      </c>
      <c r="E45" s="291">
        <f t="shared" ref="E45:AB45" ca="1" si="27">MAX(-(E30+E39+E41+E43),-E44)</f>
        <v>0</v>
      </c>
      <c r="F45" s="291">
        <f t="shared" ca="1" si="27"/>
        <v>0</v>
      </c>
      <c r="G45" s="291">
        <f t="shared" ca="1" si="27"/>
        <v>0</v>
      </c>
      <c r="H45" s="291">
        <f ca="1">MAX(-(H30+H39+H41+H43),-H44)</f>
        <v>0</v>
      </c>
      <c r="I45" s="291">
        <f t="shared" ca="1" si="27"/>
        <v>0</v>
      </c>
      <c r="J45" s="291">
        <f t="shared" ca="1" si="27"/>
        <v>0</v>
      </c>
      <c r="K45" s="291">
        <f t="shared" ca="1" si="27"/>
        <v>0</v>
      </c>
      <c r="L45" s="291">
        <f t="shared" ca="1" si="27"/>
        <v>0</v>
      </c>
      <c r="M45" s="291">
        <f t="shared" ca="1" si="27"/>
        <v>0</v>
      </c>
      <c r="N45" s="291">
        <f t="shared" ca="1" si="27"/>
        <v>0</v>
      </c>
      <c r="O45" s="291">
        <f t="shared" ca="1" si="27"/>
        <v>0</v>
      </c>
      <c r="P45" s="291">
        <f t="shared" ca="1" si="27"/>
        <v>0</v>
      </c>
      <c r="Q45" s="291">
        <f t="shared" ca="1" si="27"/>
        <v>0</v>
      </c>
      <c r="R45" s="291">
        <f t="shared" ca="1" si="27"/>
        <v>0</v>
      </c>
      <c r="S45" s="291">
        <f t="shared" ca="1" si="27"/>
        <v>0</v>
      </c>
      <c r="T45" s="291">
        <f t="shared" ca="1" si="27"/>
        <v>0</v>
      </c>
      <c r="U45" s="291">
        <f t="shared" ca="1" si="27"/>
        <v>0</v>
      </c>
      <c r="V45" s="291">
        <f t="shared" ca="1" si="27"/>
        <v>0</v>
      </c>
      <c r="W45" s="291">
        <f t="shared" ca="1" si="27"/>
        <v>0</v>
      </c>
      <c r="X45" s="291">
        <f t="shared" ca="1" si="27"/>
        <v>0</v>
      </c>
      <c r="Y45" s="291">
        <f t="shared" ca="1" si="27"/>
        <v>0</v>
      </c>
      <c r="Z45" s="291">
        <f t="shared" ca="1" si="27"/>
        <v>0</v>
      </c>
      <c r="AA45" s="291">
        <f t="shared" ca="1" si="27"/>
        <v>0</v>
      </c>
      <c r="AB45" s="291">
        <f t="shared" ca="1" si="27"/>
        <v>0</v>
      </c>
      <c r="AC45" s="291">
        <f t="shared" ref="AC45:AF45" ca="1" si="28">MAX(-(AC30+AC39+AC41+AC43),-AC44)</f>
        <v>0</v>
      </c>
      <c r="AD45" s="291">
        <f t="shared" ca="1" si="28"/>
        <v>0</v>
      </c>
      <c r="AE45" s="291">
        <f t="shared" ca="1" si="28"/>
        <v>0</v>
      </c>
      <c r="AF45" s="291">
        <f t="shared" ca="1" si="28"/>
        <v>0</v>
      </c>
    </row>
    <row r="47" spans="3:32" s="291" customFormat="1" ht="13.7">
      <c r="C47" s="291" t="s">
        <v>815</v>
      </c>
      <c r="D47" s="291">
        <f>'Financing assumptions Holdco'!$F$74*1000</f>
        <v>0</v>
      </c>
      <c r="E47" s="291">
        <f>'Financing assumptions Holdco'!$F$74*1000</f>
        <v>0</v>
      </c>
      <c r="F47" s="291">
        <f>'Financing assumptions Holdco'!$F$74*1000</f>
        <v>0</v>
      </c>
      <c r="G47" s="291">
        <f>'Financing assumptions Holdco'!$F$74*1000</f>
        <v>0</v>
      </c>
      <c r="H47" s="291">
        <f>'Financing assumptions Holdco'!$F$74*1000</f>
        <v>0</v>
      </c>
      <c r="I47" s="291">
        <f>'Financing assumptions Holdco'!$F$74*1000</f>
        <v>0</v>
      </c>
      <c r="J47" s="291">
        <f>'Financing assumptions Holdco'!$F$74*1000</f>
        <v>0</v>
      </c>
      <c r="K47" s="291">
        <f>'Financing assumptions Holdco'!$F$74*1000</f>
        <v>0</v>
      </c>
      <c r="L47" s="291">
        <f>'Financing assumptions Holdco'!$F$74*1000</f>
        <v>0</v>
      </c>
      <c r="M47" s="291">
        <f>'Financing assumptions Holdco'!$F$74*1000</f>
        <v>0</v>
      </c>
      <c r="N47" s="291">
        <f>'Financing assumptions Holdco'!$F$74*1000</f>
        <v>0</v>
      </c>
      <c r="O47" s="291">
        <f>'Financing assumptions Holdco'!$F$74*1000</f>
        <v>0</v>
      </c>
      <c r="P47" s="291">
        <f>'Financing assumptions Holdco'!$F$74*1000</f>
        <v>0</v>
      </c>
      <c r="Q47" s="291">
        <f>'Financing assumptions Holdco'!$F$74*1000</f>
        <v>0</v>
      </c>
      <c r="R47" s="291">
        <f>'Financing assumptions Holdco'!$F$74*1000</f>
        <v>0</v>
      </c>
      <c r="S47" s="291">
        <f>'Financing assumptions Holdco'!$F$74*1000</f>
        <v>0</v>
      </c>
      <c r="T47" s="291">
        <f>'Financing assumptions Holdco'!$F$74*1000</f>
        <v>0</v>
      </c>
      <c r="U47" s="291">
        <f>'Financing assumptions Holdco'!$F$74*1000</f>
        <v>0</v>
      </c>
      <c r="V47" s="291">
        <f>'Financing assumptions Holdco'!$F$74*1000</f>
        <v>0</v>
      </c>
      <c r="W47" s="291">
        <f>'Financing assumptions Holdco'!$F$74*1000</f>
        <v>0</v>
      </c>
      <c r="X47" s="291">
        <f>'Financing assumptions Holdco'!$F$74*1000</f>
        <v>0</v>
      </c>
      <c r="Y47" s="291">
        <f>'Financing assumptions Holdco'!$F$74*1000</f>
        <v>0</v>
      </c>
      <c r="Z47" s="291">
        <f>'Financing assumptions Holdco'!$F$74*1000</f>
        <v>0</v>
      </c>
      <c r="AA47" s="291">
        <f>'Financing assumptions Holdco'!$F$74*1000</f>
        <v>0</v>
      </c>
      <c r="AB47" s="291">
        <f>'Financing assumptions Holdco'!$F$74*1000</f>
        <v>0</v>
      </c>
      <c r="AC47" s="291">
        <f>'Financing assumptions Holdco'!$F$74*1000</f>
        <v>0</v>
      </c>
      <c r="AD47" s="291">
        <f>'Financing assumptions Holdco'!$F$74*1000</f>
        <v>0</v>
      </c>
      <c r="AE47" s="291">
        <f>'Financing assumptions Holdco'!$F$74*1000</f>
        <v>0</v>
      </c>
      <c r="AF47" s="291">
        <f>'Financing assumptions Holdco'!$F$74*1000</f>
        <v>0</v>
      </c>
    </row>
    <row r="48" spans="3:32" s="180" customFormat="1" ht="13.7">
      <c r="C48" s="180" t="s">
        <v>822</v>
      </c>
      <c r="D48" s="180">
        <f ca="1">IF('Financing assumptions Holdco'!$F$81,'Cash sweep &amp; dividend Holdco'!D26,MAX(+'Financial Quarterly Holdco'!D87-'Cash sweep &amp; dividend Holdco'!D47-'Financial Quarterly Holdco'!D79,0))</f>
        <v>0</v>
      </c>
      <c r="E48" s="180">
        <f ca="1">IF('Financing assumptions Holdco'!$F$81,'Cash sweep &amp; dividend Holdco'!E26,MAX(+'Financial Quarterly Holdco'!E87-'Cash sweep &amp; dividend Holdco'!E47-'Financial Quarterly Holdco'!E79,0))</f>
        <v>0</v>
      </c>
      <c r="F48" s="180">
        <f ca="1">IF('Financing assumptions Holdco'!$F$81,'Cash sweep &amp; dividend Holdco'!F26,MAX(+'Financial Quarterly Holdco'!F87-'Cash sweep &amp; dividend Holdco'!F47-'Financial Quarterly Holdco'!F79,0))</f>
        <v>0</v>
      </c>
      <c r="G48" s="180">
        <f ca="1">IF('Financing assumptions Holdco'!$F$81,'Cash sweep &amp; dividend Holdco'!G26,MAX(+'Financial Quarterly Holdco'!G87-'Cash sweep &amp; dividend Holdco'!G47-'Financial Quarterly Holdco'!G79,0))</f>
        <v>0</v>
      </c>
      <c r="H48" s="180">
        <f ca="1">IF('Financing assumptions Holdco'!$F$81,'Cash sweep &amp; dividend Holdco'!H26,MAX(+'Financial Quarterly Holdco'!H87-'Cash sweep &amp; dividend Holdco'!H47-'Financial Quarterly Holdco'!H79,0))</f>
        <v>0</v>
      </c>
      <c r="I48" s="180">
        <f ca="1">IF('Financing assumptions Holdco'!$F$81,'Cash sweep &amp; dividend Holdco'!I26,MAX(+'Financial Quarterly Holdco'!I87-'Cash sweep &amp; dividend Holdco'!I47-'Financial Quarterly Holdco'!I79,0))</f>
        <v>0</v>
      </c>
      <c r="J48" s="180">
        <f ca="1">IF('Financing assumptions Holdco'!$F$81,'Cash sweep &amp; dividend Holdco'!J26,MAX(+'Financial Quarterly Holdco'!J87-'Cash sweep &amp; dividend Holdco'!J47-'Financial Quarterly Holdco'!J79,0))</f>
        <v>0</v>
      </c>
      <c r="K48" s="180">
        <f ca="1">IF('Financing assumptions Holdco'!$F$81,'Cash sweep &amp; dividend Holdco'!K26,MAX(+'Financial Quarterly Holdco'!K87-'Cash sweep &amp; dividend Holdco'!K47-'Financial Quarterly Holdco'!K79,0))</f>
        <v>0</v>
      </c>
      <c r="L48" s="180">
        <f ca="1">IF('Financing assumptions Holdco'!$F$81,'Cash sweep &amp; dividend Holdco'!L26,MAX(+'Financial Quarterly Holdco'!L87-'Cash sweep &amp; dividend Holdco'!L47-'Financial Quarterly Holdco'!L79,0))</f>
        <v>0</v>
      </c>
      <c r="M48" s="180">
        <f ca="1">IF('Financing assumptions Holdco'!$F$81,'Cash sweep &amp; dividend Holdco'!M26,MAX(+'Financial Quarterly Holdco'!M87-'Cash sweep &amp; dividend Holdco'!M47-'Financial Quarterly Holdco'!M79,0))</f>
        <v>0</v>
      </c>
      <c r="N48" s="180">
        <f ca="1">IF('Financing assumptions Holdco'!$F$81,'Cash sweep &amp; dividend Holdco'!N26,MAX(+'Financial Quarterly Holdco'!N87-'Cash sweep &amp; dividend Holdco'!N47-'Financial Quarterly Holdco'!N79,0))</f>
        <v>0</v>
      </c>
      <c r="O48" s="180">
        <f ca="1">IF('Financing assumptions Holdco'!$F$81,'Cash sweep &amp; dividend Holdco'!O26,MAX(+'Financial Quarterly Holdco'!O87-'Cash sweep &amp; dividend Holdco'!O47-'Financial Quarterly Holdco'!O79,0))</f>
        <v>0</v>
      </c>
      <c r="P48" s="180">
        <f ca="1">IF('Financing assumptions Holdco'!$F$81,'Cash sweep &amp; dividend Holdco'!P26,MAX(+'Financial Quarterly Holdco'!P87-'Cash sweep &amp; dividend Holdco'!P47-'Financial Quarterly Holdco'!P79,0))</f>
        <v>0</v>
      </c>
      <c r="Q48" s="180">
        <f ca="1">IF('Financing assumptions Holdco'!$F$81,'Cash sweep &amp; dividend Holdco'!Q26,MAX(+'Financial Quarterly Holdco'!Q87-'Cash sweep &amp; dividend Holdco'!Q47-'Financial Quarterly Holdco'!Q79,0))</f>
        <v>0</v>
      </c>
      <c r="R48" s="180">
        <f ca="1">IF('Financing assumptions Holdco'!$F$81,'Cash sweep &amp; dividend Holdco'!R26,MAX(+'Financial Quarterly Holdco'!R87-'Cash sweep &amp; dividend Holdco'!R47-'Financial Quarterly Holdco'!R79,0))</f>
        <v>0</v>
      </c>
      <c r="S48" s="180">
        <f ca="1">IF('Financing assumptions Holdco'!$F$81,'Cash sweep &amp; dividend Holdco'!S26,MAX(+'Financial Quarterly Holdco'!S87-'Cash sweep &amp; dividend Holdco'!S47-'Financial Quarterly Holdco'!S79,0))</f>
        <v>0</v>
      </c>
      <c r="T48" s="180">
        <f ca="1">IF('Financing assumptions Holdco'!$F$81,'Cash sweep &amp; dividend Holdco'!T26,MAX(+'Financial Quarterly Holdco'!T87-'Cash sweep &amp; dividend Holdco'!T47-'Financial Quarterly Holdco'!T79,0))</f>
        <v>0</v>
      </c>
      <c r="U48" s="180">
        <f ca="1">IF('Financing assumptions Holdco'!$F$81,'Cash sweep &amp; dividend Holdco'!U26,MAX(+'Financial Quarterly Holdco'!U87-'Cash sweep &amp; dividend Holdco'!U47-'Financial Quarterly Holdco'!U79,0))</f>
        <v>0</v>
      </c>
      <c r="V48" s="180">
        <f ca="1">IF('Financing assumptions Holdco'!$F$81,'Cash sweep &amp; dividend Holdco'!V26,MAX(+'Financial Quarterly Holdco'!V87-'Cash sweep &amp; dividend Holdco'!V47-'Financial Quarterly Holdco'!V79,0))</f>
        <v>0</v>
      </c>
      <c r="W48" s="180">
        <f ca="1">IF('Financing assumptions Holdco'!$F$81,'Cash sweep &amp; dividend Holdco'!W26,MAX(+'Financial Quarterly Holdco'!W87-'Cash sweep &amp; dividend Holdco'!W47-'Financial Quarterly Holdco'!W79,0))</f>
        <v>0</v>
      </c>
      <c r="X48" s="180">
        <f ca="1">IF('Financing assumptions Holdco'!$F$81,'Cash sweep &amp; dividend Holdco'!X26,MAX(+'Financial Quarterly Holdco'!X87-'Cash sweep &amp; dividend Holdco'!X47-'Financial Quarterly Holdco'!X79,0))</f>
        <v>0</v>
      </c>
      <c r="Y48" s="180">
        <f ca="1">IF('Financing assumptions Holdco'!$F$81,'Cash sweep &amp; dividend Holdco'!Y26,MAX(+'Financial Quarterly Holdco'!Y87-'Cash sweep &amp; dividend Holdco'!Y47-'Financial Quarterly Holdco'!Y79,0))</f>
        <v>0</v>
      </c>
      <c r="Z48" s="180">
        <f ca="1">IF('Financing assumptions Holdco'!$F$81,'Cash sweep &amp; dividend Holdco'!Z26,MAX(+'Financial Quarterly Holdco'!Z87-'Cash sweep &amp; dividend Holdco'!Z47-'Financial Quarterly Holdco'!Z79,0))</f>
        <v>0</v>
      </c>
      <c r="AA48" s="180">
        <f ca="1">IF('Financing assumptions Holdco'!$F$81,'Cash sweep &amp; dividend Holdco'!AA26,MAX(+'Financial Quarterly Holdco'!AA87-'Cash sweep &amp; dividend Holdco'!AA47-'Financial Quarterly Holdco'!AA79,0))</f>
        <v>0</v>
      </c>
      <c r="AB48" s="180" t="e">
        <f ca="1">IF('Financing assumptions Holdco'!$F$81,'Cash sweep &amp; dividend Holdco'!AB26,MAX(+'Financial Quarterly Holdco'!AB87-'Cash sweep &amp; dividend Holdco'!AB47-'Financial Quarterly Holdco'!AB79,0))</f>
        <v>#VALUE!</v>
      </c>
      <c r="AC48" s="180" t="e">
        <f ca="1">IF('Financing assumptions Holdco'!$F$81,'Cash sweep &amp; dividend Holdco'!AC26,MAX(+'Financial Quarterly Holdco'!AC87-'Cash sweep &amp; dividend Holdco'!AC47-'Financial Quarterly Holdco'!AC79,0))</f>
        <v>#VALUE!</v>
      </c>
      <c r="AD48" s="180" t="e">
        <f ca="1">IF('Financing assumptions Holdco'!$F$81,'Cash sweep &amp; dividend Holdco'!AD26,MAX(+'Financial Quarterly Holdco'!AD87-'Cash sweep &amp; dividend Holdco'!AD47-'Financial Quarterly Holdco'!AD79,0))</f>
        <v>#VALUE!</v>
      </c>
      <c r="AE48" s="180" t="e">
        <f ca="1">IF('Financing assumptions Holdco'!$F$81,'Cash sweep &amp; dividend Holdco'!AE26,MAX(+'Financial Quarterly Holdco'!AE87-'Cash sweep &amp; dividend Holdco'!AE47-'Financial Quarterly Holdco'!AE79,0))</f>
        <v>#VALUE!</v>
      </c>
      <c r="AF48" s="180" t="e">
        <f ca="1">IF('Financing assumptions Holdco'!$F$81,'Cash sweep &amp; dividend Holdco'!AF26,MAX(+'Financial Quarterly Holdco'!AF87-'Cash sweep &amp; dividend Holdco'!AF47-'Financial Quarterly Holdco'!AF79,0))</f>
        <v>#VALUE!</v>
      </c>
    </row>
    <row r="49" spans="3:32" s="180" customFormat="1" ht="13.7">
      <c r="C49" s="376" t="str">
        <f>'Financing assumptions Holdco'!H82</f>
        <v>Senior Net leverage</v>
      </c>
      <c r="D49" s="261" t="str">
        <f>CHOOSE('Financing assumptions Holdco'!$J$10,INDEX('Covenants Consolidated'!D$43:D$87,MATCH('Financing assumptions Holdco'!$H82,'Covenants Consolidated'!$C$43:$C$87,0)),INDEX('Covenants Holdco'!D$43:D$87,MATCH('Financing assumptions Holdco'!$H82,'Covenants Holdco'!$C$43:$C$87,0)))</f>
        <v>na</v>
      </c>
      <c r="E49" s="261" t="str">
        <f>CHOOSE('Financing assumptions Holdco'!$J$10,INDEX('Covenants Consolidated'!E$43:E$87,MATCH('Financing assumptions Holdco'!$H82,'Covenants Consolidated'!$C$43:$C$87,0)),INDEX('Covenants Holdco'!E$43:E$87,MATCH('Financing assumptions Holdco'!$H82,'Covenants Holdco'!$C$43:$C$87,0)))</f>
        <v>na</v>
      </c>
      <c r="F49" s="261" t="str">
        <f>CHOOSE('Financing assumptions Holdco'!$J$10,INDEX('Covenants Consolidated'!F$43:F$87,MATCH('Financing assumptions Holdco'!$H82,'Covenants Consolidated'!$C$43:$C$87,0)),INDEX('Covenants Holdco'!F$43:F$87,MATCH('Financing assumptions Holdco'!$H82,'Covenants Holdco'!$C$43:$C$87,0)))</f>
        <v>na</v>
      </c>
      <c r="G49" s="261" t="e">
        <f ca="1">CHOOSE('Financing assumptions Holdco'!$J$10,INDEX('Covenants Consolidated'!G$43:G$87,MATCH('Financing assumptions Holdco'!$H82,'Covenants Consolidated'!$C$43:$C$87,0)),INDEX('Covenants Holdco'!G$43:G$87,MATCH('Financing assumptions Holdco'!$H82,'Covenants Holdco'!$C$43:$C$87,0)))</f>
        <v>#DIV/0!</v>
      </c>
      <c r="H49" s="261" t="e">
        <f ca="1">CHOOSE('Financing assumptions Holdco'!$J$10,INDEX('Covenants Consolidated'!H$43:H$87,MATCH('Financing assumptions Holdco'!$H82,'Covenants Consolidated'!$C$43:$C$87,0)),INDEX('Covenants Holdco'!H$43:H$87,MATCH('Financing assumptions Holdco'!$H82,'Covenants Holdco'!$C$43:$C$87,0)))</f>
        <v>#DIV/0!</v>
      </c>
      <c r="I49" s="261" t="e">
        <f ca="1">CHOOSE('Financing assumptions Holdco'!$J$10,INDEX('Covenants Consolidated'!I$43:I$87,MATCH('Financing assumptions Holdco'!$H82,'Covenants Consolidated'!$C$43:$C$87,0)),INDEX('Covenants Holdco'!I$43:I$87,MATCH('Financing assumptions Holdco'!$H82,'Covenants Holdco'!$C$43:$C$87,0)))</f>
        <v>#DIV/0!</v>
      </c>
      <c r="J49" s="261" t="e">
        <f ca="1">CHOOSE('Financing assumptions Holdco'!$J$10,INDEX('Covenants Consolidated'!J$43:J$87,MATCH('Financing assumptions Holdco'!$H82,'Covenants Consolidated'!$C$43:$C$87,0)),INDEX('Covenants Holdco'!J$43:J$87,MATCH('Financing assumptions Holdco'!$H82,'Covenants Holdco'!$C$43:$C$87,0)))</f>
        <v>#DIV/0!</v>
      </c>
      <c r="K49" s="261" t="e">
        <f ca="1">CHOOSE('Financing assumptions Holdco'!$J$10,INDEX('Covenants Consolidated'!K$43:K$87,MATCH('Financing assumptions Holdco'!$H82,'Covenants Consolidated'!$C$43:$C$87,0)),INDEX('Covenants Holdco'!K$43:K$87,MATCH('Financing assumptions Holdco'!$H82,'Covenants Holdco'!$C$43:$C$87,0)))</f>
        <v>#DIV/0!</v>
      </c>
      <c r="L49" s="261" t="e">
        <f ca="1">CHOOSE('Financing assumptions Holdco'!$J$10,INDEX('Covenants Consolidated'!L$43:L$87,MATCH('Financing assumptions Holdco'!$H82,'Covenants Consolidated'!$C$43:$C$87,0)),INDEX('Covenants Holdco'!L$43:L$87,MATCH('Financing assumptions Holdco'!$H82,'Covenants Holdco'!$C$43:$C$87,0)))</f>
        <v>#DIV/0!</v>
      </c>
      <c r="M49" s="261" t="e">
        <f ca="1">CHOOSE('Financing assumptions Holdco'!$J$10,INDEX('Covenants Consolidated'!M$43:M$87,MATCH('Financing assumptions Holdco'!$H82,'Covenants Consolidated'!$C$43:$C$87,0)),INDEX('Covenants Holdco'!M$43:M$87,MATCH('Financing assumptions Holdco'!$H82,'Covenants Holdco'!$C$43:$C$87,0)))</f>
        <v>#DIV/0!</v>
      </c>
      <c r="N49" s="261" t="e">
        <f ca="1">CHOOSE('Financing assumptions Holdco'!$J$10,INDEX('Covenants Consolidated'!N$43:N$87,MATCH('Financing assumptions Holdco'!$H82,'Covenants Consolidated'!$C$43:$C$87,0)),INDEX('Covenants Holdco'!N$43:N$87,MATCH('Financing assumptions Holdco'!$H82,'Covenants Holdco'!$C$43:$C$87,0)))</f>
        <v>#DIV/0!</v>
      </c>
      <c r="O49" s="261" t="e">
        <f ca="1">CHOOSE('Financing assumptions Holdco'!$J$10,INDEX('Covenants Consolidated'!O$43:O$87,MATCH('Financing assumptions Holdco'!$H82,'Covenants Consolidated'!$C$43:$C$87,0)),INDEX('Covenants Holdco'!O$43:O$87,MATCH('Financing assumptions Holdco'!$H82,'Covenants Holdco'!$C$43:$C$87,0)))</f>
        <v>#DIV/0!</v>
      </c>
      <c r="P49" s="261" t="e">
        <f ca="1">CHOOSE('Financing assumptions Holdco'!$J$10,INDEX('Covenants Consolidated'!P$43:P$87,MATCH('Financing assumptions Holdco'!$H82,'Covenants Consolidated'!$C$43:$C$87,0)),INDEX('Covenants Holdco'!P$43:P$87,MATCH('Financing assumptions Holdco'!$H82,'Covenants Holdco'!$C$43:$C$87,0)))</f>
        <v>#DIV/0!</v>
      </c>
      <c r="Q49" s="261" t="e">
        <f ca="1">CHOOSE('Financing assumptions Holdco'!$J$10,INDEX('Covenants Consolidated'!Q$43:Q$87,MATCH('Financing assumptions Holdco'!$H82,'Covenants Consolidated'!$C$43:$C$87,0)),INDEX('Covenants Holdco'!Q$43:Q$87,MATCH('Financing assumptions Holdco'!$H82,'Covenants Holdco'!$C$43:$C$87,0)))</f>
        <v>#DIV/0!</v>
      </c>
      <c r="R49" s="261" t="e">
        <f ca="1">CHOOSE('Financing assumptions Holdco'!$J$10,INDEX('Covenants Consolidated'!R$43:R$87,MATCH('Financing assumptions Holdco'!$H82,'Covenants Consolidated'!$C$43:$C$87,0)),INDEX('Covenants Holdco'!R$43:R$87,MATCH('Financing assumptions Holdco'!$H82,'Covenants Holdco'!$C$43:$C$87,0)))</f>
        <v>#DIV/0!</v>
      </c>
      <c r="S49" s="261" t="e">
        <f ca="1">CHOOSE('Financing assumptions Holdco'!$J$10,INDEX('Covenants Consolidated'!S$43:S$87,MATCH('Financing assumptions Holdco'!$H82,'Covenants Consolidated'!$C$43:$C$87,0)),INDEX('Covenants Holdco'!S$43:S$87,MATCH('Financing assumptions Holdco'!$H82,'Covenants Holdco'!$C$43:$C$87,0)))</f>
        <v>#DIV/0!</v>
      </c>
      <c r="T49" s="261" t="e">
        <f ca="1">CHOOSE('Financing assumptions Holdco'!$J$10,INDEX('Covenants Consolidated'!T$43:T$87,MATCH('Financing assumptions Holdco'!$H82,'Covenants Consolidated'!$C$43:$C$87,0)),INDEX('Covenants Holdco'!T$43:T$87,MATCH('Financing assumptions Holdco'!$H82,'Covenants Holdco'!$C$43:$C$87,0)))</f>
        <v>#DIV/0!</v>
      </c>
      <c r="U49" s="261" t="e">
        <f ca="1">CHOOSE('Financing assumptions Holdco'!$J$10,INDEX('Covenants Consolidated'!U$43:U$87,MATCH('Financing assumptions Holdco'!$H82,'Covenants Consolidated'!$C$43:$C$87,0)),INDEX('Covenants Holdco'!U$43:U$87,MATCH('Financing assumptions Holdco'!$H82,'Covenants Holdco'!$C$43:$C$87,0)))</f>
        <v>#DIV/0!</v>
      </c>
      <c r="V49" s="261" t="e">
        <f ca="1">CHOOSE('Financing assumptions Holdco'!$J$10,INDEX('Covenants Consolidated'!V$43:V$87,MATCH('Financing assumptions Holdco'!$H82,'Covenants Consolidated'!$C$43:$C$87,0)),INDEX('Covenants Holdco'!V$43:V$87,MATCH('Financing assumptions Holdco'!$H82,'Covenants Holdco'!$C$43:$C$87,0)))</f>
        <v>#DIV/0!</v>
      </c>
      <c r="W49" s="261" t="e">
        <f ca="1">CHOOSE('Financing assumptions Holdco'!$J$10,INDEX('Covenants Consolidated'!W$43:W$87,MATCH('Financing assumptions Holdco'!$H82,'Covenants Consolidated'!$C$43:$C$87,0)),INDEX('Covenants Holdco'!W$43:W$87,MATCH('Financing assumptions Holdco'!$H82,'Covenants Holdco'!$C$43:$C$87,0)))</f>
        <v>#DIV/0!</v>
      </c>
      <c r="X49" s="261" t="e">
        <f ca="1">CHOOSE('Financing assumptions Holdco'!$J$10,INDEX('Covenants Consolidated'!X$43:X$87,MATCH('Financing assumptions Holdco'!$H82,'Covenants Consolidated'!$C$43:$C$87,0)),INDEX('Covenants Holdco'!X$43:X$87,MATCH('Financing assumptions Holdco'!$H82,'Covenants Holdco'!$C$43:$C$87,0)))</f>
        <v>#DIV/0!</v>
      </c>
      <c r="Y49" s="261" t="e">
        <f ca="1">CHOOSE('Financing assumptions Holdco'!$J$10,INDEX('Covenants Consolidated'!Y$43:Y$87,MATCH('Financing assumptions Holdco'!$H82,'Covenants Consolidated'!$C$43:$C$87,0)),INDEX('Covenants Holdco'!Y$43:Y$87,MATCH('Financing assumptions Holdco'!$H82,'Covenants Holdco'!$C$43:$C$87,0)))</f>
        <v>#DIV/0!</v>
      </c>
      <c r="Z49" s="261" t="e">
        <f ca="1">CHOOSE('Financing assumptions Holdco'!$J$10,INDEX('Covenants Consolidated'!Z$43:Z$87,MATCH('Financing assumptions Holdco'!$H82,'Covenants Consolidated'!$C$43:$C$87,0)),INDEX('Covenants Holdco'!Z$43:Z$87,MATCH('Financing assumptions Holdco'!$H82,'Covenants Holdco'!$C$43:$C$87,0)))</f>
        <v>#DIV/0!</v>
      </c>
      <c r="AA49" s="261" t="e">
        <f ca="1">CHOOSE('Financing assumptions Holdco'!$J$10,INDEX('Covenants Consolidated'!AA$43:AA$87,MATCH('Financing assumptions Holdco'!$H82,'Covenants Consolidated'!$C$43:$C$87,0)),INDEX('Covenants Holdco'!AA$43:AA$87,MATCH('Financing assumptions Holdco'!$H82,'Covenants Holdco'!$C$43:$C$87,0)))</f>
        <v>#DIV/0!</v>
      </c>
      <c r="AB49" s="261" t="e">
        <f ca="1">CHOOSE('Financing assumptions Holdco'!$J$10,INDEX('Covenants Consolidated'!AB$43:AB$87,MATCH('Financing assumptions Holdco'!$H82,'Covenants Consolidated'!$C$43:$C$87,0)),INDEX('Covenants Holdco'!AB$43:AB$87,MATCH('Financing assumptions Holdco'!$H82,'Covenants Holdco'!$C$43:$C$87,0)))</f>
        <v>#N/A</v>
      </c>
      <c r="AC49" s="261" t="e">
        <f ca="1">CHOOSE('Financing assumptions Holdco'!$J$10,INDEX('Covenants Consolidated'!AC$43:AC$87,MATCH('Financing assumptions Holdco'!$H82,'Covenants Consolidated'!$C$43:$C$87,0)),INDEX('Covenants Holdco'!AC$43:AC$87,MATCH('Financing assumptions Holdco'!$H82,'Covenants Holdco'!$C$43:$C$87,0)))</f>
        <v>#N/A</v>
      </c>
      <c r="AD49" s="261" t="e">
        <f ca="1">CHOOSE('Financing assumptions Holdco'!$J$10,INDEX('Covenants Consolidated'!AD$43:AD$87,MATCH('Financing assumptions Holdco'!$H82,'Covenants Consolidated'!$C$43:$C$87,0)),INDEX('Covenants Holdco'!AD$43:AD$87,MATCH('Financing assumptions Holdco'!$H82,'Covenants Holdco'!$C$43:$C$87,0)))</f>
        <v>#N/A</v>
      </c>
      <c r="AE49" s="261" t="e">
        <f ca="1">CHOOSE('Financing assumptions Holdco'!$J$10,INDEX('Covenants Consolidated'!AE$43:AE$87,MATCH('Financing assumptions Holdco'!$H82,'Covenants Consolidated'!$C$43:$C$87,0)),INDEX('Covenants Holdco'!AE$43:AE$87,MATCH('Financing assumptions Holdco'!$H82,'Covenants Holdco'!$C$43:$C$87,0)))</f>
        <v>#N/A</v>
      </c>
      <c r="AF49" s="261" t="e">
        <f ca="1">CHOOSE('Financing assumptions Holdco'!$J$10,INDEX('Covenants Consolidated'!AF$43:AF$87,MATCH('Financing assumptions Holdco'!$H82,'Covenants Consolidated'!$C$43:$C$87,0)),INDEX('Covenants Holdco'!AF$43:AF$87,MATCH('Financing assumptions Holdco'!$H82,'Covenants Holdco'!$C$43:$C$87,0)))</f>
        <v>#N/A</v>
      </c>
    </row>
    <row r="50" spans="3:32" s="183" customFormat="1" ht="13.7">
      <c r="C50" s="183" t="s">
        <v>808</v>
      </c>
      <c r="D50" s="183" t="str">
        <f>IFERROR(INDEX('Financing assumptions Holdco'!$J$83:$J$90,MATCH(D49,'Financing assumptions Holdco'!$I$83:$I$90,-1)),"na")</f>
        <v>na</v>
      </c>
      <c r="E50" s="183" t="str">
        <f>IFERROR(INDEX('Financing assumptions Holdco'!$J$83:$J$90,MATCH(E49,'Financing assumptions Holdco'!$I$83:$I$90,-1)),"na")</f>
        <v>na</v>
      </c>
      <c r="F50" s="183" t="str">
        <f>IFERROR(INDEX('Financing assumptions Holdco'!$J$83:$J$90,MATCH(F49,'Financing assumptions Holdco'!$I$83:$I$90,-1)),"na")</f>
        <v>na</v>
      </c>
      <c r="G50" s="183" t="str">
        <f ca="1">IFERROR(INDEX('Financing assumptions Holdco'!$J$83:$J$90,MATCH(G49,'Financing assumptions Holdco'!$I$83:$I$90,-1)),"na")</f>
        <v>na</v>
      </c>
      <c r="H50" s="183" t="str">
        <f ca="1">IFERROR(INDEX('Financing assumptions Holdco'!$J$83:$J$90,MATCH(H49,'Financing assumptions Holdco'!$I$83:$I$90,-1)),"na")</f>
        <v>na</v>
      </c>
      <c r="I50" s="183" t="str">
        <f ca="1">IFERROR(INDEX('Financing assumptions Holdco'!$J$83:$J$90,MATCH(I49,'Financing assumptions Holdco'!$I$83:$I$90,-1)),"na")</f>
        <v>na</v>
      </c>
      <c r="J50" s="183" t="str">
        <f ca="1">IFERROR(INDEX('Financing assumptions Holdco'!$J$83:$J$90,MATCH(J49,'Financing assumptions Holdco'!$I$83:$I$90,-1)),"na")</f>
        <v>na</v>
      </c>
      <c r="K50" s="183" t="str">
        <f ca="1">IFERROR(INDEX('Financing assumptions Holdco'!$J$83:$J$90,MATCH(K49,'Financing assumptions Holdco'!$I$83:$I$90,-1)),"na")</f>
        <v>na</v>
      </c>
      <c r="L50" s="183" t="str">
        <f ca="1">IFERROR(INDEX('Financing assumptions Holdco'!$J$83:$J$90,MATCH(L49,'Financing assumptions Holdco'!$I$83:$I$90,-1)),"na")</f>
        <v>na</v>
      </c>
      <c r="M50" s="183" t="str">
        <f ca="1">IFERROR(INDEX('Financing assumptions Holdco'!$J$83:$J$90,MATCH(M49,'Financing assumptions Holdco'!$I$83:$I$90,-1)),"na")</f>
        <v>na</v>
      </c>
      <c r="N50" s="183" t="str">
        <f ca="1">IFERROR(INDEX('Financing assumptions Holdco'!$J$83:$J$90,MATCH(N49,'Financing assumptions Holdco'!$I$83:$I$90,-1)),"na")</f>
        <v>na</v>
      </c>
      <c r="O50" s="183" t="str">
        <f ca="1">IFERROR(INDEX('Financing assumptions Holdco'!$J$83:$J$90,MATCH(O49,'Financing assumptions Holdco'!$I$83:$I$90,-1)),"na")</f>
        <v>na</v>
      </c>
      <c r="P50" s="183" t="str">
        <f ca="1">IFERROR(INDEX('Financing assumptions Holdco'!$J$83:$J$90,MATCH(P49,'Financing assumptions Holdco'!$I$83:$I$90,-1)),"na")</f>
        <v>na</v>
      </c>
      <c r="Q50" s="183" t="str">
        <f ca="1">IFERROR(INDEX('Financing assumptions Holdco'!$J$83:$J$90,MATCH(Q49,'Financing assumptions Holdco'!$I$83:$I$90,-1)),"na")</f>
        <v>na</v>
      </c>
      <c r="R50" s="183" t="str">
        <f ca="1">IFERROR(INDEX('Financing assumptions Holdco'!$J$83:$J$90,MATCH(R49,'Financing assumptions Holdco'!$I$83:$I$90,-1)),"na")</f>
        <v>na</v>
      </c>
      <c r="S50" s="183" t="str">
        <f ca="1">IFERROR(INDEX('Financing assumptions Holdco'!$J$83:$J$90,MATCH(S49,'Financing assumptions Holdco'!$I$83:$I$90,-1)),"na")</f>
        <v>na</v>
      </c>
      <c r="T50" s="183" t="str">
        <f ca="1">IFERROR(INDEX('Financing assumptions Holdco'!$J$83:$J$90,MATCH(T49,'Financing assumptions Holdco'!$I$83:$I$90,-1)),"na")</f>
        <v>na</v>
      </c>
      <c r="U50" s="183" t="str">
        <f ca="1">IFERROR(INDEX('Financing assumptions Holdco'!$J$83:$J$90,MATCH(U49,'Financing assumptions Holdco'!$I$83:$I$90,-1)),"na")</f>
        <v>na</v>
      </c>
      <c r="V50" s="183" t="str">
        <f ca="1">IFERROR(INDEX('Financing assumptions Holdco'!$J$83:$J$90,MATCH(V49,'Financing assumptions Holdco'!$I$83:$I$90,-1)),"na")</f>
        <v>na</v>
      </c>
      <c r="W50" s="183" t="str">
        <f ca="1">IFERROR(INDEX('Financing assumptions Holdco'!$J$83:$J$90,MATCH(W49,'Financing assumptions Holdco'!$I$83:$I$90,-1)),"na")</f>
        <v>na</v>
      </c>
      <c r="X50" s="183" t="str">
        <f ca="1">IFERROR(INDEX('Financing assumptions Holdco'!$J$83:$J$90,MATCH(X49,'Financing assumptions Holdco'!$I$83:$I$90,-1)),"na")</f>
        <v>na</v>
      </c>
      <c r="Y50" s="183" t="str">
        <f ca="1">IFERROR(INDEX('Financing assumptions Holdco'!$J$83:$J$90,MATCH(Y49,'Financing assumptions Holdco'!$I$83:$I$90,-1)),"na")</f>
        <v>na</v>
      </c>
      <c r="Z50" s="183" t="str">
        <f ca="1">IFERROR(INDEX('Financing assumptions Holdco'!$J$83:$J$90,MATCH(Z49,'Financing assumptions Holdco'!$I$83:$I$90,-1)),"na")</f>
        <v>na</v>
      </c>
      <c r="AA50" s="183" t="str">
        <f ca="1">IFERROR(INDEX('Financing assumptions Holdco'!$J$83:$J$90,MATCH(AA49,'Financing assumptions Holdco'!$I$83:$I$90,-1)),"na")</f>
        <v>na</v>
      </c>
      <c r="AB50" s="183" t="str">
        <f ca="1">IFERROR(INDEX('Financing assumptions Holdco'!$J$83:$J$90,MATCH(AB49,'Financing assumptions Holdco'!$I$83:$I$90,-1)),"na")</f>
        <v>na</v>
      </c>
      <c r="AC50" s="183" t="str">
        <f ca="1">IFERROR(INDEX('Financing assumptions Holdco'!$J$83:$J$90,MATCH(AC49,'Financing assumptions Holdco'!$I$83:$I$90,-1)),"na")</f>
        <v>na</v>
      </c>
      <c r="AD50" s="183" t="str">
        <f ca="1">IFERROR(INDEX('Financing assumptions Holdco'!$J$83:$J$90,MATCH(AD49,'Financing assumptions Holdco'!$I$83:$I$90,-1)),"na")</f>
        <v>na</v>
      </c>
      <c r="AE50" s="183" t="str">
        <f ca="1">IFERROR(INDEX('Financing assumptions Holdco'!$J$83:$J$90,MATCH(AE49,'Financing assumptions Holdco'!$I$83:$I$90,-1)),"na")</f>
        <v>na</v>
      </c>
      <c r="AF50" s="183" t="str">
        <f ca="1">IFERROR(INDEX('Financing assumptions Holdco'!$J$83:$J$90,MATCH(AF49,'Financing assumptions Holdco'!$I$83:$I$90,-1)),"na")</f>
        <v>na</v>
      </c>
    </row>
    <row r="51" spans="3:32" s="183" customFormat="1" ht="13.7">
      <c r="C51" s="180" t="s">
        <v>1551</v>
      </c>
      <c r="D51" s="180">
        <f ca="1">IFERROR(MAX(0,D48*D50*D7),0)</f>
        <v>0</v>
      </c>
      <c r="E51" s="180">
        <f t="shared" ref="E51:AF51" ca="1" si="29">IFERROR(MAX(0,E48*E50*E7),0)</f>
        <v>0</v>
      </c>
      <c r="F51" s="180">
        <f t="shared" ca="1" si="29"/>
        <v>0</v>
      </c>
      <c r="G51" s="180">
        <f t="shared" ca="1" si="29"/>
        <v>0</v>
      </c>
      <c r="H51" s="180">
        <f t="shared" ca="1" si="29"/>
        <v>0</v>
      </c>
      <c r="I51" s="180">
        <f t="shared" ca="1" si="29"/>
        <v>0</v>
      </c>
      <c r="J51" s="180">
        <f t="shared" ca="1" si="29"/>
        <v>0</v>
      </c>
      <c r="K51" s="180">
        <f t="shared" ca="1" si="29"/>
        <v>0</v>
      </c>
      <c r="L51" s="180">
        <f t="shared" ca="1" si="29"/>
        <v>0</v>
      </c>
      <c r="M51" s="180">
        <f t="shared" ca="1" si="29"/>
        <v>0</v>
      </c>
      <c r="N51" s="180">
        <f t="shared" ca="1" si="29"/>
        <v>0</v>
      </c>
      <c r="O51" s="180">
        <f t="shared" ca="1" si="29"/>
        <v>0</v>
      </c>
      <c r="P51" s="180">
        <f t="shared" ca="1" si="29"/>
        <v>0</v>
      </c>
      <c r="Q51" s="180">
        <f t="shared" ca="1" si="29"/>
        <v>0</v>
      </c>
      <c r="R51" s="180">
        <f t="shared" ca="1" si="29"/>
        <v>0</v>
      </c>
      <c r="S51" s="180">
        <f t="shared" ca="1" si="29"/>
        <v>0</v>
      </c>
      <c r="T51" s="180">
        <f t="shared" ca="1" si="29"/>
        <v>0</v>
      </c>
      <c r="U51" s="180">
        <f t="shared" ca="1" si="29"/>
        <v>0</v>
      </c>
      <c r="V51" s="180">
        <f t="shared" ca="1" si="29"/>
        <v>0</v>
      </c>
      <c r="W51" s="180">
        <f t="shared" ca="1" si="29"/>
        <v>0</v>
      </c>
      <c r="X51" s="180">
        <f t="shared" ca="1" si="29"/>
        <v>0</v>
      </c>
      <c r="Y51" s="180">
        <f t="shared" ca="1" si="29"/>
        <v>0</v>
      </c>
      <c r="Z51" s="180">
        <f t="shared" ca="1" si="29"/>
        <v>0</v>
      </c>
      <c r="AA51" s="180">
        <f t="shared" ca="1" si="29"/>
        <v>0</v>
      </c>
      <c r="AB51" s="180">
        <f t="shared" ca="1" si="29"/>
        <v>0</v>
      </c>
      <c r="AC51" s="180">
        <f t="shared" ca="1" si="29"/>
        <v>0</v>
      </c>
      <c r="AD51" s="180">
        <f t="shared" ca="1" si="29"/>
        <v>0</v>
      </c>
      <c r="AE51" s="180">
        <f t="shared" ca="1" si="29"/>
        <v>0</v>
      </c>
      <c r="AF51" s="180">
        <f t="shared" ca="1" si="29"/>
        <v>0</v>
      </c>
    </row>
    <row r="52" spans="3:32" s="195" customFormat="1" ht="13.7">
      <c r="C52" s="195" t="s">
        <v>1552</v>
      </c>
      <c r="E52" s="195">
        <f ca="1">D51</f>
        <v>0</v>
      </c>
      <c r="F52" s="195">
        <f t="shared" ref="F52:AF52" ca="1" si="30">E51</f>
        <v>0</v>
      </c>
      <c r="G52" s="195">
        <f t="shared" ca="1" si="30"/>
        <v>0</v>
      </c>
      <c r="H52" s="195">
        <f t="shared" ca="1" si="30"/>
        <v>0</v>
      </c>
      <c r="I52" s="195">
        <f t="shared" ca="1" si="30"/>
        <v>0</v>
      </c>
      <c r="J52" s="195">
        <f t="shared" ca="1" si="30"/>
        <v>0</v>
      </c>
      <c r="K52" s="195">
        <f t="shared" ca="1" si="30"/>
        <v>0</v>
      </c>
      <c r="L52" s="195">
        <f t="shared" ca="1" si="30"/>
        <v>0</v>
      </c>
      <c r="M52" s="195">
        <f t="shared" ca="1" si="30"/>
        <v>0</v>
      </c>
      <c r="N52" s="195">
        <f t="shared" ca="1" si="30"/>
        <v>0</v>
      </c>
      <c r="O52" s="195">
        <f t="shared" ca="1" si="30"/>
        <v>0</v>
      </c>
      <c r="P52" s="195">
        <f t="shared" ca="1" si="30"/>
        <v>0</v>
      </c>
      <c r="Q52" s="195">
        <f t="shared" ca="1" si="30"/>
        <v>0</v>
      </c>
      <c r="R52" s="195">
        <f t="shared" ca="1" si="30"/>
        <v>0</v>
      </c>
      <c r="S52" s="195">
        <f t="shared" ca="1" si="30"/>
        <v>0</v>
      </c>
      <c r="T52" s="195">
        <f t="shared" ca="1" si="30"/>
        <v>0</v>
      </c>
      <c r="U52" s="195">
        <f t="shared" ca="1" si="30"/>
        <v>0</v>
      </c>
      <c r="V52" s="195">
        <f t="shared" ca="1" si="30"/>
        <v>0</v>
      </c>
      <c r="W52" s="195">
        <f t="shared" ca="1" si="30"/>
        <v>0</v>
      </c>
      <c r="X52" s="195">
        <f t="shared" ca="1" si="30"/>
        <v>0</v>
      </c>
      <c r="Y52" s="195">
        <f t="shared" ca="1" si="30"/>
        <v>0</v>
      </c>
      <c r="Z52" s="195">
        <f t="shared" ca="1" si="30"/>
        <v>0</v>
      </c>
      <c r="AA52" s="195">
        <f t="shared" ca="1" si="30"/>
        <v>0</v>
      </c>
      <c r="AB52" s="195">
        <f t="shared" ca="1" si="30"/>
        <v>0</v>
      </c>
      <c r="AC52" s="195">
        <f t="shared" ca="1" si="30"/>
        <v>0</v>
      </c>
      <c r="AD52" s="195">
        <f t="shared" ca="1" si="30"/>
        <v>0</v>
      </c>
      <c r="AE52" s="195">
        <f t="shared" ca="1" si="30"/>
        <v>0</v>
      </c>
      <c r="AF52" s="195">
        <f t="shared" ca="1" si="30"/>
        <v>0</v>
      </c>
    </row>
  </sheetData>
  <phoneticPr fontId="52" type="noConversion"/>
  <conditionalFormatting sqref="D5:AF7">
    <cfRule type="cellIs" dxfId="106" priority="7" operator="equal">
      <formula>TRUE</formula>
    </cfRule>
  </conditionalFormatting>
  <conditionalFormatting sqref="D5:AF5">
    <cfRule type="cellIs" dxfId="105" priority="6" operator="equal">
      <formula>TRUE</formula>
    </cfRule>
  </conditionalFormatting>
  <conditionalFormatting sqref="D5:AF5">
    <cfRule type="cellIs" dxfId="104" priority="5" operator="equal">
      <formula>TRUE</formula>
    </cfRule>
  </conditionalFormatting>
  <conditionalFormatting sqref="D5:AF5">
    <cfRule type="cellIs" dxfId="103" priority="4" operator="equal">
      <formula>TRUE</formula>
    </cfRule>
  </conditionalFormatting>
  <conditionalFormatting sqref="D6:AF7">
    <cfRule type="cellIs" dxfId="102" priority="3" operator="equal">
      <formula>TRUE</formula>
    </cfRule>
  </conditionalFormatting>
  <conditionalFormatting sqref="D6:AF7">
    <cfRule type="cellIs" dxfId="101" priority="2" operator="equal">
      <formula>TRUE</formula>
    </cfRule>
  </conditionalFormatting>
  <conditionalFormatting sqref="D6:AF7">
    <cfRule type="cellIs" dxfId="100" priority="1" operator="equal">
      <formula>TRUE</formula>
    </cfRule>
  </conditionalFormatting>
  <dataValidations disablePrompts="1" count="1">
    <dataValidation type="list" allowBlank="1" showInputMessage="1" showErrorMessage="1" sqref="B13:B25">
      <formula1>"TRUE,FALSE"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4865" r:id="rId3" name="Drop Down 1">
              <controlPr defaultSize="0" autoLine="0" autoPict="0">
                <anchor moveWithCells="1">
                  <from>
                    <xdr:col>4</xdr:col>
                    <xdr:colOff>9144</xdr:colOff>
                    <xdr:row>10</xdr:row>
                    <xdr:rowOff>0</xdr:rowOff>
                  </from>
                  <to>
                    <xdr:col>5</xdr:col>
                    <xdr:colOff>155448</xdr:colOff>
                    <xdr:row>11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tabColor theme="0"/>
  </sheetPr>
  <dimension ref="B1:AG88"/>
  <sheetViews>
    <sheetView zoomScale="90" zoomScaleNormal="90" workbookViewId="0">
      <selection activeCell="E19" sqref="E19"/>
    </sheetView>
  </sheetViews>
  <sheetFormatPr defaultColWidth="9.140625" defaultRowHeight="13.7" outlineLevelRow="1" outlineLevelCol="1"/>
  <cols>
    <col min="1" max="1" width="4.85546875" style="52" customWidth="1"/>
    <col min="2" max="2" width="20" style="52" customWidth="1"/>
    <col min="3" max="3" width="28.42578125" style="52" customWidth="1"/>
    <col min="4" max="4" width="15.5703125" style="52" customWidth="1" outlineLevel="1"/>
    <col min="5" max="5" width="15.7109375" style="52" customWidth="1" outlineLevel="1"/>
    <col min="6" max="6" width="16.85546875" style="52" customWidth="1" outlineLevel="1"/>
    <col min="7" max="7" width="15.42578125" style="52" customWidth="1"/>
    <col min="8" max="8" width="14.42578125" style="52" bestFit="1" customWidth="1"/>
    <col min="9" max="9" width="16" style="52" bestFit="1" customWidth="1"/>
    <col min="10" max="11" width="14.42578125" style="52" bestFit="1" customWidth="1"/>
    <col min="12" max="12" width="16.85546875" style="52" bestFit="1" customWidth="1"/>
    <col min="13" max="19" width="14.42578125" style="52" bestFit="1" customWidth="1"/>
    <col min="20" max="20" width="14.42578125" style="52" customWidth="1"/>
    <col min="21" max="23" width="14.42578125" style="52" bestFit="1" customWidth="1"/>
    <col min="24" max="26" width="11.5703125" style="52" bestFit="1" customWidth="1"/>
    <col min="27" max="27" width="12.85546875" style="52" bestFit="1" customWidth="1"/>
    <col min="28" max="28" width="11.5703125" style="52" bestFit="1" customWidth="1"/>
    <col min="29" max="31" width="9.140625" style="52"/>
    <col min="32" max="33" width="12.140625" style="52" customWidth="1"/>
    <col min="34" max="16384" width="9.140625" style="52"/>
  </cols>
  <sheetData>
    <row r="1" spans="3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33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3:33" s="1" customFormat="1" ht="14.6" customHeight="1" outlineLevel="1"/>
    <row r="4" spans="3:33" s="34" customFormat="1" ht="14.6" customHeight="1">
      <c r="C4" s="307" t="s">
        <v>719</v>
      </c>
      <c r="D4" s="307">
        <f>EOMONTH('Control Panel'!B11,2)</f>
        <v>43555</v>
      </c>
      <c r="E4" s="307">
        <f>EOMONTH(D4,3)</f>
        <v>43646</v>
      </c>
      <c r="F4" s="307">
        <f t="shared" ref="F4:AB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ref="AC4" si="1">EOMONTH(AB4,3)</f>
        <v>45838</v>
      </c>
      <c r="AD4" s="307">
        <f t="shared" ref="AD4" si="2">EOMONTH(AC4,3)</f>
        <v>45930</v>
      </c>
      <c r="AE4" s="307">
        <f t="shared" ref="AE4" si="3">EOMONTH(AD4,3)</f>
        <v>46022</v>
      </c>
      <c r="AF4" s="307">
        <f t="shared" ref="AF4:AG4" si="4">EOMONTH(AE4,3)</f>
        <v>46112</v>
      </c>
      <c r="AG4" s="307">
        <f t="shared" si="4"/>
        <v>46203</v>
      </c>
    </row>
    <row r="5" spans="3:33" s="28" customFormat="1" ht="14.6" customHeight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3:33" s="28" customFormat="1" ht="14.6" customHeight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3:33" s="1" customFormat="1" ht="14.6" customHeight="1">
      <c r="C7" s="209"/>
      <c r="D7" s="380">
        <f>YEAR(D4)</f>
        <v>2019</v>
      </c>
      <c r="E7" s="380">
        <f t="shared" ref="E7:AB7" si="5">YEAR(E4)</f>
        <v>2019</v>
      </c>
      <c r="F7" s="380">
        <f t="shared" si="5"/>
        <v>2019</v>
      </c>
      <c r="G7" s="380">
        <f t="shared" si="5"/>
        <v>2019</v>
      </c>
      <c r="H7" s="380">
        <f t="shared" si="5"/>
        <v>2020</v>
      </c>
      <c r="I7" s="380">
        <f t="shared" si="5"/>
        <v>2020</v>
      </c>
      <c r="J7" s="380">
        <f t="shared" si="5"/>
        <v>2020</v>
      </c>
      <c r="K7" s="380">
        <f t="shared" si="5"/>
        <v>2020</v>
      </c>
      <c r="L7" s="380">
        <f t="shared" si="5"/>
        <v>2021</v>
      </c>
      <c r="M7" s="380">
        <f t="shared" si="5"/>
        <v>2021</v>
      </c>
      <c r="N7" s="380">
        <f t="shared" si="5"/>
        <v>2021</v>
      </c>
      <c r="O7" s="380">
        <f t="shared" si="5"/>
        <v>2021</v>
      </c>
      <c r="P7" s="380">
        <f t="shared" si="5"/>
        <v>2022</v>
      </c>
      <c r="Q7" s="380">
        <f t="shared" si="5"/>
        <v>2022</v>
      </c>
      <c r="R7" s="380">
        <f t="shared" si="5"/>
        <v>2022</v>
      </c>
      <c r="S7" s="380">
        <f t="shared" si="5"/>
        <v>2022</v>
      </c>
      <c r="T7" s="380">
        <f t="shared" si="5"/>
        <v>2023</v>
      </c>
      <c r="U7" s="380">
        <f t="shared" si="5"/>
        <v>2023</v>
      </c>
      <c r="V7" s="380">
        <f t="shared" si="5"/>
        <v>2023</v>
      </c>
      <c r="W7" s="380">
        <f t="shared" si="5"/>
        <v>2023</v>
      </c>
      <c r="X7" s="380">
        <f t="shared" si="5"/>
        <v>2024</v>
      </c>
      <c r="Y7" s="380">
        <f t="shared" si="5"/>
        <v>2024</v>
      </c>
      <c r="Z7" s="380">
        <f t="shared" si="5"/>
        <v>2024</v>
      </c>
      <c r="AA7" s="380">
        <f t="shared" si="5"/>
        <v>2024</v>
      </c>
      <c r="AB7" s="380">
        <f t="shared" si="5"/>
        <v>2025</v>
      </c>
      <c r="AC7" s="406">
        <f t="shared" ref="AC7:AF7" si="6">YEAR(AC4)</f>
        <v>2025</v>
      </c>
      <c r="AD7" s="406">
        <f t="shared" si="6"/>
        <v>2025</v>
      </c>
      <c r="AE7" s="406">
        <f t="shared" si="6"/>
        <v>2025</v>
      </c>
      <c r="AF7" s="406">
        <f t="shared" si="6"/>
        <v>2026</v>
      </c>
      <c r="AG7" s="413">
        <f t="shared" ref="AG7" si="7">YEAR(AG4)</f>
        <v>2026</v>
      </c>
    </row>
    <row r="8" spans="3:33" s="1" customFormat="1" ht="14.6" customHeight="1">
      <c r="C8" s="209"/>
      <c r="D8" s="309">
        <f>M2</f>
        <v>1</v>
      </c>
      <c r="E8" s="309">
        <f>IF(D8=4,1,D8+1)</f>
        <v>2</v>
      </c>
      <c r="F8" s="309">
        <f>IF(E8=4,1,E8+1)</f>
        <v>3</v>
      </c>
      <c r="G8" s="309">
        <f>IF(F8=4,1,F8+1)</f>
        <v>4</v>
      </c>
      <c r="H8" s="309">
        <f>IF(G8=4,1,G8+1)</f>
        <v>1</v>
      </c>
      <c r="I8" s="309">
        <f t="shared" ref="I8:AB8" si="8">IF(H8=4,1,H8+1)</f>
        <v>2</v>
      </c>
      <c r="J8" s="309">
        <f t="shared" si="8"/>
        <v>3</v>
      </c>
      <c r="K8" s="309">
        <f t="shared" si="8"/>
        <v>4</v>
      </c>
      <c r="L8" s="309">
        <f t="shared" si="8"/>
        <v>1</v>
      </c>
      <c r="M8" s="309">
        <f t="shared" si="8"/>
        <v>2</v>
      </c>
      <c r="N8" s="309">
        <f t="shared" si="8"/>
        <v>3</v>
      </c>
      <c r="O8" s="309">
        <f t="shared" si="8"/>
        <v>4</v>
      </c>
      <c r="P8" s="309">
        <f t="shared" si="8"/>
        <v>1</v>
      </c>
      <c r="Q8" s="309">
        <f t="shared" si="8"/>
        <v>2</v>
      </c>
      <c r="R8" s="309">
        <f t="shared" si="8"/>
        <v>3</v>
      </c>
      <c r="S8" s="309">
        <f t="shared" si="8"/>
        <v>4</v>
      </c>
      <c r="T8" s="309">
        <f t="shared" si="8"/>
        <v>1</v>
      </c>
      <c r="U8" s="309">
        <f t="shared" si="8"/>
        <v>2</v>
      </c>
      <c r="V8" s="309">
        <f t="shared" si="8"/>
        <v>3</v>
      </c>
      <c r="W8" s="309">
        <f t="shared" si="8"/>
        <v>4</v>
      </c>
      <c r="X8" s="309">
        <f t="shared" si="8"/>
        <v>1</v>
      </c>
      <c r="Y8" s="309">
        <f t="shared" si="8"/>
        <v>2</v>
      </c>
      <c r="Z8" s="309">
        <f t="shared" si="8"/>
        <v>3</v>
      </c>
      <c r="AA8" s="309">
        <f t="shared" si="8"/>
        <v>4</v>
      </c>
      <c r="AB8" s="309">
        <f t="shared" si="8"/>
        <v>1</v>
      </c>
      <c r="AC8" s="309">
        <f t="shared" ref="AC8" si="9">IF(AB8=4,1,AB8+1)</f>
        <v>2</v>
      </c>
      <c r="AD8" s="309">
        <f t="shared" ref="AD8" si="10">IF(AC8=4,1,AC8+1)</f>
        <v>3</v>
      </c>
      <c r="AE8" s="309">
        <f t="shared" ref="AE8" si="11">IF(AD8=4,1,AD8+1)</f>
        <v>4</v>
      </c>
      <c r="AF8" s="309">
        <f t="shared" ref="AF8:AG8" si="12">IF(AE8=4,1,AE8+1)</f>
        <v>1</v>
      </c>
      <c r="AG8" s="309">
        <f t="shared" si="12"/>
        <v>2</v>
      </c>
    </row>
    <row r="9" spans="3:33" outlineLevel="1"/>
    <row r="10" spans="3:33" outlineLevel="1">
      <c r="C10" s="209" t="s">
        <v>784</v>
      </c>
      <c r="D10" s="209"/>
    </row>
    <row r="11" spans="3:33" ht="14.4" outlineLevel="1">
      <c r="C11" s="1" t="s">
        <v>785</v>
      </c>
      <c r="D11" s="197">
        <v>4</v>
      </c>
    </row>
    <row r="12" spans="3:33" ht="14.4" outlineLevel="1">
      <c r="C12" s="1" t="s">
        <v>786</v>
      </c>
      <c r="D12" s="283">
        <f>G4</f>
        <v>43830</v>
      </c>
    </row>
    <row r="13" spans="3:33" outlineLevel="1"/>
    <row r="14" spans="3:33" outlineLevel="1">
      <c r="C14" s="209" t="s">
        <v>967</v>
      </c>
      <c r="D14" s="209"/>
      <c r="E14" s="209"/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</row>
    <row r="15" spans="3:33" outlineLevel="1">
      <c r="C15" s="291" t="s">
        <v>761</v>
      </c>
      <c r="D15" s="291">
        <f ca="1">+'Financial Quarterly Holdco'!D97</f>
        <v>0</v>
      </c>
      <c r="E15" s="291">
        <f ca="1">+'Financial Quarterly Holdco'!E97</f>
        <v>0</v>
      </c>
      <c r="F15" s="291">
        <f ca="1">+'Financial Quarterly Holdco'!F97</f>
        <v>0</v>
      </c>
      <c r="G15" s="291">
        <f ca="1">+'Financial Quarterly Holdco'!G97</f>
        <v>0</v>
      </c>
      <c r="H15" s="291">
        <f ca="1">+'Financial Quarterly Holdco'!H97</f>
        <v>0</v>
      </c>
      <c r="I15" s="291">
        <f ca="1">+'Financial Quarterly Holdco'!I97</f>
        <v>0</v>
      </c>
      <c r="J15" s="291">
        <f ca="1">+'Financial Quarterly Holdco'!J97</f>
        <v>0</v>
      </c>
      <c r="K15" s="291">
        <f ca="1">+'Financial Quarterly Holdco'!K97</f>
        <v>0</v>
      </c>
      <c r="L15" s="291">
        <f ca="1">+'Financial Quarterly Holdco'!L97</f>
        <v>0</v>
      </c>
      <c r="M15" s="291">
        <f ca="1">+'Financial Quarterly Holdco'!M97</f>
        <v>0</v>
      </c>
      <c r="N15" s="291">
        <f ca="1">+'Financial Quarterly Holdco'!N97</f>
        <v>0</v>
      </c>
      <c r="O15" s="291">
        <f ca="1">+'Financial Quarterly Holdco'!O97</f>
        <v>0</v>
      </c>
      <c r="P15" s="291">
        <f ca="1">+'Financial Quarterly Holdco'!P97</f>
        <v>0</v>
      </c>
      <c r="Q15" s="291">
        <f ca="1">+'Financial Quarterly Holdco'!Q97</f>
        <v>0</v>
      </c>
      <c r="R15" s="291">
        <f ca="1">+'Financial Quarterly Holdco'!R97</f>
        <v>0</v>
      </c>
      <c r="S15" s="291">
        <f ca="1">+'Financial Quarterly Holdco'!S97</f>
        <v>0</v>
      </c>
      <c r="T15" s="291">
        <f ca="1">+'Financial Quarterly Holdco'!T97</f>
        <v>0</v>
      </c>
      <c r="U15" s="291">
        <f ca="1">+'Financial Quarterly Holdco'!U97</f>
        <v>0</v>
      </c>
      <c r="V15" s="291">
        <f ca="1">+'Financial Quarterly Holdco'!V97</f>
        <v>0</v>
      </c>
      <c r="W15" s="291">
        <f ca="1">+'Financial Quarterly Holdco'!W97</f>
        <v>0</v>
      </c>
      <c r="X15" s="291">
        <f ca="1">+'Financial Quarterly Holdco'!X97</f>
        <v>0</v>
      </c>
      <c r="Y15" s="291">
        <f ca="1">+'Financial Quarterly Holdco'!Y97</f>
        <v>0</v>
      </c>
      <c r="Z15" s="291">
        <f ca="1">+'Financial Quarterly Holdco'!Z97</f>
        <v>0</v>
      </c>
      <c r="AA15" s="291">
        <f ca="1">+'Financial Quarterly Holdco'!AA97</f>
        <v>0</v>
      </c>
      <c r="AB15" s="291" t="e">
        <f ca="1">+'Financial Quarterly Holdco'!AB97</f>
        <v>#N/A</v>
      </c>
      <c r="AC15" s="291" t="e">
        <f ca="1">+'Financial Quarterly Holdco'!AC97</f>
        <v>#N/A</v>
      </c>
      <c r="AD15" s="291" t="e">
        <f ca="1">+'Financial Quarterly Holdco'!AD97</f>
        <v>#N/A</v>
      </c>
      <c r="AE15" s="291" t="e">
        <f ca="1">+'Financial Quarterly Holdco'!AE97</f>
        <v>#N/A</v>
      </c>
      <c r="AF15" s="291" t="e">
        <f ca="1">+'Financial Quarterly Holdco'!AF97</f>
        <v>#N/A</v>
      </c>
      <c r="AG15" s="291" t="e">
        <f ca="1">+'Financial Quarterly Holdco'!AG97</f>
        <v>#N/A</v>
      </c>
    </row>
    <row r="16" spans="3:33" outlineLevel="1">
      <c r="C16" s="291" t="s">
        <v>762</v>
      </c>
      <c r="D16" s="291">
        <f ca="1">+'Financial Quarterly Holdco'!D67</f>
        <v>0</v>
      </c>
      <c r="E16" s="291">
        <f ca="1">+'Financial Quarterly Holdco'!E67</f>
        <v>0</v>
      </c>
      <c r="F16" s="291">
        <f ca="1">+'Financial Quarterly Holdco'!F67</f>
        <v>0</v>
      </c>
      <c r="G16" s="291">
        <f ca="1">+'Financial Quarterly Holdco'!G67</f>
        <v>0</v>
      </c>
      <c r="H16" s="291">
        <f ca="1">+'Financial Quarterly Holdco'!H67</f>
        <v>0</v>
      </c>
      <c r="I16" s="291">
        <f ca="1">+'Financial Quarterly Holdco'!I67</f>
        <v>0</v>
      </c>
      <c r="J16" s="291">
        <f ca="1">+'Financial Quarterly Holdco'!J67</f>
        <v>0</v>
      </c>
      <c r="K16" s="291">
        <f ca="1">+'Financial Quarterly Holdco'!K67</f>
        <v>0</v>
      </c>
      <c r="L16" s="291">
        <f ca="1">+'Financial Quarterly Holdco'!L67</f>
        <v>0</v>
      </c>
      <c r="M16" s="291">
        <f ca="1">+'Financial Quarterly Holdco'!M67</f>
        <v>0</v>
      </c>
      <c r="N16" s="291">
        <f ca="1">+'Financial Quarterly Holdco'!N67</f>
        <v>0</v>
      </c>
      <c r="O16" s="291">
        <f ca="1">+'Financial Quarterly Holdco'!O67</f>
        <v>0</v>
      </c>
      <c r="P16" s="291">
        <f ca="1">+'Financial Quarterly Holdco'!P67</f>
        <v>0</v>
      </c>
      <c r="Q16" s="291">
        <f ca="1">+'Financial Quarterly Holdco'!Q67</f>
        <v>0</v>
      </c>
      <c r="R16" s="291">
        <f ca="1">+'Financial Quarterly Holdco'!R67</f>
        <v>0</v>
      </c>
      <c r="S16" s="291">
        <f ca="1">+'Financial Quarterly Holdco'!S67</f>
        <v>0</v>
      </c>
      <c r="T16" s="291">
        <f ca="1">+'Financial Quarterly Holdco'!T67</f>
        <v>0</v>
      </c>
      <c r="U16" s="291">
        <f ca="1">+'Financial Quarterly Holdco'!U67</f>
        <v>0</v>
      </c>
      <c r="V16" s="291">
        <f ca="1">+'Financial Quarterly Holdco'!V67</f>
        <v>0</v>
      </c>
      <c r="W16" s="291">
        <f ca="1">+'Financial Quarterly Holdco'!W67</f>
        <v>0</v>
      </c>
      <c r="X16" s="291">
        <f ca="1">+'Financial Quarterly Holdco'!X67</f>
        <v>0</v>
      </c>
      <c r="Y16" s="291">
        <f ca="1">+'Financial Quarterly Holdco'!Y67</f>
        <v>0</v>
      </c>
      <c r="Z16" s="291">
        <f ca="1">+'Financial Quarterly Holdco'!Z67</f>
        <v>0</v>
      </c>
      <c r="AA16" s="291">
        <f ca="1">+'Financial Quarterly Holdco'!AA67</f>
        <v>0</v>
      </c>
      <c r="AB16" s="291">
        <f ca="1">+'Financial Quarterly Holdco'!AB67</f>
        <v>0</v>
      </c>
      <c r="AC16" s="291">
        <f ca="1">+'Financial Quarterly Holdco'!AC67</f>
        <v>0</v>
      </c>
      <c r="AD16" s="291">
        <f ca="1">+'Financial Quarterly Holdco'!AD67</f>
        <v>0</v>
      </c>
      <c r="AE16" s="291">
        <f ca="1">+'Financial Quarterly Holdco'!AE67</f>
        <v>0</v>
      </c>
      <c r="AF16" s="291">
        <f ca="1">+'Financial Quarterly Holdco'!AF67</f>
        <v>0</v>
      </c>
      <c r="AG16" s="291">
        <f ca="1">+'Financial Quarterly Holdco'!AG67</f>
        <v>0</v>
      </c>
    </row>
    <row r="17" spans="3:33" outlineLevel="1">
      <c r="C17" s="180" t="s">
        <v>763</v>
      </c>
      <c r="D17" s="180">
        <f ca="1">SUM(D15:D16)</f>
        <v>0</v>
      </c>
      <c r="E17" s="180">
        <f t="shared" ref="E17:AB17" ca="1" si="13">SUM(E15:E16)</f>
        <v>0</v>
      </c>
      <c r="F17" s="180">
        <f t="shared" ca="1" si="13"/>
        <v>0</v>
      </c>
      <c r="G17" s="180">
        <f t="shared" ca="1" si="13"/>
        <v>0</v>
      </c>
      <c r="H17" s="180">
        <f t="shared" ca="1" si="13"/>
        <v>0</v>
      </c>
      <c r="I17" s="180">
        <f t="shared" ca="1" si="13"/>
        <v>0</v>
      </c>
      <c r="J17" s="180">
        <f t="shared" ca="1" si="13"/>
        <v>0</v>
      </c>
      <c r="K17" s="180">
        <f t="shared" ca="1" si="13"/>
        <v>0</v>
      </c>
      <c r="L17" s="180">
        <f t="shared" ca="1" si="13"/>
        <v>0</v>
      </c>
      <c r="M17" s="180">
        <f t="shared" ca="1" si="13"/>
        <v>0</v>
      </c>
      <c r="N17" s="180">
        <f t="shared" ca="1" si="13"/>
        <v>0</v>
      </c>
      <c r="O17" s="180">
        <f t="shared" ca="1" si="13"/>
        <v>0</v>
      </c>
      <c r="P17" s="180">
        <f t="shared" ca="1" si="13"/>
        <v>0</v>
      </c>
      <c r="Q17" s="180">
        <f t="shared" ca="1" si="13"/>
        <v>0</v>
      </c>
      <c r="R17" s="180">
        <f t="shared" ca="1" si="13"/>
        <v>0</v>
      </c>
      <c r="S17" s="180">
        <f t="shared" ca="1" si="13"/>
        <v>0</v>
      </c>
      <c r="T17" s="180">
        <f t="shared" ca="1" si="13"/>
        <v>0</v>
      </c>
      <c r="U17" s="180">
        <f t="shared" ca="1" si="13"/>
        <v>0</v>
      </c>
      <c r="V17" s="180">
        <f t="shared" ca="1" si="13"/>
        <v>0</v>
      </c>
      <c r="W17" s="180">
        <f t="shared" ca="1" si="13"/>
        <v>0</v>
      </c>
      <c r="X17" s="180">
        <f t="shared" ca="1" si="13"/>
        <v>0</v>
      </c>
      <c r="Y17" s="180">
        <f t="shared" ca="1" si="13"/>
        <v>0</v>
      </c>
      <c r="Z17" s="180">
        <f t="shared" ca="1" si="13"/>
        <v>0</v>
      </c>
      <c r="AA17" s="180">
        <f t="shared" ca="1" si="13"/>
        <v>0</v>
      </c>
      <c r="AB17" s="180" t="e">
        <f t="shared" ca="1" si="13"/>
        <v>#N/A</v>
      </c>
      <c r="AC17" s="180" t="e">
        <f t="shared" ref="AC17:AF17" ca="1" si="14">SUM(AC15:AC16)</f>
        <v>#N/A</v>
      </c>
      <c r="AD17" s="180" t="e">
        <f t="shared" ca="1" si="14"/>
        <v>#N/A</v>
      </c>
      <c r="AE17" s="180" t="e">
        <f t="shared" ca="1" si="14"/>
        <v>#N/A</v>
      </c>
      <c r="AF17" s="180" t="e">
        <f t="shared" ca="1" si="14"/>
        <v>#N/A</v>
      </c>
      <c r="AG17" s="180" t="e">
        <f t="shared" ref="AG17" ca="1" si="15">SUM(AG15:AG16)</f>
        <v>#N/A</v>
      </c>
    </row>
    <row r="18" spans="3:33" outlineLevel="1">
      <c r="C18" s="180" t="s">
        <v>703</v>
      </c>
      <c r="D18" s="180">
        <f>'Financial Quarterly Holdco'!D12</f>
        <v>0</v>
      </c>
      <c r="E18" s="180">
        <f ca="1">'Financial Quarterly Holdco'!E12</f>
        <v>0</v>
      </c>
      <c r="F18" s="180">
        <f ca="1">'Financial Quarterly Holdco'!F12</f>
        <v>0</v>
      </c>
      <c r="G18" s="180">
        <f ca="1">'Financial Quarterly Holdco'!G12</f>
        <v>0</v>
      </c>
      <c r="H18" s="180">
        <f ca="1">'Financial Quarterly Holdco'!H12</f>
        <v>0</v>
      </c>
      <c r="I18" s="180">
        <f ca="1">'Financial Quarterly Holdco'!I12</f>
        <v>0</v>
      </c>
      <c r="J18" s="180">
        <f ca="1">'Financial Quarterly Holdco'!J12</f>
        <v>0</v>
      </c>
      <c r="K18" s="180">
        <f ca="1">'Financial Quarterly Holdco'!K12</f>
        <v>0</v>
      </c>
      <c r="L18" s="180">
        <f ca="1">'Financial Quarterly Holdco'!L12</f>
        <v>0</v>
      </c>
      <c r="M18" s="180">
        <f ca="1">'Financial Quarterly Holdco'!M12</f>
        <v>0</v>
      </c>
      <c r="N18" s="180">
        <f ca="1">'Financial Quarterly Holdco'!N12</f>
        <v>0</v>
      </c>
      <c r="O18" s="180">
        <f ca="1">'Financial Quarterly Holdco'!O12</f>
        <v>0</v>
      </c>
      <c r="P18" s="180">
        <f ca="1">'Financial Quarterly Holdco'!P12</f>
        <v>0</v>
      </c>
      <c r="Q18" s="180">
        <f ca="1">'Financial Quarterly Holdco'!Q12</f>
        <v>0</v>
      </c>
      <c r="R18" s="180">
        <f ca="1">'Financial Quarterly Holdco'!R12</f>
        <v>0</v>
      </c>
      <c r="S18" s="180">
        <f ca="1">'Financial Quarterly Holdco'!S12</f>
        <v>0</v>
      </c>
      <c r="T18" s="180">
        <f ca="1">'Financial Quarterly Holdco'!T12</f>
        <v>0</v>
      </c>
      <c r="U18" s="180">
        <f ca="1">'Financial Quarterly Holdco'!U12</f>
        <v>0</v>
      </c>
      <c r="V18" s="180">
        <f ca="1">'Financial Quarterly Holdco'!V12</f>
        <v>0</v>
      </c>
      <c r="W18" s="180">
        <f ca="1">'Financial Quarterly Holdco'!W12</f>
        <v>0</v>
      </c>
      <c r="X18" s="180">
        <f ca="1">'Financial Quarterly Holdco'!X12</f>
        <v>0</v>
      </c>
      <c r="Y18" s="180">
        <f ca="1">'Financial Quarterly Holdco'!Y12</f>
        <v>0</v>
      </c>
      <c r="Z18" s="180">
        <f ca="1">'Financial Quarterly Holdco'!Z12</f>
        <v>0</v>
      </c>
      <c r="AA18" s="180">
        <f ca="1">'Financial Quarterly Holdco'!AA12</f>
        <v>0</v>
      </c>
      <c r="AB18" s="180">
        <f ca="1">'Financial Quarterly Holdco'!AB12</f>
        <v>0</v>
      </c>
      <c r="AC18" s="180" t="e">
        <f ca="1">'Financial Quarterly Holdco'!AC12</f>
        <v>#N/A</v>
      </c>
      <c r="AD18" s="180" t="e">
        <f ca="1">'Financial Quarterly Holdco'!AD12</f>
        <v>#N/A</v>
      </c>
      <c r="AE18" s="180" t="e">
        <f ca="1">'Financial Quarterly Holdco'!AE12</f>
        <v>#N/A</v>
      </c>
      <c r="AF18" s="180" t="e">
        <f ca="1">'Financial Quarterly Holdco'!AF12</f>
        <v>#N/A</v>
      </c>
      <c r="AG18" s="180" t="e">
        <f ca="1">'Financial Quarterly Holdco'!AG12</f>
        <v>#N/A</v>
      </c>
    </row>
    <row r="19" spans="3:33" outlineLevel="1">
      <c r="C19" s="180" t="s">
        <v>704</v>
      </c>
      <c r="D19" s="180">
        <f ca="1">'Financial Quarterly Holdco'!D89</f>
        <v>0</v>
      </c>
      <c r="E19" s="180">
        <f ca="1">'Financial Quarterly Holdco'!E89</f>
        <v>0</v>
      </c>
      <c r="F19" s="180">
        <f ca="1">'Financial Quarterly Holdco'!F89</f>
        <v>0</v>
      </c>
      <c r="G19" s="180">
        <f ca="1">'Financial Quarterly Holdco'!G89</f>
        <v>0</v>
      </c>
      <c r="H19" s="180">
        <f ca="1">'Financial Quarterly Holdco'!H89</f>
        <v>0</v>
      </c>
      <c r="I19" s="180">
        <f ca="1">'Financial Quarterly Holdco'!I89</f>
        <v>0</v>
      </c>
      <c r="J19" s="180">
        <f ca="1">'Financial Quarterly Holdco'!J89</f>
        <v>0</v>
      </c>
      <c r="K19" s="180">
        <f ca="1">'Financial Quarterly Holdco'!K89</f>
        <v>0</v>
      </c>
      <c r="L19" s="180">
        <f ca="1">'Financial Quarterly Holdco'!L89</f>
        <v>0</v>
      </c>
      <c r="M19" s="180">
        <f ca="1">'Financial Quarterly Holdco'!M89</f>
        <v>0</v>
      </c>
      <c r="N19" s="180">
        <f ca="1">'Financial Quarterly Holdco'!N89</f>
        <v>0</v>
      </c>
      <c r="O19" s="180">
        <f ca="1">'Financial Quarterly Holdco'!O89</f>
        <v>0</v>
      </c>
      <c r="P19" s="180">
        <f ca="1">'Financial Quarterly Holdco'!P89</f>
        <v>0</v>
      </c>
      <c r="Q19" s="180">
        <f ca="1">'Financial Quarterly Holdco'!Q89</f>
        <v>0</v>
      </c>
      <c r="R19" s="180">
        <f ca="1">'Financial Quarterly Holdco'!R89</f>
        <v>0</v>
      </c>
      <c r="S19" s="180">
        <f ca="1">'Financial Quarterly Holdco'!S89</f>
        <v>0</v>
      </c>
      <c r="T19" s="180">
        <f ca="1">'Financial Quarterly Holdco'!T89</f>
        <v>0</v>
      </c>
      <c r="U19" s="180">
        <f ca="1">'Financial Quarterly Holdco'!U89</f>
        <v>0</v>
      </c>
      <c r="V19" s="180">
        <f ca="1">'Financial Quarterly Holdco'!V89</f>
        <v>0</v>
      </c>
      <c r="W19" s="180">
        <f ca="1">'Financial Quarterly Holdco'!W89</f>
        <v>0</v>
      </c>
      <c r="X19" s="180">
        <f ca="1">'Financial Quarterly Holdco'!X89</f>
        <v>0</v>
      </c>
      <c r="Y19" s="180">
        <f ca="1">'Financial Quarterly Holdco'!Y89</f>
        <v>0</v>
      </c>
      <c r="Z19" s="180">
        <f ca="1">'Financial Quarterly Holdco'!Z89</f>
        <v>0</v>
      </c>
      <c r="AA19" s="180">
        <f ca="1">'Financial Quarterly Holdco'!AA89</f>
        <v>0</v>
      </c>
      <c r="AB19" s="180" t="e">
        <f ca="1">'Financial Quarterly Holdco'!AB89</f>
        <v>#N/A</v>
      </c>
      <c r="AC19" s="180" t="e">
        <f ca="1">'Financial Quarterly Holdco'!AC89</f>
        <v>#N/A</v>
      </c>
      <c r="AD19" s="180" t="e">
        <f ca="1">'Financial Quarterly Holdco'!AD89</f>
        <v>#N/A</v>
      </c>
      <c r="AE19" s="180" t="e">
        <f ca="1">'Financial Quarterly Holdco'!AE89</f>
        <v>#N/A</v>
      </c>
      <c r="AF19" s="180" t="e">
        <f ca="1">'Financial Quarterly Holdco'!AF89</f>
        <v>#N/A</v>
      </c>
      <c r="AG19" s="180" t="e">
        <f ca="1">'Financial Quarterly Holdco'!AG89</f>
        <v>#N/A</v>
      </c>
    </row>
    <row r="20" spans="3:33" ht="14.4" outlineLevel="1">
      <c r="C20" s="34"/>
    </row>
    <row r="21" spans="3:33" outlineLevel="1">
      <c r="C21" s="291" t="s">
        <v>770</v>
      </c>
      <c r="D21" s="291">
        <f ca="1">'Operating quarterly Holdco'!L31+'Financial Quarterly Holdco'!D82</f>
        <v>0</v>
      </c>
      <c r="E21" s="291">
        <f ca="1">'Operating quarterly Holdco'!M31+'Financial Quarterly Holdco'!E82</f>
        <v>0</v>
      </c>
      <c r="F21" s="291">
        <f ca="1">'Operating quarterly Holdco'!N31+'Financial Quarterly Holdco'!F82</f>
        <v>0</v>
      </c>
      <c r="G21" s="291">
        <f ca="1">'Operating quarterly Holdco'!O31+'Financial Quarterly Holdco'!G82</f>
        <v>0</v>
      </c>
      <c r="H21" s="291">
        <f ca="1">'Operating quarterly Holdco'!P31+'Financial Quarterly Holdco'!H82</f>
        <v>0</v>
      </c>
      <c r="I21" s="291">
        <f ca="1">'Operating quarterly Holdco'!Q31+'Financial Quarterly Holdco'!I82</f>
        <v>0</v>
      </c>
      <c r="J21" s="291">
        <f ca="1">'Operating quarterly Holdco'!R31+'Financial Quarterly Holdco'!J82</f>
        <v>0</v>
      </c>
      <c r="K21" s="291">
        <f ca="1">'Operating quarterly Holdco'!S31+'Financial Quarterly Holdco'!K82</f>
        <v>0</v>
      </c>
      <c r="L21" s="291">
        <f ca="1">'Operating quarterly Holdco'!T31+'Financial Quarterly Holdco'!L82</f>
        <v>0</v>
      </c>
      <c r="M21" s="291">
        <f ca="1">'Operating quarterly Holdco'!U31+'Financial Quarterly Holdco'!M82</f>
        <v>0</v>
      </c>
      <c r="N21" s="291">
        <f ca="1">'Operating quarterly Holdco'!V31+'Financial Quarterly Holdco'!N82</f>
        <v>0</v>
      </c>
      <c r="O21" s="291">
        <f ca="1">'Operating quarterly Holdco'!W31+'Financial Quarterly Holdco'!O82</f>
        <v>0</v>
      </c>
      <c r="P21" s="291">
        <f ca="1">'Operating quarterly Holdco'!X31+'Financial Quarterly Holdco'!P82</f>
        <v>0</v>
      </c>
      <c r="Q21" s="291">
        <f ca="1">'Operating quarterly Holdco'!Y31+'Financial Quarterly Holdco'!Q82</f>
        <v>0</v>
      </c>
      <c r="R21" s="291">
        <f ca="1">'Operating quarterly Holdco'!Z31+'Financial Quarterly Holdco'!R82</f>
        <v>0</v>
      </c>
      <c r="S21" s="291">
        <f ca="1">'Operating quarterly Holdco'!AA31+'Financial Quarterly Holdco'!S82</f>
        <v>0</v>
      </c>
      <c r="T21" s="291">
        <f ca="1">'Operating quarterly Holdco'!AB31+'Financial Quarterly Holdco'!T82</f>
        <v>0</v>
      </c>
      <c r="U21" s="291">
        <f ca="1">'Operating quarterly Holdco'!AC31+'Financial Quarterly Holdco'!U82</f>
        <v>0</v>
      </c>
      <c r="V21" s="291">
        <f ca="1">'Operating quarterly Holdco'!AD31+'Financial Quarterly Holdco'!V82</f>
        <v>0</v>
      </c>
      <c r="W21" s="291">
        <f ca="1">'Operating quarterly Holdco'!AE31+'Financial Quarterly Holdco'!W82</f>
        <v>0</v>
      </c>
      <c r="X21" s="291">
        <f ca="1">'Operating quarterly Holdco'!AF31+'Financial Quarterly Holdco'!X82</f>
        <v>0</v>
      </c>
      <c r="Y21" s="291">
        <f ca="1">'Operating quarterly Holdco'!AG31+'Financial Quarterly Holdco'!Y82</f>
        <v>0</v>
      </c>
      <c r="Z21" s="291">
        <f ca="1">'Operating quarterly Holdco'!AH31+'Financial Quarterly Holdco'!Z82</f>
        <v>0</v>
      </c>
      <c r="AA21" s="291">
        <f ca="1">'Operating quarterly Holdco'!AI31+'Financial Quarterly Holdco'!AA82</f>
        <v>0</v>
      </c>
      <c r="AB21" s="291" t="e">
        <f ca="1">'Operating quarterly Holdco'!AJ31+'Financial Quarterly Holdco'!AB82</f>
        <v>#N/A</v>
      </c>
      <c r="AC21" s="291" t="e">
        <f ca="1">'Operating quarterly Holdco'!AK31+'Financial Quarterly Holdco'!AC82</f>
        <v>#N/A</v>
      </c>
      <c r="AD21" s="291" t="e">
        <f ca="1">'Operating quarterly Holdco'!AL31+'Financial Quarterly Holdco'!AD82</f>
        <v>#N/A</v>
      </c>
      <c r="AE21" s="291" t="e">
        <f ca="1">'Operating quarterly Holdco'!AM31+'Financial Quarterly Holdco'!AE82</f>
        <v>#N/A</v>
      </c>
      <c r="AF21" s="291" t="e">
        <f ca="1">'Operating quarterly Holdco'!AN31+'Financial Quarterly Holdco'!AF82</f>
        <v>#N/A</v>
      </c>
      <c r="AG21" s="291" t="e">
        <f ca="1">'Operating quarterly Holdco'!AO31+'Financial Quarterly Holdco'!AG82</f>
        <v>#N/A</v>
      </c>
    </row>
    <row r="22" spans="3:33" outlineLevel="1">
      <c r="C22" s="291" t="s">
        <v>783</v>
      </c>
      <c r="D22" s="291">
        <f ca="1">'Operating quarterly Holdco'!L31</f>
        <v>0</v>
      </c>
      <c r="E22" s="291">
        <f ca="1">'Operating quarterly Holdco'!M31</f>
        <v>0</v>
      </c>
      <c r="F22" s="291">
        <f ca="1">'Operating quarterly Holdco'!N31</f>
        <v>0</v>
      </c>
      <c r="G22" s="291">
        <f ca="1">'Operating quarterly Holdco'!O31</f>
        <v>0</v>
      </c>
      <c r="H22" s="291">
        <f ca="1">'Operating quarterly Holdco'!P31</f>
        <v>0</v>
      </c>
      <c r="I22" s="291">
        <f ca="1">'Operating quarterly Holdco'!Q31</f>
        <v>0</v>
      </c>
      <c r="J22" s="291">
        <f ca="1">'Operating quarterly Holdco'!R31</f>
        <v>0</v>
      </c>
      <c r="K22" s="291">
        <f ca="1">'Operating quarterly Holdco'!S31</f>
        <v>0</v>
      </c>
      <c r="L22" s="291">
        <f ca="1">'Operating quarterly Holdco'!T31</f>
        <v>0</v>
      </c>
      <c r="M22" s="291">
        <f ca="1">'Operating quarterly Holdco'!U31</f>
        <v>0</v>
      </c>
      <c r="N22" s="291">
        <f ca="1">'Operating quarterly Holdco'!V31</f>
        <v>0</v>
      </c>
      <c r="O22" s="291">
        <f ca="1">'Operating quarterly Holdco'!W31</f>
        <v>0</v>
      </c>
      <c r="P22" s="291">
        <f ca="1">'Operating quarterly Holdco'!X31</f>
        <v>0</v>
      </c>
      <c r="Q22" s="291">
        <f ca="1">'Operating quarterly Holdco'!Y31</f>
        <v>0</v>
      </c>
      <c r="R22" s="291">
        <f ca="1">'Operating quarterly Holdco'!Z31</f>
        <v>0</v>
      </c>
      <c r="S22" s="291">
        <f ca="1">'Operating quarterly Holdco'!AA31</f>
        <v>0</v>
      </c>
      <c r="T22" s="291">
        <f ca="1">'Operating quarterly Holdco'!AB31</f>
        <v>0</v>
      </c>
      <c r="U22" s="291">
        <f ca="1">'Operating quarterly Holdco'!AC31</f>
        <v>0</v>
      </c>
      <c r="V22" s="291">
        <f ca="1">'Operating quarterly Holdco'!AD31</f>
        <v>0</v>
      </c>
      <c r="W22" s="291">
        <f ca="1">'Operating quarterly Holdco'!AE31</f>
        <v>0</v>
      </c>
      <c r="X22" s="291">
        <f ca="1">'Operating quarterly Holdco'!AF31</f>
        <v>0</v>
      </c>
      <c r="Y22" s="291">
        <f ca="1">'Operating quarterly Holdco'!AG31</f>
        <v>0</v>
      </c>
      <c r="Z22" s="291">
        <f ca="1">'Operating quarterly Holdco'!AH31</f>
        <v>0</v>
      </c>
      <c r="AA22" s="291">
        <f ca="1">'Operating quarterly Holdco'!AI31</f>
        <v>0</v>
      </c>
      <c r="AB22" s="291" t="e">
        <f ca="1">'Operating quarterly Holdco'!AJ31</f>
        <v>#N/A</v>
      </c>
      <c r="AC22" s="291" t="e">
        <f ca="1">'Operating quarterly Holdco'!AK31</f>
        <v>#N/A</v>
      </c>
      <c r="AD22" s="291" t="e">
        <f ca="1">'Operating quarterly Holdco'!AL31</f>
        <v>#N/A</v>
      </c>
      <c r="AE22" s="291" t="e">
        <f ca="1">'Operating quarterly Holdco'!AM31</f>
        <v>#N/A</v>
      </c>
      <c r="AF22" s="291" t="e">
        <f ca="1">'Operating quarterly Holdco'!AN31</f>
        <v>#N/A</v>
      </c>
      <c r="AG22" s="291" t="e">
        <f ca="1">'Operating quarterly Holdco'!AO31</f>
        <v>#N/A</v>
      </c>
    </row>
    <row r="23" spans="3:33" outlineLevel="1">
      <c r="C23" s="291" t="s">
        <v>684</v>
      </c>
      <c r="D23" s="291">
        <f ca="1">+'Operating quarterly Holdco'!L20+'Operating quarterly Holdco'!L23</f>
        <v>0</v>
      </c>
      <c r="E23" s="291">
        <f ca="1">+'Operating quarterly Holdco'!M20+'Operating quarterly Holdco'!M23</f>
        <v>0</v>
      </c>
      <c r="F23" s="291">
        <f ca="1">+'Operating quarterly Holdco'!N20+'Operating quarterly Holdco'!N23</f>
        <v>0</v>
      </c>
      <c r="G23" s="291">
        <f ca="1">+'Operating quarterly Holdco'!O20+'Operating quarterly Holdco'!O23</f>
        <v>0</v>
      </c>
      <c r="H23" s="291">
        <f ca="1">+'Operating quarterly Holdco'!P20+'Operating quarterly Holdco'!P23</f>
        <v>0</v>
      </c>
      <c r="I23" s="291">
        <f ca="1">+'Operating quarterly Holdco'!Q20+'Operating quarterly Holdco'!Q23</f>
        <v>0</v>
      </c>
      <c r="J23" s="291">
        <f ca="1">+'Operating quarterly Holdco'!R20+'Operating quarterly Holdco'!R23</f>
        <v>0</v>
      </c>
      <c r="K23" s="291">
        <f ca="1">+'Operating quarterly Holdco'!S20+'Operating quarterly Holdco'!S23</f>
        <v>0</v>
      </c>
      <c r="L23" s="291">
        <f ca="1">+'Operating quarterly Holdco'!T20+'Operating quarterly Holdco'!T23</f>
        <v>0</v>
      </c>
      <c r="M23" s="291">
        <f ca="1">+'Operating quarterly Holdco'!U20+'Operating quarterly Holdco'!U23</f>
        <v>0</v>
      </c>
      <c r="N23" s="291">
        <f ca="1">+'Operating quarterly Holdco'!V20+'Operating quarterly Holdco'!V23</f>
        <v>0</v>
      </c>
      <c r="O23" s="291">
        <f ca="1">+'Operating quarterly Holdco'!W20+'Operating quarterly Holdco'!W23</f>
        <v>0</v>
      </c>
      <c r="P23" s="291">
        <f ca="1">+'Operating quarterly Holdco'!X20+'Operating quarterly Holdco'!X23</f>
        <v>0</v>
      </c>
      <c r="Q23" s="291">
        <f ca="1">+'Operating quarterly Holdco'!Y20+'Operating quarterly Holdco'!Y23</f>
        <v>0</v>
      </c>
      <c r="R23" s="291">
        <f ca="1">+'Operating quarterly Holdco'!Z20+'Operating quarterly Holdco'!Z23</f>
        <v>0</v>
      </c>
      <c r="S23" s="291">
        <f ca="1">+'Operating quarterly Holdco'!AA20+'Operating quarterly Holdco'!AA23</f>
        <v>0</v>
      </c>
      <c r="T23" s="291">
        <f ca="1">+'Operating quarterly Holdco'!AB20+'Operating quarterly Holdco'!AB23</f>
        <v>0</v>
      </c>
      <c r="U23" s="291">
        <f ca="1">+'Operating quarterly Holdco'!AC20+'Operating quarterly Holdco'!AC23</f>
        <v>0</v>
      </c>
      <c r="V23" s="291">
        <f ca="1">+'Operating quarterly Holdco'!AD20+'Operating quarterly Holdco'!AD23</f>
        <v>0</v>
      </c>
      <c r="W23" s="291">
        <f ca="1">+'Operating quarterly Holdco'!AE20+'Operating quarterly Holdco'!AE23</f>
        <v>0</v>
      </c>
      <c r="X23" s="291">
        <f ca="1">+'Operating quarterly Holdco'!AF20+'Operating quarterly Holdco'!AF23</f>
        <v>0</v>
      </c>
      <c r="Y23" s="291">
        <f ca="1">+'Operating quarterly Holdco'!AG20+'Operating quarterly Holdco'!AG23</f>
        <v>0</v>
      </c>
      <c r="Z23" s="291">
        <f ca="1">+'Operating quarterly Holdco'!AH20+'Operating quarterly Holdco'!AH23</f>
        <v>0</v>
      </c>
      <c r="AA23" s="291">
        <f ca="1">+'Operating quarterly Holdco'!AI20+'Operating quarterly Holdco'!AI23</f>
        <v>0</v>
      </c>
      <c r="AB23" s="291" t="e">
        <f ca="1">+'Operating quarterly Holdco'!AJ20+'Operating quarterly Holdco'!AJ23</f>
        <v>#N/A</v>
      </c>
      <c r="AC23" s="291" t="e">
        <f ca="1">+'Operating quarterly Holdco'!AK20+'Operating quarterly Holdco'!AK23</f>
        <v>#N/A</v>
      </c>
      <c r="AD23" s="291" t="e">
        <f ca="1">+'Operating quarterly Holdco'!AL20+'Operating quarterly Holdco'!AL23</f>
        <v>#N/A</v>
      </c>
      <c r="AE23" s="291" t="e">
        <f ca="1">+'Operating quarterly Holdco'!AM20+'Operating quarterly Holdco'!AM23</f>
        <v>#N/A</v>
      </c>
      <c r="AF23" s="291" t="e">
        <f ca="1">+'Operating quarterly Holdco'!AN20+'Operating quarterly Holdco'!AN23</f>
        <v>#N/A</v>
      </c>
      <c r="AG23" s="291" t="e">
        <f ca="1">+'Operating quarterly Holdco'!AO20+'Operating quarterly Holdco'!AO23</f>
        <v>#N/A</v>
      </c>
    </row>
    <row r="24" spans="3:33" outlineLevel="1">
      <c r="C24" s="291" t="s">
        <v>776</v>
      </c>
      <c r="D24" s="291"/>
      <c r="E24" s="291"/>
      <c r="F24" s="291"/>
      <c r="G24" s="291"/>
      <c r="H24" s="291"/>
      <c r="I24" s="291"/>
      <c r="J24" s="291"/>
      <c r="K24" s="291"/>
      <c r="L24" s="291"/>
      <c r="M24" s="291"/>
      <c r="N24" s="291"/>
      <c r="O24" s="291"/>
      <c r="P24" s="291"/>
      <c r="Q24" s="291"/>
      <c r="R24" s="291"/>
      <c r="S24" s="291"/>
      <c r="T24" s="291"/>
      <c r="U24" s="291"/>
      <c r="V24" s="291"/>
      <c r="W24" s="291"/>
      <c r="X24" s="291"/>
      <c r="Y24" s="291"/>
      <c r="Z24" s="291"/>
      <c r="AA24" s="291"/>
      <c r="AB24" s="291"/>
      <c r="AC24" s="291"/>
      <c r="AD24" s="291"/>
      <c r="AE24" s="291"/>
      <c r="AF24" s="291"/>
      <c r="AG24" s="291"/>
    </row>
    <row r="25" spans="3:33" outlineLevel="1">
      <c r="C25" s="291" t="s">
        <v>772</v>
      </c>
      <c r="D25" s="291">
        <f>-('Financial Quarterly Holdco'!D23+'Financial Quarterly Holdco'!D36+'Financial Quarterly Holdco'!D49+'Financial Quarterly Holdco'!D78)</f>
        <v>0</v>
      </c>
      <c r="E25" s="291">
        <f ca="1">-('Financial Quarterly Holdco'!E23+'Financial Quarterly Holdco'!E36+'Financial Quarterly Holdco'!E49+'Financial Quarterly Holdco'!E78)</f>
        <v>0</v>
      </c>
      <c r="F25" s="291">
        <f ca="1">-('Financial Quarterly Holdco'!F23+'Financial Quarterly Holdco'!F36+'Financial Quarterly Holdco'!F49+'Financial Quarterly Holdco'!F78)</f>
        <v>0</v>
      </c>
      <c r="G25" s="291">
        <f ca="1">-('Financial Quarterly Holdco'!G23+'Financial Quarterly Holdco'!G36+'Financial Quarterly Holdco'!G49+'Financial Quarterly Holdco'!G78)</f>
        <v>0</v>
      </c>
      <c r="H25" s="291">
        <f ca="1">-('Financial Quarterly Holdco'!H23+'Financial Quarterly Holdco'!H36+'Financial Quarterly Holdco'!H49+'Financial Quarterly Holdco'!H78)</f>
        <v>0</v>
      </c>
      <c r="I25" s="291">
        <f ca="1">-('Financial Quarterly Holdco'!I23+'Financial Quarterly Holdco'!I36+'Financial Quarterly Holdco'!I49+'Financial Quarterly Holdco'!I78)</f>
        <v>0</v>
      </c>
      <c r="J25" s="291">
        <f ca="1">-('Financial Quarterly Holdco'!J23+'Financial Quarterly Holdco'!J36+'Financial Quarterly Holdco'!J49+'Financial Quarterly Holdco'!J78)</f>
        <v>0</v>
      </c>
      <c r="K25" s="291">
        <f ca="1">-('Financial Quarterly Holdco'!K23+'Financial Quarterly Holdco'!K36+'Financial Quarterly Holdco'!K49+'Financial Quarterly Holdco'!K78)</f>
        <v>0</v>
      </c>
      <c r="L25" s="291">
        <f ca="1">-('Financial Quarterly Holdco'!L23+'Financial Quarterly Holdco'!L36+'Financial Quarterly Holdco'!L49+'Financial Quarterly Holdco'!L78)</f>
        <v>0</v>
      </c>
      <c r="M25" s="291">
        <f ca="1">-('Financial Quarterly Holdco'!M23+'Financial Quarterly Holdco'!M36+'Financial Quarterly Holdco'!M49+'Financial Quarterly Holdco'!M78)</f>
        <v>0</v>
      </c>
      <c r="N25" s="291">
        <f ca="1">-('Financial Quarterly Holdco'!N23+'Financial Quarterly Holdco'!N36+'Financial Quarterly Holdco'!N49+'Financial Quarterly Holdco'!N78)</f>
        <v>0</v>
      </c>
      <c r="O25" s="291">
        <f ca="1">-('Financial Quarterly Holdco'!O23+'Financial Quarterly Holdco'!O36+'Financial Quarterly Holdco'!O49+'Financial Quarterly Holdco'!O78)</f>
        <v>0</v>
      </c>
      <c r="P25" s="291">
        <f ca="1">-('Financial Quarterly Holdco'!P23+'Financial Quarterly Holdco'!P36+'Financial Quarterly Holdco'!P49+'Financial Quarterly Holdco'!P78)</f>
        <v>0</v>
      </c>
      <c r="Q25" s="291">
        <f ca="1">-('Financial Quarterly Holdco'!Q23+'Financial Quarterly Holdco'!Q36+'Financial Quarterly Holdco'!Q49+'Financial Quarterly Holdco'!Q78)</f>
        <v>0</v>
      </c>
      <c r="R25" s="291">
        <f ca="1">-('Financial Quarterly Holdco'!R23+'Financial Quarterly Holdco'!R36+'Financial Quarterly Holdco'!R49+'Financial Quarterly Holdco'!R78)</f>
        <v>0</v>
      </c>
      <c r="S25" s="291">
        <f ca="1">-('Financial Quarterly Holdco'!S23+'Financial Quarterly Holdco'!S36+'Financial Quarterly Holdco'!S49+'Financial Quarterly Holdco'!S78)</f>
        <v>0</v>
      </c>
      <c r="T25" s="291">
        <f ca="1">-('Financial Quarterly Holdco'!T23+'Financial Quarterly Holdco'!T36+'Financial Quarterly Holdco'!T49+'Financial Quarterly Holdco'!T78)</f>
        <v>0</v>
      </c>
      <c r="U25" s="291">
        <f ca="1">-('Financial Quarterly Holdco'!U23+'Financial Quarterly Holdco'!U36+'Financial Quarterly Holdco'!U49+'Financial Quarterly Holdco'!U78)</f>
        <v>0</v>
      </c>
      <c r="V25" s="291">
        <f ca="1">-('Financial Quarterly Holdco'!V23+'Financial Quarterly Holdco'!V36+'Financial Quarterly Holdco'!V49+'Financial Quarterly Holdco'!V78)</f>
        <v>0</v>
      </c>
      <c r="W25" s="291">
        <f ca="1">-('Financial Quarterly Holdco'!W23+'Financial Quarterly Holdco'!W36+'Financial Quarterly Holdco'!W49+'Financial Quarterly Holdco'!W78)</f>
        <v>0</v>
      </c>
      <c r="X25" s="291">
        <f ca="1">-('Financial Quarterly Holdco'!X23+'Financial Quarterly Holdco'!X36+'Financial Quarterly Holdco'!X49+'Financial Quarterly Holdco'!X78)</f>
        <v>0</v>
      </c>
      <c r="Y25" s="291">
        <f ca="1">-('Financial Quarterly Holdco'!Y23+'Financial Quarterly Holdco'!Y36+'Financial Quarterly Holdco'!Y49+'Financial Quarterly Holdco'!Y78)</f>
        <v>0</v>
      </c>
      <c r="Z25" s="291">
        <f ca="1">-('Financial Quarterly Holdco'!Z23+'Financial Quarterly Holdco'!Z36+'Financial Quarterly Holdco'!Z49+'Financial Quarterly Holdco'!Z78)</f>
        <v>0</v>
      </c>
      <c r="AA25" s="291">
        <f ca="1">-('Financial Quarterly Holdco'!AA23+'Financial Quarterly Holdco'!AA36+'Financial Quarterly Holdco'!AA49+'Financial Quarterly Holdco'!AA78)</f>
        <v>0</v>
      </c>
      <c r="AB25" s="291">
        <f ca="1">-('Financial Quarterly Holdco'!AB23+'Financial Quarterly Holdco'!AB36+'Financial Quarterly Holdco'!AB49+'Financial Quarterly Holdco'!AB78)</f>
        <v>0</v>
      </c>
      <c r="AC25" s="291" t="e">
        <f ca="1">-('Financial Quarterly Holdco'!AC23+'Financial Quarterly Holdco'!AC36+'Financial Quarterly Holdco'!AC49+'Financial Quarterly Holdco'!AC78)</f>
        <v>#N/A</v>
      </c>
      <c r="AD25" s="291" t="e">
        <f ca="1">-('Financial Quarterly Holdco'!AD23+'Financial Quarterly Holdco'!AD36+'Financial Quarterly Holdco'!AD49+'Financial Quarterly Holdco'!AD78)</f>
        <v>#N/A</v>
      </c>
      <c r="AE25" s="291" t="e">
        <f ca="1">-('Financial Quarterly Holdco'!AE23+'Financial Quarterly Holdco'!AE36+'Financial Quarterly Holdco'!AE49+'Financial Quarterly Holdco'!AE78)</f>
        <v>#N/A</v>
      </c>
      <c r="AF25" s="291" t="e">
        <f ca="1">-('Financial Quarterly Holdco'!AF23+'Financial Quarterly Holdco'!AF36+'Financial Quarterly Holdco'!AF49+'Financial Quarterly Holdco'!AF78)</f>
        <v>#N/A</v>
      </c>
      <c r="AG25" s="291" t="e">
        <f ca="1">-('Financial Quarterly Holdco'!AG23+'Financial Quarterly Holdco'!AG36+'Financial Quarterly Holdco'!AG49+'Financial Quarterly Holdco'!AG78)</f>
        <v>#N/A</v>
      </c>
    </row>
    <row r="26" spans="3:33" outlineLevel="1">
      <c r="C26" s="291" t="s">
        <v>773</v>
      </c>
      <c r="D26" s="291">
        <f>+D25-'Financial Quarterly Holdco'!D64</f>
        <v>0</v>
      </c>
      <c r="E26" s="291">
        <f ca="1">+E25-'Financial Quarterly Holdco'!E64</f>
        <v>0</v>
      </c>
      <c r="F26" s="291">
        <f ca="1">+F25-'Financial Quarterly Holdco'!F64</f>
        <v>0</v>
      </c>
      <c r="G26" s="291">
        <f ca="1">+G25-'Financial Quarterly Holdco'!G64</f>
        <v>0</v>
      </c>
      <c r="H26" s="291">
        <f ca="1">+H25-'Financial Quarterly Holdco'!H64</f>
        <v>0</v>
      </c>
      <c r="I26" s="291">
        <f ca="1">+I25-'Financial Quarterly Holdco'!I64</f>
        <v>0</v>
      </c>
      <c r="J26" s="291">
        <f ca="1">+J25-'Financial Quarterly Holdco'!J64</f>
        <v>0</v>
      </c>
      <c r="K26" s="291">
        <f ca="1">+K25-'Financial Quarterly Holdco'!K64</f>
        <v>0</v>
      </c>
      <c r="L26" s="291">
        <f ca="1">+L25-'Financial Quarterly Holdco'!L64</f>
        <v>0</v>
      </c>
      <c r="M26" s="291">
        <f ca="1">+M25-'Financial Quarterly Holdco'!M64</f>
        <v>0</v>
      </c>
      <c r="N26" s="291">
        <f ca="1">+N25-'Financial Quarterly Holdco'!N64</f>
        <v>0</v>
      </c>
      <c r="O26" s="291">
        <f ca="1">+O25-'Financial Quarterly Holdco'!O64</f>
        <v>0</v>
      </c>
      <c r="P26" s="291">
        <f ca="1">+P25-'Financial Quarterly Holdco'!P64</f>
        <v>0</v>
      </c>
      <c r="Q26" s="291">
        <f ca="1">+Q25-'Financial Quarterly Holdco'!Q64</f>
        <v>0</v>
      </c>
      <c r="R26" s="291">
        <f ca="1">+R25-'Financial Quarterly Holdco'!R64</f>
        <v>0</v>
      </c>
      <c r="S26" s="291">
        <f ca="1">+S25-'Financial Quarterly Holdco'!S64</f>
        <v>0</v>
      </c>
      <c r="T26" s="291">
        <f ca="1">+T25-'Financial Quarterly Holdco'!T64</f>
        <v>0</v>
      </c>
      <c r="U26" s="291">
        <f ca="1">+U25-'Financial Quarterly Holdco'!U64</f>
        <v>0</v>
      </c>
      <c r="V26" s="291">
        <f ca="1">+V25-'Financial Quarterly Holdco'!V64</f>
        <v>0</v>
      </c>
      <c r="W26" s="291">
        <f ca="1">+W25-'Financial Quarterly Holdco'!W64</f>
        <v>0</v>
      </c>
      <c r="X26" s="291">
        <f ca="1">+X25-'Financial Quarterly Holdco'!X64</f>
        <v>0</v>
      </c>
      <c r="Y26" s="291">
        <f ca="1">+Y25-'Financial Quarterly Holdco'!Y64</f>
        <v>0</v>
      </c>
      <c r="Z26" s="291">
        <f ca="1">+Z25-'Financial Quarterly Holdco'!Z64</f>
        <v>0</v>
      </c>
      <c r="AA26" s="291">
        <f ca="1">+AA25-'Financial Quarterly Holdco'!AA64</f>
        <v>0</v>
      </c>
      <c r="AB26" s="291">
        <f ca="1">+AB25-'Financial Quarterly Holdco'!AB64</f>
        <v>0</v>
      </c>
      <c r="AC26" s="291" t="e">
        <f ca="1">+AC25-'Financial Quarterly Holdco'!AC64</f>
        <v>#N/A</v>
      </c>
      <c r="AD26" s="291" t="e">
        <f ca="1">+AD25-'Financial Quarterly Holdco'!AD64</f>
        <v>#N/A</v>
      </c>
      <c r="AE26" s="291" t="e">
        <f ca="1">+AE25-'Financial Quarterly Holdco'!AE64</f>
        <v>#N/A</v>
      </c>
      <c r="AF26" s="291" t="e">
        <f ca="1">+AF25-'Financial Quarterly Holdco'!AF64</f>
        <v>#N/A</v>
      </c>
      <c r="AG26" s="291" t="e">
        <f ca="1">+AG25-'Financial Quarterly Holdco'!AG64</f>
        <v>#N/A</v>
      </c>
    </row>
    <row r="27" spans="3:33" outlineLevel="1">
      <c r="C27" s="291" t="s">
        <v>774</v>
      </c>
      <c r="D27" s="291">
        <f>-(+'Financial Quarterly Holdco'!D20+'Financial Quarterly Holdco'!D21+'Financial Quarterly Holdco'!D33+'Financial Quarterly Holdco'!D34+'Financial Quarterly Holdco'!D46+'Financial Quarterly Holdco'!D47)</f>
        <v>0</v>
      </c>
      <c r="E27" s="291">
        <f ca="1">-(+'Financial Quarterly Holdco'!E20+'Financial Quarterly Holdco'!E21+'Financial Quarterly Holdco'!E33+'Financial Quarterly Holdco'!E34+'Financial Quarterly Holdco'!E46+'Financial Quarterly Holdco'!E47)</f>
        <v>0</v>
      </c>
      <c r="F27" s="291">
        <f ca="1">-(+'Financial Quarterly Holdco'!F20+'Financial Quarterly Holdco'!F21+'Financial Quarterly Holdco'!F33+'Financial Quarterly Holdco'!F34+'Financial Quarterly Holdco'!F46+'Financial Quarterly Holdco'!F47)</f>
        <v>0</v>
      </c>
      <c r="G27" s="291">
        <f ca="1">-(+'Financial Quarterly Holdco'!G20+'Financial Quarterly Holdco'!G21+'Financial Quarterly Holdco'!G33+'Financial Quarterly Holdco'!G34+'Financial Quarterly Holdco'!G46+'Financial Quarterly Holdco'!G47)</f>
        <v>0</v>
      </c>
      <c r="H27" s="291">
        <f ca="1">-(+'Financial Quarterly Holdco'!H20+'Financial Quarterly Holdco'!H21+'Financial Quarterly Holdco'!H33+'Financial Quarterly Holdco'!H34+'Financial Quarterly Holdco'!H46+'Financial Quarterly Holdco'!H47)</f>
        <v>0</v>
      </c>
      <c r="I27" s="291">
        <f ca="1">-(+'Financial Quarterly Holdco'!I20+'Financial Quarterly Holdco'!I21+'Financial Quarterly Holdco'!I33+'Financial Quarterly Holdco'!I34+'Financial Quarterly Holdco'!I46+'Financial Quarterly Holdco'!I47)</f>
        <v>0</v>
      </c>
      <c r="J27" s="291">
        <f ca="1">-(+'Financial Quarterly Holdco'!J20+'Financial Quarterly Holdco'!J21+'Financial Quarterly Holdco'!J33+'Financial Quarterly Holdco'!J34+'Financial Quarterly Holdco'!J46+'Financial Quarterly Holdco'!J47)</f>
        <v>0</v>
      </c>
      <c r="K27" s="291">
        <f ca="1">-(+'Financial Quarterly Holdco'!K20+'Financial Quarterly Holdco'!K21+'Financial Quarterly Holdco'!K33+'Financial Quarterly Holdco'!K34+'Financial Quarterly Holdco'!K46+'Financial Quarterly Holdco'!K47)</f>
        <v>0</v>
      </c>
      <c r="L27" s="291">
        <f ca="1">-(+'Financial Quarterly Holdco'!L20+'Financial Quarterly Holdco'!L21+'Financial Quarterly Holdco'!L33+'Financial Quarterly Holdco'!L34+'Financial Quarterly Holdco'!L46+'Financial Quarterly Holdco'!L47)</f>
        <v>0</v>
      </c>
      <c r="M27" s="291">
        <f ca="1">-(+'Financial Quarterly Holdco'!M20+'Financial Quarterly Holdco'!M21+'Financial Quarterly Holdco'!M33+'Financial Quarterly Holdco'!M34+'Financial Quarterly Holdco'!M46+'Financial Quarterly Holdco'!M47)</f>
        <v>0</v>
      </c>
      <c r="N27" s="291">
        <f ca="1">-(+'Financial Quarterly Holdco'!N20+'Financial Quarterly Holdco'!N21+'Financial Quarterly Holdco'!N33+'Financial Quarterly Holdco'!N34+'Financial Quarterly Holdco'!N46+'Financial Quarterly Holdco'!N47)</f>
        <v>0</v>
      </c>
      <c r="O27" s="291">
        <f ca="1">-(+'Financial Quarterly Holdco'!O20+'Financial Quarterly Holdco'!O21+'Financial Quarterly Holdco'!O33+'Financial Quarterly Holdco'!O34+'Financial Quarterly Holdco'!O46+'Financial Quarterly Holdco'!O47)</f>
        <v>0</v>
      </c>
      <c r="P27" s="291">
        <f ca="1">-(+'Financial Quarterly Holdco'!P20+'Financial Quarterly Holdco'!P21+'Financial Quarterly Holdco'!P33+'Financial Quarterly Holdco'!P34+'Financial Quarterly Holdco'!P46+'Financial Quarterly Holdco'!P47)</f>
        <v>0</v>
      </c>
      <c r="Q27" s="291">
        <f ca="1">-(+'Financial Quarterly Holdco'!Q20+'Financial Quarterly Holdco'!Q21+'Financial Quarterly Holdco'!Q33+'Financial Quarterly Holdco'!Q34+'Financial Quarterly Holdco'!Q46+'Financial Quarterly Holdco'!Q47)</f>
        <v>0</v>
      </c>
      <c r="R27" s="291">
        <f ca="1">-(+'Financial Quarterly Holdco'!R20+'Financial Quarterly Holdco'!R21+'Financial Quarterly Holdco'!R33+'Financial Quarterly Holdco'!R34+'Financial Quarterly Holdco'!R46+'Financial Quarterly Holdco'!R47)</f>
        <v>0</v>
      </c>
      <c r="S27" s="291">
        <f ca="1">-(+'Financial Quarterly Holdco'!S20+'Financial Quarterly Holdco'!S21+'Financial Quarterly Holdco'!S33+'Financial Quarterly Holdco'!S34+'Financial Quarterly Holdco'!S46+'Financial Quarterly Holdco'!S47)</f>
        <v>0</v>
      </c>
      <c r="T27" s="291">
        <f ca="1">-(+'Financial Quarterly Holdco'!T20+'Financial Quarterly Holdco'!T21+'Financial Quarterly Holdco'!T33+'Financial Quarterly Holdco'!T34+'Financial Quarterly Holdco'!T46+'Financial Quarterly Holdco'!T47)</f>
        <v>0</v>
      </c>
      <c r="U27" s="291">
        <f ca="1">-(+'Financial Quarterly Holdco'!U20+'Financial Quarterly Holdco'!U21+'Financial Quarterly Holdco'!U33+'Financial Quarterly Holdco'!U34+'Financial Quarterly Holdco'!U46+'Financial Quarterly Holdco'!U47)</f>
        <v>0</v>
      </c>
      <c r="V27" s="291">
        <f ca="1">-(+'Financial Quarterly Holdco'!V20+'Financial Quarterly Holdco'!V21+'Financial Quarterly Holdco'!V33+'Financial Quarterly Holdco'!V34+'Financial Quarterly Holdco'!V46+'Financial Quarterly Holdco'!V47)</f>
        <v>0</v>
      </c>
      <c r="W27" s="291">
        <f ca="1">-(+'Financial Quarterly Holdco'!W20+'Financial Quarterly Holdco'!W21+'Financial Quarterly Holdco'!W33+'Financial Quarterly Holdco'!W34+'Financial Quarterly Holdco'!W46+'Financial Quarterly Holdco'!W47)</f>
        <v>0</v>
      </c>
      <c r="X27" s="291">
        <f ca="1">-(+'Financial Quarterly Holdco'!X20+'Financial Quarterly Holdco'!X21+'Financial Quarterly Holdco'!X33+'Financial Quarterly Holdco'!X34+'Financial Quarterly Holdco'!X46+'Financial Quarterly Holdco'!X47)</f>
        <v>0</v>
      </c>
      <c r="Y27" s="291">
        <f ca="1">-(+'Financial Quarterly Holdco'!Y20+'Financial Quarterly Holdco'!Y21+'Financial Quarterly Holdco'!Y33+'Financial Quarterly Holdco'!Y34+'Financial Quarterly Holdco'!Y46+'Financial Quarterly Holdco'!Y47)</f>
        <v>0</v>
      </c>
      <c r="Z27" s="291">
        <f ca="1">-(+'Financial Quarterly Holdco'!Z20+'Financial Quarterly Holdco'!Z21+'Financial Quarterly Holdco'!Z33+'Financial Quarterly Holdco'!Z34+'Financial Quarterly Holdco'!Z46+'Financial Quarterly Holdco'!Z47)</f>
        <v>0</v>
      </c>
      <c r="AA27" s="291">
        <f ca="1">-(+'Financial Quarterly Holdco'!AA20+'Financial Quarterly Holdco'!AA21+'Financial Quarterly Holdco'!AA33+'Financial Quarterly Holdco'!AA34+'Financial Quarterly Holdco'!AA46+'Financial Quarterly Holdco'!AA47)</f>
        <v>0</v>
      </c>
      <c r="AB27" s="291">
        <f ca="1">-(+'Financial Quarterly Holdco'!AB20+'Financial Quarterly Holdco'!AB21+'Financial Quarterly Holdco'!AB33+'Financial Quarterly Holdco'!AB34+'Financial Quarterly Holdco'!AB46+'Financial Quarterly Holdco'!AB47)</f>
        <v>0</v>
      </c>
      <c r="AC27" s="291">
        <f ca="1">-(+'Financial Quarterly Holdco'!AC20+'Financial Quarterly Holdco'!AC21+'Financial Quarterly Holdco'!AC33+'Financial Quarterly Holdco'!AC34+'Financial Quarterly Holdco'!AC46+'Financial Quarterly Holdco'!AC47)</f>
        <v>0</v>
      </c>
      <c r="AD27" s="291">
        <f ca="1">-(+'Financial Quarterly Holdco'!AD20+'Financial Quarterly Holdco'!AD21+'Financial Quarterly Holdco'!AD33+'Financial Quarterly Holdco'!AD34+'Financial Quarterly Holdco'!AD46+'Financial Quarterly Holdco'!AD47)</f>
        <v>0</v>
      </c>
      <c r="AE27" s="291">
        <f ca="1">-(+'Financial Quarterly Holdco'!AE20+'Financial Quarterly Holdco'!AE21+'Financial Quarterly Holdco'!AE33+'Financial Quarterly Holdco'!AE34+'Financial Quarterly Holdco'!AE46+'Financial Quarterly Holdco'!AE47)</f>
        <v>0</v>
      </c>
      <c r="AF27" s="291">
        <f ca="1">-(+'Financial Quarterly Holdco'!AF20+'Financial Quarterly Holdco'!AF21+'Financial Quarterly Holdco'!AF33+'Financial Quarterly Holdco'!AF34+'Financial Quarterly Holdco'!AF46+'Financial Quarterly Holdco'!AF47)</f>
        <v>0</v>
      </c>
      <c r="AG27" s="291">
        <f ca="1">-(+'Financial Quarterly Holdco'!AG20+'Financial Quarterly Holdco'!AG21+'Financial Quarterly Holdco'!AG33+'Financial Quarterly Holdco'!AG34+'Financial Quarterly Holdco'!AG46+'Financial Quarterly Holdco'!AG47)</f>
        <v>0</v>
      </c>
    </row>
    <row r="28" spans="3:33" outlineLevel="1">
      <c r="C28" s="291" t="s">
        <v>775</v>
      </c>
      <c r="D28" s="291">
        <f>-(+'Financial Quarterly Holdco'!D61+'Financial Quarterly Holdco'!D62)</f>
        <v>0</v>
      </c>
      <c r="E28" s="291">
        <f ca="1">-(+'Financial Quarterly Holdco'!E61+'Financial Quarterly Holdco'!E62)</f>
        <v>0</v>
      </c>
      <c r="F28" s="291">
        <f ca="1">-(+'Financial Quarterly Holdco'!F61+'Financial Quarterly Holdco'!F62)</f>
        <v>0</v>
      </c>
      <c r="G28" s="291">
        <f ca="1">-(+'Financial Quarterly Holdco'!G61+'Financial Quarterly Holdco'!G62)</f>
        <v>0</v>
      </c>
      <c r="H28" s="291">
        <f ca="1">-(+'Financial Quarterly Holdco'!H61+'Financial Quarterly Holdco'!H62)</f>
        <v>0</v>
      </c>
      <c r="I28" s="291">
        <f ca="1">-(+'Financial Quarterly Holdco'!I61+'Financial Quarterly Holdco'!I62)</f>
        <v>0</v>
      </c>
      <c r="J28" s="291">
        <f ca="1">-(+'Financial Quarterly Holdco'!J61+'Financial Quarterly Holdco'!J62)</f>
        <v>0</v>
      </c>
      <c r="K28" s="291">
        <f ca="1">-(+'Financial Quarterly Holdco'!K61+'Financial Quarterly Holdco'!K62)</f>
        <v>0</v>
      </c>
      <c r="L28" s="291">
        <f ca="1">-(+'Financial Quarterly Holdco'!L61+'Financial Quarterly Holdco'!L62)</f>
        <v>0</v>
      </c>
      <c r="M28" s="291">
        <f ca="1">-(+'Financial Quarterly Holdco'!M61+'Financial Quarterly Holdco'!M62)</f>
        <v>0</v>
      </c>
      <c r="N28" s="291">
        <f ca="1">-(+'Financial Quarterly Holdco'!N61+'Financial Quarterly Holdco'!N62)</f>
        <v>0</v>
      </c>
      <c r="O28" s="291">
        <f ca="1">-(+'Financial Quarterly Holdco'!O61+'Financial Quarterly Holdco'!O62)</f>
        <v>0</v>
      </c>
      <c r="P28" s="291">
        <f ca="1">-(+'Financial Quarterly Holdco'!P61+'Financial Quarterly Holdco'!P62)</f>
        <v>0</v>
      </c>
      <c r="Q28" s="291">
        <f ca="1">-(+'Financial Quarterly Holdco'!Q61+'Financial Quarterly Holdco'!Q62)</f>
        <v>0</v>
      </c>
      <c r="R28" s="291">
        <f ca="1">-(+'Financial Quarterly Holdco'!R61+'Financial Quarterly Holdco'!R62)</f>
        <v>0</v>
      </c>
      <c r="S28" s="291">
        <f ca="1">-(+'Financial Quarterly Holdco'!S61+'Financial Quarterly Holdco'!S62)</f>
        <v>0</v>
      </c>
      <c r="T28" s="291">
        <f ca="1">-(+'Financial Quarterly Holdco'!T61+'Financial Quarterly Holdco'!T62)</f>
        <v>0</v>
      </c>
      <c r="U28" s="291">
        <f ca="1">-(+'Financial Quarterly Holdco'!U61+'Financial Quarterly Holdco'!U62)</f>
        <v>0</v>
      </c>
      <c r="V28" s="291">
        <f ca="1">-(+'Financial Quarterly Holdco'!V61+'Financial Quarterly Holdco'!V62)</f>
        <v>0</v>
      </c>
      <c r="W28" s="291">
        <f ca="1">-(+'Financial Quarterly Holdco'!W61+'Financial Quarterly Holdco'!W62)</f>
        <v>0</v>
      </c>
      <c r="X28" s="291">
        <f ca="1">-(+'Financial Quarterly Holdco'!X61+'Financial Quarterly Holdco'!X62)</f>
        <v>0</v>
      </c>
      <c r="Y28" s="291">
        <f ca="1">-(+'Financial Quarterly Holdco'!Y61+'Financial Quarterly Holdco'!Y62)</f>
        <v>0</v>
      </c>
      <c r="Z28" s="291">
        <f ca="1">-(+'Financial Quarterly Holdco'!Z61+'Financial Quarterly Holdco'!Z62)</f>
        <v>0</v>
      </c>
      <c r="AA28" s="291">
        <f ca="1">-(+'Financial Quarterly Holdco'!AA61+'Financial Quarterly Holdco'!AA62)</f>
        <v>0</v>
      </c>
      <c r="AB28" s="291">
        <f ca="1">-(+'Financial Quarterly Holdco'!AB61+'Financial Quarterly Holdco'!AB62)</f>
        <v>0</v>
      </c>
      <c r="AC28" s="291">
        <f ca="1">-(+'Financial Quarterly Holdco'!AC61+'Financial Quarterly Holdco'!AC62)</f>
        <v>0</v>
      </c>
      <c r="AD28" s="291">
        <f ca="1">-(+'Financial Quarterly Holdco'!AD61+'Financial Quarterly Holdco'!AD62)</f>
        <v>0</v>
      </c>
      <c r="AE28" s="291">
        <f ca="1">-(+'Financial Quarterly Holdco'!AE61+'Financial Quarterly Holdco'!AE62)</f>
        <v>0</v>
      </c>
      <c r="AF28" s="291">
        <f ca="1">-(+'Financial Quarterly Holdco'!AF61+'Financial Quarterly Holdco'!AF62)</f>
        <v>0</v>
      </c>
      <c r="AG28" s="291">
        <f ca="1">-(+'Financial Quarterly Holdco'!AG61+'Financial Quarterly Holdco'!AG62)</f>
        <v>0</v>
      </c>
    </row>
    <row r="29" spans="3:33" ht="14.4" outlineLevel="1">
      <c r="C29" s="34"/>
    </row>
    <row r="30" spans="3:33" outlineLevel="1">
      <c r="C30" s="209" t="str">
        <f>CONCATENATE("Last ",D11," quarters (annualized)")</f>
        <v>Last 4 quarters (annualized)</v>
      </c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09"/>
      <c r="Y30" s="209"/>
      <c r="Z30" s="209"/>
      <c r="AA30" s="209"/>
      <c r="AB30" s="209"/>
      <c r="AC30" s="209"/>
      <c r="AD30" s="209"/>
      <c r="AE30" s="209"/>
      <c r="AF30" s="209"/>
      <c r="AG30" s="209"/>
    </row>
    <row r="31" spans="3:33" outlineLevel="1">
      <c r="C31" s="291" t="s">
        <v>789</v>
      </c>
      <c r="D31" s="291">
        <f ca="1">IFERROR(OFFSET(D18,0,-$D$11+1,1,1)*1,"na")</f>
        <v>0</v>
      </c>
      <c r="E31" s="291">
        <f t="shared" ref="E31:AB31" ca="1" si="16">IFERROR(OFFSET(E18,0,-$D$11+1,1,1)*1,"na")</f>
        <v>0</v>
      </c>
      <c r="F31" s="291" t="str">
        <f t="shared" ca="1" si="16"/>
        <v>na</v>
      </c>
      <c r="G31" s="291">
        <f t="shared" ca="1" si="16"/>
        <v>0</v>
      </c>
      <c r="H31" s="291">
        <f t="shared" ca="1" si="16"/>
        <v>0</v>
      </c>
      <c r="I31" s="291">
        <f t="shared" ca="1" si="16"/>
        <v>0</v>
      </c>
      <c r="J31" s="291">
        <f t="shared" ca="1" si="16"/>
        <v>0</v>
      </c>
      <c r="K31" s="291">
        <f t="shared" ca="1" si="16"/>
        <v>0</v>
      </c>
      <c r="L31" s="291">
        <f t="shared" ca="1" si="16"/>
        <v>0</v>
      </c>
      <c r="M31" s="291">
        <f t="shared" ca="1" si="16"/>
        <v>0</v>
      </c>
      <c r="N31" s="291">
        <f t="shared" ca="1" si="16"/>
        <v>0</v>
      </c>
      <c r="O31" s="291">
        <f t="shared" ca="1" si="16"/>
        <v>0</v>
      </c>
      <c r="P31" s="291">
        <f t="shared" ca="1" si="16"/>
        <v>0</v>
      </c>
      <c r="Q31" s="291">
        <f t="shared" ca="1" si="16"/>
        <v>0</v>
      </c>
      <c r="R31" s="291">
        <f t="shared" ca="1" si="16"/>
        <v>0</v>
      </c>
      <c r="S31" s="291">
        <f t="shared" ca="1" si="16"/>
        <v>0</v>
      </c>
      <c r="T31" s="291">
        <f t="shared" ca="1" si="16"/>
        <v>0</v>
      </c>
      <c r="U31" s="291">
        <f t="shared" ca="1" si="16"/>
        <v>0</v>
      </c>
      <c r="V31" s="291">
        <f t="shared" ca="1" si="16"/>
        <v>0</v>
      </c>
      <c r="W31" s="291">
        <f t="shared" ca="1" si="16"/>
        <v>0</v>
      </c>
      <c r="X31" s="291">
        <f t="shared" ca="1" si="16"/>
        <v>0</v>
      </c>
      <c r="Y31" s="291">
        <f t="shared" ca="1" si="16"/>
        <v>0</v>
      </c>
      <c r="Z31" s="291">
        <f t="shared" ca="1" si="16"/>
        <v>0</v>
      </c>
      <c r="AA31" s="291">
        <f t="shared" ca="1" si="16"/>
        <v>0</v>
      </c>
      <c r="AB31" s="291">
        <f t="shared" ca="1" si="16"/>
        <v>0</v>
      </c>
      <c r="AC31" s="291">
        <f t="shared" ref="AC31:AF31" ca="1" si="17">IFERROR(OFFSET(AC18,0,-$D$11+1,1,1)*1,"na")</f>
        <v>0</v>
      </c>
      <c r="AD31" s="291">
        <f t="shared" ca="1" si="17"/>
        <v>0</v>
      </c>
      <c r="AE31" s="291">
        <f t="shared" ca="1" si="17"/>
        <v>0</v>
      </c>
      <c r="AF31" s="291" t="str">
        <f t="shared" ca="1" si="17"/>
        <v>na</v>
      </c>
      <c r="AG31" s="291" t="str">
        <f t="shared" ref="AG31" ca="1" si="18">IFERROR(OFFSET(AG18,0,-$D$11+1,1,1)*1,"na")</f>
        <v>na</v>
      </c>
    </row>
    <row r="32" spans="3:33" outlineLevel="1">
      <c r="C32" s="291" t="s">
        <v>770</v>
      </c>
      <c r="D32" s="291">
        <f ca="1">IFERROR(SUM(OFFSET(D21,0,0,1,-$D$11))/$D$11*4,"na")</f>
        <v>0</v>
      </c>
      <c r="E32" s="291">
        <f t="shared" ref="E32:AB39" ca="1" si="19">IFERROR(SUM(OFFSET(E21,0,0,1,-$D$11))/$D$11*4,"na")</f>
        <v>0</v>
      </c>
      <c r="F32" s="291">
        <f t="shared" ca="1" si="19"/>
        <v>0</v>
      </c>
      <c r="G32" s="291">
        <f t="shared" ca="1" si="19"/>
        <v>0</v>
      </c>
      <c r="H32" s="291">
        <f t="shared" ca="1" si="19"/>
        <v>0</v>
      </c>
      <c r="I32" s="291">
        <f t="shared" ca="1" si="19"/>
        <v>0</v>
      </c>
      <c r="J32" s="291">
        <f t="shared" ca="1" si="19"/>
        <v>0</v>
      </c>
      <c r="K32" s="291">
        <f t="shared" ca="1" si="19"/>
        <v>0</v>
      </c>
      <c r="L32" s="291">
        <f t="shared" ca="1" si="19"/>
        <v>0</v>
      </c>
      <c r="M32" s="291">
        <f t="shared" ca="1" si="19"/>
        <v>0</v>
      </c>
      <c r="N32" s="291">
        <f t="shared" ca="1" si="19"/>
        <v>0</v>
      </c>
      <c r="O32" s="291">
        <f t="shared" ca="1" si="19"/>
        <v>0</v>
      </c>
      <c r="P32" s="291">
        <f t="shared" ca="1" si="19"/>
        <v>0</v>
      </c>
      <c r="Q32" s="291">
        <f t="shared" ca="1" si="19"/>
        <v>0</v>
      </c>
      <c r="R32" s="291">
        <f t="shared" ca="1" si="19"/>
        <v>0</v>
      </c>
      <c r="S32" s="291">
        <f t="shared" ca="1" si="19"/>
        <v>0</v>
      </c>
      <c r="T32" s="291">
        <f t="shared" ca="1" si="19"/>
        <v>0</v>
      </c>
      <c r="U32" s="291">
        <f t="shared" ca="1" si="19"/>
        <v>0</v>
      </c>
      <c r="V32" s="291">
        <f t="shared" ca="1" si="19"/>
        <v>0</v>
      </c>
      <c r="W32" s="291">
        <f t="shared" ca="1" si="19"/>
        <v>0</v>
      </c>
      <c r="X32" s="291">
        <f t="shared" ca="1" si="19"/>
        <v>0</v>
      </c>
      <c r="Y32" s="291">
        <f t="shared" ca="1" si="19"/>
        <v>0</v>
      </c>
      <c r="Z32" s="291">
        <f t="shared" ca="1" si="19"/>
        <v>0</v>
      </c>
      <c r="AA32" s="291">
        <f t="shared" ca="1" si="19"/>
        <v>0</v>
      </c>
      <c r="AB32" s="291" t="str">
        <f t="shared" ca="1" si="19"/>
        <v>na</v>
      </c>
      <c r="AC32" s="291" t="str">
        <f t="shared" ref="AC32:AF32" ca="1" si="20">IFERROR(SUM(OFFSET(AC21,0,0,1,-$D$11))/$D$11*4,"na")</f>
        <v>na</v>
      </c>
      <c r="AD32" s="291" t="str">
        <f t="shared" ca="1" si="20"/>
        <v>na</v>
      </c>
      <c r="AE32" s="291" t="str">
        <f t="shared" ca="1" si="20"/>
        <v>na</v>
      </c>
      <c r="AF32" s="291" t="str">
        <f t="shared" ca="1" si="20"/>
        <v>na</v>
      </c>
      <c r="AG32" s="291" t="str">
        <f t="shared" ref="AG32" ca="1" si="21">IFERROR(SUM(OFFSET(AG21,0,0,1,-$D$11))/$D$11*4,"na")</f>
        <v>na</v>
      </c>
    </row>
    <row r="33" spans="2:33" outlineLevel="1">
      <c r="C33" s="291" t="s">
        <v>783</v>
      </c>
      <c r="D33" s="291">
        <f t="shared" ref="D33:S39" ca="1" si="22">IFERROR(SUM(OFFSET(D22,0,0,1,-$D$11))/$D$11*4,"na")</f>
        <v>0</v>
      </c>
      <c r="E33" s="291">
        <f t="shared" ca="1" si="22"/>
        <v>0</v>
      </c>
      <c r="F33" s="291">
        <f t="shared" ca="1" si="22"/>
        <v>0</v>
      </c>
      <c r="G33" s="291">
        <f t="shared" ca="1" si="22"/>
        <v>0</v>
      </c>
      <c r="H33" s="291">
        <f t="shared" ca="1" si="22"/>
        <v>0</v>
      </c>
      <c r="I33" s="291">
        <f t="shared" ca="1" si="22"/>
        <v>0</v>
      </c>
      <c r="J33" s="291">
        <f t="shared" ca="1" si="22"/>
        <v>0</v>
      </c>
      <c r="K33" s="291">
        <f t="shared" ca="1" si="22"/>
        <v>0</v>
      </c>
      <c r="L33" s="291">
        <f t="shared" ca="1" si="22"/>
        <v>0</v>
      </c>
      <c r="M33" s="291">
        <f t="shared" ca="1" si="22"/>
        <v>0</v>
      </c>
      <c r="N33" s="291">
        <f t="shared" ca="1" si="22"/>
        <v>0</v>
      </c>
      <c r="O33" s="291">
        <f t="shared" ca="1" si="22"/>
        <v>0</v>
      </c>
      <c r="P33" s="291">
        <f t="shared" ca="1" si="22"/>
        <v>0</v>
      </c>
      <c r="Q33" s="291">
        <f t="shared" ca="1" si="22"/>
        <v>0</v>
      </c>
      <c r="R33" s="291">
        <f t="shared" ca="1" si="22"/>
        <v>0</v>
      </c>
      <c r="S33" s="291">
        <f t="shared" ca="1" si="22"/>
        <v>0</v>
      </c>
      <c r="T33" s="291">
        <f t="shared" ca="1" si="19"/>
        <v>0</v>
      </c>
      <c r="U33" s="291">
        <f t="shared" ca="1" si="19"/>
        <v>0</v>
      </c>
      <c r="V33" s="291">
        <f t="shared" ca="1" si="19"/>
        <v>0</v>
      </c>
      <c r="W33" s="291">
        <f t="shared" ca="1" si="19"/>
        <v>0</v>
      </c>
      <c r="X33" s="291">
        <f t="shared" ca="1" si="19"/>
        <v>0</v>
      </c>
      <c r="Y33" s="291">
        <f t="shared" ca="1" si="19"/>
        <v>0</v>
      </c>
      <c r="Z33" s="291">
        <f t="shared" ca="1" si="19"/>
        <v>0</v>
      </c>
      <c r="AA33" s="291">
        <f t="shared" ca="1" si="19"/>
        <v>0</v>
      </c>
      <c r="AB33" s="291" t="str">
        <f t="shared" ca="1" si="19"/>
        <v>na</v>
      </c>
      <c r="AC33" s="291" t="str">
        <f t="shared" ref="AC33:AF33" ca="1" si="23">IFERROR(SUM(OFFSET(AC22,0,0,1,-$D$11))/$D$11*4,"na")</f>
        <v>na</v>
      </c>
      <c r="AD33" s="291" t="str">
        <f t="shared" ca="1" si="23"/>
        <v>na</v>
      </c>
      <c r="AE33" s="291" t="str">
        <f t="shared" ca="1" si="23"/>
        <v>na</v>
      </c>
      <c r="AF33" s="291" t="str">
        <f t="shared" ca="1" si="23"/>
        <v>na</v>
      </c>
      <c r="AG33" s="291" t="str">
        <f t="shared" ref="AG33" ca="1" si="24">IFERROR(SUM(OFFSET(AG22,0,0,1,-$D$11))/$D$11*4,"na")</f>
        <v>na</v>
      </c>
    </row>
    <row r="34" spans="2:33" outlineLevel="1">
      <c r="C34" s="291" t="s">
        <v>684</v>
      </c>
      <c r="D34" s="291">
        <f t="shared" ca="1" si="22"/>
        <v>0</v>
      </c>
      <c r="E34" s="291">
        <f t="shared" ca="1" si="19"/>
        <v>0</v>
      </c>
      <c r="F34" s="291">
        <f t="shared" ca="1" si="19"/>
        <v>0</v>
      </c>
      <c r="G34" s="291">
        <f t="shared" ca="1" si="19"/>
        <v>0</v>
      </c>
      <c r="H34" s="291">
        <f t="shared" ca="1" si="19"/>
        <v>0</v>
      </c>
      <c r="I34" s="291">
        <f t="shared" ca="1" si="19"/>
        <v>0</v>
      </c>
      <c r="J34" s="291">
        <f t="shared" ca="1" si="19"/>
        <v>0</v>
      </c>
      <c r="K34" s="291">
        <f t="shared" ca="1" si="19"/>
        <v>0</v>
      </c>
      <c r="L34" s="291">
        <f t="shared" ca="1" si="19"/>
        <v>0</v>
      </c>
      <c r="M34" s="291">
        <f t="shared" ca="1" si="19"/>
        <v>0</v>
      </c>
      <c r="N34" s="291">
        <f t="shared" ca="1" si="19"/>
        <v>0</v>
      </c>
      <c r="O34" s="291">
        <f t="shared" ca="1" si="19"/>
        <v>0</v>
      </c>
      <c r="P34" s="291">
        <f t="shared" ca="1" si="19"/>
        <v>0</v>
      </c>
      <c r="Q34" s="291">
        <f t="shared" ca="1" si="19"/>
        <v>0</v>
      </c>
      <c r="R34" s="291">
        <f t="shared" ca="1" si="19"/>
        <v>0</v>
      </c>
      <c r="S34" s="291">
        <f t="shared" ca="1" si="19"/>
        <v>0</v>
      </c>
      <c r="T34" s="291">
        <f t="shared" ca="1" si="19"/>
        <v>0</v>
      </c>
      <c r="U34" s="291">
        <f t="shared" ca="1" si="19"/>
        <v>0</v>
      </c>
      <c r="V34" s="291">
        <f t="shared" ca="1" si="19"/>
        <v>0</v>
      </c>
      <c r="W34" s="291">
        <f t="shared" ca="1" si="19"/>
        <v>0</v>
      </c>
      <c r="X34" s="291">
        <f t="shared" ca="1" si="19"/>
        <v>0</v>
      </c>
      <c r="Y34" s="291">
        <f t="shared" ca="1" si="19"/>
        <v>0</v>
      </c>
      <c r="Z34" s="291">
        <f t="shared" ca="1" si="19"/>
        <v>0</v>
      </c>
      <c r="AA34" s="291">
        <f t="shared" ca="1" si="19"/>
        <v>0</v>
      </c>
      <c r="AB34" s="291" t="str">
        <f t="shared" ca="1" si="19"/>
        <v>na</v>
      </c>
      <c r="AC34" s="291" t="str">
        <f t="shared" ref="AC34:AF34" ca="1" si="25">IFERROR(SUM(OFFSET(AC23,0,0,1,-$D$11))/$D$11*4,"na")</f>
        <v>na</v>
      </c>
      <c r="AD34" s="291" t="str">
        <f t="shared" ca="1" si="25"/>
        <v>na</v>
      </c>
      <c r="AE34" s="291" t="str">
        <f t="shared" ca="1" si="25"/>
        <v>na</v>
      </c>
      <c r="AF34" s="291" t="str">
        <f t="shared" ca="1" si="25"/>
        <v>na</v>
      </c>
      <c r="AG34" s="291" t="str">
        <f t="shared" ref="AG34" ca="1" si="26">IFERROR(SUM(OFFSET(AG23,0,0,1,-$D$11))/$D$11*4,"na")</f>
        <v>na</v>
      </c>
    </row>
    <row r="35" spans="2:33" outlineLevel="1">
      <c r="C35" s="291" t="s">
        <v>776</v>
      </c>
      <c r="D35" s="291">
        <f t="shared" ca="1" si="22"/>
        <v>0</v>
      </c>
      <c r="E35" s="291">
        <f t="shared" ca="1" si="19"/>
        <v>0</v>
      </c>
      <c r="F35" s="291">
        <f t="shared" ca="1" si="19"/>
        <v>0</v>
      </c>
      <c r="G35" s="291">
        <f t="shared" ca="1" si="19"/>
        <v>0</v>
      </c>
      <c r="H35" s="291">
        <f t="shared" ca="1" si="19"/>
        <v>0</v>
      </c>
      <c r="I35" s="291">
        <f t="shared" ca="1" si="19"/>
        <v>0</v>
      </c>
      <c r="J35" s="291">
        <f t="shared" ca="1" si="19"/>
        <v>0</v>
      </c>
      <c r="K35" s="291">
        <f t="shared" ca="1" si="19"/>
        <v>0</v>
      </c>
      <c r="L35" s="291">
        <f t="shared" ca="1" si="19"/>
        <v>0</v>
      </c>
      <c r="M35" s="291">
        <f t="shared" ca="1" si="19"/>
        <v>0</v>
      </c>
      <c r="N35" s="291">
        <f t="shared" ca="1" si="19"/>
        <v>0</v>
      </c>
      <c r="O35" s="291">
        <f t="shared" ca="1" si="19"/>
        <v>0</v>
      </c>
      <c r="P35" s="291">
        <f t="shared" ca="1" si="19"/>
        <v>0</v>
      </c>
      <c r="Q35" s="291">
        <f t="shared" ca="1" si="19"/>
        <v>0</v>
      </c>
      <c r="R35" s="291">
        <f t="shared" ca="1" si="19"/>
        <v>0</v>
      </c>
      <c r="S35" s="291">
        <f t="shared" ca="1" si="19"/>
        <v>0</v>
      </c>
      <c r="T35" s="291">
        <f t="shared" ca="1" si="19"/>
        <v>0</v>
      </c>
      <c r="U35" s="291">
        <f t="shared" ca="1" si="19"/>
        <v>0</v>
      </c>
      <c r="V35" s="291">
        <f t="shared" ca="1" si="19"/>
        <v>0</v>
      </c>
      <c r="W35" s="291">
        <f t="shared" ca="1" si="19"/>
        <v>0</v>
      </c>
      <c r="X35" s="291">
        <f t="shared" ca="1" si="19"/>
        <v>0</v>
      </c>
      <c r="Y35" s="291">
        <f t="shared" ca="1" si="19"/>
        <v>0</v>
      </c>
      <c r="Z35" s="291">
        <f t="shared" ca="1" si="19"/>
        <v>0</v>
      </c>
      <c r="AA35" s="291">
        <f t="shared" ca="1" si="19"/>
        <v>0</v>
      </c>
      <c r="AB35" s="291">
        <f t="shared" ca="1" si="19"/>
        <v>0</v>
      </c>
      <c r="AC35" s="291">
        <f t="shared" ref="AC35:AF35" ca="1" si="27">IFERROR(SUM(OFFSET(AC24,0,0,1,-$D$11))/$D$11*4,"na")</f>
        <v>0</v>
      </c>
      <c r="AD35" s="291">
        <f t="shared" ca="1" si="27"/>
        <v>0</v>
      </c>
      <c r="AE35" s="291">
        <f t="shared" ca="1" si="27"/>
        <v>0</v>
      </c>
      <c r="AF35" s="291">
        <f t="shared" ca="1" si="27"/>
        <v>0</v>
      </c>
      <c r="AG35" s="291">
        <f t="shared" ref="AG35" ca="1" si="28">IFERROR(SUM(OFFSET(AG24,0,0,1,-$D$11))/$D$11*4,"na")</f>
        <v>0</v>
      </c>
    </row>
    <row r="36" spans="2:33" outlineLevel="1">
      <c r="C36" s="291" t="s">
        <v>772</v>
      </c>
      <c r="D36" s="291">
        <f t="shared" ca="1" si="22"/>
        <v>0</v>
      </c>
      <c r="E36" s="291">
        <f t="shared" ca="1" si="19"/>
        <v>0</v>
      </c>
      <c r="F36" s="291">
        <f t="shared" ca="1" si="19"/>
        <v>0</v>
      </c>
      <c r="G36" s="291">
        <f t="shared" ca="1" si="19"/>
        <v>0</v>
      </c>
      <c r="H36" s="291">
        <f t="shared" ca="1" si="19"/>
        <v>0</v>
      </c>
      <c r="I36" s="291">
        <f t="shared" ca="1" si="19"/>
        <v>0</v>
      </c>
      <c r="J36" s="291">
        <f t="shared" ca="1" si="19"/>
        <v>0</v>
      </c>
      <c r="K36" s="291">
        <f t="shared" ca="1" si="19"/>
        <v>0</v>
      </c>
      <c r="L36" s="291">
        <f t="shared" ca="1" si="19"/>
        <v>0</v>
      </c>
      <c r="M36" s="291">
        <f t="shared" ca="1" si="19"/>
        <v>0</v>
      </c>
      <c r="N36" s="291">
        <f t="shared" ca="1" si="19"/>
        <v>0</v>
      </c>
      <c r="O36" s="291">
        <f t="shared" ca="1" si="19"/>
        <v>0</v>
      </c>
      <c r="P36" s="291">
        <f t="shared" ca="1" si="19"/>
        <v>0</v>
      </c>
      <c r="Q36" s="291">
        <f t="shared" ca="1" si="19"/>
        <v>0</v>
      </c>
      <c r="R36" s="291">
        <f t="shared" ca="1" si="19"/>
        <v>0</v>
      </c>
      <c r="S36" s="291">
        <f t="shared" ca="1" si="19"/>
        <v>0</v>
      </c>
      <c r="T36" s="291">
        <f t="shared" ca="1" si="19"/>
        <v>0</v>
      </c>
      <c r="U36" s="291">
        <f t="shared" ca="1" si="19"/>
        <v>0</v>
      </c>
      <c r="V36" s="291">
        <f t="shared" ca="1" si="19"/>
        <v>0</v>
      </c>
      <c r="W36" s="291">
        <f t="shared" ca="1" si="19"/>
        <v>0</v>
      </c>
      <c r="X36" s="291">
        <f t="shared" ca="1" si="19"/>
        <v>0</v>
      </c>
      <c r="Y36" s="291">
        <f t="shared" ca="1" si="19"/>
        <v>0</v>
      </c>
      <c r="Z36" s="291">
        <f t="shared" ca="1" si="19"/>
        <v>0</v>
      </c>
      <c r="AA36" s="291">
        <f t="shared" ca="1" si="19"/>
        <v>0</v>
      </c>
      <c r="AB36" s="291">
        <f t="shared" ca="1" si="19"/>
        <v>0</v>
      </c>
      <c r="AC36" s="291" t="str">
        <f t="shared" ref="AC36:AF36" ca="1" si="29">IFERROR(SUM(OFFSET(AC25,0,0,1,-$D$11))/$D$11*4,"na")</f>
        <v>na</v>
      </c>
      <c r="AD36" s="291" t="str">
        <f t="shared" ca="1" si="29"/>
        <v>na</v>
      </c>
      <c r="AE36" s="291" t="str">
        <f t="shared" ca="1" si="29"/>
        <v>na</v>
      </c>
      <c r="AF36" s="291" t="str">
        <f t="shared" ca="1" si="29"/>
        <v>na</v>
      </c>
      <c r="AG36" s="291" t="str">
        <f t="shared" ref="AG36" ca="1" si="30">IFERROR(SUM(OFFSET(AG25,0,0,1,-$D$11))/$D$11*4,"na")</f>
        <v>na</v>
      </c>
    </row>
    <row r="37" spans="2:33" outlineLevel="1">
      <c r="C37" s="291" t="s">
        <v>773</v>
      </c>
      <c r="D37" s="291">
        <f t="shared" ca="1" si="22"/>
        <v>0</v>
      </c>
      <c r="E37" s="291">
        <f t="shared" ca="1" si="19"/>
        <v>0</v>
      </c>
      <c r="F37" s="291">
        <f t="shared" ca="1" si="19"/>
        <v>0</v>
      </c>
      <c r="G37" s="291">
        <f t="shared" ca="1" si="19"/>
        <v>0</v>
      </c>
      <c r="H37" s="291">
        <f t="shared" ca="1" si="19"/>
        <v>0</v>
      </c>
      <c r="I37" s="291">
        <f t="shared" ca="1" si="19"/>
        <v>0</v>
      </c>
      <c r="J37" s="291">
        <f t="shared" ca="1" si="19"/>
        <v>0</v>
      </c>
      <c r="K37" s="291">
        <f t="shared" ca="1" si="19"/>
        <v>0</v>
      </c>
      <c r="L37" s="291">
        <f t="shared" ca="1" si="19"/>
        <v>0</v>
      </c>
      <c r="M37" s="291">
        <f t="shared" ca="1" si="19"/>
        <v>0</v>
      </c>
      <c r="N37" s="291">
        <f t="shared" ca="1" si="19"/>
        <v>0</v>
      </c>
      <c r="O37" s="291">
        <f t="shared" ca="1" si="19"/>
        <v>0</v>
      </c>
      <c r="P37" s="291">
        <f t="shared" ca="1" si="19"/>
        <v>0</v>
      </c>
      <c r="Q37" s="291">
        <f t="shared" ca="1" si="19"/>
        <v>0</v>
      </c>
      <c r="R37" s="291">
        <f t="shared" ca="1" si="19"/>
        <v>0</v>
      </c>
      <c r="S37" s="291">
        <f t="shared" ca="1" si="19"/>
        <v>0</v>
      </c>
      <c r="T37" s="291">
        <f t="shared" ca="1" si="19"/>
        <v>0</v>
      </c>
      <c r="U37" s="291">
        <f t="shared" ca="1" si="19"/>
        <v>0</v>
      </c>
      <c r="V37" s="291">
        <f t="shared" ca="1" si="19"/>
        <v>0</v>
      </c>
      <c r="W37" s="291">
        <f t="shared" ca="1" si="19"/>
        <v>0</v>
      </c>
      <c r="X37" s="291">
        <f t="shared" ca="1" si="19"/>
        <v>0</v>
      </c>
      <c r="Y37" s="291">
        <f t="shared" ca="1" si="19"/>
        <v>0</v>
      </c>
      <c r="Z37" s="291">
        <f t="shared" ca="1" si="19"/>
        <v>0</v>
      </c>
      <c r="AA37" s="291">
        <f t="shared" ca="1" si="19"/>
        <v>0</v>
      </c>
      <c r="AB37" s="291">
        <f t="shared" ca="1" si="19"/>
        <v>0</v>
      </c>
      <c r="AC37" s="291" t="str">
        <f t="shared" ref="AC37:AF37" ca="1" si="31">IFERROR(SUM(OFFSET(AC26,0,0,1,-$D$11))/$D$11*4,"na")</f>
        <v>na</v>
      </c>
      <c r="AD37" s="291" t="str">
        <f t="shared" ca="1" si="31"/>
        <v>na</v>
      </c>
      <c r="AE37" s="291" t="str">
        <f t="shared" ca="1" si="31"/>
        <v>na</v>
      </c>
      <c r="AF37" s="291" t="str">
        <f t="shared" ca="1" si="31"/>
        <v>na</v>
      </c>
      <c r="AG37" s="291" t="str">
        <f t="shared" ref="AG37" ca="1" si="32">IFERROR(SUM(OFFSET(AG26,0,0,1,-$D$11))/$D$11*4,"na")</f>
        <v>na</v>
      </c>
    </row>
    <row r="38" spans="2:33" outlineLevel="1">
      <c r="C38" s="291" t="s">
        <v>774</v>
      </c>
      <c r="D38" s="291">
        <f t="shared" ca="1" si="22"/>
        <v>0</v>
      </c>
      <c r="E38" s="291">
        <f t="shared" ca="1" si="19"/>
        <v>0</v>
      </c>
      <c r="F38" s="291">
        <f t="shared" ca="1" si="19"/>
        <v>0</v>
      </c>
      <c r="G38" s="291">
        <f t="shared" ca="1" si="19"/>
        <v>0</v>
      </c>
      <c r="H38" s="291">
        <f t="shared" ca="1" si="19"/>
        <v>0</v>
      </c>
      <c r="I38" s="291">
        <f t="shared" ca="1" si="19"/>
        <v>0</v>
      </c>
      <c r="J38" s="291">
        <f t="shared" ca="1" si="19"/>
        <v>0</v>
      </c>
      <c r="K38" s="291">
        <f t="shared" ca="1" si="19"/>
        <v>0</v>
      </c>
      <c r="L38" s="291">
        <f t="shared" ca="1" si="19"/>
        <v>0</v>
      </c>
      <c r="M38" s="291">
        <f t="shared" ca="1" si="19"/>
        <v>0</v>
      </c>
      <c r="N38" s="291">
        <f t="shared" ca="1" si="19"/>
        <v>0</v>
      </c>
      <c r="O38" s="291">
        <f t="shared" ca="1" si="19"/>
        <v>0</v>
      </c>
      <c r="P38" s="291">
        <f t="shared" ca="1" si="19"/>
        <v>0</v>
      </c>
      <c r="Q38" s="291">
        <f t="shared" ca="1" si="19"/>
        <v>0</v>
      </c>
      <c r="R38" s="291">
        <f t="shared" ca="1" si="19"/>
        <v>0</v>
      </c>
      <c r="S38" s="291">
        <f t="shared" ca="1" si="19"/>
        <v>0</v>
      </c>
      <c r="T38" s="291">
        <f t="shared" ca="1" si="19"/>
        <v>0</v>
      </c>
      <c r="U38" s="291">
        <f t="shared" ca="1" si="19"/>
        <v>0</v>
      </c>
      <c r="V38" s="291">
        <f t="shared" ca="1" si="19"/>
        <v>0</v>
      </c>
      <c r="W38" s="291">
        <f t="shared" ca="1" si="19"/>
        <v>0</v>
      </c>
      <c r="X38" s="291">
        <f t="shared" ca="1" si="19"/>
        <v>0</v>
      </c>
      <c r="Y38" s="291">
        <f t="shared" ca="1" si="19"/>
        <v>0</v>
      </c>
      <c r="Z38" s="291">
        <f t="shared" ca="1" si="19"/>
        <v>0</v>
      </c>
      <c r="AA38" s="291">
        <f t="shared" ca="1" si="19"/>
        <v>0</v>
      </c>
      <c r="AB38" s="291">
        <f t="shared" ca="1" si="19"/>
        <v>0</v>
      </c>
      <c r="AC38" s="291">
        <f t="shared" ref="AC38:AF38" ca="1" si="33">IFERROR(SUM(OFFSET(AC27,0,0,1,-$D$11))/$D$11*4,"na")</f>
        <v>0</v>
      </c>
      <c r="AD38" s="291">
        <f t="shared" ca="1" si="33"/>
        <v>0</v>
      </c>
      <c r="AE38" s="291">
        <f t="shared" ca="1" si="33"/>
        <v>0</v>
      </c>
      <c r="AF38" s="291">
        <f t="shared" ca="1" si="33"/>
        <v>0</v>
      </c>
      <c r="AG38" s="291">
        <f t="shared" ref="AG38" ca="1" si="34">IFERROR(SUM(OFFSET(AG27,0,0,1,-$D$11))/$D$11*4,"na")</f>
        <v>0</v>
      </c>
    </row>
    <row r="39" spans="2:33" outlineLevel="1">
      <c r="C39" s="291" t="s">
        <v>775</v>
      </c>
      <c r="D39" s="291">
        <f t="shared" ca="1" si="22"/>
        <v>0</v>
      </c>
      <c r="E39" s="291">
        <f t="shared" ca="1" si="19"/>
        <v>0</v>
      </c>
      <c r="F39" s="291">
        <f t="shared" ca="1" si="19"/>
        <v>0</v>
      </c>
      <c r="G39" s="291">
        <f t="shared" ca="1" si="19"/>
        <v>0</v>
      </c>
      <c r="H39" s="291">
        <f t="shared" ca="1" si="19"/>
        <v>0</v>
      </c>
      <c r="I39" s="291">
        <f t="shared" ca="1" si="19"/>
        <v>0</v>
      </c>
      <c r="J39" s="291">
        <f t="shared" ca="1" si="19"/>
        <v>0</v>
      </c>
      <c r="K39" s="291">
        <f t="shared" ca="1" si="19"/>
        <v>0</v>
      </c>
      <c r="L39" s="291">
        <f t="shared" ca="1" si="19"/>
        <v>0</v>
      </c>
      <c r="M39" s="291">
        <f t="shared" ca="1" si="19"/>
        <v>0</v>
      </c>
      <c r="N39" s="291">
        <f t="shared" ca="1" si="19"/>
        <v>0</v>
      </c>
      <c r="O39" s="291">
        <f t="shared" ca="1" si="19"/>
        <v>0</v>
      </c>
      <c r="P39" s="291">
        <f t="shared" ca="1" si="19"/>
        <v>0</v>
      </c>
      <c r="Q39" s="291">
        <f t="shared" ca="1" si="19"/>
        <v>0</v>
      </c>
      <c r="R39" s="291">
        <f t="shared" ca="1" si="19"/>
        <v>0</v>
      </c>
      <c r="S39" s="291">
        <f t="shared" ca="1" si="19"/>
        <v>0</v>
      </c>
      <c r="T39" s="291">
        <f t="shared" ca="1" si="19"/>
        <v>0</v>
      </c>
      <c r="U39" s="291">
        <f t="shared" ca="1" si="19"/>
        <v>0</v>
      </c>
      <c r="V39" s="291">
        <f t="shared" ca="1" si="19"/>
        <v>0</v>
      </c>
      <c r="W39" s="291">
        <f t="shared" ca="1" si="19"/>
        <v>0</v>
      </c>
      <c r="X39" s="291">
        <f t="shared" ca="1" si="19"/>
        <v>0</v>
      </c>
      <c r="Y39" s="291">
        <f t="shared" ca="1" si="19"/>
        <v>0</v>
      </c>
      <c r="Z39" s="291">
        <f t="shared" ca="1" si="19"/>
        <v>0</v>
      </c>
      <c r="AA39" s="291">
        <f t="shared" ca="1" si="19"/>
        <v>0</v>
      </c>
      <c r="AB39" s="291">
        <f t="shared" ca="1" si="19"/>
        <v>0</v>
      </c>
      <c r="AC39" s="291">
        <f t="shared" ref="AC39:AF39" ca="1" si="35">IFERROR(SUM(OFFSET(AC28,0,0,1,-$D$11))/$D$11*4,"na")</f>
        <v>0</v>
      </c>
      <c r="AD39" s="291">
        <f t="shared" ca="1" si="35"/>
        <v>0</v>
      </c>
      <c r="AE39" s="291">
        <f t="shared" ca="1" si="35"/>
        <v>0</v>
      </c>
      <c r="AF39" s="291">
        <f t="shared" ca="1" si="35"/>
        <v>0</v>
      </c>
      <c r="AG39" s="291">
        <f t="shared" ref="AG39" ca="1" si="36">IFERROR(SUM(OFFSET(AG28,0,0,1,-$D$11))/$D$11*4,"na")</f>
        <v>0</v>
      </c>
    </row>
    <row r="40" spans="2:33" ht="14.4" outlineLevel="1">
      <c r="C40" s="1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</row>
    <row r="41" spans="2:33" ht="16.600000000000001">
      <c r="B41" s="196" t="str">
        <f>CONCATENATE("Project ",project_name," covenant testing")</f>
        <v>Project  covenant testing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</row>
    <row r="42" spans="2:33">
      <c r="B42" s="198" t="s">
        <v>1036</v>
      </c>
      <c r="C42" s="198"/>
      <c r="D42" s="198">
        <f>D$4</f>
        <v>43555</v>
      </c>
      <c r="E42" s="198">
        <f t="shared" ref="E42:AG42" si="37">E$4</f>
        <v>43646</v>
      </c>
      <c r="F42" s="198">
        <f t="shared" si="37"/>
        <v>43738</v>
      </c>
      <c r="G42" s="198">
        <f t="shared" si="37"/>
        <v>43830</v>
      </c>
      <c r="H42" s="198">
        <f t="shared" si="37"/>
        <v>43921</v>
      </c>
      <c r="I42" s="198">
        <f t="shared" si="37"/>
        <v>44012</v>
      </c>
      <c r="J42" s="198">
        <f t="shared" si="37"/>
        <v>44104</v>
      </c>
      <c r="K42" s="198">
        <f t="shared" si="37"/>
        <v>44196</v>
      </c>
      <c r="L42" s="198">
        <f t="shared" si="37"/>
        <v>44286</v>
      </c>
      <c r="M42" s="198">
        <f t="shared" si="37"/>
        <v>44377</v>
      </c>
      <c r="N42" s="198">
        <f t="shared" si="37"/>
        <v>44469</v>
      </c>
      <c r="O42" s="198">
        <f t="shared" si="37"/>
        <v>44561</v>
      </c>
      <c r="P42" s="198">
        <f t="shared" si="37"/>
        <v>44651</v>
      </c>
      <c r="Q42" s="198">
        <f t="shared" si="37"/>
        <v>44742</v>
      </c>
      <c r="R42" s="198">
        <f t="shared" si="37"/>
        <v>44834</v>
      </c>
      <c r="S42" s="198">
        <f t="shared" si="37"/>
        <v>44926</v>
      </c>
      <c r="T42" s="198">
        <f t="shared" si="37"/>
        <v>45016</v>
      </c>
      <c r="U42" s="198">
        <f t="shared" si="37"/>
        <v>45107</v>
      </c>
      <c r="V42" s="198">
        <f t="shared" si="37"/>
        <v>45199</v>
      </c>
      <c r="W42" s="198">
        <f t="shared" si="37"/>
        <v>45291</v>
      </c>
      <c r="X42" s="198">
        <f t="shared" si="37"/>
        <v>45382</v>
      </c>
      <c r="Y42" s="198">
        <f t="shared" si="37"/>
        <v>45473</v>
      </c>
      <c r="Z42" s="198">
        <f t="shared" si="37"/>
        <v>45565</v>
      </c>
      <c r="AA42" s="198">
        <f t="shared" si="37"/>
        <v>45657</v>
      </c>
      <c r="AB42" s="198">
        <f t="shared" si="37"/>
        <v>45747</v>
      </c>
      <c r="AC42" s="198">
        <f t="shared" si="37"/>
        <v>45838</v>
      </c>
      <c r="AD42" s="198">
        <f t="shared" si="37"/>
        <v>45930</v>
      </c>
      <c r="AE42" s="198">
        <f t="shared" si="37"/>
        <v>46022</v>
      </c>
      <c r="AF42" s="198">
        <f t="shared" si="37"/>
        <v>46112</v>
      </c>
      <c r="AG42" s="198">
        <f t="shared" si="37"/>
        <v>46203</v>
      </c>
    </row>
    <row r="43" spans="2:33" s="107" customFormat="1" ht="15.15">
      <c r="B43" s="180" t="s">
        <v>1035</v>
      </c>
      <c r="C43" s="180" t="s">
        <v>767</v>
      </c>
      <c r="D43" s="261" t="str">
        <f>IF($D$12&gt;D$4,"na",(D15-(D19&lt;0)*D19)/INDEX(D$32:D$34,MATCH($B44,$C$32:$C$34,0)))</f>
        <v>na</v>
      </c>
      <c r="E43" s="261" t="str">
        <f t="shared" ref="E43:AB43" si="38">IF($D$12&gt;E$4,"na",(E15-(E19&lt;0)*E19)/INDEX(E$32:E$34,MATCH($B44,$C$32:$C$34,0)))</f>
        <v>na</v>
      </c>
      <c r="F43" s="261" t="str">
        <f t="shared" si="38"/>
        <v>na</v>
      </c>
      <c r="G43" s="261" t="e">
        <f t="shared" ca="1" si="38"/>
        <v>#DIV/0!</v>
      </c>
      <c r="H43" s="261" t="e">
        <f t="shared" ca="1" si="38"/>
        <v>#DIV/0!</v>
      </c>
      <c r="I43" s="261" t="e">
        <f t="shared" ca="1" si="38"/>
        <v>#DIV/0!</v>
      </c>
      <c r="J43" s="261" t="e">
        <f t="shared" ca="1" si="38"/>
        <v>#DIV/0!</v>
      </c>
      <c r="K43" s="261" t="e">
        <f t="shared" ca="1" si="38"/>
        <v>#DIV/0!</v>
      </c>
      <c r="L43" s="261" t="e">
        <f t="shared" ca="1" si="38"/>
        <v>#DIV/0!</v>
      </c>
      <c r="M43" s="261" t="e">
        <f t="shared" ca="1" si="38"/>
        <v>#DIV/0!</v>
      </c>
      <c r="N43" s="261" t="e">
        <f t="shared" ca="1" si="38"/>
        <v>#DIV/0!</v>
      </c>
      <c r="O43" s="261" t="e">
        <f t="shared" ca="1" si="38"/>
        <v>#DIV/0!</v>
      </c>
      <c r="P43" s="261" t="e">
        <f t="shared" ca="1" si="38"/>
        <v>#DIV/0!</v>
      </c>
      <c r="Q43" s="261" t="e">
        <f t="shared" ca="1" si="38"/>
        <v>#DIV/0!</v>
      </c>
      <c r="R43" s="261" t="e">
        <f t="shared" ca="1" si="38"/>
        <v>#DIV/0!</v>
      </c>
      <c r="S43" s="261" t="e">
        <f t="shared" ca="1" si="38"/>
        <v>#DIV/0!</v>
      </c>
      <c r="T43" s="261" t="e">
        <f t="shared" ca="1" si="38"/>
        <v>#DIV/0!</v>
      </c>
      <c r="U43" s="261" t="e">
        <f t="shared" ca="1" si="38"/>
        <v>#DIV/0!</v>
      </c>
      <c r="V43" s="261" t="e">
        <f t="shared" ca="1" si="38"/>
        <v>#DIV/0!</v>
      </c>
      <c r="W43" s="261" t="e">
        <f t="shared" ca="1" si="38"/>
        <v>#DIV/0!</v>
      </c>
      <c r="X43" s="261" t="e">
        <f t="shared" ca="1" si="38"/>
        <v>#DIV/0!</v>
      </c>
      <c r="Y43" s="261" t="e">
        <f t="shared" ca="1" si="38"/>
        <v>#DIV/0!</v>
      </c>
      <c r="Z43" s="261" t="e">
        <f t="shared" ca="1" si="38"/>
        <v>#DIV/0!</v>
      </c>
      <c r="AA43" s="261" t="e">
        <f t="shared" ca="1" si="38"/>
        <v>#DIV/0!</v>
      </c>
      <c r="AB43" s="261" t="e">
        <f t="shared" ca="1" si="38"/>
        <v>#N/A</v>
      </c>
      <c r="AC43" s="261" t="e">
        <f t="shared" ref="AC43:AF43" ca="1" si="39">IF($D$12&gt;AC$4,"na",(AC15-(AC19&lt;0)*AC19)/INDEX(AC$32:AC$34,MATCH($B44,$C$32:$C$34,0)))</f>
        <v>#N/A</v>
      </c>
      <c r="AD43" s="261" t="e">
        <f t="shared" ca="1" si="39"/>
        <v>#N/A</v>
      </c>
      <c r="AE43" s="261" t="e">
        <f t="shared" ca="1" si="39"/>
        <v>#N/A</v>
      </c>
      <c r="AF43" s="261" t="e">
        <f t="shared" ca="1" si="39"/>
        <v>#N/A</v>
      </c>
      <c r="AG43" s="261" t="e">
        <f t="shared" ref="AG43" ca="1" si="40">IF($D$12&gt;AG$4,"na",(AG15-(AG19&lt;0)*AG19)/INDEX(AG$32:AG$34,MATCH($B44,$C$32:$C$34,0)))</f>
        <v>#N/A</v>
      </c>
    </row>
    <row r="44" spans="2:33" s="106" customFormat="1" ht="15.15">
      <c r="B44" s="197" t="s">
        <v>771</v>
      </c>
      <c r="C44" s="28" t="s">
        <v>765</v>
      </c>
      <c r="D44" s="306">
        <v>5</v>
      </c>
      <c r="E44" s="306">
        <v>5</v>
      </c>
      <c r="F44" s="306">
        <v>5</v>
      </c>
      <c r="G44" s="306">
        <v>5.5</v>
      </c>
      <c r="H44" s="306">
        <v>5.5</v>
      </c>
      <c r="I44" s="306">
        <v>5.5</v>
      </c>
      <c r="J44" s="306">
        <v>5.25</v>
      </c>
      <c r="K44" s="306">
        <v>4.75</v>
      </c>
      <c r="L44" s="306">
        <v>4.75</v>
      </c>
      <c r="M44" s="306">
        <v>4.5</v>
      </c>
      <c r="N44" s="306">
        <v>4.5</v>
      </c>
      <c r="O44" s="306">
        <v>4.25</v>
      </c>
      <c r="P44" s="306">
        <v>4.25</v>
      </c>
      <c r="Q44" s="306">
        <v>4.25</v>
      </c>
      <c r="R44" s="306">
        <v>4</v>
      </c>
      <c r="S44" s="306">
        <v>3.75</v>
      </c>
      <c r="T44" s="306">
        <v>3</v>
      </c>
      <c r="U44" s="306">
        <v>3</v>
      </c>
      <c r="V44" s="306">
        <v>3</v>
      </c>
      <c r="W44" s="306">
        <v>3</v>
      </c>
      <c r="X44" s="306">
        <v>3</v>
      </c>
      <c r="Y44" s="306">
        <v>3</v>
      </c>
      <c r="Z44" s="306">
        <v>3</v>
      </c>
      <c r="AA44" s="306">
        <v>3</v>
      </c>
      <c r="AB44" s="306">
        <v>3</v>
      </c>
      <c r="AC44" s="306">
        <v>3</v>
      </c>
      <c r="AD44" s="306">
        <v>3</v>
      </c>
      <c r="AE44" s="306">
        <v>3</v>
      </c>
      <c r="AF44" s="306">
        <v>3</v>
      </c>
      <c r="AG44" s="306">
        <v>3</v>
      </c>
    </row>
    <row r="45" spans="2:33" s="108" customFormat="1" ht="15.15">
      <c r="B45" s="28"/>
      <c r="C45" s="183" t="s">
        <v>766</v>
      </c>
      <c r="D45" s="185" t="str">
        <f>IFERROR(D44/D43-1,"na")</f>
        <v>na</v>
      </c>
      <c r="E45" s="185" t="str">
        <f t="shared" ref="E45:AB45" si="41">IFERROR(E44/E43-1,"na")</f>
        <v>na</v>
      </c>
      <c r="F45" s="185" t="str">
        <f t="shared" si="41"/>
        <v>na</v>
      </c>
      <c r="G45" s="183" t="str">
        <f t="shared" ca="1" si="41"/>
        <v>na</v>
      </c>
      <c r="H45" s="183" t="str">
        <f t="shared" ca="1" si="41"/>
        <v>na</v>
      </c>
      <c r="I45" s="183" t="str">
        <f t="shared" ca="1" si="41"/>
        <v>na</v>
      </c>
      <c r="J45" s="183" t="str">
        <f t="shared" ca="1" si="41"/>
        <v>na</v>
      </c>
      <c r="K45" s="183" t="str">
        <f t="shared" ca="1" si="41"/>
        <v>na</v>
      </c>
      <c r="L45" s="183" t="str">
        <f t="shared" ca="1" si="41"/>
        <v>na</v>
      </c>
      <c r="M45" s="183" t="str">
        <f t="shared" ca="1" si="41"/>
        <v>na</v>
      </c>
      <c r="N45" s="183" t="str">
        <f t="shared" ca="1" si="41"/>
        <v>na</v>
      </c>
      <c r="O45" s="183" t="str">
        <f t="shared" ca="1" si="41"/>
        <v>na</v>
      </c>
      <c r="P45" s="183" t="str">
        <f t="shared" ca="1" si="41"/>
        <v>na</v>
      </c>
      <c r="Q45" s="183" t="str">
        <f t="shared" ca="1" si="41"/>
        <v>na</v>
      </c>
      <c r="R45" s="183" t="str">
        <f t="shared" ca="1" si="41"/>
        <v>na</v>
      </c>
      <c r="S45" s="183" t="str">
        <f t="shared" ca="1" si="41"/>
        <v>na</v>
      </c>
      <c r="T45" s="183" t="str">
        <f t="shared" ca="1" si="41"/>
        <v>na</v>
      </c>
      <c r="U45" s="183" t="str">
        <f t="shared" ca="1" si="41"/>
        <v>na</v>
      </c>
      <c r="V45" s="183" t="str">
        <f t="shared" ca="1" si="41"/>
        <v>na</v>
      </c>
      <c r="W45" s="183" t="str">
        <f t="shared" ca="1" si="41"/>
        <v>na</v>
      </c>
      <c r="X45" s="183" t="str">
        <f t="shared" ca="1" si="41"/>
        <v>na</v>
      </c>
      <c r="Y45" s="183" t="str">
        <f t="shared" ca="1" si="41"/>
        <v>na</v>
      </c>
      <c r="Z45" s="183" t="str">
        <f t="shared" ca="1" si="41"/>
        <v>na</v>
      </c>
      <c r="AA45" s="183" t="str">
        <f t="shared" ca="1" si="41"/>
        <v>na</v>
      </c>
      <c r="AB45" s="183" t="str">
        <f t="shared" ca="1" si="41"/>
        <v>na</v>
      </c>
      <c r="AC45" s="183" t="str">
        <f t="shared" ref="AC45:AF45" ca="1" si="42">IFERROR(AC44/AC43-1,"na")</f>
        <v>na</v>
      </c>
      <c r="AD45" s="183" t="str">
        <f t="shared" ca="1" si="42"/>
        <v>na</v>
      </c>
      <c r="AE45" s="183" t="str">
        <f t="shared" ca="1" si="42"/>
        <v>na</v>
      </c>
      <c r="AF45" s="183" t="str">
        <f t="shared" ca="1" si="42"/>
        <v>na</v>
      </c>
      <c r="AG45" s="183" t="str">
        <f t="shared" ref="AG45" ca="1" si="43">IFERROR(AG44/AG43-1,"na")</f>
        <v>na</v>
      </c>
    </row>
    <row r="46" spans="2:33" ht="14.4" hidden="1" outlineLevel="1">
      <c r="B46" s="1"/>
      <c r="C46" s="34"/>
    </row>
    <row r="47" spans="2:33" s="107" customFormat="1" ht="15.15" hidden="1" outlineLevel="1">
      <c r="B47" s="180"/>
      <c r="C47" s="180" t="s">
        <v>764</v>
      </c>
      <c r="D47" s="261" t="str">
        <f t="shared" ref="D47:AB47" si="44">IF($D$12&gt;D$4,"na",(D15-D19)/INDEX(D$32:D$34,MATCH($B48,$C$32:$C$34,0)))</f>
        <v>na</v>
      </c>
      <c r="E47" s="261" t="str">
        <f t="shared" si="44"/>
        <v>na</v>
      </c>
      <c r="F47" s="261" t="str">
        <f t="shared" si="44"/>
        <v>na</v>
      </c>
      <c r="G47" s="261" t="e">
        <f t="shared" ca="1" si="44"/>
        <v>#DIV/0!</v>
      </c>
      <c r="H47" s="261" t="e">
        <f t="shared" ca="1" si="44"/>
        <v>#DIV/0!</v>
      </c>
      <c r="I47" s="261" t="e">
        <f t="shared" ca="1" si="44"/>
        <v>#DIV/0!</v>
      </c>
      <c r="J47" s="261" t="e">
        <f t="shared" ca="1" si="44"/>
        <v>#DIV/0!</v>
      </c>
      <c r="K47" s="261" t="e">
        <f t="shared" ca="1" si="44"/>
        <v>#DIV/0!</v>
      </c>
      <c r="L47" s="261" t="e">
        <f t="shared" ca="1" si="44"/>
        <v>#DIV/0!</v>
      </c>
      <c r="M47" s="261" t="e">
        <f t="shared" ca="1" si="44"/>
        <v>#DIV/0!</v>
      </c>
      <c r="N47" s="261" t="e">
        <f t="shared" ca="1" si="44"/>
        <v>#DIV/0!</v>
      </c>
      <c r="O47" s="261" t="e">
        <f t="shared" ca="1" si="44"/>
        <v>#DIV/0!</v>
      </c>
      <c r="P47" s="261" t="e">
        <f t="shared" ca="1" si="44"/>
        <v>#DIV/0!</v>
      </c>
      <c r="Q47" s="261" t="e">
        <f t="shared" ca="1" si="44"/>
        <v>#DIV/0!</v>
      </c>
      <c r="R47" s="261" t="e">
        <f t="shared" ca="1" si="44"/>
        <v>#DIV/0!</v>
      </c>
      <c r="S47" s="261" t="e">
        <f t="shared" ca="1" si="44"/>
        <v>#DIV/0!</v>
      </c>
      <c r="T47" s="261" t="e">
        <f t="shared" ca="1" si="44"/>
        <v>#DIV/0!</v>
      </c>
      <c r="U47" s="261" t="e">
        <f t="shared" ca="1" si="44"/>
        <v>#DIV/0!</v>
      </c>
      <c r="V47" s="261" t="e">
        <f t="shared" ca="1" si="44"/>
        <v>#DIV/0!</v>
      </c>
      <c r="W47" s="261" t="e">
        <f t="shared" ca="1" si="44"/>
        <v>#DIV/0!</v>
      </c>
      <c r="X47" s="261" t="e">
        <f t="shared" ca="1" si="44"/>
        <v>#DIV/0!</v>
      </c>
      <c r="Y47" s="261" t="e">
        <f t="shared" ca="1" si="44"/>
        <v>#DIV/0!</v>
      </c>
      <c r="Z47" s="261" t="e">
        <f t="shared" ca="1" si="44"/>
        <v>#DIV/0!</v>
      </c>
      <c r="AA47" s="261" t="e">
        <f t="shared" ca="1" si="44"/>
        <v>#DIV/0!</v>
      </c>
      <c r="AB47" s="261" t="e">
        <f t="shared" ca="1" si="44"/>
        <v>#N/A</v>
      </c>
      <c r="AC47" s="261" t="e">
        <f t="shared" ref="AC47:AF47" ca="1" si="45">IF($D$12&gt;AC$4,"na",(AC15-AC19)/INDEX(AC$32:AC$34,MATCH($B48,$C$32:$C$34,0)))</f>
        <v>#N/A</v>
      </c>
      <c r="AD47" s="261" t="e">
        <f t="shared" ca="1" si="45"/>
        <v>#N/A</v>
      </c>
      <c r="AE47" s="261" t="e">
        <f t="shared" ca="1" si="45"/>
        <v>#N/A</v>
      </c>
      <c r="AF47" s="261" t="e">
        <f t="shared" ca="1" si="45"/>
        <v>#N/A</v>
      </c>
      <c r="AG47" s="261" t="e">
        <f t="shared" ref="AG47" ca="1" si="46">IF($D$12&gt;AG$4,"na",(AG15-AG19)/INDEX(AG$32:AG$34,MATCH($B48,$C$32:$C$34,0)))</f>
        <v>#N/A</v>
      </c>
    </row>
    <row r="48" spans="2:33" s="106" customFormat="1" ht="15.15" hidden="1" outlineLevel="1">
      <c r="B48" s="197" t="s">
        <v>771</v>
      </c>
      <c r="C48" s="94" t="s">
        <v>765</v>
      </c>
      <c r="D48" s="306">
        <v>1</v>
      </c>
      <c r="E48" s="306">
        <v>1</v>
      </c>
      <c r="F48" s="306">
        <v>1</v>
      </c>
      <c r="G48" s="306">
        <v>1</v>
      </c>
      <c r="H48" s="306">
        <v>1</v>
      </c>
      <c r="I48" s="306">
        <v>1</v>
      </c>
      <c r="J48" s="306">
        <v>1</v>
      </c>
      <c r="K48" s="306">
        <v>1</v>
      </c>
      <c r="L48" s="306">
        <v>1</v>
      </c>
      <c r="M48" s="306">
        <v>1</v>
      </c>
      <c r="N48" s="306">
        <v>1</v>
      </c>
      <c r="O48" s="306">
        <v>1</v>
      </c>
      <c r="P48" s="306">
        <v>1</v>
      </c>
      <c r="Q48" s="306">
        <v>1</v>
      </c>
      <c r="R48" s="306">
        <v>1</v>
      </c>
      <c r="S48" s="306">
        <v>1</v>
      </c>
      <c r="T48" s="306">
        <v>1</v>
      </c>
      <c r="U48" s="306">
        <v>1</v>
      </c>
      <c r="V48" s="306">
        <v>1</v>
      </c>
      <c r="W48" s="306">
        <v>1</v>
      </c>
      <c r="X48" s="306">
        <v>1</v>
      </c>
      <c r="Y48" s="306">
        <v>1</v>
      </c>
      <c r="Z48" s="306">
        <v>1</v>
      </c>
      <c r="AA48" s="306">
        <v>1</v>
      </c>
      <c r="AB48" s="306">
        <v>1</v>
      </c>
      <c r="AC48" s="306">
        <v>1</v>
      </c>
      <c r="AD48" s="306">
        <v>1</v>
      </c>
      <c r="AE48" s="306">
        <v>1</v>
      </c>
      <c r="AF48" s="306">
        <v>1</v>
      </c>
      <c r="AG48" s="306">
        <v>1</v>
      </c>
    </row>
    <row r="49" spans="2:33" s="108" customFormat="1" ht="15.15" hidden="1" outlineLevel="1">
      <c r="B49" s="28"/>
      <c r="C49" s="183" t="s">
        <v>766</v>
      </c>
      <c r="D49" s="185" t="str">
        <f t="shared" ref="D49:AB49" si="47">IFERROR(D48/D47-1,"na")</f>
        <v>na</v>
      </c>
      <c r="E49" s="185" t="str">
        <f t="shared" si="47"/>
        <v>na</v>
      </c>
      <c r="F49" s="185" t="str">
        <f t="shared" si="47"/>
        <v>na</v>
      </c>
      <c r="G49" s="183" t="str">
        <f t="shared" ca="1" si="47"/>
        <v>na</v>
      </c>
      <c r="H49" s="183" t="str">
        <f t="shared" ca="1" si="47"/>
        <v>na</v>
      </c>
      <c r="I49" s="183" t="str">
        <f t="shared" ca="1" si="47"/>
        <v>na</v>
      </c>
      <c r="J49" s="183" t="str">
        <f t="shared" ca="1" si="47"/>
        <v>na</v>
      </c>
      <c r="K49" s="183" t="str">
        <f t="shared" ca="1" si="47"/>
        <v>na</v>
      </c>
      <c r="L49" s="183" t="str">
        <f t="shared" ca="1" si="47"/>
        <v>na</v>
      </c>
      <c r="M49" s="183" t="str">
        <f t="shared" ca="1" si="47"/>
        <v>na</v>
      </c>
      <c r="N49" s="183" t="str">
        <f t="shared" ca="1" si="47"/>
        <v>na</v>
      </c>
      <c r="O49" s="183" t="str">
        <f t="shared" ca="1" si="47"/>
        <v>na</v>
      </c>
      <c r="P49" s="183" t="str">
        <f t="shared" ca="1" si="47"/>
        <v>na</v>
      </c>
      <c r="Q49" s="183" t="str">
        <f t="shared" ca="1" si="47"/>
        <v>na</v>
      </c>
      <c r="R49" s="183" t="str">
        <f t="shared" ca="1" si="47"/>
        <v>na</v>
      </c>
      <c r="S49" s="183" t="str">
        <f t="shared" ca="1" si="47"/>
        <v>na</v>
      </c>
      <c r="T49" s="183" t="str">
        <f t="shared" ca="1" si="47"/>
        <v>na</v>
      </c>
      <c r="U49" s="183" t="str">
        <f t="shared" ca="1" si="47"/>
        <v>na</v>
      </c>
      <c r="V49" s="183" t="str">
        <f t="shared" ca="1" si="47"/>
        <v>na</v>
      </c>
      <c r="W49" s="183" t="str">
        <f t="shared" ca="1" si="47"/>
        <v>na</v>
      </c>
      <c r="X49" s="183" t="str">
        <f t="shared" ca="1" si="47"/>
        <v>na</v>
      </c>
      <c r="Y49" s="183" t="str">
        <f t="shared" ca="1" si="47"/>
        <v>na</v>
      </c>
      <c r="Z49" s="183" t="str">
        <f t="shared" ca="1" si="47"/>
        <v>na</v>
      </c>
      <c r="AA49" s="183" t="str">
        <f t="shared" ca="1" si="47"/>
        <v>na</v>
      </c>
      <c r="AB49" s="183" t="str">
        <f t="shared" ca="1" si="47"/>
        <v>na</v>
      </c>
      <c r="AC49" s="183" t="str">
        <f t="shared" ref="AC49:AF49" ca="1" si="48">IFERROR(AC48/AC47-1,"na")</f>
        <v>na</v>
      </c>
      <c r="AD49" s="183" t="str">
        <f t="shared" ca="1" si="48"/>
        <v>na</v>
      </c>
      <c r="AE49" s="183" t="str">
        <f t="shared" ca="1" si="48"/>
        <v>na</v>
      </c>
      <c r="AF49" s="183" t="str">
        <f t="shared" ca="1" si="48"/>
        <v>na</v>
      </c>
      <c r="AG49" s="183" t="str">
        <f t="shared" ref="AG49" ca="1" si="49">IFERROR(AG48/AG47-1,"na")</f>
        <v>na</v>
      </c>
    </row>
    <row r="50" spans="2:33" ht="14.4" collapsed="1">
      <c r="B50" s="1"/>
      <c r="C50" s="1"/>
    </row>
    <row r="51" spans="2:33">
      <c r="B51" s="198" t="s">
        <v>1037</v>
      </c>
      <c r="C51" s="198"/>
      <c r="D51" s="198">
        <f>D$4</f>
        <v>43555</v>
      </c>
      <c r="E51" s="198">
        <f t="shared" ref="E51:AG51" si="50">E$4</f>
        <v>43646</v>
      </c>
      <c r="F51" s="198">
        <f t="shared" si="50"/>
        <v>43738</v>
      </c>
      <c r="G51" s="198">
        <f t="shared" si="50"/>
        <v>43830</v>
      </c>
      <c r="H51" s="198">
        <f t="shared" si="50"/>
        <v>43921</v>
      </c>
      <c r="I51" s="198">
        <f t="shared" si="50"/>
        <v>44012</v>
      </c>
      <c r="J51" s="198">
        <f t="shared" si="50"/>
        <v>44104</v>
      </c>
      <c r="K51" s="198">
        <f t="shared" si="50"/>
        <v>44196</v>
      </c>
      <c r="L51" s="198">
        <f t="shared" si="50"/>
        <v>44286</v>
      </c>
      <c r="M51" s="198">
        <f t="shared" si="50"/>
        <v>44377</v>
      </c>
      <c r="N51" s="198">
        <f t="shared" si="50"/>
        <v>44469</v>
      </c>
      <c r="O51" s="198">
        <f t="shared" si="50"/>
        <v>44561</v>
      </c>
      <c r="P51" s="198">
        <f t="shared" si="50"/>
        <v>44651</v>
      </c>
      <c r="Q51" s="198">
        <f t="shared" si="50"/>
        <v>44742</v>
      </c>
      <c r="R51" s="198">
        <f t="shared" si="50"/>
        <v>44834</v>
      </c>
      <c r="S51" s="198">
        <f t="shared" si="50"/>
        <v>44926</v>
      </c>
      <c r="T51" s="198">
        <f t="shared" si="50"/>
        <v>45016</v>
      </c>
      <c r="U51" s="198">
        <f t="shared" si="50"/>
        <v>45107</v>
      </c>
      <c r="V51" s="198">
        <f t="shared" si="50"/>
        <v>45199</v>
      </c>
      <c r="W51" s="198">
        <f t="shared" si="50"/>
        <v>45291</v>
      </c>
      <c r="X51" s="198">
        <f t="shared" si="50"/>
        <v>45382</v>
      </c>
      <c r="Y51" s="198">
        <f t="shared" si="50"/>
        <v>45473</v>
      </c>
      <c r="Z51" s="198">
        <f t="shared" si="50"/>
        <v>45565</v>
      </c>
      <c r="AA51" s="198">
        <f t="shared" si="50"/>
        <v>45657</v>
      </c>
      <c r="AB51" s="198">
        <f t="shared" si="50"/>
        <v>45747</v>
      </c>
      <c r="AC51" s="198">
        <f t="shared" si="50"/>
        <v>45838</v>
      </c>
      <c r="AD51" s="198">
        <f t="shared" si="50"/>
        <v>45930</v>
      </c>
      <c r="AE51" s="198">
        <f t="shared" si="50"/>
        <v>46022</v>
      </c>
      <c r="AF51" s="198">
        <f t="shared" si="50"/>
        <v>46112</v>
      </c>
      <c r="AG51" s="198">
        <f t="shared" si="50"/>
        <v>46203</v>
      </c>
    </row>
    <row r="52" spans="2:33" s="107" customFormat="1" ht="15.15">
      <c r="B52" s="180" t="s">
        <v>1035</v>
      </c>
      <c r="C52" s="180" t="s">
        <v>768</v>
      </c>
      <c r="D52" s="261" t="str">
        <f>IF($D$12&gt;D$4,"na",(D17-(D19&lt;0)*D19)/INDEX(D$32:D$34,MATCH($B53,$C$32:$C$34,0)))</f>
        <v>na</v>
      </c>
      <c r="E52" s="261" t="str">
        <f t="shared" ref="E52:AB52" si="51">IF($D$12&gt;E$4,"na",(E17-(E19&lt;0)*E19)/INDEX(E$32:E$34,MATCH($B53,$C$32:$C$34,0)))</f>
        <v>na</v>
      </c>
      <c r="F52" s="261" t="str">
        <f t="shared" si="51"/>
        <v>na</v>
      </c>
      <c r="G52" s="261" t="e">
        <f t="shared" ca="1" si="51"/>
        <v>#DIV/0!</v>
      </c>
      <c r="H52" s="261" t="e">
        <f t="shared" ca="1" si="51"/>
        <v>#DIV/0!</v>
      </c>
      <c r="I52" s="261" t="e">
        <f t="shared" ca="1" si="51"/>
        <v>#DIV/0!</v>
      </c>
      <c r="J52" s="261" t="e">
        <f t="shared" ca="1" si="51"/>
        <v>#DIV/0!</v>
      </c>
      <c r="K52" s="261" t="e">
        <f t="shared" ca="1" si="51"/>
        <v>#DIV/0!</v>
      </c>
      <c r="L52" s="261" t="e">
        <f t="shared" ca="1" si="51"/>
        <v>#DIV/0!</v>
      </c>
      <c r="M52" s="261" t="e">
        <f t="shared" ca="1" si="51"/>
        <v>#DIV/0!</v>
      </c>
      <c r="N52" s="261" t="e">
        <f t="shared" ca="1" si="51"/>
        <v>#DIV/0!</v>
      </c>
      <c r="O52" s="261" t="e">
        <f t="shared" ca="1" si="51"/>
        <v>#DIV/0!</v>
      </c>
      <c r="P52" s="261" t="e">
        <f t="shared" ca="1" si="51"/>
        <v>#DIV/0!</v>
      </c>
      <c r="Q52" s="261" t="e">
        <f t="shared" ca="1" si="51"/>
        <v>#DIV/0!</v>
      </c>
      <c r="R52" s="261" t="e">
        <f t="shared" ca="1" si="51"/>
        <v>#DIV/0!</v>
      </c>
      <c r="S52" s="261" t="e">
        <f t="shared" ca="1" si="51"/>
        <v>#DIV/0!</v>
      </c>
      <c r="T52" s="261" t="e">
        <f t="shared" ca="1" si="51"/>
        <v>#DIV/0!</v>
      </c>
      <c r="U52" s="261" t="e">
        <f t="shared" ca="1" si="51"/>
        <v>#DIV/0!</v>
      </c>
      <c r="V52" s="261" t="e">
        <f t="shared" ca="1" si="51"/>
        <v>#DIV/0!</v>
      </c>
      <c r="W52" s="261" t="e">
        <f t="shared" ca="1" si="51"/>
        <v>#DIV/0!</v>
      </c>
      <c r="X52" s="261" t="e">
        <f t="shared" ca="1" si="51"/>
        <v>#DIV/0!</v>
      </c>
      <c r="Y52" s="261" t="e">
        <f t="shared" ca="1" si="51"/>
        <v>#DIV/0!</v>
      </c>
      <c r="Z52" s="261" t="e">
        <f t="shared" ca="1" si="51"/>
        <v>#DIV/0!</v>
      </c>
      <c r="AA52" s="261" t="e">
        <f t="shared" ca="1" si="51"/>
        <v>#DIV/0!</v>
      </c>
      <c r="AB52" s="261" t="e">
        <f t="shared" ca="1" si="51"/>
        <v>#N/A</v>
      </c>
      <c r="AC52" s="261" t="e">
        <f t="shared" ref="AC52:AF52" ca="1" si="52">IF($D$12&gt;AC$4,"na",(AC17-(AC19&lt;0)*AC19)/INDEX(AC$32:AC$34,MATCH($B53,$C$32:$C$34,0)))</f>
        <v>#N/A</v>
      </c>
      <c r="AD52" s="261" t="e">
        <f t="shared" ca="1" si="52"/>
        <v>#N/A</v>
      </c>
      <c r="AE52" s="261" t="e">
        <f t="shared" ca="1" si="52"/>
        <v>#N/A</v>
      </c>
      <c r="AF52" s="261" t="e">
        <f t="shared" ca="1" si="52"/>
        <v>#N/A</v>
      </c>
      <c r="AG52" s="261" t="e">
        <f t="shared" ref="AG52" ca="1" si="53">IF($D$12&gt;AG$4,"na",(AG17-(AG19&lt;0)*AG19)/INDEX(AG$32:AG$34,MATCH($B53,$C$32:$C$34,0)))</f>
        <v>#N/A</v>
      </c>
    </row>
    <row r="53" spans="2:33" s="106" customFormat="1" ht="15.15">
      <c r="B53" s="197" t="s">
        <v>771</v>
      </c>
      <c r="C53" s="28" t="s">
        <v>765</v>
      </c>
      <c r="D53" s="306">
        <v>5</v>
      </c>
      <c r="E53" s="306">
        <v>5</v>
      </c>
      <c r="F53" s="306">
        <v>5</v>
      </c>
      <c r="G53" s="306">
        <v>5</v>
      </c>
      <c r="H53" s="306">
        <v>5</v>
      </c>
      <c r="I53" s="306">
        <v>4.5</v>
      </c>
      <c r="J53" s="306">
        <v>4.5</v>
      </c>
      <c r="K53" s="306">
        <v>4</v>
      </c>
      <c r="L53" s="306">
        <v>4</v>
      </c>
      <c r="M53" s="306">
        <v>3.75</v>
      </c>
      <c r="N53" s="306">
        <v>3.75</v>
      </c>
      <c r="O53" s="306">
        <v>3.5</v>
      </c>
      <c r="P53" s="306">
        <v>3.25</v>
      </c>
      <c r="Q53" s="306">
        <v>3.25</v>
      </c>
      <c r="R53" s="306">
        <v>3</v>
      </c>
      <c r="S53" s="306">
        <v>3</v>
      </c>
      <c r="T53" s="306">
        <v>3</v>
      </c>
      <c r="U53" s="306">
        <v>3</v>
      </c>
      <c r="V53" s="306">
        <v>3</v>
      </c>
      <c r="W53" s="306">
        <v>3</v>
      </c>
      <c r="X53" s="306">
        <v>3</v>
      </c>
      <c r="Y53" s="306">
        <v>3</v>
      </c>
      <c r="Z53" s="306">
        <v>3</v>
      </c>
      <c r="AA53" s="306">
        <v>3</v>
      </c>
      <c r="AB53" s="306">
        <v>3</v>
      </c>
      <c r="AC53" s="306">
        <v>3</v>
      </c>
      <c r="AD53" s="306">
        <v>3</v>
      </c>
      <c r="AE53" s="306">
        <v>3</v>
      </c>
      <c r="AF53" s="306">
        <v>3</v>
      </c>
      <c r="AG53" s="306">
        <v>3</v>
      </c>
    </row>
    <row r="54" spans="2:33" s="108" customFormat="1" ht="15.15">
      <c r="B54" s="28"/>
      <c r="C54" s="183" t="s">
        <v>766</v>
      </c>
      <c r="D54" s="185" t="str">
        <f t="shared" ref="D54:AB54" si="54">IFERROR(D53/D52-1,"na")</f>
        <v>na</v>
      </c>
      <c r="E54" s="185" t="str">
        <f t="shared" si="54"/>
        <v>na</v>
      </c>
      <c r="F54" s="185" t="str">
        <f t="shared" si="54"/>
        <v>na</v>
      </c>
      <c r="G54" s="183" t="str">
        <f t="shared" ca="1" si="54"/>
        <v>na</v>
      </c>
      <c r="H54" s="183" t="str">
        <f t="shared" ca="1" si="54"/>
        <v>na</v>
      </c>
      <c r="I54" s="183" t="str">
        <f t="shared" ca="1" si="54"/>
        <v>na</v>
      </c>
      <c r="J54" s="183" t="str">
        <f t="shared" ca="1" si="54"/>
        <v>na</v>
      </c>
      <c r="K54" s="183" t="str">
        <f t="shared" ca="1" si="54"/>
        <v>na</v>
      </c>
      <c r="L54" s="183" t="str">
        <f t="shared" ca="1" si="54"/>
        <v>na</v>
      </c>
      <c r="M54" s="183" t="str">
        <f t="shared" ca="1" si="54"/>
        <v>na</v>
      </c>
      <c r="N54" s="183" t="str">
        <f t="shared" ca="1" si="54"/>
        <v>na</v>
      </c>
      <c r="O54" s="183" t="str">
        <f t="shared" ca="1" si="54"/>
        <v>na</v>
      </c>
      <c r="P54" s="183" t="str">
        <f t="shared" ca="1" si="54"/>
        <v>na</v>
      </c>
      <c r="Q54" s="183" t="str">
        <f t="shared" ca="1" si="54"/>
        <v>na</v>
      </c>
      <c r="R54" s="183" t="str">
        <f t="shared" ca="1" si="54"/>
        <v>na</v>
      </c>
      <c r="S54" s="183" t="str">
        <f t="shared" ca="1" si="54"/>
        <v>na</v>
      </c>
      <c r="T54" s="183" t="str">
        <f t="shared" ca="1" si="54"/>
        <v>na</v>
      </c>
      <c r="U54" s="183" t="str">
        <f t="shared" ca="1" si="54"/>
        <v>na</v>
      </c>
      <c r="V54" s="183" t="str">
        <f t="shared" ca="1" si="54"/>
        <v>na</v>
      </c>
      <c r="W54" s="183" t="str">
        <f t="shared" ca="1" si="54"/>
        <v>na</v>
      </c>
      <c r="X54" s="183" t="str">
        <f t="shared" ca="1" si="54"/>
        <v>na</v>
      </c>
      <c r="Y54" s="183" t="str">
        <f t="shared" ca="1" si="54"/>
        <v>na</v>
      </c>
      <c r="Z54" s="183" t="str">
        <f t="shared" ca="1" si="54"/>
        <v>na</v>
      </c>
      <c r="AA54" s="183" t="str">
        <f t="shared" ca="1" si="54"/>
        <v>na</v>
      </c>
      <c r="AB54" s="183" t="str">
        <f t="shared" ca="1" si="54"/>
        <v>na</v>
      </c>
      <c r="AC54" s="183" t="str">
        <f t="shared" ref="AC54:AF54" ca="1" si="55">IFERROR(AC53/AC52-1,"na")</f>
        <v>na</v>
      </c>
      <c r="AD54" s="183" t="str">
        <f t="shared" ca="1" si="55"/>
        <v>na</v>
      </c>
      <c r="AE54" s="183" t="str">
        <f t="shared" ca="1" si="55"/>
        <v>na</v>
      </c>
      <c r="AF54" s="183" t="str">
        <f t="shared" ca="1" si="55"/>
        <v>na</v>
      </c>
      <c r="AG54" s="183" t="str">
        <f t="shared" ref="AG54" ca="1" si="56">IFERROR(AG53/AG52-1,"na")</f>
        <v>na</v>
      </c>
    </row>
    <row r="55" spans="2:33" ht="14.4" hidden="1" outlineLevel="1">
      <c r="B55" s="1"/>
      <c r="C55" s="34"/>
    </row>
    <row r="56" spans="2:33" s="107" customFormat="1" ht="15.15" hidden="1" outlineLevel="1">
      <c r="B56" s="180"/>
      <c r="C56" s="180" t="s">
        <v>769</v>
      </c>
      <c r="D56" s="261" t="str">
        <f t="shared" ref="D56:AB56" si="57">IF($D$12&gt;D$4,"na",(D17-D19)/INDEX(D$32:D$34,MATCH($B57,$C$32:$C$34,0)))</f>
        <v>na</v>
      </c>
      <c r="E56" s="261" t="str">
        <f t="shared" si="57"/>
        <v>na</v>
      </c>
      <c r="F56" s="261" t="str">
        <f t="shared" si="57"/>
        <v>na</v>
      </c>
      <c r="G56" s="261" t="e">
        <f t="shared" ca="1" si="57"/>
        <v>#DIV/0!</v>
      </c>
      <c r="H56" s="261" t="e">
        <f t="shared" ca="1" si="57"/>
        <v>#DIV/0!</v>
      </c>
      <c r="I56" s="261" t="e">
        <f t="shared" ca="1" si="57"/>
        <v>#DIV/0!</v>
      </c>
      <c r="J56" s="261" t="e">
        <f t="shared" ca="1" si="57"/>
        <v>#DIV/0!</v>
      </c>
      <c r="K56" s="261" t="e">
        <f t="shared" ca="1" si="57"/>
        <v>#DIV/0!</v>
      </c>
      <c r="L56" s="261" t="e">
        <f t="shared" ca="1" si="57"/>
        <v>#DIV/0!</v>
      </c>
      <c r="M56" s="261" t="e">
        <f t="shared" ca="1" si="57"/>
        <v>#DIV/0!</v>
      </c>
      <c r="N56" s="261" t="e">
        <f t="shared" ca="1" si="57"/>
        <v>#DIV/0!</v>
      </c>
      <c r="O56" s="261" t="e">
        <f t="shared" ca="1" si="57"/>
        <v>#DIV/0!</v>
      </c>
      <c r="P56" s="261" t="e">
        <f t="shared" ca="1" si="57"/>
        <v>#DIV/0!</v>
      </c>
      <c r="Q56" s="261" t="e">
        <f t="shared" ca="1" si="57"/>
        <v>#DIV/0!</v>
      </c>
      <c r="R56" s="261" t="e">
        <f t="shared" ca="1" si="57"/>
        <v>#DIV/0!</v>
      </c>
      <c r="S56" s="261" t="e">
        <f t="shared" ca="1" si="57"/>
        <v>#DIV/0!</v>
      </c>
      <c r="T56" s="261" t="e">
        <f t="shared" ca="1" si="57"/>
        <v>#DIV/0!</v>
      </c>
      <c r="U56" s="261" t="e">
        <f t="shared" ca="1" si="57"/>
        <v>#DIV/0!</v>
      </c>
      <c r="V56" s="261" t="e">
        <f t="shared" ca="1" si="57"/>
        <v>#DIV/0!</v>
      </c>
      <c r="W56" s="261" t="e">
        <f t="shared" ca="1" si="57"/>
        <v>#DIV/0!</v>
      </c>
      <c r="X56" s="261" t="e">
        <f t="shared" ca="1" si="57"/>
        <v>#DIV/0!</v>
      </c>
      <c r="Y56" s="261" t="e">
        <f t="shared" ca="1" si="57"/>
        <v>#DIV/0!</v>
      </c>
      <c r="Z56" s="261" t="e">
        <f t="shared" ca="1" si="57"/>
        <v>#DIV/0!</v>
      </c>
      <c r="AA56" s="261" t="e">
        <f t="shared" ca="1" si="57"/>
        <v>#DIV/0!</v>
      </c>
      <c r="AB56" s="261" t="e">
        <f t="shared" ca="1" si="57"/>
        <v>#N/A</v>
      </c>
      <c r="AC56" s="261" t="e">
        <f t="shared" ref="AC56:AF56" ca="1" si="58">IF($D$12&gt;AC$4,"na",(AC17-AC19)/INDEX(AC$32:AC$34,MATCH($B57,$C$32:$C$34,0)))</f>
        <v>#N/A</v>
      </c>
      <c r="AD56" s="261" t="e">
        <f t="shared" ca="1" si="58"/>
        <v>#N/A</v>
      </c>
      <c r="AE56" s="261" t="e">
        <f t="shared" ca="1" si="58"/>
        <v>#N/A</v>
      </c>
      <c r="AF56" s="261" t="e">
        <f t="shared" ca="1" si="58"/>
        <v>#N/A</v>
      </c>
      <c r="AG56" s="261" t="e">
        <f t="shared" ref="AG56" ca="1" si="59">IF($D$12&gt;AG$4,"na",(AG17-AG19)/INDEX(AG$32:AG$34,MATCH($B57,$C$32:$C$34,0)))</f>
        <v>#N/A</v>
      </c>
    </row>
    <row r="57" spans="2:33" s="106" customFormat="1" ht="15.15" hidden="1" outlineLevel="1">
      <c r="B57" s="197" t="s">
        <v>771</v>
      </c>
      <c r="C57" s="94" t="s">
        <v>765</v>
      </c>
      <c r="D57" s="306">
        <v>1</v>
      </c>
      <c r="E57" s="306">
        <v>1</v>
      </c>
      <c r="F57" s="306">
        <v>1</v>
      </c>
      <c r="G57" s="306">
        <v>1</v>
      </c>
      <c r="H57" s="306">
        <v>1</v>
      </c>
      <c r="I57" s="306">
        <v>1</v>
      </c>
      <c r="J57" s="306">
        <v>1</v>
      </c>
      <c r="K57" s="306">
        <v>1</v>
      </c>
      <c r="L57" s="306">
        <v>1</v>
      </c>
      <c r="M57" s="306">
        <v>1</v>
      </c>
      <c r="N57" s="306">
        <v>1</v>
      </c>
      <c r="O57" s="306">
        <v>1</v>
      </c>
      <c r="P57" s="306">
        <v>1</v>
      </c>
      <c r="Q57" s="306">
        <v>1</v>
      </c>
      <c r="R57" s="306">
        <v>1</v>
      </c>
      <c r="S57" s="306">
        <v>1</v>
      </c>
      <c r="T57" s="306">
        <v>1</v>
      </c>
      <c r="U57" s="306">
        <v>1</v>
      </c>
      <c r="V57" s="306">
        <v>1</v>
      </c>
      <c r="W57" s="306">
        <v>1</v>
      </c>
      <c r="X57" s="306">
        <v>1</v>
      </c>
      <c r="Y57" s="306">
        <v>1</v>
      </c>
      <c r="Z57" s="306">
        <v>1</v>
      </c>
      <c r="AA57" s="306">
        <v>1</v>
      </c>
      <c r="AB57" s="306">
        <v>1</v>
      </c>
      <c r="AC57" s="306">
        <v>1</v>
      </c>
      <c r="AD57" s="306">
        <v>1</v>
      </c>
      <c r="AE57" s="306">
        <v>1</v>
      </c>
      <c r="AF57" s="306">
        <v>1</v>
      </c>
      <c r="AG57" s="306">
        <v>1</v>
      </c>
    </row>
    <row r="58" spans="2:33" s="108" customFormat="1" ht="15.15" hidden="1" outlineLevel="1">
      <c r="B58" s="28"/>
      <c r="C58" s="183" t="s">
        <v>766</v>
      </c>
      <c r="D58" s="185" t="str">
        <f t="shared" ref="D58:AB58" si="60">IFERROR(D57/D56-1,"na")</f>
        <v>na</v>
      </c>
      <c r="E58" s="185" t="str">
        <f t="shared" si="60"/>
        <v>na</v>
      </c>
      <c r="F58" s="185" t="str">
        <f t="shared" si="60"/>
        <v>na</v>
      </c>
      <c r="G58" s="183" t="str">
        <f t="shared" ca="1" si="60"/>
        <v>na</v>
      </c>
      <c r="H58" s="183" t="str">
        <f t="shared" ca="1" si="60"/>
        <v>na</v>
      </c>
      <c r="I58" s="183" t="str">
        <f t="shared" ca="1" si="60"/>
        <v>na</v>
      </c>
      <c r="J58" s="183" t="str">
        <f t="shared" ca="1" si="60"/>
        <v>na</v>
      </c>
      <c r="K58" s="183" t="str">
        <f t="shared" ca="1" si="60"/>
        <v>na</v>
      </c>
      <c r="L58" s="183" t="str">
        <f t="shared" ca="1" si="60"/>
        <v>na</v>
      </c>
      <c r="M58" s="183" t="str">
        <f t="shared" ca="1" si="60"/>
        <v>na</v>
      </c>
      <c r="N58" s="183" t="str">
        <f t="shared" ca="1" si="60"/>
        <v>na</v>
      </c>
      <c r="O58" s="183" t="str">
        <f t="shared" ca="1" si="60"/>
        <v>na</v>
      </c>
      <c r="P58" s="183" t="str">
        <f t="shared" ca="1" si="60"/>
        <v>na</v>
      </c>
      <c r="Q58" s="183" t="str">
        <f t="shared" ca="1" si="60"/>
        <v>na</v>
      </c>
      <c r="R58" s="183" t="str">
        <f t="shared" ca="1" si="60"/>
        <v>na</v>
      </c>
      <c r="S58" s="183" t="str">
        <f t="shared" ca="1" si="60"/>
        <v>na</v>
      </c>
      <c r="T58" s="183" t="str">
        <f t="shared" ca="1" si="60"/>
        <v>na</v>
      </c>
      <c r="U58" s="183" t="str">
        <f t="shared" ca="1" si="60"/>
        <v>na</v>
      </c>
      <c r="V58" s="183" t="str">
        <f t="shared" ca="1" si="60"/>
        <v>na</v>
      </c>
      <c r="W58" s="183" t="str">
        <f t="shared" ca="1" si="60"/>
        <v>na</v>
      </c>
      <c r="X58" s="183" t="str">
        <f t="shared" ca="1" si="60"/>
        <v>na</v>
      </c>
      <c r="Y58" s="183" t="str">
        <f t="shared" ca="1" si="60"/>
        <v>na</v>
      </c>
      <c r="Z58" s="183" t="str">
        <f t="shared" ca="1" si="60"/>
        <v>na</v>
      </c>
      <c r="AA58" s="183" t="str">
        <f t="shared" ca="1" si="60"/>
        <v>na</v>
      </c>
      <c r="AB58" s="183" t="str">
        <f t="shared" ca="1" si="60"/>
        <v>na</v>
      </c>
      <c r="AC58" s="183" t="str">
        <f t="shared" ref="AC58:AF58" ca="1" si="61">IFERROR(AC57/AC56-1,"na")</f>
        <v>na</v>
      </c>
      <c r="AD58" s="183" t="str">
        <f t="shared" ca="1" si="61"/>
        <v>na</v>
      </c>
      <c r="AE58" s="183" t="str">
        <f t="shared" ca="1" si="61"/>
        <v>na</v>
      </c>
      <c r="AF58" s="183" t="str">
        <f t="shared" ca="1" si="61"/>
        <v>na</v>
      </c>
      <c r="AG58" s="183" t="str">
        <f t="shared" ref="AG58" ca="1" si="62">IFERROR(AG57/AG56-1,"na")</f>
        <v>na</v>
      </c>
    </row>
    <row r="59" spans="2:33" ht="14.4" collapsed="1">
      <c r="B59" s="1"/>
      <c r="C59" s="109"/>
    </row>
    <row r="60" spans="2:33">
      <c r="B60" s="198" t="s">
        <v>1038</v>
      </c>
      <c r="C60" s="198"/>
      <c r="D60" s="198">
        <f>D$4</f>
        <v>43555</v>
      </c>
      <c r="E60" s="198">
        <f t="shared" ref="E60:AG60" si="63">E$4</f>
        <v>43646</v>
      </c>
      <c r="F60" s="198">
        <f t="shared" si="63"/>
        <v>43738</v>
      </c>
      <c r="G60" s="198">
        <f t="shared" si="63"/>
        <v>43830</v>
      </c>
      <c r="H60" s="198">
        <f t="shared" si="63"/>
        <v>43921</v>
      </c>
      <c r="I60" s="198">
        <f t="shared" si="63"/>
        <v>44012</v>
      </c>
      <c r="J60" s="198">
        <f t="shared" si="63"/>
        <v>44104</v>
      </c>
      <c r="K60" s="198">
        <f t="shared" si="63"/>
        <v>44196</v>
      </c>
      <c r="L60" s="198">
        <f t="shared" si="63"/>
        <v>44286</v>
      </c>
      <c r="M60" s="198">
        <f t="shared" si="63"/>
        <v>44377</v>
      </c>
      <c r="N60" s="198">
        <f t="shared" si="63"/>
        <v>44469</v>
      </c>
      <c r="O60" s="198">
        <f t="shared" si="63"/>
        <v>44561</v>
      </c>
      <c r="P60" s="198">
        <f t="shared" si="63"/>
        <v>44651</v>
      </c>
      <c r="Q60" s="198">
        <f t="shared" si="63"/>
        <v>44742</v>
      </c>
      <c r="R60" s="198">
        <f t="shared" si="63"/>
        <v>44834</v>
      </c>
      <c r="S60" s="198">
        <f t="shared" si="63"/>
        <v>44926</v>
      </c>
      <c r="T60" s="198">
        <f t="shared" si="63"/>
        <v>45016</v>
      </c>
      <c r="U60" s="198">
        <f t="shared" si="63"/>
        <v>45107</v>
      </c>
      <c r="V60" s="198">
        <f t="shared" si="63"/>
        <v>45199</v>
      </c>
      <c r="W60" s="198">
        <f t="shared" si="63"/>
        <v>45291</v>
      </c>
      <c r="X60" s="198">
        <f t="shared" si="63"/>
        <v>45382</v>
      </c>
      <c r="Y60" s="198">
        <f t="shared" si="63"/>
        <v>45473</v>
      </c>
      <c r="Z60" s="198">
        <f t="shared" si="63"/>
        <v>45565</v>
      </c>
      <c r="AA60" s="198">
        <f t="shared" si="63"/>
        <v>45657</v>
      </c>
      <c r="AB60" s="198">
        <f t="shared" si="63"/>
        <v>45747</v>
      </c>
      <c r="AC60" s="198">
        <f t="shared" si="63"/>
        <v>45838</v>
      </c>
      <c r="AD60" s="198">
        <f t="shared" si="63"/>
        <v>45930</v>
      </c>
      <c r="AE60" s="198">
        <f t="shared" si="63"/>
        <v>46022</v>
      </c>
      <c r="AF60" s="198">
        <f t="shared" si="63"/>
        <v>46112</v>
      </c>
      <c r="AG60" s="198">
        <f t="shared" si="63"/>
        <v>46203</v>
      </c>
    </row>
    <row r="61" spans="2:33" s="107" customFormat="1" ht="15.15">
      <c r="B61" s="180" t="s">
        <v>1035</v>
      </c>
      <c r="C61" s="180" t="s">
        <v>777</v>
      </c>
      <c r="D61" s="261" t="str">
        <f t="shared" ref="D61:AB61" si="64">IF($D$12&gt;D$4,"na",INDEX(D$32:D$34,MATCH($B62,$C$32:$C$34,0))/D36)</f>
        <v>na</v>
      </c>
      <c r="E61" s="261" t="str">
        <f t="shared" si="64"/>
        <v>na</v>
      </c>
      <c r="F61" s="261" t="str">
        <f t="shared" si="64"/>
        <v>na</v>
      </c>
      <c r="G61" s="261" t="e">
        <f t="shared" ca="1" si="64"/>
        <v>#DIV/0!</v>
      </c>
      <c r="H61" s="261" t="e">
        <f t="shared" ca="1" si="64"/>
        <v>#DIV/0!</v>
      </c>
      <c r="I61" s="261" t="e">
        <f t="shared" ca="1" si="64"/>
        <v>#DIV/0!</v>
      </c>
      <c r="J61" s="261" t="e">
        <f t="shared" ca="1" si="64"/>
        <v>#DIV/0!</v>
      </c>
      <c r="K61" s="261" t="e">
        <f t="shared" ca="1" si="64"/>
        <v>#DIV/0!</v>
      </c>
      <c r="L61" s="261" t="e">
        <f t="shared" ca="1" si="64"/>
        <v>#DIV/0!</v>
      </c>
      <c r="M61" s="261" t="e">
        <f t="shared" ca="1" si="64"/>
        <v>#DIV/0!</v>
      </c>
      <c r="N61" s="261" t="e">
        <f t="shared" ca="1" si="64"/>
        <v>#DIV/0!</v>
      </c>
      <c r="O61" s="261" t="e">
        <f t="shared" ca="1" si="64"/>
        <v>#DIV/0!</v>
      </c>
      <c r="P61" s="261" t="e">
        <f t="shared" ca="1" si="64"/>
        <v>#DIV/0!</v>
      </c>
      <c r="Q61" s="261" t="e">
        <f t="shared" ca="1" si="64"/>
        <v>#DIV/0!</v>
      </c>
      <c r="R61" s="261" t="e">
        <f t="shared" ca="1" si="64"/>
        <v>#DIV/0!</v>
      </c>
      <c r="S61" s="261" t="e">
        <f t="shared" ca="1" si="64"/>
        <v>#DIV/0!</v>
      </c>
      <c r="T61" s="261" t="e">
        <f t="shared" ca="1" si="64"/>
        <v>#DIV/0!</v>
      </c>
      <c r="U61" s="261" t="e">
        <f t="shared" ca="1" si="64"/>
        <v>#DIV/0!</v>
      </c>
      <c r="V61" s="261" t="e">
        <f t="shared" ca="1" si="64"/>
        <v>#DIV/0!</v>
      </c>
      <c r="W61" s="261" t="e">
        <f t="shared" ca="1" si="64"/>
        <v>#DIV/0!</v>
      </c>
      <c r="X61" s="261" t="e">
        <f t="shared" ca="1" si="64"/>
        <v>#DIV/0!</v>
      </c>
      <c r="Y61" s="261" t="e">
        <f t="shared" ca="1" si="64"/>
        <v>#DIV/0!</v>
      </c>
      <c r="Z61" s="261" t="e">
        <f t="shared" ca="1" si="64"/>
        <v>#DIV/0!</v>
      </c>
      <c r="AA61" s="261" t="e">
        <f t="shared" ca="1" si="64"/>
        <v>#DIV/0!</v>
      </c>
      <c r="AB61" s="261" t="e">
        <f t="shared" ca="1" si="64"/>
        <v>#VALUE!</v>
      </c>
      <c r="AC61" s="261" t="e">
        <f t="shared" ref="AC61:AF61" ca="1" si="65">IF($D$12&gt;AC$4,"na",INDEX(AC$32:AC$34,MATCH($B62,$C$32:$C$34,0))/AC36)</f>
        <v>#VALUE!</v>
      </c>
      <c r="AD61" s="261" t="e">
        <f t="shared" ca="1" si="65"/>
        <v>#VALUE!</v>
      </c>
      <c r="AE61" s="261" t="e">
        <f t="shared" ca="1" si="65"/>
        <v>#VALUE!</v>
      </c>
      <c r="AF61" s="261" t="e">
        <f t="shared" ca="1" si="65"/>
        <v>#VALUE!</v>
      </c>
      <c r="AG61" s="261" t="e">
        <f t="shared" ref="AG61" ca="1" si="66">IF($D$12&gt;AG$4,"na",INDEX(AG$32:AG$34,MATCH($B62,$C$32:$C$34,0))/AG36)</f>
        <v>#VALUE!</v>
      </c>
    </row>
    <row r="62" spans="2:33" s="106" customFormat="1" ht="15.15">
      <c r="B62" s="197" t="s">
        <v>771</v>
      </c>
      <c r="C62" s="28" t="s">
        <v>765</v>
      </c>
      <c r="D62" s="306">
        <v>2</v>
      </c>
      <c r="E62" s="306">
        <v>2</v>
      </c>
      <c r="F62" s="306">
        <v>2</v>
      </c>
      <c r="G62" s="306">
        <v>2</v>
      </c>
      <c r="H62" s="306">
        <v>2</v>
      </c>
      <c r="I62" s="306">
        <v>2</v>
      </c>
      <c r="J62" s="306">
        <v>2</v>
      </c>
      <c r="K62" s="306">
        <v>2</v>
      </c>
      <c r="L62" s="306">
        <v>2</v>
      </c>
      <c r="M62" s="306">
        <v>2</v>
      </c>
      <c r="N62" s="306">
        <v>2</v>
      </c>
      <c r="O62" s="306">
        <v>2</v>
      </c>
      <c r="P62" s="306">
        <v>2</v>
      </c>
      <c r="Q62" s="306">
        <v>2</v>
      </c>
      <c r="R62" s="306">
        <v>2</v>
      </c>
      <c r="S62" s="306">
        <v>2</v>
      </c>
      <c r="T62" s="306">
        <v>2</v>
      </c>
      <c r="U62" s="306">
        <v>2</v>
      </c>
      <c r="V62" s="306">
        <v>2</v>
      </c>
      <c r="W62" s="306">
        <v>2</v>
      </c>
      <c r="X62" s="306">
        <v>2</v>
      </c>
      <c r="Y62" s="306">
        <v>2</v>
      </c>
      <c r="Z62" s="306">
        <v>2</v>
      </c>
      <c r="AA62" s="306">
        <v>2</v>
      </c>
      <c r="AB62" s="306">
        <v>2</v>
      </c>
      <c r="AC62" s="306">
        <v>2</v>
      </c>
      <c r="AD62" s="306">
        <v>2</v>
      </c>
      <c r="AE62" s="306">
        <v>2</v>
      </c>
      <c r="AF62" s="306">
        <v>2</v>
      </c>
      <c r="AG62" s="306">
        <v>2</v>
      </c>
    </row>
    <row r="63" spans="2:33" s="108" customFormat="1" ht="15.15">
      <c r="B63" s="28"/>
      <c r="C63" s="183" t="s">
        <v>766</v>
      </c>
      <c r="D63" s="185" t="str">
        <f>IFERROR(D61/D62-1,"na")</f>
        <v>na</v>
      </c>
      <c r="E63" s="185" t="str">
        <f t="shared" ref="E63:AB63" si="67">IFERROR(E61/E62-1,"na")</f>
        <v>na</v>
      </c>
      <c r="F63" s="185" t="str">
        <f t="shared" si="67"/>
        <v>na</v>
      </c>
      <c r="G63" s="183" t="str">
        <f t="shared" ca="1" si="67"/>
        <v>na</v>
      </c>
      <c r="H63" s="183" t="str">
        <f t="shared" ca="1" si="67"/>
        <v>na</v>
      </c>
      <c r="I63" s="183" t="str">
        <f t="shared" ca="1" si="67"/>
        <v>na</v>
      </c>
      <c r="J63" s="183" t="str">
        <f t="shared" ca="1" si="67"/>
        <v>na</v>
      </c>
      <c r="K63" s="183" t="str">
        <f t="shared" ca="1" si="67"/>
        <v>na</v>
      </c>
      <c r="L63" s="183" t="str">
        <f t="shared" ca="1" si="67"/>
        <v>na</v>
      </c>
      <c r="M63" s="183" t="str">
        <f t="shared" ca="1" si="67"/>
        <v>na</v>
      </c>
      <c r="N63" s="183" t="str">
        <f t="shared" ca="1" si="67"/>
        <v>na</v>
      </c>
      <c r="O63" s="183" t="str">
        <f t="shared" ca="1" si="67"/>
        <v>na</v>
      </c>
      <c r="P63" s="183" t="str">
        <f t="shared" ca="1" si="67"/>
        <v>na</v>
      </c>
      <c r="Q63" s="183" t="str">
        <f t="shared" ca="1" si="67"/>
        <v>na</v>
      </c>
      <c r="R63" s="183" t="str">
        <f t="shared" ca="1" si="67"/>
        <v>na</v>
      </c>
      <c r="S63" s="183" t="str">
        <f t="shared" ca="1" si="67"/>
        <v>na</v>
      </c>
      <c r="T63" s="183" t="str">
        <f t="shared" ca="1" si="67"/>
        <v>na</v>
      </c>
      <c r="U63" s="183" t="str">
        <f t="shared" ca="1" si="67"/>
        <v>na</v>
      </c>
      <c r="V63" s="183" t="str">
        <f t="shared" ca="1" si="67"/>
        <v>na</v>
      </c>
      <c r="W63" s="183" t="str">
        <f t="shared" ca="1" si="67"/>
        <v>na</v>
      </c>
      <c r="X63" s="183" t="str">
        <f t="shared" ca="1" si="67"/>
        <v>na</v>
      </c>
      <c r="Y63" s="183" t="str">
        <f t="shared" ca="1" si="67"/>
        <v>na</v>
      </c>
      <c r="Z63" s="183" t="str">
        <f t="shared" ca="1" si="67"/>
        <v>na</v>
      </c>
      <c r="AA63" s="183" t="str">
        <f t="shared" ca="1" si="67"/>
        <v>na</v>
      </c>
      <c r="AB63" s="183" t="str">
        <f t="shared" ca="1" si="67"/>
        <v>na</v>
      </c>
      <c r="AC63" s="183" t="str">
        <f t="shared" ref="AC63:AF63" ca="1" si="68">IFERROR(AC61/AC62-1,"na")</f>
        <v>na</v>
      </c>
      <c r="AD63" s="183" t="str">
        <f t="shared" ca="1" si="68"/>
        <v>na</v>
      </c>
      <c r="AE63" s="183" t="str">
        <f t="shared" ca="1" si="68"/>
        <v>na</v>
      </c>
      <c r="AF63" s="183" t="str">
        <f t="shared" ca="1" si="68"/>
        <v>na</v>
      </c>
      <c r="AG63" s="183" t="str">
        <f t="shared" ref="AG63" ca="1" si="69">IFERROR(AG61/AG62-1,"na")</f>
        <v>na</v>
      </c>
    </row>
    <row r="64" spans="2:33" ht="14.4">
      <c r="B64" s="1"/>
      <c r="C64" s="34"/>
    </row>
    <row r="65" spans="2:33" s="107" customFormat="1" ht="15.15">
      <c r="B65" s="180"/>
      <c r="C65" s="180" t="s">
        <v>779</v>
      </c>
      <c r="D65" s="261" t="str">
        <f t="shared" ref="D65:AB65" si="70">IF($D$12&gt;D$4,"na",INDEX(D$32:D$34,MATCH($B66,$C$32:$C$34,0))/(D36+D38))</f>
        <v>na</v>
      </c>
      <c r="E65" s="261" t="str">
        <f t="shared" si="70"/>
        <v>na</v>
      </c>
      <c r="F65" s="261" t="str">
        <f t="shared" si="70"/>
        <v>na</v>
      </c>
      <c r="G65" s="261" t="e">
        <f t="shared" ca="1" si="70"/>
        <v>#DIV/0!</v>
      </c>
      <c r="H65" s="261" t="e">
        <f t="shared" ca="1" si="70"/>
        <v>#DIV/0!</v>
      </c>
      <c r="I65" s="261" t="e">
        <f t="shared" ca="1" si="70"/>
        <v>#DIV/0!</v>
      </c>
      <c r="J65" s="261" t="e">
        <f t="shared" ca="1" si="70"/>
        <v>#DIV/0!</v>
      </c>
      <c r="K65" s="261" t="e">
        <f t="shared" ca="1" si="70"/>
        <v>#DIV/0!</v>
      </c>
      <c r="L65" s="261" t="e">
        <f t="shared" ca="1" si="70"/>
        <v>#DIV/0!</v>
      </c>
      <c r="M65" s="261" t="e">
        <f t="shared" ca="1" si="70"/>
        <v>#DIV/0!</v>
      </c>
      <c r="N65" s="261" t="e">
        <f t="shared" ca="1" si="70"/>
        <v>#DIV/0!</v>
      </c>
      <c r="O65" s="261" t="e">
        <f t="shared" ca="1" si="70"/>
        <v>#DIV/0!</v>
      </c>
      <c r="P65" s="261" t="e">
        <f t="shared" ca="1" si="70"/>
        <v>#DIV/0!</v>
      </c>
      <c r="Q65" s="261" t="e">
        <f t="shared" ca="1" si="70"/>
        <v>#DIV/0!</v>
      </c>
      <c r="R65" s="261" t="e">
        <f t="shared" ca="1" si="70"/>
        <v>#DIV/0!</v>
      </c>
      <c r="S65" s="261" t="e">
        <f t="shared" ca="1" si="70"/>
        <v>#DIV/0!</v>
      </c>
      <c r="T65" s="261" t="e">
        <f t="shared" ca="1" si="70"/>
        <v>#DIV/0!</v>
      </c>
      <c r="U65" s="261" t="e">
        <f t="shared" ca="1" si="70"/>
        <v>#DIV/0!</v>
      </c>
      <c r="V65" s="261" t="e">
        <f t="shared" ca="1" si="70"/>
        <v>#DIV/0!</v>
      </c>
      <c r="W65" s="261" t="e">
        <f t="shared" ca="1" si="70"/>
        <v>#DIV/0!</v>
      </c>
      <c r="X65" s="261" t="e">
        <f t="shared" ca="1" si="70"/>
        <v>#DIV/0!</v>
      </c>
      <c r="Y65" s="261" t="e">
        <f t="shared" ca="1" si="70"/>
        <v>#DIV/0!</v>
      </c>
      <c r="Z65" s="261" t="e">
        <f t="shared" ca="1" si="70"/>
        <v>#DIV/0!</v>
      </c>
      <c r="AA65" s="261" t="e">
        <f t="shared" ca="1" si="70"/>
        <v>#DIV/0!</v>
      </c>
      <c r="AB65" s="261" t="e">
        <f t="shared" ca="1" si="70"/>
        <v>#VALUE!</v>
      </c>
      <c r="AC65" s="261" t="e">
        <f t="shared" ref="AC65:AF65" ca="1" si="71">IF($D$12&gt;AC$4,"na",INDEX(AC$32:AC$34,MATCH($B66,$C$32:$C$34,0))/(AC36+AC38))</f>
        <v>#VALUE!</v>
      </c>
      <c r="AD65" s="261" t="e">
        <f t="shared" ca="1" si="71"/>
        <v>#VALUE!</v>
      </c>
      <c r="AE65" s="261" t="e">
        <f t="shared" ca="1" si="71"/>
        <v>#VALUE!</v>
      </c>
      <c r="AF65" s="261" t="e">
        <f t="shared" ca="1" si="71"/>
        <v>#VALUE!</v>
      </c>
      <c r="AG65" s="261" t="e">
        <f t="shared" ref="AG65" ca="1" si="72">IF($D$12&gt;AG$4,"na",INDEX(AG$32:AG$34,MATCH($B66,$C$32:$C$34,0))/(AG36+AG38))</f>
        <v>#VALUE!</v>
      </c>
    </row>
    <row r="66" spans="2:33" s="106" customFormat="1" ht="15.15">
      <c r="B66" s="197" t="s">
        <v>782</v>
      </c>
      <c r="C66" s="28" t="s">
        <v>765</v>
      </c>
      <c r="D66" s="306">
        <v>1.1000000000000001</v>
      </c>
      <c r="E66" s="306">
        <v>1.1000000000000001</v>
      </c>
      <c r="F66" s="306">
        <v>1.1000000000000001</v>
      </c>
      <c r="G66" s="306">
        <v>1.1000000000000001</v>
      </c>
      <c r="H66" s="306">
        <v>1.1000000000000001</v>
      </c>
      <c r="I66" s="306">
        <v>1.1000000000000001</v>
      </c>
      <c r="J66" s="306">
        <v>1.1000000000000001</v>
      </c>
      <c r="K66" s="306">
        <v>1.1000000000000001</v>
      </c>
      <c r="L66" s="306">
        <v>1.1000000000000001</v>
      </c>
      <c r="M66" s="306">
        <v>1.1000000000000001</v>
      </c>
      <c r="N66" s="306">
        <v>1.1000000000000001</v>
      </c>
      <c r="O66" s="306">
        <v>1.1000000000000001</v>
      </c>
      <c r="P66" s="306">
        <v>1.1000000000000001</v>
      </c>
      <c r="Q66" s="306">
        <v>1.1000000000000001</v>
      </c>
      <c r="R66" s="306">
        <v>1.1000000000000001</v>
      </c>
      <c r="S66" s="306">
        <v>1.1000000000000001</v>
      </c>
      <c r="T66" s="306">
        <v>1.1000000000000001</v>
      </c>
      <c r="U66" s="306">
        <v>1.1000000000000001</v>
      </c>
      <c r="V66" s="306">
        <v>1.1000000000000001</v>
      </c>
      <c r="W66" s="306">
        <v>1.1000000000000001</v>
      </c>
      <c r="X66" s="306">
        <v>1.1000000000000001</v>
      </c>
      <c r="Y66" s="306">
        <v>1.1000000000000001</v>
      </c>
      <c r="Z66" s="306">
        <v>1.1000000000000001</v>
      </c>
      <c r="AA66" s="306">
        <v>1.1000000000000001</v>
      </c>
      <c r="AB66" s="306">
        <v>1.1000000000000001</v>
      </c>
      <c r="AC66" s="306">
        <v>1.1000000000000001</v>
      </c>
      <c r="AD66" s="306">
        <v>1.1000000000000001</v>
      </c>
      <c r="AE66" s="306">
        <v>1.1000000000000001</v>
      </c>
      <c r="AF66" s="306">
        <v>1.1000000000000001</v>
      </c>
      <c r="AG66" s="306">
        <v>1.1000000000000001</v>
      </c>
    </row>
    <row r="67" spans="2:33" s="108" customFormat="1" ht="15.15">
      <c r="B67" s="28"/>
      <c r="C67" s="183" t="s">
        <v>766</v>
      </c>
      <c r="D67" s="185" t="str">
        <f>IFERROR(D65/D66-1,"na")</f>
        <v>na</v>
      </c>
      <c r="E67" s="185" t="str">
        <f t="shared" ref="E67:AB67" si="73">IFERROR(E65/E66-1,"na")</f>
        <v>na</v>
      </c>
      <c r="F67" s="185" t="str">
        <f t="shared" si="73"/>
        <v>na</v>
      </c>
      <c r="G67" s="183" t="str">
        <f t="shared" ca="1" si="73"/>
        <v>na</v>
      </c>
      <c r="H67" s="183" t="str">
        <f t="shared" ca="1" si="73"/>
        <v>na</v>
      </c>
      <c r="I67" s="183" t="str">
        <f t="shared" ca="1" si="73"/>
        <v>na</v>
      </c>
      <c r="J67" s="183" t="str">
        <f t="shared" ca="1" si="73"/>
        <v>na</v>
      </c>
      <c r="K67" s="183" t="str">
        <f t="shared" ca="1" si="73"/>
        <v>na</v>
      </c>
      <c r="L67" s="183" t="str">
        <f t="shared" ca="1" si="73"/>
        <v>na</v>
      </c>
      <c r="M67" s="183" t="str">
        <f t="shared" ca="1" si="73"/>
        <v>na</v>
      </c>
      <c r="N67" s="183" t="str">
        <f t="shared" ca="1" si="73"/>
        <v>na</v>
      </c>
      <c r="O67" s="183" t="str">
        <f t="shared" ca="1" si="73"/>
        <v>na</v>
      </c>
      <c r="P67" s="183" t="str">
        <f t="shared" ca="1" si="73"/>
        <v>na</v>
      </c>
      <c r="Q67" s="183" t="str">
        <f t="shared" ca="1" si="73"/>
        <v>na</v>
      </c>
      <c r="R67" s="183" t="str">
        <f t="shared" ca="1" si="73"/>
        <v>na</v>
      </c>
      <c r="S67" s="183" t="str">
        <f t="shared" ca="1" si="73"/>
        <v>na</v>
      </c>
      <c r="T67" s="183" t="str">
        <f t="shared" ca="1" si="73"/>
        <v>na</v>
      </c>
      <c r="U67" s="183" t="str">
        <f t="shared" ca="1" si="73"/>
        <v>na</v>
      </c>
      <c r="V67" s="183" t="str">
        <f t="shared" ca="1" si="73"/>
        <v>na</v>
      </c>
      <c r="W67" s="183" t="str">
        <f t="shared" ca="1" si="73"/>
        <v>na</v>
      </c>
      <c r="X67" s="183" t="str">
        <f t="shared" ca="1" si="73"/>
        <v>na</v>
      </c>
      <c r="Y67" s="183" t="str">
        <f t="shared" ca="1" si="73"/>
        <v>na</v>
      </c>
      <c r="Z67" s="183" t="str">
        <f t="shared" ca="1" si="73"/>
        <v>na</v>
      </c>
      <c r="AA67" s="183" t="str">
        <f t="shared" ca="1" si="73"/>
        <v>na</v>
      </c>
      <c r="AB67" s="183" t="str">
        <f t="shared" ca="1" si="73"/>
        <v>na</v>
      </c>
      <c r="AC67" s="183" t="str">
        <f t="shared" ref="AC67:AF67" ca="1" si="74">IFERROR(AC65/AC66-1,"na")</f>
        <v>na</v>
      </c>
      <c r="AD67" s="183" t="str">
        <f t="shared" ca="1" si="74"/>
        <v>na</v>
      </c>
      <c r="AE67" s="183" t="str">
        <f t="shared" ca="1" si="74"/>
        <v>na</v>
      </c>
      <c r="AF67" s="183" t="str">
        <f t="shared" ca="1" si="74"/>
        <v>na</v>
      </c>
      <c r="AG67" s="183" t="str">
        <f t="shared" ref="AG67" ca="1" si="75">IFERROR(AG65/AG66-1,"na")</f>
        <v>na</v>
      </c>
    </row>
    <row r="68" spans="2:33" ht="14.4">
      <c r="B68" s="1"/>
    </row>
    <row r="69" spans="2:33" s="107" customFormat="1" ht="15.15" hidden="1" outlineLevel="1">
      <c r="B69" s="180"/>
      <c r="C69" s="180" t="s">
        <v>787</v>
      </c>
      <c r="D69" s="261" t="str">
        <f t="shared" ref="D69:AB69" si="76">IF($D$12&gt;D$4,"na",(INDEX(D$32:D$34,MATCH($B70,$C$32:$C$34,0))+D31)/(D36+D38))</f>
        <v>na</v>
      </c>
      <c r="E69" s="261" t="str">
        <f t="shared" si="76"/>
        <v>na</v>
      </c>
      <c r="F69" s="261" t="str">
        <f t="shared" si="76"/>
        <v>na</v>
      </c>
      <c r="G69" s="261" t="e">
        <f t="shared" ca="1" si="76"/>
        <v>#DIV/0!</v>
      </c>
      <c r="H69" s="261" t="e">
        <f t="shared" ca="1" si="76"/>
        <v>#DIV/0!</v>
      </c>
      <c r="I69" s="261" t="e">
        <f t="shared" ca="1" si="76"/>
        <v>#DIV/0!</v>
      </c>
      <c r="J69" s="261" t="e">
        <f t="shared" ca="1" si="76"/>
        <v>#DIV/0!</v>
      </c>
      <c r="K69" s="261" t="e">
        <f t="shared" ca="1" si="76"/>
        <v>#DIV/0!</v>
      </c>
      <c r="L69" s="261" t="e">
        <f t="shared" ca="1" si="76"/>
        <v>#DIV/0!</v>
      </c>
      <c r="M69" s="261" t="e">
        <f t="shared" ca="1" si="76"/>
        <v>#DIV/0!</v>
      </c>
      <c r="N69" s="261" t="e">
        <f t="shared" ca="1" si="76"/>
        <v>#DIV/0!</v>
      </c>
      <c r="O69" s="261" t="e">
        <f t="shared" ca="1" si="76"/>
        <v>#DIV/0!</v>
      </c>
      <c r="P69" s="261" t="e">
        <f t="shared" ca="1" si="76"/>
        <v>#DIV/0!</v>
      </c>
      <c r="Q69" s="261" t="e">
        <f t="shared" ca="1" si="76"/>
        <v>#DIV/0!</v>
      </c>
      <c r="R69" s="261" t="e">
        <f t="shared" ca="1" si="76"/>
        <v>#DIV/0!</v>
      </c>
      <c r="S69" s="261" t="e">
        <f t="shared" ca="1" si="76"/>
        <v>#DIV/0!</v>
      </c>
      <c r="T69" s="261" t="e">
        <f t="shared" ca="1" si="76"/>
        <v>#DIV/0!</v>
      </c>
      <c r="U69" s="261" t="e">
        <f t="shared" ca="1" si="76"/>
        <v>#DIV/0!</v>
      </c>
      <c r="V69" s="261" t="e">
        <f t="shared" ca="1" si="76"/>
        <v>#DIV/0!</v>
      </c>
      <c r="W69" s="261" t="e">
        <f t="shared" ca="1" si="76"/>
        <v>#DIV/0!</v>
      </c>
      <c r="X69" s="261" t="e">
        <f t="shared" ca="1" si="76"/>
        <v>#DIV/0!</v>
      </c>
      <c r="Y69" s="261" t="e">
        <f t="shared" ca="1" si="76"/>
        <v>#DIV/0!</v>
      </c>
      <c r="Z69" s="261" t="e">
        <f t="shared" ca="1" si="76"/>
        <v>#DIV/0!</v>
      </c>
      <c r="AA69" s="261" t="e">
        <f t="shared" ca="1" si="76"/>
        <v>#DIV/0!</v>
      </c>
      <c r="AB69" s="261" t="e">
        <f t="shared" ca="1" si="76"/>
        <v>#VALUE!</v>
      </c>
      <c r="AC69" s="261" t="e">
        <f t="shared" ref="AC69:AF69" ca="1" si="77">IF($D$12&gt;AC$4,"na",(INDEX(AC$32:AC$34,MATCH($B70,$C$32:$C$34,0))+AC31)/(AC36+AC38))</f>
        <v>#VALUE!</v>
      </c>
      <c r="AD69" s="261" t="e">
        <f t="shared" ca="1" si="77"/>
        <v>#VALUE!</v>
      </c>
      <c r="AE69" s="261" t="e">
        <f t="shared" ca="1" si="77"/>
        <v>#VALUE!</v>
      </c>
      <c r="AF69" s="261" t="e">
        <f t="shared" ca="1" si="77"/>
        <v>#VALUE!</v>
      </c>
      <c r="AG69" s="261" t="e">
        <f t="shared" ref="AG69" ca="1" si="78">IF($D$12&gt;AG$4,"na",(INDEX(AG$32:AG$34,MATCH($B70,$C$32:$C$34,0))+AG31)/(AG36+AG38))</f>
        <v>#VALUE!</v>
      </c>
    </row>
    <row r="70" spans="2:33" s="106" customFormat="1" ht="15.15" hidden="1" outlineLevel="1">
      <c r="B70" s="197" t="s">
        <v>771</v>
      </c>
      <c r="C70" s="28" t="s">
        <v>765</v>
      </c>
      <c r="D70" s="306">
        <v>0</v>
      </c>
      <c r="E70" s="306">
        <v>0</v>
      </c>
      <c r="F70" s="306">
        <v>0</v>
      </c>
      <c r="G70" s="306">
        <v>0</v>
      </c>
      <c r="H70" s="306">
        <v>0</v>
      </c>
      <c r="I70" s="306">
        <v>0</v>
      </c>
      <c r="J70" s="306">
        <v>0</v>
      </c>
      <c r="K70" s="306">
        <v>0</v>
      </c>
      <c r="L70" s="306">
        <v>0</v>
      </c>
      <c r="M70" s="306">
        <v>0</v>
      </c>
      <c r="N70" s="306">
        <v>0</v>
      </c>
      <c r="O70" s="306">
        <v>0</v>
      </c>
      <c r="P70" s="306">
        <v>0</v>
      </c>
      <c r="Q70" s="306">
        <v>0</v>
      </c>
      <c r="R70" s="306">
        <v>0</v>
      </c>
      <c r="S70" s="306">
        <v>0</v>
      </c>
      <c r="T70" s="306">
        <v>1.1000000000000001</v>
      </c>
      <c r="U70" s="306">
        <v>1.1000000000000001</v>
      </c>
      <c r="V70" s="306">
        <v>1.1000000000000001</v>
      </c>
      <c r="W70" s="306">
        <v>1.1000000000000001</v>
      </c>
      <c r="X70" s="306">
        <v>1.1000000000000001</v>
      </c>
      <c r="Y70" s="306">
        <v>1.1000000000000001</v>
      </c>
      <c r="Z70" s="306">
        <v>1.1000000000000001</v>
      </c>
      <c r="AA70" s="306">
        <v>1.1000000000000001</v>
      </c>
      <c r="AB70" s="306">
        <v>1.1000000000000001</v>
      </c>
      <c r="AC70" s="306">
        <v>1.1000000000000001</v>
      </c>
      <c r="AD70" s="306">
        <v>1.1000000000000001</v>
      </c>
      <c r="AE70" s="306">
        <v>1.1000000000000001</v>
      </c>
      <c r="AF70" s="306">
        <v>1.1000000000000001</v>
      </c>
      <c r="AG70" s="306">
        <v>1.1000000000000001</v>
      </c>
    </row>
    <row r="71" spans="2:33" s="108" customFormat="1" ht="15.15" hidden="1" outlineLevel="1">
      <c r="B71" s="28"/>
      <c r="C71" s="183" t="s">
        <v>766</v>
      </c>
      <c r="D71" s="185" t="str">
        <f>IFERROR(D69/D70-1,"na")</f>
        <v>na</v>
      </c>
      <c r="E71" s="185" t="str">
        <f t="shared" ref="E71:AB71" si="79">IFERROR(E69/E70-1,"na")</f>
        <v>na</v>
      </c>
      <c r="F71" s="185" t="str">
        <f t="shared" si="79"/>
        <v>na</v>
      </c>
      <c r="G71" s="183" t="str">
        <f t="shared" ca="1" si="79"/>
        <v>na</v>
      </c>
      <c r="H71" s="183" t="str">
        <f t="shared" ca="1" si="79"/>
        <v>na</v>
      </c>
      <c r="I71" s="183" t="str">
        <f t="shared" ca="1" si="79"/>
        <v>na</v>
      </c>
      <c r="J71" s="183" t="str">
        <f t="shared" ca="1" si="79"/>
        <v>na</v>
      </c>
      <c r="K71" s="183" t="str">
        <f t="shared" ca="1" si="79"/>
        <v>na</v>
      </c>
      <c r="L71" s="183" t="str">
        <f t="shared" ca="1" si="79"/>
        <v>na</v>
      </c>
      <c r="M71" s="183" t="str">
        <f t="shared" ca="1" si="79"/>
        <v>na</v>
      </c>
      <c r="N71" s="183" t="str">
        <f t="shared" ca="1" si="79"/>
        <v>na</v>
      </c>
      <c r="O71" s="183" t="str">
        <f t="shared" ca="1" si="79"/>
        <v>na</v>
      </c>
      <c r="P71" s="183" t="str">
        <f t="shared" ca="1" si="79"/>
        <v>na</v>
      </c>
      <c r="Q71" s="183" t="str">
        <f t="shared" ca="1" si="79"/>
        <v>na</v>
      </c>
      <c r="R71" s="183" t="str">
        <f t="shared" ca="1" si="79"/>
        <v>na</v>
      </c>
      <c r="S71" s="183" t="str">
        <f t="shared" ca="1" si="79"/>
        <v>na</v>
      </c>
      <c r="T71" s="183" t="str">
        <f t="shared" ca="1" si="79"/>
        <v>na</v>
      </c>
      <c r="U71" s="183" t="str">
        <f t="shared" ca="1" si="79"/>
        <v>na</v>
      </c>
      <c r="V71" s="183" t="str">
        <f t="shared" ca="1" si="79"/>
        <v>na</v>
      </c>
      <c r="W71" s="183" t="str">
        <f t="shared" ca="1" si="79"/>
        <v>na</v>
      </c>
      <c r="X71" s="183" t="str">
        <f t="shared" ca="1" si="79"/>
        <v>na</v>
      </c>
      <c r="Y71" s="183" t="str">
        <f t="shared" ca="1" si="79"/>
        <v>na</v>
      </c>
      <c r="Z71" s="183" t="str">
        <f t="shared" ca="1" si="79"/>
        <v>na</v>
      </c>
      <c r="AA71" s="183" t="str">
        <f t="shared" ca="1" si="79"/>
        <v>na</v>
      </c>
      <c r="AB71" s="183" t="str">
        <f t="shared" ca="1" si="79"/>
        <v>na</v>
      </c>
      <c r="AC71" s="183" t="str">
        <f t="shared" ref="AC71:AF71" ca="1" si="80">IFERROR(AC69/AC70-1,"na")</f>
        <v>na</v>
      </c>
      <c r="AD71" s="183" t="str">
        <f t="shared" ca="1" si="80"/>
        <v>na</v>
      </c>
      <c r="AE71" s="183" t="str">
        <f t="shared" ca="1" si="80"/>
        <v>na</v>
      </c>
      <c r="AF71" s="183" t="str">
        <f t="shared" ca="1" si="80"/>
        <v>na</v>
      </c>
      <c r="AG71" s="183" t="str">
        <f t="shared" ref="AG71" ca="1" si="81">IFERROR(AG69/AG70-1,"na")</f>
        <v>na</v>
      </c>
    </row>
    <row r="72" spans="2:33" s="28" customFormat="1" hidden="1" outlineLevel="1"/>
    <row r="73" spans="2:33" s="107" customFormat="1" ht="15.15" hidden="1" outlineLevel="1">
      <c r="B73" s="180"/>
      <c r="C73" s="180" t="s">
        <v>778</v>
      </c>
      <c r="D73" s="261" t="str">
        <f t="shared" ref="D73:AB73" si="82">IF($D$12&gt;D$4,"na",INDEX(D$32:D$34,MATCH($B74,$C$32:$C$34,0))/(D37))</f>
        <v>na</v>
      </c>
      <c r="E73" s="261" t="str">
        <f t="shared" si="82"/>
        <v>na</v>
      </c>
      <c r="F73" s="261" t="str">
        <f t="shared" si="82"/>
        <v>na</v>
      </c>
      <c r="G73" s="261" t="e">
        <f t="shared" ca="1" si="82"/>
        <v>#DIV/0!</v>
      </c>
      <c r="H73" s="261" t="e">
        <f t="shared" ca="1" si="82"/>
        <v>#DIV/0!</v>
      </c>
      <c r="I73" s="261" t="e">
        <f t="shared" ca="1" si="82"/>
        <v>#DIV/0!</v>
      </c>
      <c r="J73" s="261" t="e">
        <f t="shared" ca="1" si="82"/>
        <v>#DIV/0!</v>
      </c>
      <c r="K73" s="261" t="e">
        <f t="shared" ca="1" si="82"/>
        <v>#DIV/0!</v>
      </c>
      <c r="L73" s="261" t="e">
        <f t="shared" ca="1" si="82"/>
        <v>#DIV/0!</v>
      </c>
      <c r="M73" s="261" t="e">
        <f t="shared" ca="1" si="82"/>
        <v>#DIV/0!</v>
      </c>
      <c r="N73" s="261" t="e">
        <f t="shared" ca="1" si="82"/>
        <v>#DIV/0!</v>
      </c>
      <c r="O73" s="261" t="e">
        <f t="shared" ca="1" si="82"/>
        <v>#DIV/0!</v>
      </c>
      <c r="P73" s="261" t="e">
        <f t="shared" ca="1" si="82"/>
        <v>#DIV/0!</v>
      </c>
      <c r="Q73" s="261" t="e">
        <f t="shared" ca="1" si="82"/>
        <v>#DIV/0!</v>
      </c>
      <c r="R73" s="261" t="e">
        <f t="shared" ca="1" si="82"/>
        <v>#DIV/0!</v>
      </c>
      <c r="S73" s="261" t="e">
        <f t="shared" ca="1" si="82"/>
        <v>#DIV/0!</v>
      </c>
      <c r="T73" s="261" t="e">
        <f t="shared" ca="1" si="82"/>
        <v>#DIV/0!</v>
      </c>
      <c r="U73" s="261" t="e">
        <f t="shared" ca="1" si="82"/>
        <v>#DIV/0!</v>
      </c>
      <c r="V73" s="261" t="e">
        <f t="shared" ca="1" si="82"/>
        <v>#DIV/0!</v>
      </c>
      <c r="W73" s="261" t="e">
        <f t="shared" ca="1" si="82"/>
        <v>#DIV/0!</v>
      </c>
      <c r="X73" s="261" t="e">
        <f t="shared" ca="1" si="82"/>
        <v>#DIV/0!</v>
      </c>
      <c r="Y73" s="261" t="e">
        <f t="shared" ca="1" si="82"/>
        <v>#DIV/0!</v>
      </c>
      <c r="Z73" s="261" t="e">
        <f t="shared" ca="1" si="82"/>
        <v>#DIV/0!</v>
      </c>
      <c r="AA73" s="261" t="e">
        <f t="shared" ca="1" si="82"/>
        <v>#DIV/0!</v>
      </c>
      <c r="AB73" s="261" t="e">
        <f t="shared" ca="1" si="82"/>
        <v>#VALUE!</v>
      </c>
      <c r="AC73" s="261" t="e">
        <f t="shared" ref="AC73:AF73" ca="1" si="83">IF($D$12&gt;AC$4,"na",INDEX(AC$32:AC$34,MATCH($B74,$C$32:$C$34,0))/(AC37))</f>
        <v>#VALUE!</v>
      </c>
      <c r="AD73" s="261" t="e">
        <f t="shared" ca="1" si="83"/>
        <v>#VALUE!</v>
      </c>
      <c r="AE73" s="261" t="e">
        <f t="shared" ca="1" si="83"/>
        <v>#VALUE!</v>
      </c>
      <c r="AF73" s="261" t="e">
        <f t="shared" ca="1" si="83"/>
        <v>#VALUE!</v>
      </c>
      <c r="AG73" s="261" t="e">
        <f t="shared" ref="AG73" ca="1" si="84">IF($D$12&gt;AG$4,"na",INDEX(AG$32:AG$34,MATCH($B74,$C$32:$C$34,0))/(AG37))</f>
        <v>#VALUE!</v>
      </c>
    </row>
    <row r="74" spans="2:33" s="106" customFormat="1" ht="15.15" hidden="1" outlineLevel="1">
      <c r="B74" s="197" t="s">
        <v>771</v>
      </c>
      <c r="C74" s="28" t="s">
        <v>765</v>
      </c>
      <c r="D74" s="306">
        <v>5</v>
      </c>
      <c r="E74" s="306">
        <v>5</v>
      </c>
      <c r="F74" s="306">
        <v>5</v>
      </c>
      <c r="G74" s="306">
        <v>5</v>
      </c>
      <c r="H74" s="306">
        <v>5</v>
      </c>
      <c r="I74" s="306">
        <v>5</v>
      </c>
      <c r="J74" s="306">
        <v>5</v>
      </c>
      <c r="K74" s="306">
        <v>5</v>
      </c>
      <c r="L74" s="306">
        <v>5</v>
      </c>
      <c r="M74" s="306">
        <v>5</v>
      </c>
      <c r="N74" s="306">
        <v>5</v>
      </c>
      <c r="O74" s="306">
        <v>5</v>
      </c>
      <c r="P74" s="306">
        <v>5</v>
      </c>
      <c r="Q74" s="306">
        <v>5</v>
      </c>
      <c r="R74" s="306">
        <v>5</v>
      </c>
      <c r="S74" s="306">
        <v>5</v>
      </c>
      <c r="T74" s="306">
        <v>5</v>
      </c>
      <c r="U74" s="306">
        <v>5</v>
      </c>
      <c r="V74" s="306">
        <v>5</v>
      </c>
      <c r="W74" s="306">
        <v>5</v>
      </c>
      <c r="X74" s="306">
        <v>5</v>
      </c>
      <c r="Y74" s="306">
        <v>5</v>
      </c>
      <c r="Z74" s="306">
        <v>5</v>
      </c>
      <c r="AA74" s="306">
        <v>5</v>
      </c>
      <c r="AB74" s="306">
        <v>5</v>
      </c>
      <c r="AC74" s="306">
        <v>5</v>
      </c>
      <c r="AD74" s="306">
        <v>5</v>
      </c>
      <c r="AE74" s="306">
        <v>5</v>
      </c>
      <c r="AF74" s="306">
        <v>5</v>
      </c>
      <c r="AG74" s="306">
        <v>5</v>
      </c>
    </row>
    <row r="75" spans="2:33" s="108" customFormat="1" ht="15.15" hidden="1" outlineLevel="1">
      <c r="B75" s="28"/>
      <c r="C75" s="183" t="s">
        <v>766</v>
      </c>
      <c r="D75" s="185" t="str">
        <f>IFERROR(D73/D74-1,"na")</f>
        <v>na</v>
      </c>
      <c r="E75" s="185" t="str">
        <f t="shared" ref="E75:AB75" si="85">IFERROR(E73/E74-1,"na")</f>
        <v>na</v>
      </c>
      <c r="F75" s="185" t="str">
        <f t="shared" si="85"/>
        <v>na</v>
      </c>
      <c r="G75" s="183" t="str">
        <f t="shared" ca="1" si="85"/>
        <v>na</v>
      </c>
      <c r="H75" s="183" t="str">
        <f t="shared" ca="1" si="85"/>
        <v>na</v>
      </c>
      <c r="I75" s="183" t="str">
        <f t="shared" ca="1" si="85"/>
        <v>na</v>
      </c>
      <c r="J75" s="183" t="str">
        <f t="shared" ca="1" si="85"/>
        <v>na</v>
      </c>
      <c r="K75" s="183" t="str">
        <f t="shared" ca="1" si="85"/>
        <v>na</v>
      </c>
      <c r="L75" s="183" t="str">
        <f t="shared" ca="1" si="85"/>
        <v>na</v>
      </c>
      <c r="M75" s="183" t="str">
        <f t="shared" ca="1" si="85"/>
        <v>na</v>
      </c>
      <c r="N75" s="183" t="str">
        <f t="shared" ca="1" si="85"/>
        <v>na</v>
      </c>
      <c r="O75" s="183" t="str">
        <f t="shared" ca="1" si="85"/>
        <v>na</v>
      </c>
      <c r="P75" s="183" t="str">
        <f t="shared" ca="1" si="85"/>
        <v>na</v>
      </c>
      <c r="Q75" s="183" t="str">
        <f t="shared" ca="1" si="85"/>
        <v>na</v>
      </c>
      <c r="R75" s="183" t="str">
        <f t="shared" ca="1" si="85"/>
        <v>na</v>
      </c>
      <c r="S75" s="183" t="str">
        <f t="shared" ca="1" si="85"/>
        <v>na</v>
      </c>
      <c r="T75" s="183" t="str">
        <f t="shared" ca="1" si="85"/>
        <v>na</v>
      </c>
      <c r="U75" s="183" t="str">
        <f t="shared" ca="1" si="85"/>
        <v>na</v>
      </c>
      <c r="V75" s="183" t="str">
        <f t="shared" ca="1" si="85"/>
        <v>na</v>
      </c>
      <c r="W75" s="183" t="str">
        <f t="shared" ca="1" si="85"/>
        <v>na</v>
      </c>
      <c r="X75" s="183" t="str">
        <f t="shared" ca="1" si="85"/>
        <v>na</v>
      </c>
      <c r="Y75" s="183" t="str">
        <f t="shared" ca="1" si="85"/>
        <v>na</v>
      </c>
      <c r="Z75" s="183" t="str">
        <f t="shared" ca="1" si="85"/>
        <v>na</v>
      </c>
      <c r="AA75" s="183" t="str">
        <f t="shared" ca="1" si="85"/>
        <v>na</v>
      </c>
      <c r="AB75" s="183" t="str">
        <f t="shared" ca="1" si="85"/>
        <v>na</v>
      </c>
      <c r="AC75" s="183" t="str">
        <f t="shared" ref="AC75:AF75" ca="1" si="86">IFERROR(AC73/AC74-1,"na")</f>
        <v>na</v>
      </c>
      <c r="AD75" s="183" t="str">
        <f t="shared" ca="1" si="86"/>
        <v>na</v>
      </c>
      <c r="AE75" s="183" t="str">
        <f t="shared" ca="1" si="86"/>
        <v>na</v>
      </c>
      <c r="AF75" s="183" t="str">
        <f t="shared" ca="1" si="86"/>
        <v>na</v>
      </c>
      <c r="AG75" s="183" t="str">
        <f t="shared" ref="AG75" ca="1" si="87">IFERROR(AG73/AG74-1,"na")</f>
        <v>na</v>
      </c>
    </row>
    <row r="76" spans="2:33" ht="14.4" collapsed="1">
      <c r="B76" s="1"/>
    </row>
    <row r="77" spans="2:33" s="107" customFormat="1" ht="15.15" hidden="1" outlineLevel="1">
      <c r="B77" s="180"/>
      <c r="C77" s="180" t="s">
        <v>780</v>
      </c>
      <c r="D77" s="261" t="str">
        <f t="shared" ref="D77:AB77" si="88">IF($D$12&gt;D$4,"na",INDEX(D$32:D$34,MATCH($B78,$C$32:$C$34,0))/(D37+D38+D39))</f>
        <v>na</v>
      </c>
      <c r="E77" s="261" t="str">
        <f t="shared" si="88"/>
        <v>na</v>
      </c>
      <c r="F77" s="261" t="str">
        <f t="shared" si="88"/>
        <v>na</v>
      </c>
      <c r="G77" s="261" t="e">
        <f t="shared" ca="1" si="88"/>
        <v>#DIV/0!</v>
      </c>
      <c r="H77" s="261" t="e">
        <f t="shared" ca="1" si="88"/>
        <v>#DIV/0!</v>
      </c>
      <c r="I77" s="261" t="e">
        <f t="shared" ca="1" si="88"/>
        <v>#DIV/0!</v>
      </c>
      <c r="J77" s="261" t="e">
        <f t="shared" ca="1" si="88"/>
        <v>#DIV/0!</v>
      </c>
      <c r="K77" s="261" t="e">
        <f t="shared" ca="1" si="88"/>
        <v>#DIV/0!</v>
      </c>
      <c r="L77" s="261" t="e">
        <f t="shared" ca="1" si="88"/>
        <v>#DIV/0!</v>
      </c>
      <c r="M77" s="261" t="e">
        <f t="shared" ca="1" si="88"/>
        <v>#DIV/0!</v>
      </c>
      <c r="N77" s="261" t="e">
        <f t="shared" ca="1" si="88"/>
        <v>#DIV/0!</v>
      </c>
      <c r="O77" s="261" t="e">
        <f t="shared" ca="1" si="88"/>
        <v>#DIV/0!</v>
      </c>
      <c r="P77" s="261" t="e">
        <f t="shared" ca="1" si="88"/>
        <v>#DIV/0!</v>
      </c>
      <c r="Q77" s="261" t="e">
        <f t="shared" ca="1" si="88"/>
        <v>#DIV/0!</v>
      </c>
      <c r="R77" s="261" t="e">
        <f t="shared" ca="1" si="88"/>
        <v>#DIV/0!</v>
      </c>
      <c r="S77" s="261" t="e">
        <f t="shared" ca="1" si="88"/>
        <v>#DIV/0!</v>
      </c>
      <c r="T77" s="261" t="e">
        <f t="shared" ca="1" si="88"/>
        <v>#DIV/0!</v>
      </c>
      <c r="U77" s="261" t="e">
        <f t="shared" ca="1" si="88"/>
        <v>#DIV/0!</v>
      </c>
      <c r="V77" s="261" t="e">
        <f t="shared" ca="1" si="88"/>
        <v>#DIV/0!</v>
      </c>
      <c r="W77" s="261" t="e">
        <f t="shared" ca="1" si="88"/>
        <v>#DIV/0!</v>
      </c>
      <c r="X77" s="261" t="e">
        <f t="shared" ca="1" si="88"/>
        <v>#DIV/0!</v>
      </c>
      <c r="Y77" s="261" t="e">
        <f t="shared" ca="1" si="88"/>
        <v>#DIV/0!</v>
      </c>
      <c r="Z77" s="261" t="e">
        <f t="shared" ca="1" si="88"/>
        <v>#DIV/0!</v>
      </c>
      <c r="AA77" s="261" t="e">
        <f t="shared" ca="1" si="88"/>
        <v>#DIV/0!</v>
      </c>
      <c r="AB77" s="261" t="e">
        <f t="shared" ca="1" si="88"/>
        <v>#VALUE!</v>
      </c>
      <c r="AC77" s="261" t="e">
        <f t="shared" ref="AC77:AF77" ca="1" si="89">IF($D$12&gt;AC$4,"na",INDEX(AC$32:AC$34,MATCH($B78,$C$32:$C$34,0))/(AC37+AC38+AC39))</f>
        <v>#VALUE!</v>
      </c>
      <c r="AD77" s="261" t="e">
        <f t="shared" ca="1" si="89"/>
        <v>#VALUE!</v>
      </c>
      <c r="AE77" s="261" t="e">
        <f t="shared" ca="1" si="89"/>
        <v>#VALUE!</v>
      </c>
      <c r="AF77" s="261" t="e">
        <f t="shared" ca="1" si="89"/>
        <v>#VALUE!</v>
      </c>
      <c r="AG77" s="261" t="e">
        <f t="shared" ref="AG77" ca="1" si="90">IF($D$12&gt;AG$4,"na",INDEX(AG$32:AG$34,MATCH($B78,$C$32:$C$34,0))/(AG37+AG38+AG39))</f>
        <v>#VALUE!</v>
      </c>
    </row>
    <row r="78" spans="2:33" s="106" customFormat="1" ht="15.15" hidden="1" outlineLevel="1">
      <c r="B78" s="197" t="s">
        <v>771</v>
      </c>
      <c r="C78" s="94" t="s">
        <v>765</v>
      </c>
      <c r="D78" s="306">
        <v>1.5</v>
      </c>
      <c r="E78" s="306">
        <v>1.5</v>
      </c>
      <c r="F78" s="306">
        <v>1.5</v>
      </c>
      <c r="G78" s="306">
        <v>1.5</v>
      </c>
      <c r="H78" s="306">
        <v>1.5</v>
      </c>
      <c r="I78" s="306">
        <v>1.5</v>
      </c>
      <c r="J78" s="306">
        <v>1.5</v>
      </c>
      <c r="K78" s="306">
        <v>1.5</v>
      </c>
      <c r="L78" s="306">
        <v>1.5</v>
      </c>
      <c r="M78" s="306">
        <v>1.5</v>
      </c>
      <c r="N78" s="306">
        <v>1.5</v>
      </c>
      <c r="O78" s="306">
        <v>1.5</v>
      </c>
      <c r="P78" s="306">
        <v>1.5</v>
      </c>
      <c r="Q78" s="306">
        <v>1.5</v>
      </c>
      <c r="R78" s="306">
        <v>1.5</v>
      </c>
      <c r="S78" s="306">
        <v>1.5</v>
      </c>
      <c r="T78" s="306">
        <v>1.5</v>
      </c>
      <c r="U78" s="306">
        <v>1.5</v>
      </c>
      <c r="V78" s="306">
        <v>1.5</v>
      </c>
      <c r="W78" s="306">
        <v>1.5</v>
      </c>
      <c r="X78" s="306">
        <v>1.5</v>
      </c>
      <c r="Y78" s="306">
        <v>1.5</v>
      </c>
      <c r="Z78" s="306">
        <v>1.5</v>
      </c>
      <c r="AA78" s="306">
        <v>1.5</v>
      </c>
      <c r="AB78" s="306">
        <v>1.5</v>
      </c>
      <c r="AC78" s="306">
        <v>1.5</v>
      </c>
      <c r="AD78" s="306">
        <v>1.5</v>
      </c>
      <c r="AE78" s="306">
        <v>1.5</v>
      </c>
      <c r="AF78" s="306">
        <v>1.5</v>
      </c>
      <c r="AG78" s="306">
        <v>1.5</v>
      </c>
    </row>
    <row r="79" spans="2:33" s="108" customFormat="1" ht="15.15" hidden="1" outlineLevel="1">
      <c r="B79" s="28"/>
      <c r="C79" s="183" t="s">
        <v>766</v>
      </c>
      <c r="D79" s="185" t="str">
        <f>IFERROR(D77/D78-1,"na")</f>
        <v>na</v>
      </c>
      <c r="E79" s="185" t="str">
        <f t="shared" ref="E79:AB79" si="91">IFERROR(E77/E78-1,"na")</f>
        <v>na</v>
      </c>
      <c r="F79" s="185" t="str">
        <f t="shared" si="91"/>
        <v>na</v>
      </c>
      <c r="G79" s="183" t="str">
        <f t="shared" ca="1" si="91"/>
        <v>na</v>
      </c>
      <c r="H79" s="183" t="str">
        <f t="shared" ca="1" si="91"/>
        <v>na</v>
      </c>
      <c r="I79" s="183" t="str">
        <f t="shared" ca="1" si="91"/>
        <v>na</v>
      </c>
      <c r="J79" s="183" t="str">
        <f t="shared" ca="1" si="91"/>
        <v>na</v>
      </c>
      <c r="K79" s="183" t="str">
        <f t="shared" ca="1" si="91"/>
        <v>na</v>
      </c>
      <c r="L79" s="183" t="str">
        <f t="shared" ca="1" si="91"/>
        <v>na</v>
      </c>
      <c r="M79" s="183" t="str">
        <f t="shared" ca="1" si="91"/>
        <v>na</v>
      </c>
      <c r="N79" s="183" t="str">
        <f t="shared" ca="1" si="91"/>
        <v>na</v>
      </c>
      <c r="O79" s="183" t="str">
        <f t="shared" ca="1" si="91"/>
        <v>na</v>
      </c>
      <c r="P79" s="183" t="str">
        <f t="shared" ca="1" si="91"/>
        <v>na</v>
      </c>
      <c r="Q79" s="183" t="str">
        <f t="shared" ca="1" si="91"/>
        <v>na</v>
      </c>
      <c r="R79" s="183" t="str">
        <f t="shared" ca="1" si="91"/>
        <v>na</v>
      </c>
      <c r="S79" s="183" t="str">
        <f t="shared" ca="1" si="91"/>
        <v>na</v>
      </c>
      <c r="T79" s="183" t="str">
        <f t="shared" ca="1" si="91"/>
        <v>na</v>
      </c>
      <c r="U79" s="183" t="str">
        <f t="shared" ca="1" si="91"/>
        <v>na</v>
      </c>
      <c r="V79" s="183" t="str">
        <f t="shared" ca="1" si="91"/>
        <v>na</v>
      </c>
      <c r="W79" s="183" t="str">
        <f t="shared" ca="1" si="91"/>
        <v>na</v>
      </c>
      <c r="X79" s="183" t="str">
        <f t="shared" ca="1" si="91"/>
        <v>na</v>
      </c>
      <c r="Y79" s="183" t="str">
        <f t="shared" ca="1" si="91"/>
        <v>na</v>
      </c>
      <c r="Z79" s="183" t="str">
        <f t="shared" ca="1" si="91"/>
        <v>na</v>
      </c>
      <c r="AA79" s="183" t="str">
        <f t="shared" ca="1" si="91"/>
        <v>na</v>
      </c>
      <c r="AB79" s="183" t="str">
        <f t="shared" ca="1" si="91"/>
        <v>na</v>
      </c>
      <c r="AC79" s="183" t="str">
        <f t="shared" ref="AC79:AF79" ca="1" si="92">IFERROR(AC77/AC78-1,"na")</f>
        <v>na</v>
      </c>
      <c r="AD79" s="183" t="str">
        <f t="shared" ca="1" si="92"/>
        <v>na</v>
      </c>
      <c r="AE79" s="183" t="str">
        <f t="shared" ca="1" si="92"/>
        <v>na</v>
      </c>
      <c r="AF79" s="183" t="str">
        <f t="shared" ca="1" si="92"/>
        <v>na</v>
      </c>
      <c r="AG79" s="183" t="str">
        <f t="shared" ref="AG79" ca="1" si="93">IFERROR(AG77/AG78-1,"na")</f>
        <v>na</v>
      </c>
    </row>
    <row r="80" spans="2:33" ht="14.4" hidden="1" outlineLevel="1">
      <c r="B80" s="1"/>
    </row>
    <row r="81" spans="2:33" s="107" customFormat="1" ht="15.15" hidden="1" outlineLevel="1">
      <c r="B81" s="180"/>
      <c r="C81" s="180" t="s">
        <v>788</v>
      </c>
      <c r="D81" s="261" t="str">
        <f t="shared" ref="D81:AB81" si="94">IF($D$12&gt;D$4,"na",(INDEX(D$32:D$34,MATCH($B82,$C$32:$C$34,0))+D31)/(D37+D38+D39))</f>
        <v>na</v>
      </c>
      <c r="E81" s="261" t="str">
        <f t="shared" si="94"/>
        <v>na</v>
      </c>
      <c r="F81" s="261" t="str">
        <f t="shared" si="94"/>
        <v>na</v>
      </c>
      <c r="G81" s="261" t="e">
        <f t="shared" ca="1" si="94"/>
        <v>#DIV/0!</v>
      </c>
      <c r="H81" s="261" t="e">
        <f t="shared" ca="1" si="94"/>
        <v>#DIV/0!</v>
      </c>
      <c r="I81" s="261" t="e">
        <f t="shared" ca="1" si="94"/>
        <v>#DIV/0!</v>
      </c>
      <c r="J81" s="261" t="e">
        <f t="shared" ca="1" si="94"/>
        <v>#DIV/0!</v>
      </c>
      <c r="K81" s="261" t="e">
        <f t="shared" ca="1" si="94"/>
        <v>#DIV/0!</v>
      </c>
      <c r="L81" s="261" t="e">
        <f t="shared" ca="1" si="94"/>
        <v>#DIV/0!</v>
      </c>
      <c r="M81" s="261" t="e">
        <f t="shared" ca="1" si="94"/>
        <v>#DIV/0!</v>
      </c>
      <c r="N81" s="261" t="e">
        <f t="shared" ca="1" si="94"/>
        <v>#DIV/0!</v>
      </c>
      <c r="O81" s="261" t="e">
        <f t="shared" ca="1" si="94"/>
        <v>#DIV/0!</v>
      </c>
      <c r="P81" s="261" t="e">
        <f t="shared" ca="1" si="94"/>
        <v>#DIV/0!</v>
      </c>
      <c r="Q81" s="261" t="e">
        <f t="shared" ca="1" si="94"/>
        <v>#DIV/0!</v>
      </c>
      <c r="R81" s="261" t="e">
        <f t="shared" ca="1" si="94"/>
        <v>#DIV/0!</v>
      </c>
      <c r="S81" s="261" t="e">
        <f t="shared" ca="1" si="94"/>
        <v>#DIV/0!</v>
      </c>
      <c r="T81" s="261" t="e">
        <f t="shared" ca="1" si="94"/>
        <v>#DIV/0!</v>
      </c>
      <c r="U81" s="261" t="e">
        <f t="shared" ca="1" si="94"/>
        <v>#DIV/0!</v>
      </c>
      <c r="V81" s="261" t="e">
        <f t="shared" ca="1" si="94"/>
        <v>#DIV/0!</v>
      </c>
      <c r="W81" s="261" t="e">
        <f t="shared" ca="1" si="94"/>
        <v>#DIV/0!</v>
      </c>
      <c r="X81" s="261" t="e">
        <f t="shared" ca="1" si="94"/>
        <v>#DIV/0!</v>
      </c>
      <c r="Y81" s="261" t="e">
        <f t="shared" ca="1" si="94"/>
        <v>#DIV/0!</v>
      </c>
      <c r="Z81" s="261" t="e">
        <f t="shared" ca="1" si="94"/>
        <v>#DIV/0!</v>
      </c>
      <c r="AA81" s="261" t="e">
        <f t="shared" ca="1" si="94"/>
        <v>#DIV/0!</v>
      </c>
      <c r="AB81" s="261" t="e">
        <f t="shared" ca="1" si="94"/>
        <v>#VALUE!</v>
      </c>
      <c r="AC81" s="261" t="e">
        <f t="shared" ref="AC81:AF81" ca="1" si="95">IF($D$12&gt;AC$4,"na",(INDEX(AC$32:AC$34,MATCH($B82,$C$32:$C$34,0))+AC31)/(AC37+AC38+AC39))</f>
        <v>#VALUE!</v>
      </c>
      <c r="AD81" s="261" t="e">
        <f t="shared" ca="1" si="95"/>
        <v>#VALUE!</v>
      </c>
      <c r="AE81" s="261" t="e">
        <f t="shared" ca="1" si="95"/>
        <v>#VALUE!</v>
      </c>
      <c r="AF81" s="261" t="e">
        <f t="shared" ca="1" si="95"/>
        <v>#VALUE!</v>
      </c>
      <c r="AG81" s="261" t="e">
        <f t="shared" ref="AG81" ca="1" si="96">IF($D$12&gt;AG$4,"na",(INDEX(AG$32:AG$34,MATCH($B82,$C$32:$C$34,0))+AG31)/(AG37+AG38+AG39))</f>
        <v>#VALUE!</v>
      </c>
    </row>
    <row r="82" spans="2:33" s="106" customFormat="1" ht="15.15" hidden="1" outlineLevel="1">
      <c r="B82" s="197" t="s">
        <v>782</v>
      </c>
      <c r="C82" s="94" t="s">
        <v>765</v>
      </c>
      <c r="D82" s="306">
        <v>1.5</v>
      </c>
      <c r="E82" s="306">
        <v>1.5</v>
      </c>
      <c r="F82" s="306">
        <v>1.5</v>
      </c>
      <c r="G82" s="306">
        <v>1.5</v>
      </c>
      <c r="H82" s="306">
        <v>1.5</v>
      </c>
      <c r="I82" s="306">
        <v>1.5</v>
      </c>
      <c r="J82" s="306">
        <v>1.5</v>
      </c>
      <c r="K82" s="306">
        <v>1.5</v>
      </c>
      <c r="L82" s="306">
        <v>1.5</v>
      </c>
      <c r="M82" s="306">
        <v>1.5</v>
      </c>
      <c r="N82" s="306">
        <v>1.5</v>
      </c>
      <c r="O82" s="306">
        <v>1.5</v>
      </c>
      <c r="P82" s="306">
        <v>1.5</v>
      </c>
      <c r="Q82" s="306">
        <v>1.5</v>
      </c>
      <c r="R82" s="306">
        <v>1.5</v>
      </c>
      <c r="S82" s="306">
        <v>1.5</v>
      </c>
      <c r="T82" s="306">
        <v>1.5</v>
      </c>
      <c r="U82" s="306">
        <v>1.5</v>
      </c>
      <c r="V82" s="306">
        <v>1.5</v>
      </c>
      <c r="W82" s="306">
        <v>1.5</v>
      </c>
      <c r="X82" s="306">
        <v>1.5</v>
      </c>
      <c r="Y82" s="306">
        <v>1.5</v>
      </c>
      <c r="Z82" s="306">
        <v>1.5</v>
      </c>
      <c r="AA82" s="306">
        <v>1.5</v>
      </c>
      <c r="AB82" s="306">
        <v>1.5</v>
      </c>
      <c r="AC82" s="306">
        <v>1.5</v>
      </c>
      <c r="AD82" s="306">
        <v>1.5</v>
      </c>
      <c r="AE82" s="306">
        <v>1.5</v>
      </c>
      <c r="AF82" s="306">
        <v>1.5</v>
      </c>
      <c r="AG82" s="306">
        <v>1.5</v>
      </c>
    </row>
    <row r="83" spans="2:33" s="108" customFormat="1" ht="15.15" hidden="1" outlineLevel="1">
      <c r="B83" s="28"/>
      <c r="C83" s="183" t="s">
        <v>766</v>
      </c>
      <c r="D83" s="185" t="str">
        <f>IFERROR(D81/D82-1,"na")</f>
        <v>na</v>
      </c>
      <c r="E83" s="185" t="str">
        <f t="shared" ref="E83:AB83" si="97">IFERROR(E81/E82-1,"na")</f>
        <v>na</v>
      </c>
      <c r="F83" s="185" t="str">
        <f t="shared" si="97"/>
        <v>na</v>
      </c>
      <c r="G83" s="183" t="str">
        <f t="shared" ca="1" si="97"/>
        <v>na</v>
      </c>
      <c r="H83" s="183" t="str">
        <f t="shared" ca="1" si="97"/>
        <v>na</v>
      </c>
      <c r="I83" s="183" t="str">
        <f t="shared" ca="1" si="97"/>
        <v>na</v>
      </c>
      <c r="J83" s="183" t="str">
        <f t="shared" ca="1" si="97"/>
        <v>na</v>
      </c>
      <c r="K83" s="183" t="str">
        <f t="shared" ca="1" si="97"/>
        <v>na</v>
      </c>
      <c r="L83" s="183" t="str">
        <f t="shared" ca="1" si="97"/>
        <v>na</v>
      </c>
      <c r="M83" s="183" t="str">
        <f t="shared" ca="1" si="97"/>
        <v>na</v>
      </c>
      <c r="N83" s="183" t="str">
        <f t="shared" ca="1" si="97"/>
        <v>na</v>
      </c>
      <c r="O83" s="183" t="str">
        <f t="shared" ca="1" si="97"/>
        <v>na</v>
      </c>
      <c r="P83" s="183" t="str">
        <f t="shared" ca="1" si="97"/>
        <v>na</v>
      </c>
      <c r="Q83" s="183" t="str">
        <f t="shared" ca="1" si="97"/>
        <v>na</v>
      </c>
      <c r="R83" s="183" t="str">
        <f t="shared" ca="1" si="97"/>
        <v>na</v>
      </c>
      <c r="S83" s="183" t="str">
        <f t="shared" ca="1" si="97"/>
        <v>na</v>
      </c>
      <c r="T83" s="183" t="str">
        <f t="shared" ca="1" si="97"/>
        <v>na</v>
      </c>
      <c r="U83" s="183" t="str">
        <f t="shared" ca="1" si="97"/>
        <v>na</v>
      </c>
      <c r="V83" s="183" t="str">
        <f t="shared" ca="1" si="97"/>
        <v>na</v>
      </c>
      <c r="W83" s="183" t="str">
        <f t="shared" ca="1" si="97"/>
        <v>na</v>
      </c>
      <c r="X83" s="183" t="str">
        <f t="shared" ca="1" si="97"/>
        <v>na</v>
      </c>
      <c r="Y83" s="183" t="str">
        <f t="shared" ca="1" si="97"/>
        <v>na</v>
      </c>
      <c r="Z83" s="183" t="str">
        <f t="shared" ca="1" si="97"/>
        <v>na</v>
      </c>
      <c r="AA83" s="183" t="str">
        <f t="shared" ca="1" si="97"/>
        <v>na</v>
      </c>
      <c r="AB83" s="183" t="str">
        <f t="shared" ca="1" si="97"/>
        <v>na</v>
      </c>
      <c r="AC83" s="183" t="str">
        <f t="shared" ref="AC83:AF83" ca="1" si="98">IFERROR(AC81/AC82-1,"na")</f>
        <v>na</v>
      </c>
      <c r="AD83" s="183" t="str">
        <f t="shared" ca="1" si="98"/>
        <v>na</v>
      </c>
      <c r="AE83" s="183" t="str">
        <f t="shared" ca="1" si="98"/>
        <v>na</v>
      </c>
      <c r="AF83" s="183" t="str">
        <f t="shared" ca="1" si="98"/>
        <v>na</v>
      </c>
      <c r="AG83" s="183" t="str">
        <f t="shared" ref="AG83" ca="1" si="99">IFERROR(AG81/AG82-1,"na")</f>
        <v>na</v>
      </c>
    </row>
    <row r="84" spans="2:33" s="28" customFormat="1" hidden="1" outlineLevel="1"/>
    <row r="85" spans="2:33" s="107" customFormat="1" ht="15.15" hidden="1" outlineLevel="1">
      <c r="B85" s="34"/>
      <c r="C85" s="180" t="s">
        <v>781</v>
      </c>
      <c r="D85" s="227" t="str">
        <f>IF($D$12&gt;D$4,"na",D35)</f>
        <v>na</v>
      </c>
      <c r="E85" s="227" t="str">
        <f t="shared" ref="E85:AB85" si="100">IF($D$12&gt;E$4,"na",E35)</f>
        <v>na</v>
      </c>
      <c r="F85" s="227" t="str">
        <f t="shared" si="100"/>
        <v>na</v>
      </c>
      <c r="G85" s="180">
        <f t="shared" ca="1" si="100"/>
        <v>0</v>
      </c>
      <c r="H85" s="180">
        <f t="shared" ca="1" si="100"/>
        <v>0</v>
      </c>
      <c r="I85" s="180">
        <f t="shared" ca="1" si="100"/>
        <v>0</v>
      </c>
      <c r="J85" s="180">
        <f t="shared" ca="1" si="100"/>
        <v>0</v>
      </c>
      <c r="K85" s="180">
        <f t="shared" ca="1" si="100"/>
        <v>0</v>
      </c>
      <c r="L85" s="180">
        <f t="shared" ca="1" si="100"/>
        <v>0</v>
      </c>
      <c r="M85" s="180">
        <f t="shared" ca="1" si="100"/>
        <v>0</v>
      </c>
      <c r="N85" s="180">
        <f t="shared" ca="1" si="100"/>
        <v>0</v>
      </c>
      <c r="O85" s="180">
        <f t="shared" ca="1" si="100"/>
        <v>0</v>
      </c>
      <c r="P85" s="180">
        <f t="shared" ca="1" si="100"/>
        <v>0</v>
      </c>
      <c r="Q85" s="180">
        <f t="shared" ca="1" si="100"/>
        <v>0</v>
      </c>
      <c r="R85" s="180">
        <f t="shared" ca="1" si="100"/>
        <v>0</v>
      </c>
      <c r="S85" s="180">
        <f t="shared" ca="1" si="100"/>
        <v>0</v>
      </c>
      <c r="T85" s="180">
        <f t="shared" ca="1" si="100"/>
        <v>0</v>
      </c>
      <c r="U85" s="180">
        <f t="shared" ca="1" si="100"/>
        <v>0</v>
      </c>
      <c r="V85" s="180">
        <f t="shared" ca="1" si="100"/>
        <v>0</v>
      </c>
      <c r="W85" s="180">
        <f t="shared" ca="1" si="100"/>
        <v>0</v>
      </c>
      <c r="X85" s="180">
        <f t="shared" ca="1" si="100"/>
        <v>0</v>
      </c>
      <c r="Y85" s="180">
        <f t="shared" ca="1" si="100"/>
        <v>0</v>
      </c>
      <c r="Z85" s="180">
        <f t="shared" ca="1" si="100"/>
        <v>0</v>
      </c>
      <c r="AA85" s="180">
        <f t="shared" ca="1" si="100"/>
        <v>0</v>
      </c>
      <c r="AB85" s="180">
        <f t="shared" ca="1" si="100"/>
        <v>0</v>
      </c>
      <c r="AC85" s="180">
        <f t="shared" ref="AC85:AF85" ca="1" si="101">IF($D$12&gt;AC$4,"na",AC35)</f>
        <v>0</v>
      </c>
      <c r="AD85" s="180">
        <f t="shared" ca="1" si="101"/>
        <v>0</v>
      </c>
      <c r="AE85" s="180">
        <f t="shared" ca="1" si="101"/>
        <v>0</v>
      </c>
      <c r="AF85" s="180">
        <f t="shared" ca="1" si="101"/>
        <v>0</v>
      </c>
      <c r="AG85" s="180">
        <f t="shared" ref="AG85" ca="1" si="102">IF($D$12&gt;AG$4,"na",AG35)</f>
        <v>0</v>
      </c>
    </row>
    <row r="86" spans="2:33" s="106" customFormat="1" ht="15.15" hidden="1" outlineLevel="1">
      <c r="B86" s="94"/>
      <c r="C86" s="28" t="s">
        <v>765</v>
      </c>
      <c r="D86" s="197">
        <v>7000000</v>
      </c>
      <c r="E86" s="197">
        <v>7000000</v>
      </c>
      <c r="F86" s="197">
        <v>7000000</v>
      </c>
      <c r="G86" s="197">
        <v>7000000</v>
      </c>
      <c r="H86" s="197">
        <v>7000000</v>
      </c>
      <c r="I86" s="197">
        <v>7000000</v>
      </c>
      <c r="J86" s="197">
        <v>7000000</v>
      </c>
      <c r="K86" s="197">
        <v>7000000</v>
      </c>
      <c r="L86" s="197">
        <v>7000000</v>
      </c>
      <c r="M86" s="197">
        <v>7000000</v>
      </c>
      <c r="N86" s="197">
        <v>7000000</v>
      </c>
      <c r="O86" s="197">
        <v>7000000</v>
      </c>
      <c r="P86" s="197">
        <v>7000000</v>
      </c>
      <c r="Q86" s="197">
        <v>7000000</v>
      </c>
      <c r="R86" s="197">
        <v>7000000</v>
      </c>
      <c r="S86" s="197">
        <v>7000000</v>
      </c>
      <c r="T86" s="197">
        <v>7000000</v>
      </c>
      <c r="U86" s="197">
        <v>7000000</v>
      </c>
      <c r="V86" s="197">
        <v>7000000</v>
      </c>
      <c r="W86" s="197">
        <v>7000000</v>
      </c>
      <c r="X86" s="197">
        <v>7000000</v>
      </c>
      <c r="Y86" s="197">
        <v>7000000</v>
      </c>
      <c r="Z86" s="197">
        <v>7000000</v>
      </c>
      <c r="AA86" s="197">
        <v>7000000</v>
      </c>
      <c r="AB86" s="197">
        <v>7000000</v>
      </c>
      <c r="AC86" s="197">
        <v>7000000</v>
      </c>
      <c r="AD86" s="197">
        <v>7000000</v>
      </c>
      <c r="AE86" s="197">
        <v>7000000</v>
      </c>
      <c r="AF86" s="197">
        <v>7000000</v>
      </c>
      <c r="AG86" s="197">
        <v>7000000</v>
      </c>
    </row>
    <row r="87" spans="2:33" s="183" customFormat="1" hidden="1" outlineLevel="1">
      <c r="C87" s="183" t="s">
        <v>766</v>
      </c>
      <c r="D87" s="185" t="str">
        <f t="shared" ref="D87:AB87" si="103">IFERROR(D86/D85-1,"na")</f>
        <v>na</v>
      </c>
      <c r="E87" s="185" t="str">
        <f t="shared" si="103"/>
        <v>na</v>
      </c>
      <c r="F87" s="185" t="str">
        <f t="shared" si="103"/>
        <v>na</v>
      </c>
      <c r="G87" s="183" t="str">
        <f t="shared" ca="1" si="103"/>
        <v>na</v>
      </c>
      <c r="H87" s="183" t="str">
        <f t="shared" ca="1" si="103"/>
        <v>na</v>
      </c>
      <c r="I87" s="183" t="str">
        <f t="shared" ca="1" si="103"/>
        <v>na</v>
      </c>
      <c r="J87" s="183" t="str">
        <f t="shared" ca="1" si="103"/>
        <v>na</v>
      </c>
      <c r="K87" s="183" t="str">
        <f t="shared" ca="1" si="103"/>
        <v>na</v>
      </c>
      <c r="L87" s="183" t="str">
        <f t="shared" ca="1" si="103"/>
        <v>na</v>
      </c>
      <c r="M87" s="183" t="str">
        <f t="shared" ca="1" si="103"/>
        <v>na</v>
      </c>
      <c r="N87" s="183" t="str">
        <f t="shared" ca="1" si="103"/>
        <v>na</v>
      </c>
      <c r="O87" s="183" t="str">
        <f t="shared" ca="1" si="103"/>
        <v>na</v>
      </c>
      <c r="P87" s="183" t="str">
        <f t="shared" ca="1" si="103"/>
        <v>na</v>
      </c>
      <c r="Q87" s="183" t="str">
        <f t="shared" ca="1" si="103"/>
        <v>na</v>
      </c>
      <c r="R87" s="183" t="str">
        <f t="shared" ca="1" si="103"/>
        <v>na</v>
      </c>
      <c r="S87" s="183" t="str">
        <f t="shared" ca="1" si="103"/>
        <v>na</v>
      </c>
      <c r="T87" s="183" t="str">
        <f t="shared" ca="1" si="103"/>
        <v>na</v>
      </c>
      <c r="U87" s="183" t="str">
        <f t="shared" ca="1" si="103"/>
        <v>na</v>
      </c>
      <c r="V87" s="183" t="str">
        <f t="shared" ca="1" si="103"/>
        <v>na</v>
      </c>
      <c r="W87" s="183" t="str">
        <f t="shared" ca="1" si="103"/>
        <v>na</v>
      </c>
      <c r="X87" s="183" t="str">
        <f t="shared" ca="1" si="103"/>
        <v>na</v>
      </c>
      <c r="Y87" s="183" t="str">
        <f t="shared" ca="1" si="103"/>
        <v>na</v>
      </c>
      <c r="Z87" s="183" t="str">
        <f t="shared" ca="1" si="103"/>
        <v>na</v>
      </c>
      <c r="AA87" s="183" t="str">
        <f t="shared" ca="1" si="103"/>
        <v>na</v>
      </c>
      <c r="AB87" s="183" t="str">
        <f t="shared" ca="1" si="103"/>
        <v>na</v>
      </c>
      <c r="AC87" s="183" t="str">
        <f t="shared" ref="AC87:AF87" ca="1" si="104">IFERROR(AC86/AC85-1,"na")</f>
        <v>na</v>
      </c>
      <c r="AD87" s="183" t="str">
        <f t="shared" ca="1" si="104"/>
        <v>na</v>
      </c>
      <c r="AE87" s="183" t="str">
        <f t="shared" ca="1" si="104"/>
        <v>na</v>
      </c>
      <c r="AF87" s="183" t="str">
        <f t="shared" ca="1" si="104"/>
        <v>na</v>
      </c>
      <c r="AG87" s="183" t="str">
        <f t="shared" ref="AG87" ca="1" si="105">IFERROR(AG86/AG85-1,"na")</f>
        <v>na</v>
      </c>
    </row>
    <row r="88" spans="2:33" ht="14.4" collapsed="1">
      <c r="B88" s="1"/>
    </row>
  </sheetData>
  <phoneticPr fontId="52" type="noConversion"/>
  <conditionalFormatting sqref="D5:AF6">
    <cfRule type="cellIs" dxfId="99" priority="8" operator="equal">
      <formula>TRUE</formula>
    </cfRule>
  </conditionalFormatting>
  <conditionalFormatting sqref="D45:AF45 D87:AF87 D49:AF49 D54:AF54 D58:AF58 D63:AF63 D67:AF67 D71:AF71 D75:AF75 D79:AF79 D83:AF83">
    <cfRule type="cellIs" dxfId="98" priority="7" operator="lessThan">
      <formula>0</formula>
    </cfRule>
  </conditionalFormatting>
  <conditionalFormatting sqref="D5:AF6">
    <cfRule type="cellIs" dxfId="97" priority="6" operator="equal">
      <formula>TRUE</formula>
    </cfRule>
  </conditionalFormatting>
  <conditionalFormatting sqref="D5:AF6">
    <cfRule type="cellIs" dxfId="96" priority="5" operator="equal">
      <formula>TRUE</formula>
    </cfRule>
  </conditionalFormatting>
  <conditionalFormatting sqref="AG5:AG6">
    <cfRule type="cellIs" dxfId="95" priority="4" operator="equal">
      <formula>TRUE</formula>
    </cfRule>
  </conditionalFormatting>
  <conditionalFormatting sqref="AG45 AG87 AG49 AG54 AG58 AG63 AG67 AG71 AG75 AG79 AG83">
    <cfRule type="cellIs" dxfId="94" priority="3" operator="lessThan">
      <formula>0</formula>
    </cfRule>
  </conditionalFormatting>
  <conditionalFormatting sqref="AG5:AG6">
    <cfRule type="cellIs" dxfId="93" priority="2" operator="equal">
      <formula>TRUE</formula>
    </cfRule>
  </conditionalFormatting>
  <conditionalFormatting sqref="AG5:AG6">
    <cfRule type="cellIs" dxfId="92" priority="1" operator="equal">
      <formula>TRUE</formula>
    </cfRule>
  </conditionalFormatting>
  <dataValidations count="2">
    <dataValidation type="list" allowBlank="1" showInputMessage="1" showErrorMessage="1" sqref="B44 B82 B70 B78 B74 B66 B62 B57 B53 B48">
      <formula1>$C$32:$C$34</formula1>
    </dataValidation>
    <dataValidation type="list" allowBlank="1" showInputMessage="1" showErrorMessage="1" sqref="B86">
      <formula1>$C$21:$C$23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41" r:id="rId3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292608</xdr:colOff>
                    <xdr:row>2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42" r:id="rId4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292608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tabColor theme="0"/>
  </sheetPr>
  <dimension ref="A1:AG106"/>
  <sheetViews>
    <sheetView zoomScale="90" zoomScaleNormal="90" workbookViewId="0">
      <pane xSplit="3" ySplit="8" topLeftCell="D9" activePane="bottomRight" state="frozen"/>
      <selection activeCell="E19" sqref="E19"/>
      <selection pane="topRight" activeCell="E19" sqref="E19"/>
      <selection pane="bottomLeft" activeCell="E19" sqref="E19"/>
      <selection pane="bottomRight" activeCell="D10" sqref="D10"/>
    </sheetView>
  </sheetViews>
  <sheetFormatPr defaultColWidth="9.140625" defaultRowHeight="14.4" outlineLevelRow="1"/>
  <cols>
    <col min="1" max="1" width="3.5703125" style="1" customWidth="1"/>
    <col min="2" max="2" width="3.28515625" style="1" customWidth="1"/>
    <col min="3" max="3" width="36.85546875" style="1" customWidth="1"/>
    <col min="4" max="7" width="17.28515625" style="1" customWidth="1"/>
    <col min="8" max="8" width="17.140625" style="1" customWidth="1"/>
    <col min="9" max="9" width="16.85546875" style="1" customWidth="1"/>
    <col min="10" max="10" width="17.140625" style="1" customWidth="1"/>
    <col min="11" max="11" width="13.42578125" style="1" customWidth="1"/>
    <col min="12" max="12" width="17.5703125" style="1" customWidth="1"/>
    <col min="13" max="16" width="16.85546875" style="1" customWidth="1"/>
    <col min="17" max="27" width="15.140625" style="1" customWidth="1"/>
    <col min="28" max="28" width="15.85546875" style="1" customWidth="1"/>
    <col min="29" max="29" width="13.85546875" style="1" customWidth="1"/>
    <col min="30" max="33" width="14.7109375" style="1" bestFit="1" customWidth="1"/>
    <col min="34" max="35" width="10.42578125" style="1" bestFit="1" customWidth="1"/>
    <col min="36" max="36" width="11.5703125" style="1" bestFit="1" customWidth="1"/>
    <col min="37" max="16384" width="9.140625" style="1"/>
  </cols>
  <sheetData>
    <row r="1" spans="3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33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3:33" ht="14.6" customHeight="1"/>
    <row r="4" spans="3:33" s="34" customFormat="1" ht="14.6" customHeight="1">
      <c r="C4" s="307" t="s">
        <v>719</v>
      </c>
      <c r="D4" s="307">
        <f>EOMONTH('Control Panel'!B11-1,3)</f>
        <v>43555</v>
      </c>
      <c r="E4" s="307">
        <f>EOMONTH(D4,3)</f>
        <v>43646</v>
      </c>
      <c r="F4" s="307">
        <f t="shared" ref="F4:AB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ref="AC4" si="1">EOMONTH(AB4,3)</f>
        <v>45838</v>
      </c>
      <c r="AD4" s="307">
        <f t="shared" ref="AD4" si="2">EOMONTH(AC4,3)</f>
        <v>45930</v>
      </c>
      <c r="AE4" s="307">
        <f t="shared" ref="AE4" si="3">EOMONTH(AD4,3)</f>
        <v>46022</v>
      </c>
      <c r="AF4" s="307">
        <f t="shared" ref="AF4:AG4" si="4">EOMONTH(AE4,3)</f>
        <v>46112</v>
      </c>
      <c r="AG4" s="307">
        <f t="shared" si="4"/>
        <v>46203</v>
      </c>
    </row>
    <row r="5" spans="3:33" s="28" customFormat="1" ht="14.6" customHeight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3:33" s="28" customFormat="1" ht="14.6" customHeight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3:33" ht="14.6" customHeight="1">
      <c r="C7" s="209"/>
      <c r="D7" s="380">
        <f>YEAR(D4)</f>
        <v>2019</v>
      </c>
      <c r="E7" s="380">
        <f t="shared" ref="E7:AB7" si="5">YEAR(E4)</f>
        <v>2019</v>
      </c>
      <c r="F7" s="380">
        <f t="shared" si="5"/>
        <v>2019</v>
      </c>
      <c r="G7" s="380">
        <f t="shared" si="5"/>
        <v>2019</v>
      </c>
      <c r="H7" s="380">
        <f t="shared" si="5"/>
        <v>2020</v>
      </c>
      <c r="I7" s="380">
        <f t="shared" si="5"/>
        <v>2020</v>
      </c>
      <c r="J7" s="380">
        <f t="shared" si="5"/>
        <v>2020</v>
      </c>
      <c r="K7" s="380">
        <f t="shared" si="5"/>
        <v>2020</v>
      </c>
      <c r="L7" s="380">
        <f t="shared" si="5"/>
        <v>2021</v>
      </c>
      <c r="M7" s="380">
        <f t="shared" si="5"/>
        <v>2021</v>
      </c>
      <c r="N7" s="380">
        <f t="shared" si="5"/>
        <v>2021</v>
      </c>
      <c r="O7" s="380">
        <f t="shared" si="5"/>
        <v>2021</v>
      </c>
      <c r="P7" s="380">
        <f t="shared" si="5"/>
        <v>2022</v>
      </c>
      <c r="Q7" s="380">
        <f t="shared" si="5"/>
        <v>2022</v>
      </c>
      <c r="R7" s="380">
        <f t="shared" si="5"/>
        <v>2022</v>
      </c>
      <c r="S7" s="380">
        <f t="shared" si="5"/>
        <v>2022</v>
      </c>
      <c r="T7" s="380">
        <f t="shared" si="5"/>
        <v>2023</v>
      </c>
      <c r="U7" s="380">
        <f t="shared" si="5"/>
        <v>2023</v>
      </c>
      <c r="V7" s="380">
        <f t="shared" si="5"/>
        <v>2023</v>
      </c>
      <c r="W7" s="380">
        <f t="shared" si="5"/>
        <v>2023</v>
      </c>
      <c r="X7" s="380">
        <f t="shared" si="5"/>
        <v>2024</v>
      </c>
      <c r="Y7" s="380">
        <f t="shared" si="5"/>
        <v>2024</v>
      </c>
      <c r="Z7" s="380">
        <f t="shared" si="5"/>
        <v>2024</v>
      </c>
      <c r="AA7" s="380">
        <f t="shared" si="5"/>
        <v>2024</v>
      </c>
      <c r="AB7" s="380">
        <f t="shared" si="5"/>
        <v>2025</v>
      </c>
      <c r="AC7" s="406">
        <f t="shared" ref="AC7:AF7" si="6">YEAR(AC4)</f>
        <v>2025</v>
      </c>
      <c r="AD7" s="406">
        <f t="shared" si="6"/>
        <v>2025</v>
      </c>
      <c r="AE7" s="406">
        <f t="shared" si="6"/>
        <v>2025</v>
      </c>
      <c r="AF7" s="406">
        <f t="shared" si="6"/>
        <v>2026</v>
      </c>
      <c r="AG7" s="413">
        <f t="shared" ref="AG7" si="7">YEAR(AG4)</f>
        <v>2026</v>
      </c>
    </row>
    <row r="8" spans="3:33" ht="14.6" customHeight="1">
      <c r="C8" s="209"/>
      <c r="D8" s="309">
        <f>'Operating quarterly offshore'!L8</f>
        <v>1</v>
      </c>
      <c r="E8" s="309">
        <f>IF(D8=4,1,D8+1)</f>
        <v>2</v>
      </c>
      <c r="F8" s="309">
        <f>IF(E8=4,1,E8+1)</f>
        <v>3</v>
      </c>
      <c r="G8" s="309">
        <f>IF(F8=4,1,F8+1)</f>
        <v>4</v>
      </c>
      <c r="H8" s="309">
        <f>IF(G8=4,1,G8+1)</f>
        <v>1</v>
      </c>
      <c r="I8" s="309">
        <f t="shared" ref="I8:AB8" si="8">IF(H8=4,1,H8+1)</f>
        <v>2</v>
      </c>
      <c r="J8" s="309">
        <f t="shared" si="8"/>
        <v>3</v>
      </c>
      <c r="K8" s="309">
        <f t="shared" si="8"/>
        <v>4</v>
      </c>
      <c r="L8" s="309">
        <f t="shared" si="8"/>
        <v>1</v>
      </c>
      <c r="M8" s="309">
        <f t="shared" si="8"/>
        <v>2</v>
      </c>
      <c r="N8" s="309">
        <f t="shared" si="8"/>
        <v>3</v>
      </c>
      <c r="O8" s="309">
        <f t="shared" si="8"/>
        <v>4</v>
      </c>
      <c r="P8" s="309">
        <f t="shared" si="8"/>
        <v>1</v>
      </c>
      <c r="Q8" s="309">
        <f t="shared" si="8"/>
        <v>2</v>
      </c>
      <c r="R8" s="309">
        <f t="shared" si="8"/>
        <v>3</v>
      </c>
      <c r="S8" s="309">
        <f t="shared" si="8"/>
        <v>4</v>
      </c>
      <c r="T8" s="309">
        <f t="shared" si="8"/>
        <v>1</v>
      </c>
      <c r="U8" s="309">
        <f t="shared" si="8"/>
        <v>2</v>
      </c>
      <c r="V8" s="309">
        <f t="shared" si="8"/>
        <v>3</v>
      </c>
      <c r="W8" s="309">
        <f t="shared" si="8"/>
        <v>4</v>
      </c>
      <c r="X8" s="309">
        <f t="shared" si="8"/>
        <v>1</v>
      </c>
      <c r="Y8" s="309">
        <f t="shared" si="8"/>
        <v>2</v>
      </c>
      <c r="Z8" s="309">
        <f t="shared" si="8"/>
        <v>3</v>
      </c>
      <c r="AA8" s="309">
        <f t="shared" si="8"/>
        <v>4</v>
      </c>
      <c r="AB8" s="309">
        <f t="shared" si="8"/>
        <v>1</v>
      </c>
      <c r="AC8" s="309">
        <f t="shared" ref="AC8" si="9">IF(AB8=4,1,AB8+1)</f>
        <v>2</v>
      </c>
      <c r="AD8" s="309">
        <f t="shared" ref="AD8" si="10">IF(AC8=4,1,AC8+1)</f>
        <v>3</v>
      </c>
      <c r="AE8" s="309">
        <f t="shared" ref="AE8" si="11">IF(AD8=4,1,AD8+1)</f>
        <v>4</v>
      </c>
      <c r="AF8" s="309">
        <f>IF(AE8=4,1,AE8+1)</f>
        <v>1</v>
      </c>
      <c r="AG8" s="309">
        <f>IF(AF8=4,1,AF8+1)</f>
        <v>2</v>
      </c>
    </row>
    <row r="9" spans="3:33">
      <c r="C9" s="180" t="s">
        <v>723</v>
      </c>
      <c r="D9" s="180">
        <f ca="1">'Operating quarterly Holdco'!L31</f>
        <v>0</v>
      </c>
      <c r="E9" s="180">
        <f ca="1">'Operating quarterly Holdco'!M31</f>
        <v>0</v>
      </c>
      <c r="F9" s="180">
        <f ca="1">'Operating quarterly Holdco'!N31</f>
        <v>0</v>
      </c>
      <c r="G9" s="180">
        <f ca="1">'Operating quarterly Holdco'!O31</f>
        <v>0</v>
      </c>
      <c r="H9" s="180">
        <f ca="1">'Operating quarterly Holdco'!P31</f>
        <v>0</v>
      </c>
      <c r="I9" s="180">
        <f ca="1">'Operating quarterly Holdco'!Q31</f>
        <v>0</v>
      </c>
      <c r="J9" s="180">
        <f ca="1">'Operating quarterly Holdco'!R31</f>
        <v>0</v>
      </c>
      <c r="K9" s="180">
        <f ca="1">'Operating quarterly Holdco'!S31</f>
        <v>0</v>
      </c>
      <c r="L9" s="180">
        <f ca="1">'Operating quarterly Holdco'!T31</f>
        <v>0</v>
      </c>
      <c r="M9" s="180">
        <f ca="1">'Operating quarterly Holdco'!U31</f>
        <v>0</v>
      </c>
      <c r="N9" s="180">
        <f ca="1">'Operating quarterly Holdco'!V31</f>
        <v>0</v>
      </c>
      <c r="O9" s="180">
        <f ca="1">'Operating quarterly Holdco'!W31</f>
        <v>0</v>
      </c>
      <c r="P9" s="180">
        <f ca="1">'Operating quarterly Holdco'!X31</f>
        <v>0</v>
      </c>
      <c r="Q9" s="180">
        <f ca="1">'Operating quarterly Holdco'!Y31</f>
        <v>0</v>
      </c>
      <c r="R9" s="180">
        <f ca="1">'Operating quarterly Holdco'!Z31</f>
        <v>0</v>
      </c>
      <c r="S9" s="180">
        <f ca="1">'Operating quarterly Holdco'!AA31</f>
        <v>0</v>
      </c>
      <c r="T9" s="180">
        <f ca="1">'Operating quarterly Holdco'!AB31</f>
        <v>0</v>
      </c>
      <c r="U9" s="180">
        <f ca="1">'Operating quarterly Holdco'!AC31</f>
        <v>0</v>
      </c>
      <c r="V9" s="180">
        <f ca="1">'Operating quarterly Holdco'!AD31</f>
        <v>0</v>
      </c>
      <c r="W9" s="180">
        <f ca="1">'Operating quarterly Holdco'!AE31</f>
        <v>0</v>
      </c>
      <c r="X9" s="180">
        <f ca="1">'Operating quarterly Holdco'!AF31</f>
        <v>0</v>
      </c>
      <c r="Y9" s="180">
        <f ca="1">'Operating quarterly Holdco'!AG31</f>
        <v>0</v>
      </c>
      <c r="Z9" s="180">
        <f ca="1">'Operating quarterly Holdco'!AH31</f>
        <v>0</v>
      </c>
      <c r="AA9" s="180">
        <f ca="1">'Operating quarterly Holdco'!AI31</f>
        <v>0</v>
      </c>
      <c r="AB9" s="180" t="e">
        <f ca="1">'Operating quarterly Holdco'!AJ31</f>
        <v>#N/A</v>
      </c>
      <c r="AC9" s="180" t="e">
        <f ca="1">'Operating quarterly Holdco'!AK31</f>
        <v>#N/A</v>
      </c>
      <c r="AD9" s="180" t="e">
        <f ca="1">'Operating quarterly Holdco'!AL31</f>
        <v>#N/A</v>
      </c>
      <c r="AE9" s="180" t="e">
        <f ca="1">'Operating quarterly Holdco'!AM31</f>
        <v>#N/A</v>
      </c>
      <c r="AF9" s="180" t="e">
        <f ca="1">'Operating quarterly Holdco'!AN31</f>
        <v>#N/A</v>
      </c>
      <c r="AG9" s="180" t="e">
        <f ca="1">'Operating quarterly Holdco'!AO31</f>
        <v>#N/A</v>
      </c>
    </row>
    <row r="10" spans="3:33">
      <c r="C10" s="291" t="s">
        <v>724</v>
      </c>
      <c r="D10" s="291">
        <f>'Acquisition BS adjustments'!E184-D18-D31-D44-D59-D77</f>
        <v>0</v>
      </c>
      <c r="E10" s="291">
        <f ca="1">D89</f>
        <v>0</v>
      </c>
      <c r="F10" s="291">
        <f t="shared" ref="F10:AB10" ca="1" si="12">E89</f>
        <v>0</v>
      </c>
      <c r="G10" s="291">
        <f t="shared" ca="1" si="12"/>
        <v>0</v>
      </c>
      <c r="H10" s="291">
        <f t="shared" ca="1" si="12"/>
        <v>0</v>
      </c>
      <c r="I10" s="291">
        <f t="shared" ca="1" si="12"/>
        <v>0</v>
      </c>
      <c r="J10" s="291">
        <f t="shared" ca="1" si="12"/>
        <v>0</v>
      </c>
      <c r="K10" s="291">
        <f t="shared" ca="1" si="12"/>
        <v>0</v>
      </c>
      <c r="L10" s="291">
        <f t="shared" ca="1" si="12"/>
        <v>0</v>
      </c>
      <c r="M10" s="291">
        <f t="shared" ca="1" si="12"/>
        <v>0</v>
      </c>
      <c r="N10" s="291">
        <f t="shared" ca="1" si="12"/>
        <v>0</v>
      </c>
      <c r="O10" s="291">
        <f t="shared" ca="1" si="12"/>
        <v>0</v>
      </c>
      <c r="P10" s="291">
        <f t="shared" ca="1" si="12"/>
        <v>0</v>
      </c>
      <c r="Q10" s="291">
        <f t="shared" ca="1" si="12"/>
        <v>0</v>
      </c>
      <c r="R10" s="291">
        <f t="shared" ca="1" si="12"/>
        <v>0</v>
      </c>
      <c r="S10" s="291">
        <f t="shared" ca="1" si="12"/>
        <v>0</v>
      </c>
      <c r="T10" s="291">
        <f t="shared" ca="1" si="12"/>
        <v>0</v>
      </c>
      <c r="U10" s="291">
        <f t="shared" ca="1" si="12"/>
        <v>0</v>
      </c>
      <c r="V10" s="291">
        <f t="shared" ca="1" si="12"/>
        <v>0</v>
      </c>
      <c r="W10" s="291">
        <f t="shared" ca="1" si="12"/>
        <v>0</v>
      </c>
      <c r="X10" s="291">
        <f t="shared" ca="1" si="12"/>
        <v>0</v>
      </c>
      <c r="Y10" s="291">
        <f t="shared" ca="1" si="12"/>
        <v>0</v>
      </c>
      <c r="Z10" s="291">
        <f t="shared" ca="1" si="12"/>
        <v>0</v>
      </c>
      <c r="AA10" s="291">
        <f t="shared" ca="1" si="12"/>
        <v>0</v>
      </c>
      <c r="AB10" s="291">
        <f t="shared" ca="1" si="12"/>
        <v>0</v>
      </c>
      <c r="AC10" s="291" t="e">
        <f t="shared" ref="AC10" ca="1" si="13">AB89</f>
        <v>#N/A</v>
      </c>
      <c r="AD10" s="291" t="e">
        <f t="shared" ref="AD10" ca="1" si="14">AC89</f>
        <v>#N/A</v>
      </c>
      <c r="AE10" s="291" t="e">
        <f t="shared" ref="AE10" ca="1" si="15">AD89</f>
        <v>#N/A</v>
      </c>
      <c r="AF10" s="291" t="e">
        <f t="shared" ref="AF10:AG10" ca="1" si="16">AE89</f>
        <v>#N/A</v>
      </c>
      <c r="AG10" s="291" t="e">
        <f t="shared" ca="1" si="16"/>
        <v>#N/A</v>
      </c>
    </row>
    <row r="11" spans="3:33">
      <c r="C11" s="180" t="s">
        <v>748</v>
      </c>
      <c r="D11" s="180">
        <f ca="1">D9+D10</f>
        <v>0</v>
      </c>
      <c r="E11" s="180">
        <f t="shared" ref="E11:AB11" ca="1" si="17">E9+E10</f>
        <v>0</v>
      </c>
      <c r="F11" s="180">
        <f t="shared" ca="1" si="17"/>
        <v>0</v>
      </c>
      <c r="G11" s="180">
        <f t="shared" ca="1" si="17"/>
        <v>0</v>
      </c>
      <c r="H11" s="180">
        <f t="shared" ca="1" si="17"/>
        <v>0</v>
      </c>
      <c r="I11" s="180">
        <f t="shared" ca="1" si="17"/>
        <v>0</v>
      </c>
      <c r="J11" s="180">
        <f t="shared" ca="1" si="17"/>
        <v>0</v>
      </c>
      <c r="K11" s="180">
        <f t="shared" ca="1" si="17"/>
        <v>0</v>
      </c>
      <c r="L11" s="180">
        <f t="shared" ca="1" si="17"/>
        <v>0</v>
      </c>
      <c r="M11" s="180">
        <f t="shared" ca="1" si="17"/>
        <v>0</v>
      </c>
      <c r="N11" s="180">
        <f t="shared" ca="1" si="17"/>
        <v>0</v>
      </c>
      <c r="O11" s="180">
        <f t="shared" ca="1" si="17"/>
        <v>0</v>
      </c>
      <c r="P11" s="180">
        <f t="shared" ca="1" si="17"/>
        <v>0</v>
      </c>
      <c r="Q11" s="180">
        <f t="shared" ca="1" si="17"/>
        <v>0</v>
      </c>
      <c r="R11" s="180">
        <f t="shared" ca="1" si="17"/>
        <v>0</v>
      </c>
      <c r="S11" s="180">
        <f t="shared" ca="1" si="17"/>
        <v>0</v>
      </c>
      <c r="T11" s="180">
        <f t="shared" ca="1" si="17"/>
        <v>0</v>
      </c>
      <c r="U11" s="180">
        <f t="shared" ca="1" si="17"/>
        <v>0</v>
      </c>
      <c r="V11" s="180">
        <f t="shared" ca="1" si="17"/>
        <v>0</v>
      </c>
      <c r="W11" s="180">
        <f t="shared" ca="1" si="17"/>
        <v>0</v>
      </c>
      <c r="X11" s="180">
        <f t="shared" ca="1" si="17"/>
        <v>0</v>
      </c>
      <c r="Y11" s="180">
        <f t="shared" ca="1" si="17"/>
        <v>0</v>
      </c>
      <c r="Z11" s="180">
        <f t="shared" ca="1" si="17"/>
        <v>0</v>
      </c>
      <c r="AA11" s="180">
        <f t="shared" ca="1" si="17"/>
        <v>0</v>
      </c>
      <c r="AB11" s="180" t="e">
        <f t="shared" ca="1" si="17"/>
        <v>#N/A</v>
      </c>
      <c r="AC11" s="180" t="e">
        <f t="shared" ref="AC11:AF11" ca="1" si="18">AC9+AC10</f>
        <v>#N/A</v>
      </c>
      <c r="AD11" s="180" t="e">
        <f t="shared" ca="1" si="18"/>
        <v>#N/A</v>
      </c>
      <c r="AE11" s="180" t="e">
        <f t="shared" ca="1" si="18"/>
        <v>#N/A</v>
      </c>
      <c r="AF11" s="180" t="e">
        <f t="shared" ca="1" si="18"/>
        <v>#N/A</v>
      </c>
      <c r="AG11" s="180" t="e">
        <f t="shared" ref="AG11" ca="1" si="19">AG9+AG10</f>
        <v>#N/A</v>
      </c>
    </row>
    <row r="12" spans="3:33" s="291" customFormat="1" ht="13.7">
      <c r="C12" s="291" t="s">
        <v>1039</v>
      </c>
      <c r="D12" s="291">
        <f>'Acquisition BS adjustments'!E184</f>
        <v>0</v>
      </c>
      <c r="E12" s="291">
        <f ca="1">E10</f>
        <v>0</v>
      </c>
      <c r="F12" s="291">
        <f t="shared" ref="F12:AB12" ca="1" si="20">F10</f>
        <v>0</v>
      </c>
      <c r="G12" s="291">
        <f t="shared" ca="1" si="20"/>
        <v>0</v>
      </c>
      <c r="H12" s="291">
        <f t="shared" ca="1" si="20"/>
        <v>0</v>
      </c>
      <c r="I12" s="291">
        <f t="shared" ca="1" si="20"/>
        <v>0</v>
      </c>
      <c r="J12" s="291">
        <f t="shared" ca="1" si="20"/>
        <v>0</v>
      </c>
      <c r="K12" s="291">
        <f t="shared" ca="1" si="20"/>
        <v>0</v>
      </c>
      <c r="L12" s="291">
        <f t="shared" ca="1" si="20"/>
        <v>0</v>
      </c>
      <c r="M12" s="291">
        <f t="shared" ca="1" si="20"/>
        <v>0</v>
      </c>
      <c r="N12" s="291">
        <f t="shared" ca="1" si="20"/>
        <v>0</v>
      </c>
      <c r="O12" s="291">
        <f t="shared" ca="1" si="20"/>
        <v>0</v>
      </c>
      <c r="P12" s="291">
        <f t="shared" ca="1" si="20"/>
        <v>0</v>
      </c>
      <c r="Q12" s="291">
        <f t="shared" ca="1" si="20"/>
        <v>0</v>
      </c>
      <c r="R12" s="291">
        <f t="shared" ca="1" si="20"/>
        <v>0</v>
      </c>
      <c r="S12" s="291">
        <f t="shared" ca="1" si="20"/>
        <v>0</v>
      </c>
      <c r="T12" s="291">
        <f t="shared" ca="1" si="20"/>
        <v>0</v>
      </c>
      <c r="U12" s="291">
        <f t="shared" ca="1" si="20"/>
        <v>0</v>
      </c>
      <c r="V12" s="291">
        <f t="shared" ca="1" si="20"/>
        <v>0</v>
      </c>
      <c r="W12" s="291">
        <f t="shared" ca="1" si="20"/>
        <v>0</v>
      </c>
      <c r="X12" s="291">
        <f t="shared" ca="1" si="20"/>
        <v>0</v>
      </c>
      <c r="Y12" s="291">
        <f t="shared" ca="1" si="20"/>
        <v>0</v>
      </c>
      <c r="Z12" s="291">
        <f t="shared" ca="1" si="20"/>
        <v>0</v>
      </c>
      <c r="AA12" s="291">
        <f t="shared" ca="1" si="20"/>
        <v>0</v>
      </c>
      <c r="AB12" s="291">
        <f t="shared" ca="1" si="20"/>
        <v>0</v>
      </c>
      <c r="AC12" s="291" t="e">
        <f t="shared" ref="AC12:AF12" ca="1" si="21">AC10</f>
        <v>#N/A</v>
      </c>
      <c r="AD12" s="291" t="e">
        <f t="shared" ca="1" si="21"/>
        <v>#N/A</v>
      </c>
      <c r="AE12" s="291" t="e">
        <f t="shared" ca="1" si="21"/>
        <v>#N/A</v>
      </c>
      <c r="AF12" s="291" t="e">
        <f t="shared" ca="1" si="21"/>
        <v>#N/A</v>
      </c>
      <c r="AG12" s="291" t="e">
        <f t="shared" ref="AG12" ca="1" si="22">AG10</f>
        <v>#N/A</v>
      </c>
    </row>
    <row r="14" spans="3:33">
      <c r="C14" s="209" t="s">
        <v>736</v>
      </c>
      <c r="D14" s="209"/>
      <c r="E14" s="209"/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</row>
    <row r="15" spans="3:33">
      <c r="C15" s="183" t="s">
        <v>739</v>
      </c>
      <c r="D15" s="183">
        <f>'Financing assumptions Holdco'!M18</f>
        <v>5.9899999999999995E-2</v>
      </c>
      <c r="E15" s="183">
        <f>'Financing assumptions Holdco'!N18</f>
        <v>5.9899999999999995E-2</v>
      </c>
      <c r="F15" s="183">
        <f>'Financing assumptions Holdco'!O18</f>
        <v>5.9899999999999995E-2</v>
      </c>
      <c r="G15" s="183">
        <f>'Financing assumptions Holdco'!P18</f>
        <v>5.9899999999999995E-2</v>
      </c>
      <c r="H15" s="183">
        <f ca="1">'Financing assumptions Holdco'!Q18</f>
        <v>5.9899999999999995E-2</v>
      </c>
      <c r="I15" s="183">
        <f ca="1">'Financing assumptions Holdco'!R18</f>
        <v>5.9899999999999995E-2</v>
      </c>
      <c r="J15" s="183">
        <f ca="1">'Financing assumptions Holdco'!S18</f>
        <v>5.9899999999999995E-2</v>
      </c>
      <c r="K15" s="183">
        <f ca="1">'Financing assumptions Holdco'!T18</f>
        <v>5.9899999999999995E-2</v>
      </c>
      <c r="L15" s="183">
        <f ca="1">'Financing assumptions Holdco'!U18</f>
        <v>5.9899999999999995E-2</v>
      </c>
      <c r="M15" s="183">
        <f ca="1">'Financing assumptions Holdco'!V18</f>
        <v>5.9899999999999995E-2</v>
      </c>
      <c r="N15" s="183">
        <f ca="1">'Financing assumptions Holdco'!W18</f>
        <v>5.9899999999999995E-2</v>
      </c>
      <c r="O15" s="183">
        <f ca="1">'Financing assumptions Holdco'!X18</f>
        <v>5.9899999999999995E-2</v>
      </c>
      <c r="P15" s="183">
        <f ca="1">'Financing assumptions Holdco'!Y18</f>
        <v>5.9899999999999995E-2</v>
      </c>
      <c r="Q15" s="183">
        <f ca="1">'Financing assumptions Holdco'!Z18</f>
        <v>5.9899999999999995E-2</v>
      </c>
      <c r="R15" s="183">
        <f ca="1">'Financing assumptions Holdco'!AA18</f>
        <v>5.9899999999999995E-2</v>
      </c>
      <c r="S15" s="183">
        <f ca="1">'Financing assumptions Holdco'!AB18</f>
        <v>5.9899999999999995E-2</v>
      </c>
      <c r="T15" s="183">
        <f ca="1">'Financing assumptions Holdco'!AC18</f>
        <v>5.9899999999999995E-2</v>
      </c>
      <c r="U15" s="183">
        <f ca="1">'Financing assumptions Holdco'!AD18</f>
        <v>5.9899999999999995E-2</v>
      </c>
      <c r="V15" s="183">
        <f ca="1">'Financing assumptions Holdco'!AE18</f>
        <v>5.9899999999999995E-2</v>
      </c>
      <c r="W15" s="183">
        <f ca="1">'Financing assumptions Holdco'!AF18</f>
        <v>5.9899999999999995E-2</v>
      </c>
      <c r="X15" s="183">
        <f ca="1">'Financing assumptions Holdco'!AG18</f>
        <v>5.9899999999999995E-2</v>
      </c>
      <c r="Y15" s="183">
        <f ca="1">'Financing assumptions Holdco'!AH18</f>
        <v>5.9899999999999995E-2</v>
      </c>
      <c r="Z15" s="183">
        <f ca="1">'Financing assumptions Holdco'!AI18</f>
        <v>5.9899999999999995E-2</v>
      </c>
      <c r="AA15" s="183">
        <f ca="1">'Financing assumptions Holdco'!AJ18</f>
        <v>5.9899999999999995E-2</v>
      </c>
      <c r="AB15" s="183">
        <f ca="1">'Financing assumptions Holdco'!AK18</f>
        <v>5.9899999999999995E-2</v>
      </c>
      <c r="AC15" s="183">
        <f ca="1">'Financing assumptions Holdco'!AL18</f>
        <v>5.9899999999999995E-2</v>
      </c>
      <c r="AD15" s="183">
        <f ca="1">'Financing assumptions Holdco'!AM18</f>
        <v>5.9899999999999995E-2</v>
      </c>
      <c r="AE15" s="183">
        <f ca="1">'Financing assumptions Holdco'!AN18</f>
        <v>5.9899999999999995E-2</v>
      </c>
      <c r="AF15" s="183">
        <f ca="1">'Financing assumptions Holdco'!AO18</f>
        <v>5.9899999999999995E-2</v>
      </c>
      <c r="AG15" s="183">
        <f ca="1">'Financing assumptions Holdco'!AP18</f>
        <v>5.9899999999999995E-2</v>
      </c>
    </row>
    <row r="16" spans="3:33">
      <c r="C16" s="183" t="s">
        <v>741</v>
      </c>
      <c r="D16" s="183">
        <f>D15-'Financing assumptions Holdco'!$F$22/10000</f>
        <v>5.9899999999999995E-2</v>
      </c>
      <c r="E16" s="183">
        <f>E15-'Financing assumptions Holdco'!$F$22/10000</f>
        <v>5.9899999999999995E-2</v>
      </c>
      <c r="F16" s="183">
        <f>F15-'Financing assumptions Holdco'!$F$22/10000</f>
        <v>5.9899999999999995E-2</v>
      </c>
      <c r="G16" s="183">
        <f>G15-'Financing assumptions Holdco'!$F$22/10000</f>
        <v>5.9899999999999995E-2</v>
      </c>
      <c r="H16" s="183">
        <f ca="1">H15-'Financing assumptions Holdco'!$F$22/10000</f>
        <v>5.9899999999999995E-2</v>
      </c>
      <c r="I16" s="183">
        <f ca="1">I15-'Financing assumptions Holdco'!$F$22/10000</f>
        <v>5.9899999999999995E-2</v>
      </c>
      <c r="J16" s="183">
        <f ca="1">J15-'Financing assumptions Holdco'!$F$22/10000</f>
        <v>5.9899999999999995E-2</v>
      </c>
      <c r="K16" s="183">
        <f ca="1">K15-'Financing assumptions Holdco'!$F$22/10000</f>
        <v>5.9899999999999995E-2</v>
      </c>
      <c r="L16" s="183">
        <f ca="1">L15-'Financing assumptions Holdco'!$F$22/10000</f>
        <v>5.9899999999999995E-2</v>
      </c>
      <c r="M16" s="183">
        <f ca="1">M15-'Financing assumptions Holdco'!$F$22/10000</f>
        <v>5.9899999999999995E-2</v>
      </c>
      <c r="N16" s="183">
        <f ca="1">N15-'Financing assumptions Holdco'!$F$22/10000</f>
        <v>5.9899999999999995E-2</v>
      </c>
      <c r="O16" s="183">
        <f ca="1">O15-'Financing assumptions Holdco'!$F$22/10000</f>
        <v>5.9899999999999995E-2</v>
      </c>
      <c r="P16" s="183">
        <f ca="1">P15-'Financing assumptions Holdco'!$F$22/10000</f>
        <v>5.9899999999999995E-2</v>
      </c>
      <c r="Q16" s="183">
        <f ca="1">Q15-'Financing assumptions Holdco'!$F$22/10000</f>
        <v>5.9899999999999995E-2</v>
      </c>
      <c r="R16" s="183">
        <f ca="1">R15-'Financing assumptions Holdco'!$F$22/10000</f>
        <v>5.9899999999999995E-2</v>
      </c>
      <c r="S16" s="183">
        <f ca="1">S15-'Financing assumptions Holdco'!$F$22/10000</f>
        <v>5.9899999999999995E-2</v>
      </c>
      <c r="T16" s="183">
        <f ca="1">T15-'Financing assumptions Holdco'!$F$22/10000</f>
        <v>5.9899999999999995E-2</v>
      </c>
      <c r="U16" s="183">
        <f ca="1">U15-'Financing assumptions Holdco'!$F$22/10000</f>
        <v>5.9899999999999995E-2</v>
      </c>
      <c r="V16" s="183">
        <f ca="1">V15-'Financing assumptions Holdco'!$F$22/10000</f>
        <v>5.9899999999999995E-2</v>
      </c>
      <c r="W16" s="183">
        <f ca="1">W15-'Financing assumptions Holdco'!$F$22/10000</f>
        <v>5.9899999999999995E-2</v>
      </c>
      <c r="X16" s="183">
        <f ca="1">X15-'Financing assumptions Holdco'!$F$22/10000</f>
        <v>5.9899999999999995E-2</v>
      </c>
      <c r="Y16" s="183">
        <f ca="1">Y15-'Financing assumptions Holdco'!$F$22/10000</f>
        <v>5.9899999999999995E-2</v>
      </c>
      <c r="Z16" s="183">
        <f ca="1">Z15-'Financing assumptions Holdco'!$F$22/10000</f>
        <v>5.9899999999999995E-2</v>
      </c>
      <c r="AA16" s="183">
        <f ca="1">AA15-'Financing assumptions Holdco'!$F$22/10000</f>
        <v>5.9899999999999995E-2</v>
      </c>
      <c r="AB16" s="183">
        <f ca="1">AB15-'Financing assumptions Holdco'!$F$22/10000</f>
        <v>5.9899999999999995E-2</v>
      </c>
      <c r="AC16" s="183">
        <f ca="1">AC15-'Financing assumptions Holdco'!$F$22/10000</f>
        <v>5.9899999999999995E-2</v>
      </c>
      <c r="AD16" s="183">
        <f ca="1">AD15-'Financing assumptions Holdco'!$F$22/10000</f>
        <v>5.9899999999999995E-2</v>
      </c>
      <c r="AE16" s="183">
        <f ca="1">AE15-'Financing assumptions Holdco'!$F$22/10000</f>
        <v>5.9899999999999995E-2</v>
      </c>
      <c r="AF16" s="183">
        <f ca="1">AF15-'Financing assumptions Holdco'!$F$22/10000</f>
        <v>5.9899999999999995E-2</v>
      </c>
      <c r="AG16" s="183">
        <f ca="1">AG15-'Financing assumptions Holdco'!$F$22/10000</f>
        <v>5.9899999999999995E-2</v>
      </c>
    </row>
    <row r="17" spans="3:33">
      <c r="C17" s="180" t="s">
        <v>730</v>
      </c>
      <c r="D17" s="180">
        <v>0</v>
      </c>
      <c r="E17" s="180">
        <f>D24</f>
        <v>0</v>
      </c>
      <c r="F17" s="180">
        <f t="shared" ref="F17:AB17" ca="1" si="23">E24</f>
        <v>0</v>
      </c>
      <c r="G17" s="180">
        <f t="shared" ca="1" si="23"/>
        <v>0</v>
      </c>
      <c r="H17" s="180">
        <f t="shared" ca="1" si="23"/>
        <v>0</v>
      </c>
      <c r="I17" s="180">
        <f t="shared" ca="1" si="23"/>
        <v>0</v>
      </c>
      <c r="J17" s="180">
        <f t="shared" ca="1" si="23"/>
        <v>0</v>
      </c>
      <c r="K17" s="180">
        <f t="shared" ca="1" si="23"/>
        <v>0</v>
      </c>
      <c r="L17" s="180">
        <f t="shared" ca="1" si="23"/>
        <v>0</v>
      </c>
      <c r="M17" s="180">
        <f t="shared" ca="1" si="23"/>
        <v>0</v>
      </c>
      <c r="N17" s="180">
        <f t="shared" ca="1" si="23"/>
        <v>0</v>
      </c>
      <c r="O17" s="180">
        <f t="shared" ca="1" si="23"/>
        <v>0</v>
      </c>
      <c r="P17" s="180">
        <f t="shared" ca="1" si="23"/>
        <v>0</v>
      </c>
      <c r="Q17" s="180">
        <f t="shared" ca="1" si="23"/>
        <v>0</v>
      </c>
      <c r="R17" s="180">
        <f t="shared" ca="1" si="23"/>
        <v>0</v>
      </c>
      <c r="S17" s="180">
        <f t="shared" ca="1" si="23"/>
        <v>0</v>
      </c>
      <c r="T17" s="180">
        <f t="shared" ca="1" si="23"/>
        <v>0</v>
      </c>
      <c r="U17" s="180">
        <f t="shared" ca="1" si="23"/>
        <v>0</v>
      </c>
      <c r="V17" s="180">
        <f t="shared" ca="1" si="23"/>
        <v>0</v>
      </c>
      <c r="W17" s="180">
        <f t="shared" ca="1" si="23"/>
        <v>0</v>
      </c>
      <c r="X17" s="180">
        <f ca="1">W24</f>
        <v>0</v>
      </c>
      <c r="Y17" s="180">
        <f t="shared" ca="1" si="23"/>
        <v>0</v>
      </c>
      <c r="Z17" s="180">
        <f t="shared" ca="1" si="23"/>
        <v>0</v>
      </c>
      <c r="AA17" s="180">
        <f t="shared" ca="1" si="23"/>
        <v>0</v>
      </c>
      <c r="AB17" s="180">
        <f t="shared" ca="1" si="23"/>
        <v>0</v>
      </c>
      <c r="AC17" s="180">
        <f t="shared" ref="AC17" ca="1" si="24">AB24</f>
        <v>0</v>
      </c>
      <c r="AD17" s="180">
        <f t="shared" ref="AD17" ca="1" si="25">AC24</f>
        <v>0</v>
      </c>
      <c r="AE17" s="180">
        <f t="shared" ref="AE17" ca="1" si="26">AD24</f>
        <v>0</v>
      </c>
      <c r="AF17" s="180">
        <f t="shared" ref="AF17:AG17" ca="1" si="27">AE24</f>
        <v>0</v>
      </c>
      <c r="AG17" s="180">
        <f t="shared" ca="1" si="27"/>
        <v>0</v>
      </c>
    </row>
    <row r="18" spans="3:33">
      <c r="C18" s="295" t="s">
        <v>725</v>
      </c>
      <c r="D18" s="291">
        <f>'Financing assumptions Holdco'!F15*1000</f>
        <v>0</v>
      </c>
      <c r="E18" s="291">
        <v>0</v>
      </c>
      <c r="F18" s="291">
        <v>0</v>
      </c>
      <c r="G18" s="291">
        <v>0</v>
      </c>
      <c r="H18" s="291">
        <v>0</v>
      </c>
      <c r="I18" s="291">
        <v>0</v>
      </c>
      <c r="J18" s="291">
        <v>0</v>
      </c>
      <c r="K18" s="291">
        <v>0</v>
      </c>
      <c r="L18" s="291">
        <v>0</v>
      </c>
      <c r="M18" s="291">
        <v>0</v>
      </c>
      <c r="N18" s="291">
        <v>0</v>
      </c>
      <c r="O18" s="291">
        <v>0</v>
      </c>
      <c r="P18" s="291">
        <v>0</v>
      </c>
      <c r="Q18" s="291">
        <v>0</v>
      </c>
      <c r="R18" s="291">
        <v>0</v>
      </c>
      <c r="S18" s="291">
        <v>0</v>
      </c>
      <c r="T18" s="291">
        <v>0</v>
      </c>
      <c r="U18" s="291">
        <v>0</v>
      </c>
      <c r="V18" s="291">
        <v>0</v>
      </c>
      <c r="W18" s="291">
        <v>0</v>
      </c>
      <c r="X18" s="291">
        <v>0</v>
      </c>
      <c r="Y18" s="291">
        <v>0</v>
      </c>
      <c r="Z18" s="291">
        <v>0</v>
      </c>
      <c r="AA18" s="291">
        <v>0</v>
      </c>
      <c r="AB18" s="291">
        <v>0</v>
      </c>
      <c r="AC18" s="291">
        <v>0</v>
      </c>
      <c r="AD18" s="291">
        <v>0</v>
      </c>
      <c r="AE18" s="291">
        <v>0</v>
      </c>
      <c r="AF18" s="291">
        <v>0</v>
      </c>
      <c r="AG18" s="291">
        <v>0</v>
      </c>
    </row>
    <row r="19" spans="3:33">
      <c r="C19" s="295" t="s">
        <v>726</v>
      </c>
      <c r="D19" s="291">
        <f>(D17+D18)*D15/4</f>
        <v>0</v>
      </c>
      <c r="E19" s="291">
        <f t="shared" ref="E19:AB19" si="28">(E17+E18)*E15/4</f>
        <v>0</v>
      </c>
      <c r="F19" s="291">
        <f t="shared" ca="1" si="28"/>
        <v>0</v>
      </c>
      <c r="G19" s="291">
        <f t="shared" ca="1" si="28"/>
        <v>0</v>
      </c>
      <c r="H19" s="291">
        <f t="shared" ca="1" si="28"/>
        <v>0</v>
      </c>
      <c r="I19" s="291">
        <f t="shared" ca="1" si="28"/>
        <v>0</v>
      </c>
      <c r="J19" s="291">
        <f t="shared" ca="1" si="28"/>
        <v>0</v>
      </c>
      <c r="K19" s="291">
        <f t="shared" ca="1" si="28"/>
        <v>0</v>
      </c>
      <c r="L19" s="291">
        <f t="shared" ca="1" si="28"/>
        <v>0</v>
      </c>
      <c r="M19" s="291">
        <f t="shared" ca="1" si="28"/>
        <v>0</v>
      </c>
      <c r="N19" s="291">
        <f t="shared" ca="1" si="28"/>
        <v>0</v>
      </c>
      <c r="O19" s="291">
        <f t="shared" ca="1" si="28"/>
        <v>0</v>
      </c>
      <c r="P19" s="291">
        <f t="shared" ca="1" si="28"/>
        <v>0</v>
      </c>
      <c r="Q19" s="291">
        <f t="shared" ca="1" si="28"/>
        <v>0</v>
      </c>
      <c r="R19" s="291">
        <f t="shared" ca="1" si="28"/>
        <v>0</v>
      </c>
      <c r="S19" s="291">
        <f t="shared" ca="1" si="28"/>
        <v>0</v>
      </c>
      <c r="T19" s="291">
        <f t="shared" ca="1" si="28"/>
        <v>0</v>
      </c>
      <c r="U19" s="291">
        <f t="shared" ca="1" si="28"/>
        <v>0</v>
      </c>
      <c r="V19" s="291">
        <f t="shared" ca="1" si="28"/>
        <v>0</v>
      </c>
      <c r="W19" s="291">
        <f t="shared" ca="1" si="28"/>
        <v>0</v>
      </c>
      <c r="X19" s="291">
        <f t="shared" ca="1" si="28"/>
        <v>0</v>
      </c>
      <c r="Y19" s="291">
        <f t="shared" ca="1" si="28"/>
        <v>0</v>
      </c>
      <c r="Z19" s="291">
        <f t="shared" ca="1" si="28"/>
        <v>0</v>
      </c>
      <c r="AA19" s="291">
        <f t="shared" ca="1" si="28"/>
        <v>0</v>
      </c>
      <c r="AB19" s="291">
        <f t="shared" ca="1" si="28"/>
        <v>0</v>
      </c>
      <c r="AC19" s="291">
        <f t="shared" ref="AC19:AF19" ca="1" si="29">(AC17+AC18)*AC15/4</f>
        <v>0</v>
      </c>
      <c r="AD19" s="291">
        <f t="shared" ca="1" si="29"/>
        <v>0</v>
      </c>
      <c r="AE19" s="291">
        <f t="shared" ca="1" si="29"/>
        <v>0</v>
      </c>
      <c r="AF19" s="291">
        <f t="shared" ca="1" si="29"/>
        <v>0</v>
      </c>
      <c r="AG19" s="291">
        <f t="shared" ref="AG19" ca="1" si="30">(AG17+AG18)*AG15/4</f>
        <v>0</v>
      </c>
    </row>
    <row r="20" spans="3:33">
      <c r="C20" s="295" t="s">
        <v>727</v>
      </c>
      <c r="D20" s="291">
        <f>MAX(+'Financing assumptions Holdco'!M15*1000,-(D17+D18))</f>
        <v>0</v>
      </c>
      <c r="E20" s="291">
        <f>MAX(+'Financing assumptions Holdco'!N15*1000,-(E17+E18))</f>
        <v>0</v>
      </c>
      <c r="F20" s="291">
        <f ca="1">MAX(+'Financing assumptions Holdco'!O15*1000,-(F17+F18))</f>
        <v>0</v>
      </c>
      <c r="G20" s="291">
        <f ca="1">MAX(+'Financing assumptions Holdco'!P15*1000,-(G17+G18))</f>
        <v>0</v>
      </c>
      <c r="H20" s="291">
        <f ca="1">MAX(+'Financing assumptions Holdco'!Q15*1000,-(H17+H18))</f>
        <v>0</v>
      </c>
      <c r="I20" s="291">
        <f ca="1">MAX(+'Financing assumptions Holdco'!R15*1000,-(I17+I18))</f>
        <v>0</v>
      </c>
      <c r="J20" s="291">
        <f ca="1">MAX(+'Financing assumptions Holdco'!S15*1000,-(J17+J18))</f>
        <v>0</v>
      </c>
      <c r="K20" s="291">
        <f ca="1">MAX(+'Financing assumptions Holdco'!T15*1000,-(K17+K18))</f>
        <v>0</v>
      </c>
      <c r="L20" s="291">
        <f ca="1">MAX(+'Financing assumptions Holdco'!U15*1000,-(L17+L18))</f>
        <v>0</v>
      </c>
      <c r="M20" s="291">
        <f ca="1">MAX(+'Financing assumptions Holdco'!V15*1000,-(M17+M18))</f>
        <v>0</v>
      </c>
      <c r="N20" s="291">
        <f ca="1">MAX(+'Financing assumptions Holdco'!W15*1000,-(N17+N18))</f>
        <v>0</v>
      </c>
      <c r="O20" s="291">
        <f ca="1">MAX(+'Financing assumptions Holdco'!X15*1000,-(O17+O18))</f>
        <v>0</v>
      </c>
      <c r="P20" s="291">
        <f ca="1">MAX(+'Financing assumptions Holdco'!Y15*1000,-(P17+P18))</f>
        <v>0</v>
      </c>
      <c r="Q20" s="291">
        <f ca="1">MAX(+'Financing assumptions Holdco'!Z15*1000,-(Q17+Q18))</f>
        <v>0</v>
      </c>
      <c r="R20" s="291">
        <f ca="1">MAX(+'Financing assumptions Holdco'!AA15*1000,-(R17+R18))</f>
        <v>0</v>
      </c>
      <c r="S20" s="291">
        <f ca="1">MAX(+'Financing assumptions Holdco'!AB15*1000,-(S17+S18))</f>
        <v>0</v>
      </c>
      <c r="T20" s="291">
        <f ca="1">MAX(+'Financing assumptions Holdco'!AC15*1000,-(T17+T18))</f>
        <v>0</v>
      </c>
      <c r="U20" s="291">
        <f ca="1">MAX(+'Financing assumptions Holdco'!AD15*1000,-(U17+U18))</f>
        <v>0</v>
      </c>
      <c r="V20" s="291">
        <f ca="1">MAX(+'Financing assumptions Holdco'!AE15*1000,-(V17+V18))</f>
        <v>0</v>
      </c>
      <c r="W20" s="291">
        <f ca="1">MAX(+'Financing assumptions Holdco'!AF15*1000,-(W17+W18))</f>
        <v>0</v>
      </c>
      <c r="X20" s="291">
        <f ca="1">MAX(+'Financing assumptions Holdco'!AG15*1000,-(X17+X18))</f>
        <v>0</v>
      </c>
      <c r="Y20" s="291">
        <f ca="1">MAX(+'Financing assumptions Holdco'!AH15*1000,-(Y17+Y18))</f>
        <v>0</v>
      </c>
      <c r="Z20" s="291">
        <f ca="1">MAX(+'Financing assumptions Holdco'!AI15*1000,-(Z17+Z18))</f>
        <v>0</v>
      </c>
      <c r="AA20" s="291">
        <f ca="1">MAX(+'Financing assumptions Holdco'!AJ15*1000,-(AA17+AA18))</f>
        <v>0</v>
      </c>
      <c r="AB20" s="291">
        <f ca="1">MAX(+'Financing assumptions Holdco'!AK15*1000,-(AB17+AB18))</f>
        <v>0</v>
      </c>
      <c r="AC20" s="291">
        <f ca="1">MAX(+'Financing assumptions Holdco'!AL15*1000,-(AC17+AC18))</f>
        <v>0</v>
      </c>
      <c r="AD20" s="291">
        <f ca="1">MAX(+'Financing assumptions Holdco'!AM15*1000,-(AD17+AD18))</f>
        <v>0</v>
      </c>
      <c r="AE20" s="291">
        <f ca="1">MAX(+'Financing assumptions Holdco'!AN15*1000,-(AE17+AE18))</f>
        <v>0</v>
      </c>
      <c r="AF20" s="291">
        <f ca="1">MAX(+'Financing assumptions Holdco'!AO15*1000,-(AF17+AF18))</f>
        <v>0</v>
      </c>
      <c r="AG20" s="291">
        <f ca="1">MAX(+'Financing assumptions Holdco'!AP15*1000,-(AG17+AG18))</f>
        <v>0</v>
      </c>
    </row>
    <row r="21" spans="3:33">
      <c r="C21" s="295" t="s">
        <v>733</v>
      </c>
      <c r="D21" s="291">
        <v>0</v>
      </c>
      <c r="E21" s="291">
        <f>MIN(E17+E20,IFERROR(SUM($D22:D22)/$D18*E20*'Financing assumptions Holdco'!Sweep_adj_repay_trigger,0))</f>
        <v>0</v>
      </c>
      <c r="F21" s="291">
        <f ca="1">MIN(F17+F20,IFERROR(SUM($D22:E22)/$D18*F20*'Financing assumptions Holdco'!Sweep_adj_repay_trigger,0))</f>
        <v>0</v>
      </c>
      <c r="G21" s="291">
        <f ca="1">MIN(G17+G20,IFERROR(SUM($D22:F22)/$D18*G20*'Financing assumptions Holdco'!Sweep_adj_repay_trigger,0))</f>
        <v>0</v>
      </c>
      <c r="H21" s="291">
        <f ca="1">MIN(H17+H20,IFERROR(SUM($D22:G22)/$D18*H20*'Financing assumptions Holdco'!Sweep_adj_repay_trigger,0))</f>
        <v>0</v>
      </c>
      <c r="I21" s="291">
        <f ca="1">MIN(I17+I20,IFERROR(SUM($D22:H22)/$D18*I20*'Financing assumptions Holdco'!Sweep_adj_repay_trigger,0))</f>
        <v>0</v>
      </c>
      <c r="J21" s="291">
        <f ca="1">MIN(J17+J20,IFERROR(SUM($D22:I22)/$D18*J20*'Financing assumptions Holdco'!Sweep_adj_repay_trigger,0))</f>
        <v>0</v>
      </c>
      <c r="K21" s="291">
        <f ca="1">MIN(K17+K20,IFERROR(SUM($D22:J22)/$D18*K20*'Financing assumptions Holdco'!Sweep_adj_repay_trigger,0))</f>
        <v>0</v>
      </c>
      <c r="L21" s="291">
        <f ca="1">MIN(L17+L20,IFERROR(SUM($D22:K22)/$D18*L20*'Financing assumptions Holdco'!Sweep_adj_repay_trigger,0))</f>
        <v>0</v>
      </c>
      <c r="M21" s="291">
        <f ca="1">MIN(M17+M20,IFERROR(SUM($D22:L22)/$D18*M20*'Financing assumptions Holdco'!Sweep_adj_repay_trigger,0))</f>
        <v>0</v>
      </c>
      <c r="N21" s="291">
        <f ca="1">MIN(N17+N20,IFERROR(SUM($D22:M22)/$D18*N20*'Financing assumptions Holdco'!Sweep_adj_repay_trigger,0))</f>
        <v>0</v>
      </c>
      <c r="O21" s="291">
        <f ca="1">MIN(O17+O20,IFERROR(SUM($D22:N22)/$D18*O20*'Financing assumptions Holdco'!Sweep_adj_repay_trigger,0))</f>
        <v>0</v>
      </c>
      <c r="P21" s="291">
        <f ca="1">MIN(P17+P20,IFERROR(SUM($D22:O22)/$D18*P20*'Financing assumptions Holdco'!Sweep_adj_repay_trigger,0))</f>
        <v>0</v>
      </c>
      <c r="Q21" s="291">
        <f ca="1">MIN(Q17+Q20,IFERROR(SUM($D22:P22)/$D18*Q20*'Financing assumptions Holdco'!Sweep_adj_repay_trigger,0))</f>
        <v>0</v>
      </c>
      <c r="R21" s="291">
        <f ca="1">MIN(R17+R20,IFERROR(SUM($D22:Q22)/$D18*R20*'Financing assumptions Holdco'!Sweep_adj_repay_trigger,0))</f>
        <v>0</v>
      </c>
      <c r="S21" s="291">
        <f ca="1">MIN(S17+S20,IFERROR(SUM($D22:R22)/$D18*S20*'Financing assumptions Holdco'!Sweep_adj_repay_trigger,0))</f>
        <v>0</v>
      </c>
      <c r="T21" s="291">
        <f ca="1">MIN(T17+T20,IFERROR(SUM($D22:S22)/$D18*T20*'Financing assumptions Holdco'!Sweep_adj_repay_trigger,0))</f>
        <v>0</v>
      </c>
      <c r="U21" s="291">
        <f ca="1">MIN(U17+U20,IFERROR(SUM($D22:T22)/$D18*U20*'Financing assumptions Holdco'!Sweep_adj_repay_trigger,0))</f>
        <v>0</v>
      </c>
      <c r="V21" s="291">
        <f ca="1">MIN(V17+V20,IFERROR(SUM($D22:U22)/$D18*V20*'Financing assumptions Holdco'!Sweep_adj_repay_trigger,0))</f>
        <v>0</v>
      </c>
      <c r="W21" s="291">
        <f ca="1">MIN(W17+W20,IFERROR(SUM($D22:V22)/$D18*W20*'Financing assumptions Holdco'!Sweep_adj_repay_trigger,0))</f>
        <v>0</v>
      </c>
      <c r="X21" s="291">
        <f ca="1">MIN(X17+X20,IFERROR(SUM($D22:W22)/$D18*X20*'Financing assumptions Holdco'!Sweep_adj_repay_trigger,0))</f>
        <v>0</v>
      </c>
      <c r="Y21" s="291">
        <f ca="1">MIN(Y17+Y20,IFERROR(SUM($D22:X22)/$D18*Y20*'Financing assumptions Holdco'!Sweep_adj_repay_trigger,0))</f>
        <v>0</v>
      </c>
      <c r="Z21" s="291">
        <f ca="1">MIN(Z17+Z20,IFERROR(SUM($D22:Y22)/$D18*Z20*'Financing assumptions Holdco'!Sweep_adj_repay_trigger,0))</f>
        <v>0</v>
      </c>
      <c r="AA21" s="291">
        <f ca="1">MIN(AA17+AA20,IFERROR(SUM($D22:Z22)/$D18*AA20*'Financing assumptions Holdco'!Sweep_adj_repay_trigger,0))</f>
        <v>0</v>
      </c>
      <c r="AB21" s="291">
        <f ca="1">MIN(AB17+AB20,IFERROR(SUM($D22:AA22)/$D18*AB20*'Financing assumptions Holdco'!Sweep_adj_repay_trigger,0))</f>
        <v>0</v>
      </c>
      <c r="AC21" s="291">
        <f ca="1">MIN(AC17+AC20,IFERROR(SUM($D22:AB22)/$D18*AC20*'Financing assumptions Holdco'!Sweep_adj_repay_trigger,0))</f>
        <v>0</v>
      </c>
      <c r="AD21" s="291">
        <f ca="1">MIN(AD17+AD20,IFERROR(SUM($D22:AC22)/$D18*AD20*'Financing assumptions Holdco'!Sweep_adj_repay_trigger,0))</f>
        <v>0</v>
      </c>
      <c r="AE21" s="291">
        <f ca="1">MIN(AE17+AE20,IFERROR(SUM($D22:AD22)/$D18*AE20*'Financing assumptions Holdco'!Sweep_adj_repay_trigger,0))</f>
        <v>0</v>
      </c>
      <c r="AF21" s="291">
        <f ca="1">MIN(AF17+AF20,IFERROR(SUM($D22:AE22)/$D18*AF20*'Financing assumptions Holdco'!Sweep_adj_repay_trigger,0))</f>
        <v>0</v>
      </c>
      <c r="AG21" s="291">
        <f ca="1">MIN(AG17+AG20,IFERROR(SUM($D22:AF22)/$D18*AG20*'Financing assumptions Holdco'!Sweep_adj_repay_trigger,0))</f>
        <v>0</v>
      </c>
    </row>
    <row r="22" spans="3:33">
      <c r="C22" s="295" t="s">
        <v>728</v>
      </c>
      <c r="D22" s="291">
        <f>'Cash sweep &amp; dividend Holdco'!D39</f>
        <v>0</v>
      </c>
      <c r="E22" s="291">
        <f ca="1">'Cash sweep &amp; dividend Holdco'!E39</f>
        <v>0</v>
      </c>
      <c r="F22" s="291">
        <f ca="1">'Cash sweep &amp; dividend Holdco'!F39</f>
        <v>0</v>
      </c>
      <c r="G22" s="291">
        <f ca="1">'Cash sweep &amp; dividend Holdco'!G39</f>
        <v>0</v>
      </c>
      <c r="H22" s="291">
        <f ca="1">'Cash sweep &amp; dividend Holdco'!H39</f>
        <v>0</v>
      </c>
      <c r="I22" s="291">
        <f ca="1">'Cash sweep &amp; dividend Holdco'!I39</f>
        <v>0</v>
      </c>
      <c r="J22" s="291">
        <f ca="1">'Cash sweep &amp; dividend Holdco'!J39</f>
        <v>0</v>
      </c>
      <c r="K22" s="291">
        <f ca="1">'Cash sweep &amp; dividend Holdco'!K39</f>
        <v>0</v>
      </c>
      <c r="L22" s="291">
        <f ca="1">'Cash sweep &amp; dividend Holdco'!L39</f>
        <v>0</v>
      </c>
      <c r="M22" s="291">
        <f ca="1">'Cash sweep &amp; dividend Holdco'!M39</f>
        <v>0</v>
      </c>
      <c r="N22" s="291">
        <f ca="1">'Cash sweep &amp; dividend Holdco'!N39</f>
        <v>0</v>
      </c>
      <c r="O22" s="291">
        <f ca="1">'Cash sweep &amp; dividend Holdco'!O39</f>
        <v>0</v>
      </c>
      <c r="P22" s="291">
        <f ca="1">'Cash sweep &amp; dividend Holdco'!P39</f>
        <v>0</v>
      </c>
      <c r="Q22" s="291">
        <f ca="1">'Cash sweep &amp; dividend Holdco'!Q39</f>
        <v>0</v>
      </c>
      <c r="R22" s="291">
        <f ca="1">'Cash sweep &amp; dividend Holdco'!R39</f>
        <v>0</v>
      </c>
      <c r="S22" s="291">
        <f ca="1">'Cash sweep &amp; dividend Holdco'!S39</f>
        <v>0</v>
      </c>
      <c r="T22" s="291">
        <f ca="1">'Cash sweep &amp; dividend Holdco'!T39</f>
        <v>0</v>
      </c>
      <c r="U22" s="291">
        <f ca="1">'Cash sweep &amp; dividend Holdco'!U39</f>
        <v>0</v>
      </c>
      <c r="V22" s="291">
        <f ca="1">'Cash sweep &amp; dividend Holdco'!V39</f>
        <v>0</v>
      </c>
      <c r="W22" s="291">
        <f ca="1">'Cash sweep &amp; dividend Holdco'!W39</f>
        <v>0</v>
      </c>
      <c r="X22" s="291">
        <f ca="1">'Cash sweep &amp; dividend Holdco'!X39</f>
        <v>0</v>
      </c>
      <c r="Y22" s="291">
        <f ca="1">'Cash sweep &amp; dividend Holdco'!Y39</f>
        <v>0</v>
      </c>
      <c r="Z22" s="291">
        <f ca="1">'Cash sweep &amp; dividend Holdco'!Z39</f>
        <v>0</v>
      </c>
      <c r="AA22" s="291">
        <f ca="1">'Cash sweep &amp; dividend Holdco'!AA39</f>
        <v>0</v>
      </c>
      <c r="AB22" s="291">
        <f ca="1">'Cash sweep &amp; dividend Holdco'!AB39</f>
        <v>0</v>
      </c>
      <c r="AC22" s="291">
        <f ca="1">'Cash sweep &amp; dividend Holdco'!AC39</f>
        <v>0</v>
      </c>
      <c r="AD22" s="291">
        <f ca="1">'Cash sweep &amp; dividend Holdco'!AD39</f>
        <v>0</v>
      </c>
      <c r="AE22" s="291">
        <f ca="1">'Cash sweep &amp; dividend Holdco'!AE39</f>
        <v>0</v>
      </c>
      <c r="AF22" s="291">
        <f ca="1">'Cash sweep &amp; dividend Holdco'!AF39</f>
        <v>0</v>
      </c>
      <c r="AG22" s="291">
        <f>'Cash sweep &amp; dividend Holdco'!AG39</f>
        <v>0</v>
      </c>
    </row>
    <row r="23" spans="3:33">
      <c r="C23" s="295" t="s">
        <v>729</v>
      </c>
      <c r="D23" s="291">
        <f>-D16*(D17+D18)/4</f>
        <v>0</v>
      </c>
      <c r="E23" s="291">
        <f t="shared" ref="E23:AB23" si="31">-E16*(E17+E18)/4</f>
        <v>0</v>
      </c>
      <c r="F23" s="291">
        <f t="shared" ca="1" si="31"/>
        <v>0</v>
      </c>
      <c r="G23" s="291">
        <f t="shared" ca="1" si="31"/>
        <v>0</v>
      </c>
      <c r="H23" s="291">
        <f t="shared" ca="1" si="31"/>
        <v>0</v>
      </c>
      <c r="I23" s="291">
        <f t="shared" ca="1" si="31"/>
        <v>0</v>
      </c>
      <c r="J23" s="291">
        <f t="shared" ca="1" si="31"/>
        <v>0</v>
      </c>
      <c r="K23" s="291">
        <f t="shared" ca="1" si="31"/>
        <v>0</v>
      </c>
      <c r="L23" s="291">
        <f t="shared" ca="1" si="31"/>
        <v>0</v>
      </c>
      <c r="M23" s="291">
        <f t="shared" ca="1" si="31"/>
        <v>0</v>
      </c>
      <c r="N23" s="291">
        <f t="shared" ca="1" si="31"/>
        <v>0</v>
      </c>
      <c r="O23" s="291">
        <f t="shared" ca="1" si="31"/>
        <v>0</v>
      </c>
      <c r="P23" s="291">
        <f t="shared" ca="1" si="31"/>
        <v>0</v>
      </c>
      <c r="Q23" s="291">
        <f t="shared" ca="1" si="31"/>
        <v>0</v>
      </c>
      <c r="R23" s="291">
        <f t="shared" ca="1" si="31"/>
        <v>0</v>
      </c>
      <c r="S23" s="291">
        <f t="shared" ca="1" si="31"/>
        <v>0</v>
      </c>
      <c r="T23" s="291">
        <f t="shared" ca="1" si="31"/>
        <v>0</v>
      </c>
      <c r="U23" s="291">
        <f t="shared" ca="1" si="31"/>
        <v>0</v>
      </c>
      <c r="V23" s="291">
        <f t="shared" ca="1" si="31"/>
        <v>0</v>
      </c>
      <c r="W23" s="291">
        <f t="shared" ca="1" si="31"/>
        <v>0</v>
      </c>
      <c r="X23" s="291">
        <f t="shared" ca="1" si="31"/>
        <v>0</v>
      </c>
      <c r="Y23" s="291">
        <f t="shared" ca="1" si="31"/>
        <v>0</v>
      </c>
      <c r="Z23" s="291">
        <f t="shared" ca="1" si="31"/>
        <v>0</v>
      </c>
      <c r="AA23" s="291">
        <f t="shared" ca="1" si="31"/>
        <v>0</v>
      </c>
      <c r="AB23" s="291">
        <f t="shared" ca="1" si="31"/>
        <v>0</v>
      </c>
      <c r="AC23" s="291">
        <f t="shared" ref="AC23:AF23" ca="1" si="32">-AC16*(AC17+AC18)/4</f>
        <v>0</v>
      </c>
      <c r="AD23" s="291">
        <f t="shared" ca="1" si="32"/>
        <v>0</v>
      </c>
      <c r="AE23" s="291">
        <f t="shared" ca="1" si="32"/>
        <v>0</v>
      </c>
      <c r="AF23" s="291">
        <f t="shared" ca="1" si="32"/>
        <v>0</v>
      </c>
      <c r="AG23" s="291">
        <f t="shared" ref="AG23" ca="1" si="33">-AG16*(AG17+AG18)/4</f>
        <v>0</v>
      </c>
    </row>
    <row r="24" spans="3:33">
      <c r="C24" s="195" t="s">
        <v>731</v>
      </c>
      <c r="D24" s="195">
        <f>SUM(D17:D23)</f>
        <v>0</v>
      </c>
      <c r="E24" s="195">
        <f ca="1">SUM(E17:E23)</f>
        <v>0</v>
      </c>
      <c r="F24" s="195">
        <f t="shared" ref="F24:AB24" ca="1" si="34">SUM(F17:F23)</f>
        <v>0</v>
      </c>
      <c r="G24" s="195">
        <f t="shared" ca="1" si="34"/>
        <v>0</v>
      </c>
      <c r="H24" s="195">
        <f t="shared" ca="1" si="34"/>
        <v>0</v>
      </c>
      <c r="I24" s="195">
        <f t="shared" ca="1" si="34"/>
        <v>0</v>
      </c>
      <c r="J24" s="195">
        <f t="shared" ca="1" si="34"/>
        <v>0</v>
      </c>
      <c r="K24" s="195">
        <f t="shared" ca="1" si="34"/>
        <v>0</v>
      </c>
      <c r="L24" s="195">
        <f t="shared" ca="1" si="34"/>
        <v>0</v>
      </c>
      <c r="M24" s="195">
        <f t="shared" ca="1" si="34"/>
        <v>0</v>
      </c>
      <c r="N24" s="195">
        <f t="shared" ca="1" si="34"/>
        <v>0</v>
      </c>
      <c r="O24" s="195">
        <f t="shared" ca="1" si="34"/>
        <v>0</v>
      </c>
      <c r="P24" s="195">
        <f t="shared" ca="1" si="34"/>
        <v>0</v>
      </c>
      <c r="Q24" s="195">
        <f t="shared" ca="1" si="34"/>
        <v>0</v>
      </c>
      <c r="R24" s="195">
        <f t="shared" ca="1" si="34"/>
        <v>0</v>
      </c>
      <c r="S24" s="195">
        <f t="shared" ca="1" si="34"/>
        <v>0</v>
      </c>
      <c r="T24" s="195">
        <f t="shared" ca="1" si="34"/>
        <v>0</v>
      </c>
      <c r="U24" s="195">
        <f t="shared" ca="1" si="34"/>
        <v>0</v>
      </c>
      <c r="V24" s="195">
        <f t="shared" ca="1" si="34"/>
        <v>0</v>
      </c>
      <c r="W24" s="195">
        <f t="shared" ca="1" si="34"/>
        <v>0</v>
      </c>
      <c r="X24" s="195">
        <f t="shared" ca="1" si="34"/>
        <v>0</v>
      </c>
      <c r="Y24" s="195">
        <f t="shared" ca="1" si="34"/>
        <v>0</v>
      </c>
      <c r="Z24" s="195">
        <f t="shared" ca="1" si="34"/>
        <v>0</v>
      </c>
      <c r="AA24" s="195">
        <f t="shared" ca="1" si="34"/>
        <v>0</v>
      </c>
      <c r="AB24" s="195">
        <f t="shared" ca="1" si="34"/>
        <v>0</v>
      </c>
      <c r="AC24" s="195">
        <f t="shared" ref="AC24:AF24" ca="1" si="35">SUM(AC17:AC23)</f>
        <v>0</v>
      </c>
      <c r="AD24" s="195">
        <f t="shared" ca="1" si="35"/>
        <v>0</v>
      </c>
      <c r="AE24" s="195">
        <f t="shared" ca="1" si="35"/>
        <v>0</v>
      </c>
      <c r="AF24" s="195">
        <f t="shared" ca="1" si="35"/>
        <v>0</v>
      </c>
      <c r="AG24" s="195">
        <f t="shared" ref="AG24" ca="1" si="36">SUM(AG17:AG23)</f>
        <v>0</v>
      </c>
    </row>
    <row r="25" spans="3:33">
      <c r="C25" s="195" t="s">
        <v>1041</v>
      </c>
      <c r="D25" s="195">
        <f>+D18+SUM(D20:D23)</f>
        <v>0</v>
      </c>
      <c r="E25" s="195">
        <f t="shared" ref="E25:AB25" ca="1" si="37">+E18+SUM(E20:E23)</f>
        <v>0</v>
      </c>
      <c r="F25" s="195">
        <f t="shared" ca="1" si="37"/>
        <v>0</v>
      </c>
      <c r="G25" s="195">
        <f t="shared" ca="1" si="37"/>
        <v>0</v>
      </c>
      <c r="H25" s="195">
        <f t="shared" ca="1" si="37"/>
        <v>0</v>
      </c>
      <c r="I25" s="195">
        <f t="shared" ca="1" si="37"/>
        <v>0</v>
      </c>
      <c r="J25" s="195">
        <f t="shared" ca="1" si="37"/>
        <v>0</v>
      </c>
      <c r="K25" s="195">
        <f t="shared" ca="1" si="37"/>
        <v>0</v>
      </c>
      <c r="L25" s="195">
        <f t="shared" ca="1" si="37"/>
        <v>0</v>
      </c>
      <c r="M25" s="195">
        <f t="shared" ca="1" si="37"/>
        <v>0</v>
      </c>
      <c r="N25" s="195">
        <f t="shared" ca="1" si="37"/>
        <v>0</v>
      </c>
      <c r="O25" s="195">
        <f t="shared" ca="1" si="37"/>
        <v>0</v>
      </c>
      <c r="P25" s="195">
        <f t="shared" ca="1" si="37"/>
        <v>0</v>
      </c>
      <c r="Q25" s="195">
        <f t="shared" ca="1" si="37"/>
        <v>0</v>
      </c>
      <c r="R25" s="195">
        <f t="shared" ca="1" si="37"/>
        <v>0</v>
      </c>
      <c r="S25" s="195">
        <f t="shared" ca="1" si="37"/>
        <v>0</v>
      </c>
      <c r="T25" s="195">
        <f t="shared" ca="1" si="37"/>
        <v>0</v>
      </c>
      <c r="U25" s="195">
        <f t="shared" ca="1" si="37"/>
        <v>0</v>
      </c>
      <c r="V25" s="195">
        <f t="shared" ca="1" si="37"/>
        <v>0</v>
      </c>
      <c r="W25" s="195">
        <f t="shared" ca="1" si="37"/>
        <v>0</v>
      </c>
      <c r="X25" s="195">
        <f t="shared" ca="1" si="37"/>
        <v>0</v>
      </c>
      <c r="Y25" s="195">
        <f t="shared" ca="1" si="37"/>
        <v>0</v>
      </c>
      <c r="Z25" s="195">
        <f t="shared" ca="1" si="37"/>
        <v>0</v>
      </c>
      <c r="AA25" s="195">
        <f t="shared" ca="1" si="37"/>
        <v>0</v>
      </c>
      <c r="AB25" s="195">
        <f t="shared" ca="1" si="37"/>
        <v>0</v>
      </c>
      <c r="AC25" s="195">
        <f t="shared" ref="AC25:AF25" ca="1" si="38">+AC18+SUM(AC20:AC23)</f>
        <v>0</v>
      </c>
      <c r="AD25" s="195">
        <f t="shared" ca="1" si="38"/>
        <v>0</v>
      </c>
      <c r="AE25" s="195">
        <f t="shared" ca="1" si="38"/>
        <v>0</v>
      </c>
      <c r="AF25" s="195">
        <f t="shared" ca="1" si="38"/>
        <v>0</v>
      </c>
      <c r="AG25" s="195">
        <f t="shared" ref="AG25" ca="1" si="39">+AG18+SUM(AG20:AG23)</f>
        <v>0</v>
      </c>
    </row>
    <row r="26" spans="3:33"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</row>
    <row r="27" spans="3:33">
      <c r="C27" s="209" t="s">
        <v>737</v>
      </c>
      <c r="D27" s="209"/>
      <c r="E27" s="209"/>
      <c r="F27" s="209"/>
      <c r="G27" s="209"/>
      <c r="H27" s="209"/>
      <c r="I27" s="209"/>
      <c r="J27" s="209"/>
      <c r="K27" s="209"/>
      <c r="L27" s="209"/>
      <c r="M27" s="209"/>
      <c r="N27" s="209"/>
      <c r="O27" s="209"/>
      <c r="P27" s="209"/>
      <c r="Q27" s="209"/>
      <c r="R27" s="209"/>
      <c r="S27" s="209"/>
      <c r="T27" s="209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</row>
    <row r="28" spans="3:33">
      <c r="C28" s="183" t="s">
        <v>739</v>
      </c>
      <c r="D28" s="183">
        <f>'Financing assumptions Holdco'!M30</f>
        <v>2.3400000000000001E-2</v>
      </c>
      <c r="E28" s="183">
        <f>'Financing assumptions Holdco'!N30</f>
        <v>2.3400000000000001E-2</v>
      </c>
      <c r="F28" s="183">
        <f>'Financing assumptions Holdco'!O30</f>
        <v>2.3400000000000001E-2</v>
      </c>
      <c r="G28" s="183">
        <f>'Financing assumptions Holdco'!P30</f>
        <v>2.3400000000000001E-2</v>
      </c>
      <c r="H28" s="183">
        <f ca="1">'Financing assumptions Holdco'!Q30</f>
        <v>2.3400000000000001E-2</v>
      </c>
      <c r="I28" s="183">
        <f ca="1">'Financing assumptions Holdco'!R30</f>
        <v>2.3400000000000001E-2</v>
      </c>
      <c r="J28" s="183">
        <f ca="1">'Financing assumptions Holdco'!S30</f>
        <v>2.3400000000000001E-2</v>
      </c>
      <c r="K28" s="183">
        <f ca="1">'Financing assumptions Holdco'!T30</f>
        <v>2.3400000000000001E-2</v>
      </c>
      <c r="L28" s="183">
        <f ca="1">'Financing assumptions Holdco'!U30</f>
        <v>2.3400000000000001E-2</v>
      </c>
      <c r="M28" s="183">
        <f ca="1">'Financing assumptions Holdco'!V30</f>
        <v>2.3400000000000001E-2</v>
      </c>
      <c r="N28" s="183">
        <f ca="1">'Financing assumptions Holdco'!W30</f>
        <v>2.3400000000000001E-2</v>
      </c>
      <c r="O28" s="183">
        <f ca="1">'Financing assumptions Holdco'!X30</f>
        <v>2.3400000000000001E-2</v>
      </c>
      <c r="P28" s="183">
        <f ca="1">'Financing assumptions Holdco'!Y30</f>
        <v>2.3400000000000001E-2</v>
      </c>
      <c r="Q28" s="183">
        <f ca="1">'Financing assumptions Holdco'!Z30</f>
        <v>2.3400000000000001E-2</v>
      </c>
      <c r="R28" s="183">
        <f ca="1">'Financing assumptions Holdco'!AA30</f>
        <v>2.3400000000000001E-2</v>
      </c>
      <c r="S28" s="183">
        <f ca="1">'Financing assumptions Holdco'!AB30</f>
        <v>2.3400000000000001E-2</v>
      </c>
      <c r="T28" s="183">
        <f ca="1">'Financing assumptions Holdco'!AC30</f>
        <v>2.3400000000000001E-2</v>
      </c>
      <c r="U28" s="183">
        <f ca="1">'Financing assumptions Holdco'!AD30</f>
        <v>2.3400000000000001E-2</v>
      </c>
      <c r="V28" s="183">
        <f ca="1">'Financing assumptions Holdco'!AE30</f>
        <v>2.3400000000000001E-2</v>
      </c>
      <c r="W28" s="183">
        <f ca="1">'Financing assumptions Holdco'!AF30</f>
        <v>2.3400000000000001E-2</v>
      </c>
      <c r="X28" s="183">
        <f ca="1">'Financing assumptions Holdco'!AG30</f>
        <v>2.3400000000000001E-2</v>
      </c>
      <c r="Y28" s="183">
        <f ca="1">'Financing assumptions Holdco'!AH30</f>
        <v>2.3400000000000001E-2</v>
      </c>
      <c r="Z28" s="183">
        <f ca="1">'Financing assumptions Holdco'!AI30</f>
        <v>2.3400000000000001E-2</v>
      </c>
      <c r="AA28" s="183">
        <f ca="1">'Financing assumptions Holdco'!AJ30</f>
        <v>2.3400000000000001E-2</v>
      </c>
      <c r="AB28" s="183">
        <f ca="1">'Financing assumptions Holdco'!AK30</f>
        <v>2.3400000000000001E-2</v>
      </c>
      <c r="AC28" s="183">
        <f ca="1">'Financing assumptions Holdco'!AL30</f>
        <v>2.3400000000000001E-2</v>
      </c>
      <c r="AD28" s="183">
        <f ca="1">'Financing assumptions Holdco'!AM30</f>
        <v>2.3400000000000001E-2</v>
      </c>
      <c r="AE28" s="183">
        <f ca="1">'Financing assumptions Holdco'!AN30</f>
        <v>2.3400000000000001E-2</v>
      </c>
      <c r="AF28" s="183">
        <f ca="1">'Financing assumptions Holdco'!AO30</f>
        <v>2.3400000000000001E-2</v>
      </c>
      <c r="AG28" s="183">
        <f ca="1">'Financing assumptions Holdco'!AP30</f>
        <v>2.3400000000000001E-2</v>
      </c>
    </row>
    <row r="29" spans="3:33">
      <c r="C29" s="183" t="s">
        <v>741</v>
      </c>
      <c r="D29" s="183">
        <f>D28-'Financing assumptions Holdco'!$F$31/10000</f>
        <v>2.3400000000000001E-2</v>
      </c>
      <c r="E29" s="183">
        <f>E28-'Financing assumptions Holdco'!$F$31/10000</f>
        <v>2.3400000000000001E-2</v>
      </c>
      <c r="F29" s="183">
        <f>F28-'Financing assumptions Holdco'!$F$31/10000</f>
        <v>2.3400000000000001E-2</v>
      </c>
      <c r="G29" s="183">
        <f>G28-'Financing assumptions Holdco'!$F$31/10000</f>
        <v>2.3400000000000001E-2</v>
      </c>
      <c r="H29" s="183">
        <f ca="1">H28-'Financing assumptions Holdco'!$F$31/10000</f>
        <v>2.3400000000000001E-2</v>
      </c>
      <c r="I29" s="183">
        <f ca="1">I28-'Financing assumptions Holdco'!$F$31/10000</f>
        <v>2.3400000000000001E-2</v>
      </c>
      <c r="J29" s="183">
        <f ca="1">J28-'Financing assumptions Holdco'!$F$31/10000</f>
        <v>2.3400000000000001E-2</v>
      </c>
      <c r="K29" s="183">
        <f ca="1">K28-'Financing assumptions Holdco'!$F$31/10000</f>
        <v>2.3400000000000001E-2</v>
      </c>
      <c r="L29" s="183">
        <f ca="1">L28-'Financing assumptions Holdco'!$F$31/10000</f>
        <v>2.3400000000000001E-2</v>
      </c>
      <c r="M29" s="183">
        <f ca="1">M28-'Financing assumptions Holdco'!$F$31/10000</f>
        <v>2.3400000000000001E-2</v>
      </c>
      <c r="N29" s="183">
        <f ca="1">N28-'Financing assumptions Holdco'!$F$31/10000</f>
        <v>2.3400000000000001E-2</v>
      </c>
      <c r="O29" s="183">
        <f ca="1">O28-'Financing assumptions Holdco'!$F$31/10000</f>
        <v>2.3400000000000001E-2</v>
      </c>
      <c r="P29" s="183">
        <f ca="1">P28-'Financing assumptions Holdco'!$F$31/10000</f>
        <v>2.3400000000000001E-2</v>
      </c>
      <c r="Q29" s="183">
        <f ca="1">Q28-'Financing assumptions Holdco'!$F$31/10000</f>
        <v>2.3400000000000001E-2</v>
      </c>
      <c r="R29" s="183">
        <f ca="1">R28-'Financing assumptions Holdco'!$F$31/10000</f>
        <v>2.3400000000000001E-2</v>
      </c>
      <c r="S29" s="183">
        <f ca="1">S28-'Financing assumptions Holdco'!$F$31/10000</f>
        <v>2.3400000000000001E-2</v>
      </c>
      <c r="T29" s="183">
        <f ca="1">T28-'Financing assumptions Holdco'!$F$31/10000</f>
        <v>2.3400000000000001E-2</v>
      </c>
      <c r="U29" s="183">
        <f ca="1">U28-'Financing assumptions Holdco'!$F$31/10000</f>
        <v>2.3400000000000001E-2</v>
      </c>
      <c r="V29" s="183">
        <f ca="1">V28-'Financing assumptions Holdco'!$F$31/10000</f>
        <v>2.3400000000000001E-2</v>
      </c>
      <c r="W29" s="183">
        <f ca="1">W28-'Financing assumptions Holdco'!$F$31/10000</f>
        <v>2.3400000000000001E-2</v>
      </c>
      <c r="X29" s="183">
        <f ca="1">X28-'Financing assumptions Holdco'!$F$31/10000</f>
        <v>2.3400000000000001E-2</v>
      </c>
      <c r="Y29" s="183">
        <f ca="1">Y28-'Financing assumptions Holdco'!$F$31/10000</f>
        <v>2.3400000000000001E-2</v>
      </c>
      <c r="Z29" s="183">
        <f ca="1">Z28-'Financing assumptions Holdco'!$F$31/10000</f>
        <v>2.3400000000000001E-2</v>
      </c>
      <c r="AA29" s="183">
        <f ca="1">AA28-'Financing assumptions Holdco'!$F$31/10000</f>
        <v>2.3400000000000001E-2</v>
      </c>
      <c r="AB29" s="183">
        <f ca="1">AB28-'Financing assumptions Holdco'!$F$31/10000</f>
        <v>2.3400000000000001E-2</v>
      </c>
      <c r="AC29" s="183">
        <f ca="1">AC28-'Financing assumptions Holdco'!$F$31/10000</f>
        <v>2.3400000000000001E-2</v>
      </c>
      <c r="AD29" s="183">
        <f ca="1">AD28-'Financing assumptions Holdco'!$F$31/10000</f>
        <v>2.3400000000000001E-2</v>
      </c>
      <c r="AE29" s="183">
        <f ca="1">AE28-'Financing assumptions Holdco'!$F$31/10000</f>
        <v>2.3400000000000001E-2</v>
      </c>
      <c r="AF29" s="183">
        <f ca="1">AF28-'Financing assumptions Holdco'!$F$31/10000</f>
        <v>2.3400000000000001E-2</v>
      </c>
      <c r="AG29" s="183">
        <f ca="1">AG28-'Financing assumptions Holdco'!$F$31/10000</f>
        <v>2.3400000000000001E-2</v>
      </c>
    </row>
    <row r="30" spans="3:33">
      <c r="C30" s="180" t="s">
        <v>730</v>
      </c>
      <c r="D30" s="180">
        <v>0</v>
      </c>
      <c r="E30" s="180">
        <f>D37</f>
        <v>0</v>
      </c>
      <c r="F30" s="180">
        <f t="shared" ref="F30:AB30" ca="1" si="40">E37</f>
        <v>0</v>
      </c>
      <c r="G30" s="180">
        <f t="shared" ca="1" si="40"/>
        <v>0</v>
      </c>
      <c r="H30" s="180">
        <f t="shared" ca="1" si="40"/>
        <v>0</v>
      </c>
      <c r="I30" s="180">
        <f t="shared" ca="1" si="40"/>
        <v>0</v>
      </c>
      <c r="J30" s="180">
        <f t="shared" ca="1" si="40"/>
        <v>0</v>
      </c>
      <c r="K30" s="180">
        <f t="shared" ca="1" si="40"/>
        <v>0</v>
      </c>
      <c r="L30" s="180">
        <f t="shared" ca="1" si="40"/>
        <v>0</v>
      </c>
      <c r="M30" s="180">
        <f t="shared" ca="1" si="40"/>
        <v>0</v>
      </c>
      <c r="N30" s="180">
        <f t="shared" ca="1" si="40"/>
        <v>0</v>
      </c>
      <c r="O30" s="180">
        <f t="shared" ca="1" si="40"/>
        <v>0</v>
      </c>
      <c r="P30" s="180">
        <f t="shared" ca="1" si="40"/>
        <v>0</v>
      </c>
      <c r="Q30" s="180">
        <f t="shared" ca="1" si="40"/>
        <v>0</v>
      </c>
      <c r="R30" s="180">
        <f t="shared" ca="1" si="40"/>
        <v>0</v>
      </c>
      <c r="S30" s="180">
        <f t="shared" ca="1" si="40"/>
        <v>0</v>
      </c>
      <c r="T30" s="180">
        <f t="shared" ca="1" si="40"/>
        <v>0</v>
      </c>
      <c r="U30" s="180">
        <f t="shared" ca="1" si="40"/>
        <v>0</v>
      </c>
      <c r="V30" s="180">
        <f t="shared" ca="1" si="40"/>
        <v>0</v>
      </c>
      <c r="W30" s="180">
        <f t="shared" ca="1" si="40"/>
        <v>0</v>
      </c>
      <c r="X30" s="180">
        <f t="shared" ca="1" si="40"/>
        <v>0</v>
      </c>
      <c r="Y30" s="180">
        <f t="shared" ca="1" si="40"/>
        <v>0</v>
      </c>
      <c r="Z30" s="180">
        <f t="shared" ca="1" si="40"/>
        <v>0</v>
      </c>
      <c r="AA30" s="180">
        <f t="shared" ca="1" si="40"/>
        <v>0</v>
      </c>
      <c r="AB30" s="180">
        <f t="shared" ca="1" si="40"/>
        <v>0</v>
      </c>
      <c r="AC30" s="180">
        <f t="shared" ref="AC30" ca="1" si="41">AB37</f>
        <v>0</v>
      </c>
      <c r="AD30" s="180">
        <f t="shared" ref="AD30" ca="1" si="42">AC37</f>
        <v>0</v>
      </c>
      <c r="AE30" s="180">
        <f t="shared" ref="AE30" ca="1" si="43">AD37</f>
        <v>0</v>
      </c>
      <c r="AF30" s="180">
        <f t="shared" ref="AF30:AG30" ca="1" si="44">AE37</f>
        <v>0</v>
      </c>
      <c r="AG30" s="180">
        <f t="shared" ca="1" si="44"/>
        <v>0</v>
      </c>
    </row>
    <row r="31" spans="3:33">
      <c r="C31" s="295" t="s">
        <v>725</v>
      </c>
      <c r="D31" s="291">
        <f>'Financing assumptions Holdco'!F27*1000</f>
        <v>0</v>
      </c>
      <c r="E31" s="291">
        <v>0</v>
      </c>
      <c r="F31" s="291">
        <v>0</v>
      </c>
      <c r="G31" s="291">
        <v>0</v>
      </c>
      <c r="H31" s="291">
        <v>0</v>
      </c>
      <c r="I31" s="291">
        <v>0</v>
      </c>
      <c r="J31" s="291">
        <v>0</v>
      </c>
      <c r="K31" s="291">
        <v>0</v>
      </c>
      <c r="L31" s="291">
        <v>0</v>
      </c>
      <c r="M31" s="291">
        <v>0</v>
      </c>
      <c r="N31" s="291">
        <v>0</v>
      </c>
      <c r="O31" s="291">
        <v>0</v>
      </c>
      <c r="P31" s="291">
        <v>0</v>
      </c>
      <c r="Q31" s="291">
        <v>0</v>
      </c>
      <c r="R31" s="291">
        <v>0</v>
      </c>
      <c r="S31" s="291">
        <v>0</v>
      </c>
      <c r="T31" s="291">
        <v>0</v>
      </c>
      <c r="U31" s="291">
        <v>0</v>
      </c>
      <c r="V31" s="291">
        <v>0</v>
      </c>
      <c r="W31" s="291">
        <v>0</v>
      </c>
      <c r="X31" s="291">
        <v>0</v>
      </c>
      <c r="Y31" s="291">
        <v>0</v>
      </c>
      <c r="Z31" s="291">
        <v>0</v>
      </c>
      <c r="AA31" s="291">
        <v>0</v>
      </c>
      <c r="AB31" s="291">
        <v>0</v>
      </c>
      <c r="AC31" s="291">
        <v>0</v>
      </c>
      <c r="AD31" s="291">
        <v>0</v>
      </c>
      <c r="AE31" s="291">
        <v>0</v>
      </c>
      <c r="AF31" s="291">
        <v>0</v>
      </c>
      <c r="AG31" s="291">
        <v>0</v>
      </c>
    </row>
    <row r="32" spans="3:33">
      <c r="C32" s="295" t="s">
        <v>726</v>
      </c>
      <c r="D32" s="291">
        <f>(D30+D31)*D28/4</f>
        <v>0</v>
      </c>
      <c r="E32" s="291">
        <f t="shared" ref="E32:AB32" si="45">(E30+E31)*E28/4</f>
        <v>0</v>
      </c>
      <c r="F32" s="291">
        <f t="shared" ca="1" si="45"/>
        <v>0</v>
      </c>
      <c r="G32" s="291">
        <f t="shared" ca="1" si="45"/>
        <v>0</v>
      </c>
      <c r="H32" s="291">
        <f t="shared" ca="1" si="45"/>
        <v>0</v>
      </c>
      <c r="I32" s="291">
        <f t="shared" ca="1" si="45"/>
        <v>0</v>
      </c>
      <c r="J32" s="291">
        <f t="shared" ca="1" si="45"/>
        <v>0</v>
      </c>
      <c r="K32" s="291">
        <f t="shared" ca="1" si="45"/>
        <v>0</v>
      </c>
      <c r="L32" s="291">
        <f t="shared" ca="1" si="45"/>
        <v>0</v>
      </c>
      <c r="M32" s="291">
        <f t="shared" ca="1" si="45"/>
        <v>0</v>
      </c>
      <c r="N32" s="291">
        <f t="shared" ca="1" si="45"/>
        <v>0</v>
      </c>
      <c r="O32" s="291">
        <f t="shared" ca="1" si="45"/>
        <v>0</v>
      </c>
      <c r="P32" s="291">
        <f t="shared" ca="1" si="45"/>
        <v>0</v>
      </c>
      <c r="Q32" s="291">
        <f t="shared" ca="1" si="45"/>
        <v>0</v>
      </c>
      <c r="R32" s="291">
        <f t="shared" ca="1" si="45"/>
        <v>0</v>
      </c>
      <c r="S32" s="291">
        <f t="shared" ca="1" si="45"/>
        <v>0</v>
      </c>
      <c r="T32" s="291">
        <f t="shared" ca="1" si="45"/>
        <v>0</v>
      </c>
      <c r="U32" s="291">
        <f t="shared" ca="1" si="45"/>
        <v>0</v>
      </c>
      <c r="V32" s="291">
        <f t="shared" ca="1" si="45"/>
        <v>0</v>
      </c>
      <c r="W32" s="291">
        <f t="shared" ca="1" si="45"/>
        <v>0</v>
      </c>
      <c r="X32" s="291">
        <f t="shared" ca="1" si="45"/>
        <v>0</v>
      </c>
      <c r="Y32" s="291">
        <f t="shared" ca="1" si="45"/>
        <v>0</v>
      </c>
      <c r="Z32" s="291">
        <f t="shared" ca="1" si="45"/>
        <v>0</v>
      </c>
      <c r="AA32" s="291">
        <f t="shared" ca="1" si="45"/>
        <v>0</v>
      </c>
      <c r="AB32" s="291">
        <f t="shared" ca="1" si="45"/>
        <v>0</v>
      </c>
      <c r="AC32" s="291">
        <f t="shared" ref="AC32:AF32" ca="1" si="46">(AC30+AC31)*AC28/4</f>
        <v>0</v>
      </c>
      <c r="AD32" s="291">
        <f t="shared" ca="1" si="46"/>
        <v>0</v>
      </c>
      <c r="AE32" s="291">
        <f t="shared" ca="1" si="46"/>
        <v>0</v>
      </c>
      <c r="AF32" s="291">
        <f t="shared" ca="1" si="46"/>
        <v>0</v>
      </c>
      <c r="AG32" s="291">
        <f t="shared" ref="AG32" ca="1" si="47">(AG30+AG31)*AG28/4</f>
        <v>0</v>
      </c>
    </row>
    <row r="33" spans="3:33">
      <c r="C33" s="295" t="s">
        <v>727</v>
      </c>
      <c r="D33" s="291">
        <f>MAX(+'Financing assumptions Holdco'!M27*1000,-(D30+D31))</f>
        <v>0</v>
      </c>
      <c r="E33" s="291">
        <f>MAX(+'Financing assumptions Holdco'!N27*1000,-(E30+E31))</f>
        <v>0</v>
      </c>
      <c r="F33" s="291">
        <f ca="1">MAX(+'Financing assumptions Holdco'!O27*1000,-(F30+F31))</f>
        <v>0</v>
      </c>
      <c r="G33" s="291">
        <f ca="1">MAX(+'Financing assumptions Holdco'!P27*1000,-(G30+G31))</f>
        <v>0</v>
      </c>
      <c r="H33" s="291">
        <f ca="1">MAX(+'Financing assumptions Holdco'!Q27*1000,-(H30+H31))</f>
        <v>0</v>
      </c>
      <c r="I33" s="291">
        <f ca="1">MAX(+'Financing assumptions Holdco'!R27*1000,-(I30+I31))</f>
        <v>0</v>
      </c>
      <c r="J33" s="291">
        <f ca="1">MAX(+'Financing assumptions Holdco'!S27*1000,-(J30+J31))</f>
        <v>0</v>
      </c>
      <c r="K33" s="291">
        <f ca="1">MAX(+'Financing assumptions Holdco'!T27*1000,-(K30+K31))</f>
        <v>0</v>
      </c>
      <c r="L33" s="291">
        <f ca="1">MAX(+'Financing assumptions Holdco'!U27*1000,-(L30+L31))</f>
        <v>0</v>
      </c>
      <c r="M33" s="291">
        <f ca="1">MAX(+'Financing assumptions Holdco'!V27*1000,-(M30+M31))</f>
        <v>0</v>
      </c>
      <c r="N33" s="291">
        <f ca="1">MAX(+'Financing assumptions Holdco'!W27*1000,-(N30+N31))</f>
        <v>0</v>
      </c>
      <c r="O33" s="291">
        <f ca="1">MAX(+'Financing assumptions Holdco'!X27*1000,-(O30+O31))</f>
        <v>0</v>
      </c>
      <c r="P33" s="291">
        <f ca="1">MAX(+'Financing assumptions Holdco'!Y27*1000,-(P30+P31))</f>
        <v>0</v>
      </c>
      <c r="Q33" s="291">
        <f ca="1">MAX(+'Financing assumptions Holdco'!Z27*1000,-(Q30+Q31))</f>
        <v>0</v>
      </c>
      <c r="R33" s="291">
        <f ca="1">MAX(+'Financing assumptions Holdco'!AA27*1000,-(R30+R31))</f>
        <v>0</v>
      </c>
      <c r="S33" s="291">
        <f ca="1">MAX(+'Financing assumptions Holdco'!AB27*1000,-(S30+S31))</f>
        <v>0</v>
      </c>
      <c r="T33" s="291">
        <f ca="1">MAX(+'Financing assumptions Holdco'!AC27*1000,-(T30+T31))</f>
        <v>0</v>
      </c>
      <c r="U33" s="291">
        <f ca="1">MAX(+'Financing assumptions Holdco'!AD27*1000,-(U30+U31))</f>
        <v>0</v>
      </c>
      <c r="V33" s="291">
        <f ca="1">MAX(+'Financing assumptions Holdco'!AE27*1000,-(V30+V31))</f>
        <v>0</v>
      </c>
      <c r="W33" s="291">
        <f ca="1">MAX(+'Financing assumptions Holdco'!AF27*1000,-(W30+W31))</f>
        <v>0</v>
      </c>
      <c r="X33" s="291">
        <f ca="1">MAX(+'Financing assumptions Holdco'!AG27*1000,-(X30+X31))</f>
        <v>0</v>
      </c>
      <c r="Y33" s="291">
        <f ca="1">MAX(+'Financing assumptions Holdco'!AH27*1000,-(Y30+Y31))</f>
        <v>0</v>
      </c>
      <c r="Z33" s="291">
        <f ca="1">MAX(+'Financing assumptions Holdco'!AI27*1000,-(Z30+Z31))</f>
        <v>0</v>
      </c>
      <c r="AA33" s="291">
        <f ca="1">MAX(+'Financing assumptions Holdco'!AJ27*1000,-(AA30+AA31))</f>
        <v>0</v>
      </c>
      <c r="AB33" s="291">
        <f ca="1">MAX(+'Financing assumptions Holdco'!AK27*1000,-(AB30+AB31))</f>
        <v>0</v>
      </c>
      <c r="AC33" s="291">
        <f ca="1">MAX(+'Financing assumptions Holdco'!AL27*1000,-(AC30+AC31))</f>
        <v>0</v>
      </c>
      <c r="AD33" s="291">
        <f ca="1">MAX(+'Financing assumptions Holdco'!AM27*1000,-(AD30+AD31))</f>
        <v>0</v>
      </c>
      <c r="AE33" s="291">
        <f ca="1">MAX(+'Financing assumptions Holdco'!AN27*1000,-(AE30+AE31))</f>
        <v>0</v>
      </c>
      <c r="AF33" s="291">
        <f ca="1">MAX(+'Financing assumptions Holdco'!AO27*1000,-(AF30+AF31))</f>
        <v>0</v>
      </c>
      <c r="AG33" s="291">
        <f ca="1">MAX(+'Financing assumptions Holdco'!AP27*1000,-(AG30+AG31))</f>
        <v>0</v>
      </c>
    </row>
    <row r="34" spans="3:33">
      <c r="C34" s="295" t="s">
        <v>733</v>
      </c>
      <c r="D34" s="291">
        <v>0</v>
      </c>
      <c r="E34" s="291">
        <f>IFERROR(SUM($D35:D35)/$D31*E33*'Financing assumptions Holdco'!Sweep_adj_repay_trigger,0)</f>
        <v>0</v>
      </c>
      <c r="F34" s="291">
        <f ca="1">IFERROR(SUM($D35:E35)/$D31*F33*'Financing assumptions Holdco'!Sweep_adj_repay_trigger,0)</f>
        <v>0</v>
      </c>
      <c r="G34" s="291">
        <f ca="1">IFERROR(SUM($D35:F35)/$D31*G33*'Financing assumptions Holdco'!Sweep_adj_repay_trigger,0)</f>
        <v>0</v>
      </c>
      <c r="H34" s="291">
        <f ca="1">IFERROR(SUM($D35:G35)/$D31*H33*'Financing assumptions Holdco'!Sweep_adj_repay_trigger,0)</f>
        <v>0</v>
      </c>
      <c r="I34" s="291">
        <f ca="1">IFERROR(SUM($D35:H35)/$D31*I33*'Financing assumptions Holdco'!Sweep_adj_repay_trigger,0)</f>
        <v>0</v>
      </c>
      <c r="J34" s="291">
        <f ca="1">IFERROR(SUM($D35:I35)/$D31*J33*'Financing assumptions Holdco'!Sweep_adj_repay_trigger,0)</f>
        <v>0</v>
      </c>
      <c r="K34" s="291">
        <f ca="1">IFERROR(SUM($D35:J35)/$D31*K33*'Financing assumptions Holdco'!Sweep_adj_repay_trigger,0)</f>
        <v>0</v>
      </c>
      <c r="L34" s="291">
        <f ca="1">IFERROR(SUM($D35:K35)/$D31*L33*'Financing assumptions Holdco'!Sweep_adj_repay_trigger,0)</f>
        <v>0</v>
      </c>
      <c r="M34" s="291">
        <f ca="1">IFERROR(SUM($D35:L35)/$D31*M33*'Financing assumptions Holdco'!Sweep_adj_repay_trigger,0)</f>
        <v>0</v>
      </c>
      <c r="N34" s="291">
        <f ca="1">IFERROR(SUM($D35:M35)/$D31*N33*'Financing assumptions Holdco'!Sweep_adj_repay_trigger,0)</f>
        <v>0</v>
      </c>
      <c r="O34" s="291">
        <f ca="1">IFERROR(SUM($D35:N35)/$D31*O33*'Financing assumptions Holdco'!Sweep_adj_repay_trigger,0)</f>
        <v>0</v>
      </c>
      <c r="P34" s="291">
        <f ca="1">IFERROR(SUM($D35:O35)/$D31*P33*'Financing assumptions Holdco'!Sweep_adj_repay_trigger,0)</f>
        <v>0</v>
      </c>
      <c r="Q34" s="291">
        <f ca="1">IFERROR(SUM($D35:P35)/$D31*Q33*'Financing assumptions Holdco'!Sweep_adj_repay_trigger,0)</f>
        <v>0</v>
      </c>
      <c r="R34" s="291">
        <f ca="1">IFERROR(SUM($D35:Q35)/$D31*R33*'Financing assumptions Holdco'!Sweep_adj_repay_trigger,0)</f>
        <v>0</v>
      </c>
      <c r="S34" s="291">
        <f ca="1">IFERROR(SUM($D35:R35)/$D31*S33*'Financing assumptions Holdco'!Sweep_adj_repay_trigger,0)</f>
        <v>0</v>
      </c>
      <c r="T34" s="291">
        <f ca="1">IFERROR(SUM($D35:S35)/$D31*T33*'Financing assumptions Holdco'!Sweep_adj_repay_trigger,0)</f>
        <v>0</v>
      </c>
      <c r="U34" s="291">
        <f ca="1">IFERROR(SUM($D35:T35)/$D31*U33*'Financing assumptions Holdco'!Sweep_adj_repay_trigger,0)</f>
        <v>0</v>
      </c>
      <c r="V34" s="291">
        <f ca="1">IFERROR(SUM($D35:U35)/$D31*V33*'Financing assumptions Holdco'!Sweep_adj_repay_trigger,0)</f>
        <v>0</v>
      </c>
      <c r="W34" s="291">
        <f ca="1">IFERROR(SUM($D35:V35)/$D31*W33*'Financing assumptions Holdco'!Sweep_adj_repay_trigger,0)</f>
        <v>0</v>
      </c>
      <c r="X34" s="291">
        <f ca="1">IFERROR(SUM($D35:W35)/$D31*X33*'Financing assumptions Holdco'!Sweep_adj_repay_trigger,0)</f>
        <v>0</v>
      </c>
      <c r="Y34" s="291">
        <f ca="1">IFERROR(SUM($D35:X35)/$D31*Y33*'Financing assumptions Holdco'!Sweep_adj_repay_trigger,0)</f>
        <v>0</v>
      </c>
      <c r="Z34" s="291">
        <f ca="1">IFERROR(SUM($D35:Y35)/$D31*Z33*'Financing assumptions Holdco'!Sweep_adj_repay_trigger,0)</f>
        <v>0</v>
      </c>
      <c r="AA34" s="291">
        <f ca="1">IFERROR(SUM($D35:Z35)/$D31*AA33*'Financing assumptions Holdco'!Sweep_adj_repay_trigger,0)</f>
        <v>0</v>
      </c>
      <c r="AB34" s="291">
        <f ca="1">IFERROR(SUM($D35:AA35)/$D31*AB33*'Financing assumptions Holdco'!Sweep_adj_repay_trigger,0)</f>
        <v>0</v>
      </c>
      <c r="AC34" s="291">
        <f ca="1">IFERROR(SUM($D35:AB35)/$D31*AC33*'Financing assumptions Holdco'!Sweep_adj_repay_trigger,0)</f>
        <v>0</v>
      </c>
      <c r="AD34" s="291">
        <f ca="1">IFERROR(SUM($D35:AC35)/$D31*AD33*'Financing assumptions Holdco'!Sweep_adj_repay_trigger,0)</f>
        <v>0</v>
      </c>
      <c r="AE34" s="291">
        <f ca="1">IFERROR(SUM($D35:AD35)/$D31*AE33*'Financing assumptions Holdco'!Sweep_adj_repay_trigger,0)</f>
        <v>0</v>
      </c>
      <c r="AF34" s="291">
        <f ca="1">IFERROR(SUM($D35:AE35)/$D31*AF33*'Financing assumptions Holdco'!Sweep_adj_repay_trigger,0)</f>
        <v>0</v>
      </c>
      <c r="AG34" s="291">
        <f ca="1">IFERROR(SUM($D35:AF35)/$D31*AG33*'Financing assumptions Holdco'!Sweep_adj_repay_trigger,0)</f>
        <v>0</v>
      </c>
    </row>
    <row r="35" spans="3:33">
      <c r="C35" s="295" t="s">
        <v>728</v>
      </c>
      <c r="D35" s="291">
        <f>'Cash sweep &amp; dividend Holdco'!D41</f>
        <v>0</v>
      </c>
      <c r="E35" s="291">
        <f ca="1">'Cash sweep &amp; dividend Holdco'!E41</f>
        <v>0</v>
      </c>
      <c r="F35" s="291">
        <f ca="1">'Cash sweep &amp; dividend Holdco'!F41</f>
        <v>0</v>
      </c>
      <c r="G35" s="291">
        <f ca="1">'Cash sweep &amp; dividend Holdco'!G41</f>
        <v>0</v>
      </c>
      <c r="H35" s="291">
        <f ca="1">'Cash sweep &amp; dividend Holdco'!H41</f>
        <v>0</v>
      </c>
      <c r="I35" s="291">
        <f ca="1">'Cash sweep &amp; dividend Holdco'!I41</f>
        <v>0</v>
      </c>
      <c r="J35" s="291">
        <f ca="1">'Cash sweep &amp; dividend Holdco'!J41</f>
        <v>0</v>
      </c>
      <c r="K35" s="291">
        <f ca="1">'Cash sweep &amp; dividend Holdco'!K41</f>
        <v>0</v>
      </c>
      <c r="L35" s="291">
        <f ca="1">'Cash sweep &amp; dividend Holdco'!L41</f>
        <v>0</v>
      </c>
      <c r="M35" s="291">
        <f ca="1">'Cash sweep &amp; dividend Holdco'!M41</f>
        <v>0</v>
      </c>
      <c r="N35" s="291">
        <f ca="1">'Cash sweep &amp; dividend Holdco'!N41</f>
        <v>0</v>
      </c>
      <c r="O35" s="291">
        <f ca="1">'Cash sweep &amp; dividend Holdco'!O41</f>
        <v>0</v>
      </c>
      <c r="P35" s="291">
        <f ca="1">'Cash sweep &amp; dividend Holdco'!P41</f>
        <v>0</v>
      </c>
      <c r="Q35" s="291">
        <f ca="1">'Cash sweep &amp; dividend Holdco'!Q41</f>
        <v>0</v>
      </c>
      <c r="R35" s="291">
        <f ca="1">'Cash sweep &amp; dividend Holdco'!R41</f>
        <v>0</v>
      </c>
      <c r="S35" s="291">
        <f ca="1">'Cash sweep &amp; dividend Holdco'!S41</f>
        <v>0</v>
      </c>
      <c r="T35" s="291">
        <f ca="1">'Cash sweep &amp; dividend Holdco'!T41</f>
        <v>0</v>
      </c>
      <c r="U35" s="291">
        <f ca="1">'Cash sweep &amp; dividend Holdco'!U41</f>
        <v>0</v>
      </c>
      <c r="V35" s="291">
        <f ca="1">'Cash sweep &amp; dividend Holdco'!V41</f>
        <v>0</v>
      </c>
      <c r="W35" s="291">
        <f ca="1">'Cash sweep &amp; dividend Holdco'!W41</f>
        <v>0</v>
      </c>
      <c r="X35" s="291">
        <f ca="1">'Cash sweep &amp; dividend Holdco'!X41</f>
        <v>0</v>
      </c>
      <c r="Y35" s="291">
        <f ca="1">'Cash sweep &amp; dividend Holdco'!Y41</f>
        <v>0</v>
      </c>
      <c r="Z35" s="291">
        <f ca="1">'Cash sweep &amp; dividend Holdco'!Z41</f>
        <v>0</v>
      </c>
      <c r="AA35" s="291">
        <f ca="1">'Cash sweep &amp; dividend Holdco'!AA41</f>
        <v>0</v>
      </c>
      <c r="AB35" s="291">
        <f ca="1">'Cash sweep &amp; dividend Holdco'!AB41</f>
        <v>0</v>
      </c>
      <c r="AC35" s="291">
        <f ca="1">'Cash sweep &amp; dividend Holdco'!AC41</f>
        <v>0</v>
      </c>
      <c r="AD35" s="291">
        <f ca="1">'Cash sweep &amp; dividend Holdco'!AD41</f>
        <v>0</v>
      </c>
      <c r="AE35" s="291">
        <f ca="1">'Cash sweep &amp; dividend Holdco'!AE41</f>
        <v>0</v>
      </c>
      <c r="AF35" s="291">
        <f ca="1">'Cash sweep &amp; dividend Holdco'!AF41</f>
        <v>0</v>
      </c>
      <c r="AG35" s="291">
        <f>'Cash sweep &amp; dividend Holdco'!AG41</f>
        <v>0</v>
      </c>
    </row>
    <row r="36" spans="3:33">
      <c r="C36" s="295" t="s">
        <v>729</v>
      </c>
      <c r="D36" s="291">
        <f>-D29*(D30+D31)/4</f>
        <v>0</v>
      </c>
      <c r="E36" s="291">
        <f t="shared" ref="E36:AB36" si="48">-E29*(E30+E31)/4</f>
        <v>0</v>
      </c>
      <c r="F36" s="291">
        <f t="shared" ca="1" si="48"/>
        <v>0</v>
      </c>
      <c r="G36" s="291">
        <f t="shared" ca="1" si="48"/>
        <v>0</v>
      </c>
      <c r="H36" s="291">
        <f t="shared" ca="1" si="48"/>
        <v>0</v>
      </c>
      <c r="I36" s="291">
        <f t="shared" ca="1" si="48"/>
        <v>0</v>
      </c>
      <c r="J36" s="291">
        <f t="shared" ca="1" si="48"/>
        <v>0</v>
      </c>
      <c r="K36" s="291">
        <f t="shared" ca="1" si="48"/>
        <v>0</v>
      </c>
      <c r="L36" s="291">
        <f t="shared" ca="1" si="48"/>
        <v>0</v>
      </c>
      <c r="M36" s="291">
        <f t="shared" ca="1" si="48"/>
        <v>0</v>
      </c>
      <c r="N36" s="291">
        <f t="shared" ca="1" si="48"/>
        <v>0</v>
      </c>
      <c r="O36" s="291">
        <f t="shared" ca="1" si="48"/>
        <v>0</v>
      </c>
      <c r="P36" s="291">
        <f t="shared" ca="1" si="48"/>
        <v>0</v>
      </c>
      <c r="Q36" s="291">
        <f t="shared" ca="1" si="48"/>
        <v>0</v>
      </c>
      <c r="R36" s="291">
        <f t="shared" ca="1" si="48"/>
        <v>0</v>
      </c>
      <c r="S36" s="291">
        <f t="shared" ca="1" si="48"/>
        <v>0</v>
      </c>
      <c r="T36" s="291">
        <f t="shared" ca="1" si="48"/>
        <v>0</v>
      </c>
      <c r="U36" s="291">
        <f t="shared" ca="1" si="48"/>
        <v>0</v>
      </c>
      <c r="V36" s="291">
        <f t="shared" ca="1" si="48"/>
        <v>0</v>
      </c>
      <c r="W36" s="291">
        <f t="shared" ca="1" si="48"/>
        <v>0</v>
      </c>
      <c r="X36" s="291">
        <f t="shared" ca="1" si="48"/>
        <v>0</v>
      </c>
      <c r="Y36" s="291">
        <f t="shared" ca="1" si="48"/>
        <v>0</v>
      </c>
      <c r="Z36" s="291">
        <f t="shared" ca="1" si="48"/>
        <v>0</v>
      </c>
      <c r="AA36" s="291">
        <f t="shared" ca="1" si="48"/>
        <v>0</v>
      </c>
      <c r="AB36" s="291">
        <f t="shared" ca="1" si="48"/>
        <v>0</v>
      </c>
      <c r="AC36" s="291">
        <f t="shared" ref="AC36:AF36" ca="1" si="49">-AC29*(AC30+AC31)/4</f>
        <v>0</v>
      </c>
      <c r="AD36" s="291">
        <f t="shared" ca="1" si="49"/>
        <v>0</v>
      </c>
      <c r="AE36" s="291">
        <f t="shared" ca="1" si="49"/>
        <v>0</v>
      </c>
      <c r="AF36" s="291">
        <f t="shared" ca="1" si="49"/>
        <v>0</v>
      </c>
      <c r="AG36" s="291">
        <f t="shared" ref="AG36" ca="1" si="50">-AG29*(AG30+AG31)/4</f>
        <v>0</v>
      </c>
    </row>
    <row r="37" spans="3:33">
      <c r="C37" s="195" t="s">
        <v>731</v>
      </c>
      <c r="D37" s="195">
        <f>SUM(D30:D36)</f>
        <v>0</v>
      </c>
      <c r="E37" s="195">
        <f ca="1">SUM(E30:E36)</f>
        <v>0</v>
      </c>
      <c r="F37" s="195">
        <f t="shared" ref="F37:AB37" ca="1" si="51">SUM(F30:F36)</f>
        <v>0</v>
      </c>
      <c r="G37" s="195">
        <f t="shared" ca="1" si="51"/>
        <v>0</v>
      </c>
      <c r="H37" s="195">
        <f t="shared" ca="1" si="51"/>
        <v>0</v>
      </c>
      <c r="I37" s="195">
        <f t="shared" ca="1" si="51"/>
        <v>0</v>
      </c>
      <c r="J37" s="195">
        <f t="shared" ca="1" si="51"/>
        <v>0</v>
      </c>
      <c r="K37" s="195">
        <f t="shared" ca="1" si="51"/>
        <v>0</v>
      </c>
      <c r="L37" s="195">
        <f t="shared" ca="1" si="51"/>
        <v>0</v>
      </c>
      <c r="M37" s="195">
        <f t="shared" ca="1" si="51"/>
        <v>0</v>
      </c>
      <c r="N37" s="195">
        <f t="shared" ca="1" si="51"/>
        <v>0</v>
      </c>
      <c r="O37" s="195">
        <f t="shared" ca="1" si="51"/>
        <v>0</v>
      </c>
      <c r="P37" s="195">
        <f t="shared" ca="1" si="51"/>
        <v>0</v>
      </c>
      <c r="Q37" s="195">
        <f t="shared" ca="1" si="51"/>
        <v>0</v>
      </c>
      <c r="R37" s="195">
        <f t="shared" ca="1" si="51"/>
        <v>0</v>
      </c>
      <c r="S37" s="195">
        <f t="shared" ca="1" si="51"/>
        <v>0</v>
      </c>
      <c r="T37" s="195">
        <f t="shared" ca="1" si="51"/>
        <v>0</v>
      </c>
      <c r="U37" s="195">
        <f t="shared" ca="1" si="51"/>
        <v>0</v>
      </c>
      <c r="V37" s="195">
        <f t="shared" ca="1" si="51"/>
        <v>0</v>
      </c>
      <c r="W37" s="195">
        <f t="shared" ca="1" si="51"/>
        <v>0</v>
      </c>
      <c r="X37" s="195">
        <f t="shared" ca="1" si="51"/>
        <v>0</v>
      </c>
      <c r="Y37" s="195">
        <f t="shared" ca="1" si="51"/>
        <v>0</v>
      </c>
      <c r="Z37" s="195">
        <f t="shared" ca="1" si="51"/>
        <v>0</v>
      </c>
      <c r="AA37" s="195">
        <f t="shared" ca="1" si="51"/>
        <v>0</v>
      </c>
      <c r="AB37" s="195">
        <f t="shared" ca="1" si="51"/>
        <v>0</v>
      </c>
      <c r="AC37" s="195">
        <f t="shared" ref="AC37:AF37" ca="1" si="52">SUM(AC30:AC36)</f>
        <v>0</v>
      </c>
      <c r="AD37" s="195">
        <f t="shared" ca="1" si="52"/>
        <v>0</v>
      </c>
      <c r="AE37" s="195">
        <f t="shared" ca="1" si="52"/>
        <v>0</v>
      </c>
      <c r="AF37" s="195">
        <f t="shared" ca="1" si="52"/>
        <v>0</v>
      </c>
      <c r="AG37" s="195">
        <f t="shared" ref="AG37" ca="1" si="53">SUM(AG30:AG36)</f>
        <v>0</v>
      </c>
    </row>
    <row r="38" spans="3:33">
      <c r="C38" s="195" t="s">
        <v>751</v>
      </c>
      <c r="D38" s="195">
        <f>+D31+SUM(D33:D36)</f>
        <v>0</v>
      </c>
      <c r="E38" s="195">
        <f t="shared" ref="E38:AB38" ca="1" si="54">+E31+SUM(E33:E36)</f>
        <v>0</v>
      </c>
      <c r="F38" s="195">
        <f t="shared" ca="1" si="54"/>
        <v>0</v>
      </c>
      <c r="G38" s="195">
        <f t="shared" ca="1" si="54"/>
        <v>0</v>
      </c>
      <c r="H38" s="195">
        <f t="shared" ca="1" si="54"/>
        <v>0</v>
      </c>
      <c r="I38" s="195">
        <f t="shared" ca="1" si="54"/>
        <v>0</v>
      </c>
      <c r="J38" s="195">
        <f t="shared" ca="1" si="54"/>
        <v>0</v>
      </c>
      <c r="K38" s="195">
        <f t="shared" ca="1" si="54"/>
        <v>0</v>
      </c>
      <c r="L38" s="195">
        <f t="shared" ca="1" si="54"/>
        <v>0</v>
      </c>
      <c r="M38" s="195">
        <f t="shared" ca="1" si="54"/>
        <v>0</v>
      </c>
      <c r="N38" s="195">
        <f t="shared" ca="1" si="54"/>
        <v>0</v>
      </c>
      <c r="O38" s="195">
        <f t="shared" ca="1" si="54"/>
        <v>0</v>
      </c>
      <c r="P38" s="195">
        <f t="shared" ca="1" si="54"/>
        <v>0</v>
      </c>
      <c r="Q38" s="195">
        <f t="shared" ca="1" si="54"/>
        <v>0</v>
      </c>
      <c r="R38" s="195">
        <f t="shared" ca="1" si="54"/>
        <v>0</v>
      </c>
      <c r="S38" s="195">
        <f t="shared" ca="1" si="54"/>
        <v>0</v>
      </c>
      <c r="T38" s="195">
        <f t="shared" ca="1" si="54"/>
        <v>0</v>
      </c>
      <c r="U38" s="195">
        <f t="shared" ca="1" si="54"/>
        <v>0</v>
      </c>
      <c r="V38" s="195">
        <f t="shared" ca="1" si="54"/>
        <v>0</v>
      </c>
      <c r="W38" s="195">
        <f t="shared" ca="1" si="54"/>
        <v>0</v>
      </c>
      <c r="X38" s="195">
        <f t="shared" ca="1" si="54"/>
        <v>0</v>
      </c>
      <c r="Y38" s="195">
        <f t="shared" ca="1" si="54"/>
        <v>0</v>
      </c>
      <c r="Z38" s="195">
        <f t="shared" ca="1" si="54"/>
        <v>0</v>
      </c>
      <c r="AA38" s="195">
        <f t="shared" ca="1" si="54"/>
        <v>0</v>
      </c>
      <c r="AB38" s="195">
        <f t="shared" ca="1" si="54"/>
        <v>0</v>
      </c>
      <c r="AC38" s="195">
        <f t="shared" ref="AC38:AF38" ca="1" si="55">+AC31+SUM(AC33:AC36)</f>
        <v>0</v>
      </c>
      <c r="AD38" s="195">
        <f t="shared" ca="1" si="55"/>
        <v>0</v>
      </c>
      <c r="AE38" s="195">
        <f t="shared" ca="1" si="55"/>
        <v>0</v>
      </c>
      <c r="AF38" s="195">
        <f t="shared" ca="1" si="55"/>
        <v>0</v>
      </c>
      <c r="AG38" s="195">
        <f t="shared" ref="AG38" ca="1" si="56">+AG31+SUM(AG33:AG36)</f>
        <v>0</v>
      </c>
    </row>
    <row r="39" spans="3:33"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  <c r="AE39" s="88"/>
      <c r="AF39" s="88"/>
      <c r="AG39" s="88"/>
    </row>
    <row r="40" spans="3:33">
      <c r="C40" s="209" t="s">
        <v>738</v>
      </c>
      <c r="D40" s="209"/>
      <c r="E40" s="209"/>
      <c r="F40" s="209"/>
      <c r="G40" s="209"/>
      <c r="H40" s="209"/>
      <c r="I40" s="209"/>
      <c r="J40" s="209"/>
      <c r="K40" s="209"/>
      <c r="L40" s="209"/>
      <c r="M40" s="209"/>
      <c r="N40" s="209"/>
      <c r="O40" s="209"/>
      <c r="P40" s="209"/>
      <c r="Q40" s="209"/>
      <c r="R40" s="209"/>
      <c r="S40" s="209"/>
      <c r="T40" s="209"/>
      <c r="U40" s="209"/>
      <c r="V40" s="209"/>
      <c r="W40" s="209"/>
      <c r="X40" s="209"/>
      <c r="Y40" s="209"/>
      <c r="Z40" s="209"/>
      <c r="AA40" s="209"/>
      <c r="AB40" s="209"/>
      <c r="AC40" s="209"/>
      <c r="AD40" s="209"/>
      <c r="AE40" s="209"/>
      <c r="AF40" s="209"/>
      <c r="AG40" s="209"/>
    </row>
    <row r="41" spans="3:33">
      <c r="C41" s="183" t="s">
        <v>739</v>
      </c>
      <c r="D41" s="183">
        <f>'Financing assumptions Holdco'!M39</f>
        <v>6.8400000000000002E-2</v>
      </c>
      <c r="E41" s="183">
        <f>'Financing assumptions Holdco'!N39</f>
        <v>6.8400000000000002E-2</v>
      </c>
      <c r="F41" s="183">
        <f>'Financing assumptions Holdco'!O39</f>
        <v>6.8400000000000002E-2</v>
      </c>
      <c r="G41" s="183">
        <f>'Financing assumptions Holdco'!P39</f>
        <v>6.8400000000000002E-2</v>
      </c>
      <c r="H41" s="183">
        <f ca="1">'Financing assumptions Holdco'!Q39</f>
        <v>6.8400000000000002E-2</v>
      </c>
      <c r="I41" s="183">
        <f ca="1">'Financing assumptions Holdco'!R39</f>
        <v>6.8400000000000002E-2</v>
      </c>
      <c r="J41" s="183">
        <f ca="1">'Financing assumptions Holdco'!S39</f>
        <v>6.8400000000000002E-2</v>
      </c>
      <c r="K41" s="183">
        <f ca="1">'Financing assumptions Holdco'!T39</f>
        <v>6.8400000000000002E-2</v>
      </c>
      <c r="L41" s="183">
        <f ca="1">'Financing assumptions Holdco'!U39</f>
        <v>6.8400000000000002E-2</v>
      </c>
      <c r="M41" s="183">
        <f ca="1">'Financing assumptions Holdco'!V39</f>
        <v>6.8400000000000002E-2</v>
      </c>
      <c r="N41" s="183">
        <f ca="1">'Financing assumptions Holdco'!W39</f>
        <v>6.8400000000000002E-2</v>
      </c>
      <c r="O41" s="183">
        <f ca="1">'Financing assumptions Holdco'!X39</f>
        <v>6.8400000000000002E-2</v>
      </c>
      <c r="P41" s="183">
        <f ca="1">'Financing assumptions Holdco'!Y39</f>
        <v>6.8400000000000002E-2</v>
      </c>
      <c r="Q41" s="183">
        <f ca="1">'Financing assumptions Holdco'!Z39</f>
        <v>6.8400000000000002E-2</v>
      </c>
      <c r="R41" s="183">
        <f ca="1">'Financing assumptions Holdco'!AA39</f>
        <v>6.8400000000000002E-2</v>
      </c>
      <c r="S41" s="183">
        <f ca="1">'Financing assumptions Holdco'!AB39</f>
        <v>6.8400000000000002E-2</v>
      </c>
      <c r="T41" s="183">
        <f ca="1">'Financing assumptions Holdco'!AC39</f>
        <v>6.8400000000000002E-2</v>
      </c>
      <c r="U41" s="183">
        <f ca="1">'Financing assumptions Holdco'!AD39</f>
        <v>6.8400000000000002E-2</v>
      </c>
      <c r="V41" s="183">
        <f ca="1">'Financing assumptions Holdco'!AE39</f>
        <v>6.8400000000000002E-2</v>
      </c>
      <c r="W41" s="183">
        <f ca="1">'Financing assumptions Holdco'!AF39</f>
        <v>6.8400000000000002E-2</v>
      </c>
      <c r="X41" s="183">
        <f ca="1">'Financing assumptions Holdco'!AG39</f>
        <v>6.8400000000000002E-2</v>
      </c>
      <c r="Y41" s="183">
        <f ca="1">'Financing assumptions Holdco'!AH39</f>
        <v>6.8400000000000002E-2</v>
      </c>
      <c r="Z41" s="183">
        <f ca="1">'Financing assumptions Holdco'!AI39</f>
        <v>6.8400000000000002E-2</v>
      </c>
      <c r="AA41" s="183">
        <f ca="1">'Financing assumptions Holdco'!AJ39</f>
        <v>6.8400000000000002E-2</v>
      </c>
      <c r="AB41" s="183">
        <f ca="1">'Financing assumptions Holdco'!AK39</f>
        <v>6.8400000000000002E-2</v>
      </c>
      <c r="AC41" s="183">
        <f ca="1">'Financing assumptions Holdco'!AL39</f>
        <v>6.8400000000000002E-2</v>
      </c>
      <c r="AD41" s="183">
        <f ca="1">'Financing assumptions Holdco'!AM39</f>
        <v>6.8400000000000002E-2</v>
      </c>
      <c r="AE41" s="183">
        <f ca="1">'Financing assumptions Holdco'!AN39</f>
        <v>6.8400000000000002E-2</v>
      </c>
      <c r="AF41" s="183">
        <f ca="1">'Financing assumptions Holdco'!AO39</f>
        <v>6.8400000000000002E-2</v>
      </c>
      <c r="AG41" s="183">
        <f ca="1">'Financing assumptions Holdco'!AP39</f>
        <v>6.8400000000000002E-2</v>
      </c>
    </row>
    <row r="42" spans="3:33">
      <c r="C42" s="183" t="s">
        <v>741</v>
      </c>
      <c r="D42" s="183">
        <f>D41-'Financing assumptions Holdco'!$F$40/10000</f>
        <v>6.8400000000000002E-2</v>
      </c>
      <c r="E42" s="183">
        <f>E41-'Financing assumptions Holdco'!$F$31/10000</f>
        <v>6.8400000000000002E-2</v>
      </c>
      <c r="F42" s="183">
        <f>F41-'Financing assumptions Holdco'!$F$31/10000</f>
        <v>6.8400000000000002E-2</v>
      </c>
      <c r="G42" s="183">
        <f>G41-'Financing assumptions Holdco'!$F$31/10000</f>
        <v>6.8400000000000002E-2</v>
      </c>
      <c r="H42" s="183">
        <f ca="1">H41-'Financing assumptions Holdco'!$F$31/10000</f>
        <v>6.8400000000000002E-2</v>
      </c>
      <c r="I42" s="183">
        <f ca="1">I41-'Financing assumptions Holdco'!$F$31/10000</f>
        <v>6.8400000000000002E-2</v>
      </c>
      <c r="J42" s="183">
        <f ca="1">J41-'Financing assumptions Holdco'!$F$31/10000</f>
        <v>6.8400000000000002E-2</v>
      </c>
      <c r="K42" s="183">
        <f ca="1">K41-'Financing assumptions Holdco'!$F$31/10000</f>
        <v>6.8400000000000002E-2</v>
      </c>
      <c r="L42" s="183">
        <f ca="1">L41-'Financing assumptions Holdco'!$F$31/10000</f>
        <v>6.8400000000000002E-2</v>
      </c>
      <c r="M42" s="183">
        <f ca="1">M41-'Financing assumptions Holdco'!$F$31/10000</f>
        <v>6.8400000000000002E-2</v>
      </c>
      <c r="N42" s="183">
        <f ca="1">N41-'Financing assumptions Holdco'!$F$31/10000</f>
        <v>6.8400000000000002E-2</v>
      </c>
      <c r="O42" s="183">
        <f ca="1">O41-'Financing assumptions Holdco'!$F$31/10000</f>
        <v>6.8400000000000002E-2</v>
      </c>
      <c r="P42" s="183">
        <f ca="1">P41-'Financing assumptions Holdco'!$F$31/10000</f>
        <v>6.8400000000000002E-2</v>
      </c>
      <c r="Q42" s="183">
        <f ca="1">Q41-'Financing assumptions Holdco'!$F$31/10000</f>
        <v>6.8400000000000002E-2</v>
      </c>
      <c r="R42" s="183">
        <f ca="1">R41-'Financing assumptions Holdco'!$F$31/10000</f>
        <v>6.8400000000000002E-2</v>
      </c>
      <c r="S42" s="183">
        <f ca="1">S41-'Financing assumptions Holdco'!$F$31/10000</f>
        <v>6.8400000000000002E-2</v>
      </c>
      <c r="T42" s="183">
        <f ca="1">T41-'Financing assumptions Holdco'!$F$31/10000</f>
        <v>6.8400000000000002E-2</v>
      </c>
      <c r="U42" s="183">
        <f ca="1">U41-'Financing assumptions Holdco'!$F$31/10000</f>
        <v>6.8400000000000002E-2</v>
      </c>
      <c r="V42" s="183">
        <f ca="1">V41-'Financing assumptions Holdco'!$F$31/10000</f>
        <v>6.8400000000000002E-2</v>
      </c>
      <c r="W42" s="183">
        <f ca="1">W41-'Financing assumptions Holdco'!$F$31/10000</f>
        <v>6.8400000000000002E-2</v>
      </c>
      <c r="X42" s="183">
        <f ca="1">X41-'Financing assumptions Holdco'!$F$31/10000</f>
        <v>6.8400000000000002E-2</v>
      </c>
      <c r="Y42" s="183">
        <f ca="1">Y41-'Financing assumptions Holdco'!$F$31/10000</f>
        <v>6.8400000000000002E-2</v>
      </c>
      <c r="Z42" s="183">
        <f ca="1">Z41-'Financing assumptions Holdco'!$F$31/10000</f>
        <v>6.8400000000000002E-2</v>
      </c>
      <c r="AA42" s="183">
        <f ca="1">AA41-'Financing assumptions Holdco'!$F$31/10000</f>
        <v>6.8400000000000002E-2</v>
      </c>
      <c r="AB42" s="183">
        <f ca="1">AB41-'Financing assumptions Holdco'!$F$31/10000</f>
        <v>6.8400000000000002E-2</v>
      </c>
      <c r="AC42" s="183">
        <f ca="1">AC41-'Financing assumptions Holdco'!$F$31/10000</f>
        <v>6.8400000000000002E-2</v>
      </c>
      <c r="AD42" s="183">
        <f ca="1">AD41-'Financing assumptions Holdco'!$F$31/10000</f>
        <v>6.8400000000000002E-2</v>
      </c>
      <c r="AE42" s="183">
        <f ca="1">AE41-'Financing assumptions Holdco'!$F$31/10000</f>
        <v>6.8400000000000002E-2</v>
      </c>
      <c r="AF42" s="183">
        <f ca="1">AF41-'Financing assumptions Holdco'!$F$31/10000</f>
        <v>6.8400000000000002E-2</v>
      </c>
      <c r="AG42" s="183">
        <f ca="1">AG41-'Financing assumptions Holdco'!$F$31/10000</f>
        <v>6.8400000000000002E-2</v>
      </c>
    </row>
    <row r="43" spans="3:33">
      <c r="C43" s="180" t="s">
        <v>730</v>
      </c>
      <c r="D43" s="180">
        <v>0</v>
      </c>
      <c r="E43" s="180">
        <f ca="1">D50</f>
        <v>0</v>
      </c>
      <c r="F43" s="180">
        <f t="shared" ref="F43:AB43" ca="1" si="57">E50</f>
        <v>0</v>
      </c>
      <c r="G43" s="180">
        <f t="shared" ca="1" si="57"/>
        <v>0</v>
      </c>
      <c r="H43" s="180">
        <f t="shared" ca="1" si="57"/>
        <v>0</v>
      </c>
      <c r="I43" s="180">
        <f t="shared" ca="1" si="57"/>
        <v>0</v>
      </c>
      <c r="J43" s="180">
        <f t="shared" ca="1" si="57"/>
        <v>0</v>
      </c>
      <c r="K43" s="180">
        <f t="shared" ca="1" si="57"/>
        <v>0</v>
      </c>
      <c r="L43" s="180">
        <f t="shared" ca="1" si="57"/>
        <v>0</v>
      </c>
      <c r="M43" s="180">
        <f t="shared" ca="1" si="57"/>
        <v>0</v>
      </c>
      <c r="N43" s="180">
        <f t="shared" ca="1" si="57"/>
        <v>0</v>
      </c>
      <c r="O43" s="180">
        <f t="shared" ca="1" si="57"/>
        <v>0</v>
      </c>
      <c r="P43" s="180">
        <f t="shared" ca="1" si="57"/>
        <v>0</v>
      </c>
      <c r="Q43" s="180">
        <f t="shared" ca="1" si="57"/>
        <v>0</v>
      </c>
      <c r="R43" s="180">
        <f t="shared" ca="1" si="57"/>
        <v>0</v>
      </c>
      <c r="S43" s="180">
        <f t="shared" ca="1" si="57"/>
        <v>0</v>
      </c>
      <c r="T43" s="180">
        <f t="shared" ca="1" si="57"/>
        <v>0</v>
      </c>
      <c r="U43" s="180">
        <f t="shared" ca="1" si="57"/>
        <v>0</v>
      </c>
      <c r="V43" s="180">
        <f t="shared" ca="1" si="57"/>
        <v>0</v>
      </c>
      <c r="W43" s="180">
        <f t="shared" ca="1" si="57"/>
        <v>0</v>
      </c>
      <c r="X43" s="180">
        <f t="shared" ca="1" si="57"/>
        <v>0</v>
      </c>
      <c r="Y43" s="180">
        <f t="shared" ca="1" si="57"/>
        <v>0</v>
      </c>
      <c r="Z43" s="180">
        <f t="shared" ca="1" si="57"/>
        <v>0</v>
      </c>
      <c r="AA43" s="180">
        <f t="shared" ca="1" si="57"/>
        <v>0</v>
      </c>
      <c r="AB43" s="180">
        <f t="shared" ca="1" si="57"/>
        <v>0</v>
      </c>
      <c r="AC43" s="180">
        <f t="shared" ref="AC43" ca="1" si="58">AB50</f>
        <v>0</v>
      </c>
      <c r="AD43" s="180">
        <f t="shared" ref="AD43" ca="1" si="59">AC50</f>
        <v>0</v>
      </c>
      <c r="AE43" s="180">
        <f t="shared" ref="AE43" ca="1" si="60">AD50</f>
        <v>0</v>
      </c>
      <c r="AF43" s="180">
        <f t="shared" ref="AF43:AG43" ca="1" si="61">AE50</f>
        <v>0</v>
      </c>
      <c r="AG43" s="180">
        <f t="shared" ca="1" si="61"/>
        <v>0</v>
      </c>
    </row>
    <row r="44" spans="3:33">
      <c r="C44" s="295" t="s">
        <v>725</v>
      </c>
      <c r="D44" s="291">
        <f>'Financing assumptions Holdco'!F36*1000</f>
        <v>0</v>
      </c>
      <c r="E44" s="291">
        <v>0</v>
      </c>
      <c r="F44" s="291">
        <v>0</v>
      </c>
      <c r="G44" s="291">
        <v>0</v>
      </c>
      <c r="H44" s="291">
        <v>0</v>
      </c>
      <c r="I44" s="291">
        <v>0</v>
      </c>
      <c r="J44" s="291">
        <v>0</v>
      </c>
      <c r="K44" s="291">
        <v>0</v>
      </c>
      <c r="L44" s="291">
        <v>0</v>
      </c>
      <c r="M44" s="291">
        <v>0</v>
      </c>
      <c r="N44" s="291">
        <v>0</v>
      </c>
      <c r="O44" s="291">
        <v>0</v>
      </c>
      <c r="P44" s="291">
        <v>0</v>
      </c>
      <c r="Q44" s="291">
        <v>0</v>
      </c>
      <c r="R44" s="291">
        <v>0</v>
      </c>
      <c r="S44" s="291">
        <v>0</v>
      </c>
      <c r="T44" s="291">
        <v>0</v>
      </c>
      <c r="U44" s="291">
        <v>0</v>
      </c>
      <c r="V44" s="291">
        <v>0</v>
      </c>
      <c r="W44" s="291">
        <v>0</v>
      </c>
      <c r="X44" s="291">
        <v>0</v>
      </c>
      <c r="Y44" s="291">
        <v>0</v>
      </c>
      <c r="Z44" s="291">
        <v>0</v>
      </c>
      <c r="AA44" s="291">
        <v>0</v>
      </c>
      <c r="AB44" s="291">
        <v>0</v>
      </c>
      <c r="AC44" s="291">
        <v>0</v>
      </c>
      <c r="AD44" s="291">
        <v>0</v>
      </c>
      <c r="AE44" s="291">
        <v>0</v>
      </c>
      <c r="AF44" s="291">
        <v>0</v>
      </c>
      <c r="AG44" s="291">
        <v>0</v>
      </c>
    </row>
    <row r="45" spans="3:33">
      <c r="C45" s="295" t="s">
        <v>726</v>
      </c>
      <c r="D45" s="291">
        <f>(D43+D44)*D41/4</f>
        <v>0</v>
      </c>
      <c r="E45" s="291">
        <f t="shared" ref="E45:AB45" ca="1" si="62">(E43+E44)*E41/4</f>
        <v>0</v>
      </c>
      <c r="F45" s="291">
        <f t="shared" ca="1" si="62"/>
        <v>0</v>
      </c>
      <c r="G45" s="291">
        <f t="shared" ca="1" si="62"/>
        <v>0</v>
      </c>
      <c r="H45" s="291">
        <f t="shared" ca="1" si="62"/>
        <v>0</v>
      </c>
      <c r="I45" s="291">
        <f t="shared" ca="1" si="62"/>
        <v>0</v>
      </c>
      <c r="J45" s="291">
        <f t="shared" ca="1" si="62"/>
        <v>0</v>
      </c>
      <c r="K45" s="291">
        <f t="shared" ca="1" si="62"/>
        <v>0</v>
      </c>
      <c r="L45" s="291">
        <f t="shared" ca="1" si="62"/>
        <v>0</v>
      </c>
      <c r="M45" s="291">
        <f t="shared" ca="1" si="62"/>
        <v>0</v>
      </c>
      <c r="N45" s="291">
        <f t="shared" ca="1" si="62"/>
        <v>0</v>
      </c>
      <c r="O45" s="291">
        <f t="shared" ca="1" si="62"/>
        <v>0</v>
      </c>
      <c r="P45" s="291">
        <f t="shared" ca="1" si="62"/>
        <v>0</v>
      </c>
      <c r="Q45" s="291">
        <f t="shared" ca="1" si="62"/>
        <v>0</v>
      </c>
      <c r="R45" s="291">
        <f t="shared" ca="1" si="62"/>
        <v>0</v>
      </c>
      <c r="S45" s="291">
        <f t="shared" ca="1" si="62"/>
        <v>0</v>
      </c>
      <c r="T45" s="291">
        <f t="shared" ca="1" si="62"/>
        <v>0</v>
      </c>
      <c r="U45" s="291">
        <f t="shared" ca="1" si="62"/>
        <v>0</v>
      </c>
      <c r="V45" s="291">
        <f t="shared" ca="1" si="62"/>
        <v>0</v>
      </c>
      <c r="W45" s="291">
        <f t="shared" ca="1" si="62"/>
        <v>0</v>
      </c>
      <c r="X45" s="291">
        <f t="shared" ca="1" si="62"/>
        <v>0</v>
      </c>
      <c r="Y45" s="291">
        <f t="shared" ca="1" si="62"/>
        <v>0</v>
      </c>
      <c r="Z45" s="291">
        <f t="shared" ca="1" si="62"/>
        <v>0</v>
      </c>
      <c r="AA45" s="291">
        <f t="shared" ca="1" si="62"/>
        <v>0</v>
      </c>
      <c r="AB45" s="291">
        <f t="shared" ca="1" si="62"/>
        <v>0</v>
      </c>
      <c r="AC45" s="291">
        <f t="shared" ref="AC45:AF45" ca="1" si="63">(AC43+AC44)*AC41/4</f>
        <v>0</v>
      </c>
      <c r="AD45" s="291">
        <f t="shared" ca="1" si="63"/>
        <v>0</v>
      </c>
      <c r="AE45" s="291">
        <f t="shared" ca="1" si="63"/>
        <v>0</v>
      </c>
      <c r="AF45" s="291">
        <f t="shared" ca="1" si="63"/>
        <v>0</v>
      </c>
      <c r="AG45" s="291">
        <f t="shared" ref="AG45" ca="1" si="64">(AG43+AG44)*AG41/4</f>
        <v>0</v>
      </c>
    </row>
    <row r="46" spans="3:33">
      <c r="C46" s="295" t="s">
        <v>727</v>
      </c>
      <c r="D46" s="291">
        <f>MAX(+'Financing assumptions Holdco'!M36*1000,-(D43+D44))</f>
        <v>0</v>
      </c>
      <c r="E46" s="291">
        <f ca="1">MAX(+'Financing assumptions Holdco'!N36*1000,-(E43+E44))</f>
        <v>0</v>
      </c>
      <c r="F46" s="291">
        <f ca="1">MAX(+'Financing assumptions Holdco'!O36*1000,-(F43+F44))</f>
        <v>0</v>
      </c>
      <c r="G46" s="291">
        <f ca="1">MAX(+'Financing assumptions Holdco'!P36*1000,-(G43+G44))</f>
        <v>0</v>
      </c>
      <c r="H46" s="291">
        <f ca="1">MAX(+'Financing assumptions Holdco'!Q36*1000,-(H43+H44))</f>
        <v>0</v>
      </c>
      <c r="I46" s="291">
        <f ca="1">MAX(+'Financing assumptions Holdco'!R36*1000,-(I43+I44))</f>
        <v>0</v>
      </c>
      <c r="J46" s="291">
        <f ca="1">MAX(+'Financing assumptions Holdco'!S36*1000,-(J43+J44))</f>
        <v>0</v>
      </c>
      <c r="K46" s="291">
        <f ca="1">MAX(+'Financing assumptions Holdco'!T36*1000,-(K43+K44))</f>
        <v>0</v>
      </c>
      <c r="L46" s="291">
        <f ca="1">MAX(+'Financing assumptions Holdco'!U36*1000,-(L43+L44))</f>
        <v>0</v>
      </c>
      <c r="M46" s="291">
        <f ca="1">MAX(+'Financing assumptions Holdco'!V36*1000,-(M43+M44))</f>
        <v>0</v>
      </c>
      <c r="N46" s="291">
        <f ca="1">MAX(+'Financing assumptions Holdco'!W36*1000,-(N43+N44))</f>
        <v>0</v>
      </c>
      <c r="O46" s="291">
        <f ca="1">MAX(+'Financing assumptions Holdco'!X36*1000,-(O43+O44))</f>
        <v>0</v>
      </c>
      <c r="P46" s="291">
        <f ca="1">MAX(+'Financing assumptions Holdco'!Y36*1000,-(P43+P44))</f>
        <v>0</v>
      </c>
      <c r="Q46" s="291">
        <f ca="1">MAX(+'Financing assumptions Holdco'!Z36*1000,-(Q43+Q44))</f>
        <v>0</v>
      </c>
      <c r="R46" s="291">
        <f ca="1">MAX(+'Financing assumptions Holdco'!AA36*1000,-(R43+R44))</f>
        <v>0</v>
      </c>
      <c r="S46" s="291">
        <f ca="1">MAX(+'Financing assumptions Holdco'!AB36*1000,-(S43+S44))</f>
        <v>0</v>
      </c>
      <c r="T46" s="291">
        <f ca="1">MAX(+'Financing assumptions Holdco'!AC36*1000,-(T43+T44))</f>
        <v>0</v>
      </c>
      <c r="U46" s="291">
        <f ca="1">MAX(+'Financing assumptions Holdco'!AD36*1000,-(U43+U44))</f>
        <v>0</v>
      </c>
      <c r="V46" s="291">
        <f ca="1">MAX(+'Financing assumptions Holdco'!AE36*1000,-(V43+V44))</f>
        <v>0</v>
      </c>
      <c r="W46" s="291">
        <f ca="1">MAX(+'Financing assumptions Holdco'!AF36*1000,-(W43+W44))</f>
        <v>0</v>
      </c>
      <c r="X46" s="291">
        <f ca="1">MAX(+'Financing assumptions Holdco'!AG36*1000,-(X43+X44))</f>
        <v>0</v>
      </c>
      <c r="Y46" s="291">
        <f ca="1">MAX(+'Financing assumptions Holdco'!AH36*1000,-(Y43+Y44))</f>
        <v>0</v>
      </c>
      <c r="Z46" s="291">
        <f ca="1">MAX(+'Financing assumptions Holdco'!AI36*1000,-(Z43+Z44))</f>
        <v>0</v>
      </c>
      <c r="AA46" s="291">
        <f ca="1">MAX(+'Financing assumptions Holdco'!AJ36*1000,-(AA43+AA44))</f>
        <v>0</v>
      </c>
      <c r="AB46" s="291">
        <f ca="1">MAX(+'Financing assumptions Holdco'!AK36*1000,-(AB43+AB44))</f>
        <v>0</v>
      </c>
      <c r="AC46" s="291">
        <f ca="1">MAX(+'Financing assumptions Holdco'!AL36*1000,-(AC43+AC44))</f>
        <v>0</v>
      </c>
      <c r="AD46" s="291">
        <f ca="1">MAX(+'Financing assumptions Holdco'!AM36*1000,-(AD43+AD44))</f>
        <v>0</v>
      </c>
      <c r="AE46" s="291">
        <f ca="1">MAX(+'Financing assumptions Holdco'!AN36*1000,-(AE43+AE44))</f>
        <v>0</v>
      </c>
      <c r="AF46" s="291">
        <f ca="1">MAX(+'Financing assumptions Holdco'!AO36*1000,-(AF43+AF44))</f>
        <v>0</v>
      </c>
      <c r="AG46" s="291">
        <f ca="1">MAX(+'Financing assumptions Holdco'!AP36*1000,-(AG43+AG44))</f>
        <v>0</v>
      </c>
    </row>
    <row r="47" spans="3:33">
      <c r="C47" s="295" t="s">
        <v>733</v>
      </c>
      <c r="D47" s="291">
        <v>0</v>
      </c>
      <c r="E47" s="291">
        <f ca="1">IFERROR(SUM($D48:D48)/$D44*E46*'Financing assumptions Holdco'!Sweep_adj_repay_trigger,0)</f>
        <v>0</v>
      </c>
      <c r="F47" s="291">
        <f ca="1">IFERROR(SUM($D48:E48)/$D44*F46*'Financing assumptions Holdco'!Sweep_adj_repay_trigger,0)</f>
        <v>0</v>
      </c>
      <c r="G47" s="291">
        <f ca="1">IFERROR(SUM($D48:F48)/$D44*G46*'Financing assumptions Holdco'!Sweep_adj_repay_trigger,0)</f>
        <v>0</v>
      </c>
      <c r="H47" s="291">
        <f ca="1">IFERROR(SUM($D48:G48)/$D44*H46*'Financing assumptions Holdco'!Sweep_adj_repay_trigger,0)</f>
        <v>0</v>
      </c>
      <c r="I47" s="291">
        <f ca="1">IFERROR(SUM($D48:H48)/$D44*I46*'Financing assumptions Holdco'!Sweep_adj_repay_trigger,0)</f>
        <v>0</v>
      </c>
      <c r="J47" s="291">
        <f ca="1">IFERROR(SUM($D48:I48)/$D44*J46*'Financing assumptions Holdco'!Sweep_adj_repay_trigger,0)</f>
        <v>0</v>
      </c>
      <c r="K47" s="291">
        <f ca="1">IFERROR(SUM($D48:J48)/$D44*K46*'Financing assumptions Holdco'!Sweep_adj_repay_trigger,0)</f>
        <v>0</v>
      </c>
      <c r="L47" s="291">
        <f ca="1">IFERROR(SUM($D48:K48)/$D44*L46*'Financing assumptions Holdco'!Sweep_adj_repay_trigger,0)</f>
        <v>0</v>
      </c>
      <c r="M47" s="291">
        <f ca="1">IFERROR(SUM($D48:L48)/$D44*M46*'Financing assumptions Holdco'!Sweep_adj_repay_trigger,0)</f>
        <v>0</v>
      </c>
      <c r="N47" s="291">
        <f ca="1">IFERROR(SUM($D48:M48)/$D44*N46*'Financing assumptions Holdco'!Sweep_adj_repay_trigger,0)</f>
        <v>0</v>
      </c>
      <c r="O47" s="291">
        <f ca="1">IFERROR(SUM($D48:N48)/$D44*O46*'Financing assumptions Holdco'!Sweep_adj_repay_trigger,0)</f>
        <v>0</v>
      </c>
      <c r="P47" s="291">
        <f ca="1">IFERROR(SUM($D48:O48)/$D44*P46*'Financing assumptions Holdco'!Sweep_adj_repay_trigger,0)</f>
        <v>0</v>
      </c>
      <c r="Q47" s="291">
        <f ca="1">IFERROR(SUM($D48:P48)/$D44*Q46*'Financing assumptions Holdco'!Sweep_adj_repay_trigger,0)</f>
        <v>0</v>
      </c>
      <c r="R47" s="291">
        <f ca="1">IFERROR(SUM($D48:Q48)/$D44*R46*'Financing assumptions Holdco'!Sweep_adj_repay_trigger,0)</f>
        <v>0</v>
      </c>
      <c r="S47" s="291">
        <f ca="1">IFERROR(SUM($D48:R48)/$D44*S46*'Financing assumptions Holdco'!Sweep_adj_repay_trigger,0)</f>
        <v>0</v>
      </c>
      <c r="T47" s="291">
        <f ca="1">IFERROR(SUM($D48:S48)/$D44*T46*'Financing assumptions Holdco'!Sweep_adj_repay_trigger,0)</f>
        <v>0</v>
      </c>
      <c r="U47" s="291">
        <f ca="1">IFERROR(SUM($D48:T48)/$D44*U46*'Financing assumptions Holdco'!Sweep_adj_repay_trigger,0)</f>
        <v>0</v>
      </c>
      <c r="V47" s="291">
        <f ca="1">IFERROR(SUM($D48:U48)/$D44*V46*'Financing assumptions Holdco'!Sweep_adj_repay_trigger,0)</f>
        <v>0</v>
      </c>
      <c r="W47" s="291">
        <f ca="1">IFERROR(SUM($D48:V48)/$D44*W46*'Financing assumptions Holdco'!Sweep_adj_repay_trigger,0)</f>
        <v>0</v>
      </c>
      <c r="X47" s="291">
        <f ca="1">IFERROR(SUM($D48:W48)/$D44*X46*'Financing assumptions Holdco'!Sweep_adj_repay_trigger,0)</f>
        <v>0</v>
      </c>
      <c r="Y47" s="291">
        <f ca="1">IFERROR(SUM($D48:X48)/$D44*Y46*'Financing assumptions Holdco'!Sweep_adj_repay_trigger,0)</f>
        <v>0</v>
      </c>
      <c r="Z47" s="291">
        <f ca="1">IFERROR(SUM($D48:Y48)/$D44*Z46*'Financing assumptions Holdco'!Sweep_adj_repay_trigger,0)</f>
        <v>0</v>
      </c>
      <c r="AA47" s="291">
        <f ca="1">IFERROR(SUM($D48:Z48)/$D44*AA46*'Financing assumptions Holdco'!Sweep_adj_repay_trigger,0)</f>
        <v>0</v>
      </c>
      <c r="AB47" s="291">
        <f ca="1">IFERROR(SUM($D48:AA48)/$D44*AB46*'Financing assumptions Holdco'!Sweep_adj_repay_trigger,0)</f>
        <v>0</v>
      </c>
      <c r="AC47" s="291">
        <f ca="1">IFERROR(SUM($D48:AB48)/$D44*AC46*'Financing assumptions Holdco'!Sweep_adj_repay_trigger,0)</f>
        <v>0</v>
      </c>
      <c r="AD47" s="291">
        <f ca="1">IFERROR(SUM($D48:AC48)/$D44*AD46*'Financing assumptions Holdco'!Sweep_adj_repay_trigger,0)</f>
        <v>0</v>
      </c>
      <c r="AE47" s="291">
        <f ca="1">IFERROR(SUM($D48:AD48)/$D44*AE46*'Financing assumptions Holdco'!Sweep_adj_repay_trigger,0)</f>
        <v>0</v>
      </c>
      <c r="AF47" s="291">
        <f ca="1">IFERROR(SUM($D48:AE48)/$D44*AF46*'Financing assumptions Holdco'!Sweep_adj_repay_trigger,0)</f>
        <v>0</v>
      </c>
      <c r="AG47" s="291">
        <f ca="1">IFERROR(SUM($D48:AF48)/$D44*AG46*'Financing assumptions Holdco'!Sweep_adj_repay_trigger,0)</f>
        <v>0</v>
      </c>
    </row>
    <row r="48" spans="3:33">
      <c r="C48" s="295" t="s">
        <v>728</v>
      </c>
      <c r="D48" s="291">
        <f ca="1">'Cash sweep &amp; dividend Holdco'!D43</f>
        <v>0</v>
      </c>
      <c r="E48" s="291">
        <f ca="1">'Cash sweep &amp; dividend Holdco'!E43</f>
        <v>0</v>
      </c>
      <c r="F48" s="291">
        <f ca="1">'Cash sweep &amp; dividend Holdco'!F43</f>
        <v>0</v>
      </c>
      <c r="G48" s="291">
        <f ca="1">'Cash sweep &amp; dividend Holdco'!G43</f>
        <v>0</v>
      </c>
      <c r="H48" s="291">
        <f ca="1">'Cash sweep &amp; dividend Holdco'!H43</f>
        <v>0</v>
      </c>
      <c r="I48" s="291">
        <f ca="1">'Cash sweep &amp; dividend Holdco'!I43</f>
        <v>0</v>
      </c>
      <c r="J48" s="291">
        <f ca="1">'Cash sweep &amp; dividend Holdco'!J43</f>
        <v>0</v>
      </c>
      <c r="K48" s="291">
        <f ca="1">'Cash sweep &amp; dividend Holdco'!K43</f>
        <v>0</v>
      </c>
      <c r="L48" s="291">
        <f ca="1">'Cash sweep &amp; dividend Holdco'!L43</f>
        <v>0</v>
      </c>
      <c r="M48" s="291">
        <f ca="1">'Cash sweep &amp; dividend Holdco'!M43</f>
        <v>0</v>
      </c>
      <c r="N48" s="291">
        <f ca="1">'Cash sweep &amp; dividend Holdco'!N43</f>
        <v>0</v>
      </c>
      <c r="O48" s="291">
        <f ca="1">'Cash sweep &amp; dividend Holdco'!O43</f>
        <v>0</v>
      </c>
      <c r="P48" s="291">
        <f ca="1">'Cash sweep &amp; dividend Holdco'!P43</f>
        <v>0</v>
      </c>
      <c r="Q48" s="291">
        <f ca="1">'Cash sweep &amp; dividend Holdco'!Q43</f>
        <v>0</v>
      </c>
      <c r="R48" s="291">
        <f ca="1">'Cash sweep &amp; dividend Holdco'!R43</f>
        <v>0</v>
      </c>
      <c r="S48" s="291">
        <f ca="1">'Cash sweep &amp; dividend Holdco'!S43</f>
        <v>0</v>
      </c>
      <c r="T48" s="291">
        <f ca="1">'Cash sweep &amp; dividend Holdco'!T43</f>
        <v>0</v>
      </c>
      <c r="U48" s="291">
        <f ca="1">'Cash sweep &amp; dividend Holdco'!U43</f>
        <v>0</v>
      </c>
      <c r="V48" s="291">
        <f ca="1">'Cash sweep &amp; dividend Holdco'!V43</f>
        <v>0</v>
      </c>
      <c r="W48" s="291">
        <f ca="1">'Cash sweep &amp; dividend Holdco'!W43</f>
        <v>0</v>
      </c>
      <c r="X48" s="291">
        <f ca="1">'Cash sweep &amp; dividend Holdco'!X43</f>
        <v>0</v>
      </c>
      <c r="Y48" s="291">
        <f ca="1">'Cash sweep &amp; dividend Holdco'!Y43</f>
        <v>0</v>
      </c>
      <c r="Z48" s="291">
        <f ca="1">'Cash sweep &amp; dividend Holdco'!Z43</f>
        <v>0</v>
      </c>
      <c r="AA48" s="291">
        <f ca="1">'Cash sweep &amp; dividend Holdco'!AA43</f>
        <v>0</v>
      </c>
      <c r="AB48" s="291">
        <f ca="1">'Cash sweep &amp; dividend Holdco'!AB43</f>
        <v>0</v>
      </c>
      <c r="AC48" s="291">
        <f ca="1">'Cash sweep &amp; dividend Holdco'!AC43</f>
        <v>0</v>
      </c>
      <c r="AD48" s="291">
        <f ca="1">'Cash sweep &amp; dividend Holdco'!AD43</f>
        <v>0</v>
      </c>
      <c r="AE48" s="291">
        <f ca="1">'Cash sweep &amp; dividend Holdco'!AE43</f>
        <v>0</v>
      </c>
      <c r="AF48" s="291">
        <f ca="1">'Cash sweep &amp; dividend Holdco'!AF43</f>
        <v>0</v>
      </c>
      <c r="AG48" s="291">
        <f>'Cash sweep &amp; dividend Holdco'!AG43</f>
        <v>0</v>
      </c>
    </row>
    <row r="49" spans="3:33">
      <c r="C49" s="295" t="s">
        <v>729</v>
      </c>
      <c r="D49" s="291">
        <f>-D42*(D43+D44)/4</f>
        <v>0</v>
      </c>
      <c r="E49" s="291">
        <f t="shared" ref="E49:AB49" ca="1" si="65">-E42*(E43+E44)/4</f>
        <v>0</v>
      </c>
      <c r="F49" s="291">
        <f t="shared" ca="1" si="65"/>
        <v>0</v>
      </c>
      <c r="G49" s="291">
        <f t="shared" ca="1" si="65"/>
        <v>0</v>
      </c>
      <c r="H49" s="291">
        <f t="shared" ca="1" si="65"/>
        <v>0</v>
      </c>
      <c r="I49" s="291">
        <f t="shared" ca="1" si="65"/>
        <v>0</v>
      </c>
      <c r="J49" s="291">
        <f t="shared" ca="1" si="65"/>
        <v>0</v>
      </c>
      <c r="K49" s="291">
        <f t="shared" ca="1" si="65"/>
        <v>0</v>
      </c>
      <c r="L49" s="291">
        <f t="shared" ca="1" si="65"/>
        <v>0</v>
      </c>
      <c r="M49" s="291">
        <f t="shared" ca="1" si="65"/>
        <v>0</v>
      </c>
      <c r="N49" s="291">
        <f t="shared" ca="1" si="65"/>
        <v>0</v>
      </c>
      <c r="O49" s="291">
        <f t="shared" ca="1" si="65"/>
        <v>0</v>
      </c>
      <c r="P49" s="291">
        <f t="shared" ca="1" si="65"/>
        <v>0</v>
      </c>
      <c r="Q49" s="291">
        <f t="shared" ca="1" si="65"/>
        <v>0</v>
      </c>
      <c r="R49" s="291">
        <f t="shared" ca="1" si="65"/>
        <v>0</v>
      </c>
      <c r="S49" s="291">
        <f t="shared" ca="1" si="65"/>
        <v>0</v>
      </c>
      <c r="T49" s="291">
        <f t="shared" ca="1" si="65"/>
        <v>0</v>
      </c>
      <c r="U49" s="291">
        <f t="shared" ca="1" si="65"/>
        <v>0</v>
      </c>
      <c r="V49" s="291">
        <f t="shared" ca="1" si="65"/>
        <v>0</v>
      </c>
      <c r="W49" s="291">
        <f t="shared" ca="1" si="65"/>
        <v>0</v>
      </c>
      <c r="X49" s="291">
        <f t="shared" ca="1" si="65"/>
        <v>0</v>
      </c>
      <c r="Y49" s="291">
        <f t="shared" ca="1" si="65"/>
        <v>0</v>
      </c>
      <c r="Z49" s="291">
        <f t="shared" ca="1" si="65"/>
        <v>0</v>
      </c>
      <c r="AA49" s="291">
        <f t="shared" ca="1" si="65"/>
        <v>0</v>
      </c>
      <c r="AB49" s="291">
        <f t="shared" ca="1" si="65"/>
        <v>0</v>
      </c>
      <c r="AC49" s="291">
        <f t="shared" ref="AC49:AF49" ca="1" si="66">-AC42*(AC43+AC44)/4</f>
        <v>0</v>
      </c>
      <c r="AD49" s="291">
        <f t="shared" ca="1" si="66"/>
        <v>0</v>
      </c>
      <c r="AE49" s="291">
        <f t="shared" ca="1" si="66"/>
        <v>0</v>
      </c>
      <c r="AF49" s="291">
        <f t="shared" ca="1" si="66"/>
        <v>0</v>
      </c>
      <c r="AG49" s="291">
        <f t="shared" ref="AG49" ca="1" si="67">-AG42*(AG43+AG44)/4</f>
        <v>0</v>
      </c>
    </row>
    <row r="50" spans="3:33">
      <c r="C50" s="195" t="s">
        <v>731</v>
      </c>
      <c r="D50" s="195">
        <f ca="1">SUM(D43:D49)</f>
        <v>0</v>
      </c>
      <c r="E50" s="195">
        <f ca="1">SUM(E43:E49)</f>
        <v>0</v>
      </c>
      <c r="F50" s="195">
        <f t="shared" ref="F50:AB50" ca="1" si="68">SUM(F43:F49)</f>
        <v>0</v>
      </c>
      <c r="G50" s="195">
        <f t="shared" ca="1" si="68"/>
        <v>0</v>
      </c>
      <c r="H50" s="195">
        <f t="shared" ca="1" si="68"/>
        <v>0</v>
      </c>
      <c r="I50" s="195">
        <f t="shared" ca="1" si="68"/>
        <v>0</v>
      </c>
      <c r="J50" s="195">
        <f t="shared" ca="1" si="68"/>
        <v>0</v>
      </c>
      <c r="K50" s="195">
        <f t="shared" ca="1" si="68"/>
        <v>0</v>
      </c>
      <c r="L50" s="195">
        <f t="shared" ca="1" si="68"/>
        <v>0</v>
      </c>
      <c r="M50" s="195">
        <f t="shared" ca="1" si="68"/>
        <v>0</v>
      </c>
      <c r="N50" s="195">
        <f t="shared" ca="1" si="68"/>
        <v>0</v>
      </c>
      <c r="O50" s="195">
        <f t="shared" ca="1" si="68"/>
        <v>0</v>
      </c>
      <c r="P50" s="195">
        <f t="shared" ca="1" si="68"/>
        <v>0</v>
      </c>
      <c r="Q50" s="195">
        <f t="shared" ca="1" si="68"/>
        <v>0</v>
      </c>
      <c r="R50" s="195">
        <f t="shared" ca="1" si="68"/>
        <v>0</v>
      </c>
      <c r="S50" s="195">
        <f t="shared" ca="1" si="68"/>
        <v>0</v>
      </c>
      <c r="T50" s="195">
        <f t="shared" ca="1" si="68"/>
        <v>0</v>
      </c>
      <c r="U50" s="195">
        <f t="shared" ca="1" si="68"/>
        <v>0</v>
      </c>
      <c r="V50" s="195">
        <f t="shared" ca="1" si="68"/>
        <v>0</v>
      </c>
      <c r="W50" s="195">
        <f t="shared" ca="1" si="68"/>
        <v>0</v>
      </c>
      <c r="X50" s="195">
        <f t="shared" ca="1" si="68"/>
        <v>0</v>
      </c>
      <c r="Y50" s="195">
        <f t="shared" ca="1" si="68"/>
        <v>0</v>
      </c>
      <c r="Z50" s="195">
        <f t="shared" ca="1" si="68"/>
        <v>0</v>
      </c>
      <c r="AA50" s="195">
        <f t="shared" ca="1" si="68"/>
        <v>0</v>
      </c>
      <c r="AB50" s="195">
        <f t="shared" ca="1" si="68"/>
        <v>0</v>
      </c>
      <c r="AC50" s="195">
        <f t="shared" ref="AC50:AF50" ca="1" si="69">SUM(AC43:AC49)</f>
        <v>0</v>
      </c>
      <c r="AD50" s="195">
        <f t="shared" ca="1" si="69"/>
        <v>0</v>
      </c>
      <c r="AE50" s="195">
        <f t="shared" ca="1" si="69"/>
        <v>0</v>
      </c>
      <c r="AF50" s="195">
        <f t="shared" ca="1" si="69"/>
        <v>0</v>
      </c>
      <c r="AG50" s="195">
        <f t="shared" ref="AG50" ca="1" si="70">SUM(AG43:AG49)</f>
        <v>0</v>
      </c>
    </row>
    <row r="51" spans="3:33">
      <c r="C51" s="195" t="s">
        <v>750</v>
      </c>
      <c r="D51" s="195">
        <f ca="1">+D44+SUM(D46:D49)</f>
        <v>0</v>
      </c>
      <c r="E51" s="195">
        <f t="shared" ref="E51:AB51" ca="1" si="71">+E44+SUM(E46:E49)</f>
        <v>0</v>
      </c>
      <c r="F51" s="195">
        <f t="shared" ca="1" si="71"/>
        <v>0</v>
      </c>
      <c r="G51" s="195">
        <f t="shared" ca="1" si="71"/>
        <v>0</v>
      </c>
      <c r="H51" s="195">
        <f t="shared" ca="1" si="71"/>
        <v>0</v>
      </c>
      <c r="I51" s="195">
        <f t="shared" ca="1" si="71"/>
        <v>0</v>
      </c>
      <c r="J51" s="195">
        <f t="shared" ca="1" si="71"/>
        <v>0</v>
      </c>
      <c r="K51" s="195">
        <f t="shared" ca="1" si="71"/>
        <v>0</v>
      </c>
      <c r="L51" s="195">
        <f t="shared" ca="1" si="71"/>
        <v>0</v>
      </c>
      <c r="M51" s="195">
        <f t="shared" ca="1" si="71"/>
        <v>0</v>
      </c>
      <c r="N51" s="195">
        <f t="shared" ca="1" si="71"/>
        <v>0</v>
      </c>
      <c r="O51" s="195">
        <f t="shared" ca="1" si="71"/>
        <v>0</v>
      </c>
      <c r="P51" s="195">
        <f t="shared" ca="1" si="71"/>
        <v>0</v>
      </c>
      <c r="Q51" s="195">
        <f t="shared" ca="1" si="71"/>
        <v>0</v>
      </c>
      <c r="R51" s="195">
        <f t="shared" ca="1" si="71"/>
        <v>0</v>
      </c>
      <c r="S51" s="195">
        <f t="shared" ca="1" si="71"/>
        <v>0</v>
      </c>
      <c r="T51" s="195">
        <f t="shared" ca="1" si="71"/>
        <v>0</v>
      </c>
      <c r="U51" s="195">
        <f t="shared" ca="1" si="71"/>
        <v>0</v>
      </c>
      <c r="V51" s="195">
        <f t="shared" ca="1" si="71"/>
        <v>0</v>
      </c>
      <c r="W51" s="195">
        <f t="shared" ca="1" si="71"/>
        <v>0</v>
      </c>
      <c r="X51" s="195">
        <f t="shared" ca="1" si="71"/>
        <v>0</v>
      </c>
      <c r="Y51" s="195">
        <f t="shared" ca="1" si="71"/>
        <v>0</v>
      </c>
      <c r="Z51" s="195">
        <f t="shared" ca="1" si="71"/>
        <v>0</v>
      </c>
      <c r="AA51" s="195">
        <f t="shared" ca="1" si="71"/>
        <v>0</v>
      </c>
      <c r="AB51" s="195">
        <f t="shared" ca="1" si="71"/>
        <v>0</v>
      </c>
      <c r="AC51" s="195">
        <f t="shared" ref="AC51:AF51" ca="1" si="72">+AC44+SUM(AC46:AC49)</f>
        <v>0</v>
      </c>
      <c r="AD51" s="195">
        <f t="shared" ca="1" si="72"/>
        <v>0</v>
      </c>
      <c r="AE51" s="195">
        <f t="shared" ca="1" si="72"/>
        <v>0</v>
      </c>
      <c r="AF51" s="195">
        <f t="shared" ca="1" si="72"/>
        <v>0</v>
      </c>
      <c r="AG51" s="195">
        <f t="shared" ref="AG51" ca="1" si="73">+AG44+SUM(AG46:AG49)</f>
        <v>0</v>
      </c>
    </row>
    <row r="53" spans="3:33">
      <c r="C53" s="180" t="s">
        <v>749</v>
      </c>
      <c r="D53" s="180">
        <f ca="1">+D11+D25+D38+D51</f>
        <v>0</v>
      </c>
      <c r="E53" s="180">
        <f t="shared" ref="E53:AB53" ca="1" si="74">+E11+E25+E38+E51</f>
        <v>0</v>
      </c>
      <c r="F53" s="180">
        <f t="shared" ca="1" si="74"/>
        <v>0</v>
      </c>
      <c r="G53" s="180">
        <f t="shared" ca="1" si="74"/>
        <v>0</v>
      </c>
      <c r="H53" s="180">
        <f t="shared" ca="1" si="74"/>
        <v>0</v>
      </c>
      <c r="I53" s="180">
        <f t="shared" ca="1" si="74"/>
        <v>0</v>
      </c>
      <c r="J53" s="180">
        <f t="shared" ca="1" si="74"/>
        <v>0</v>
      </c>
      <c r="K53" s="180">
        <f t="shared" ca="1" si="74"/>
        <v>0</v>
      </c>
      <c r="L53" s="180">
        <f t="shared" ca="1" si="74"/>
        <v>0</v>
      </c>
      <c r="M53" s="180">
        <f t="shared" ca="1" si="74"/>
        <v>0</v>
      </c>
      <c r="N53" s="180">
        <f t="shared" ca="1" si="74"/>
        <v>0</v>
      </c>
      <c r="O53" s="180">
        <f t="shared" ca="1" si="74"/>
        <v>0</v>
      </c>
      <c r="P53" s="180">
        <f t="shared" ca="1" si="74"/>
        <v>0</v>
      </c>
      <c r="Q53" s="180">
        <f t="shared" ca="1" si="74"/>
        <v>0</v>
      </c>
      <c r="R53" s="180">
        <f t="shared" ca="1" si="74"/>
        <v>0</v>
      </c>
      <c r="S53" s="180">
        <f t="shared" ca="1" si="74"/>
        <v>0</v>
      </c>
      <c r="T53" s="180">
        <f t="shared" ca="1" si="74"/>
        <v>0</v>
      </c>
      <c r="U53" s="180">
        <f t="shared" ca="1" si="74"/>
        <v>0</v>
      </c>
      <c r="V53" s="180">
        <f t="shared" ca="1" si="74"/>
        <v>0</v>
      </c>
      <c r="W53" s="180">
        <f t="shared" ca="1" si="74"/>
        <v>0</v>
      </c>
      <c r="X53" s="180">
        <f t="shared" ca="1" si="74"/>
        <v>0</v>
      </c>
      <c r="Y53" s="180">
        <f ca="1">+Y11+Y25+Y38+Y51</f>
        <v>0</v>
      </c>
      <c r="Z53" s="180">
        <f t="shared" ca="1" si="74"/>
        <v>0</v>
      </c>
      <c r="AA53" s="180">
        <f t="shared" ca="1" si="74"/>
        <v>0</v>
      </c>
      <c r="AB53" s="180" t="e">
        <f t="shared" ca="1" si="74"/>
        <v>#N/A</v>
      </c>
      <c r="AC53" s="180" t="e">
        <f t="shared" ref="AC53:AF53" ca="1" si="75">+AC11+AC25+AC38+AC51</f>
        <v>#N/A</v>
      </c>
      <c r="AD53" s="180" t="e">
        <f t="shared" ca="1" si="75"/>
        <v>#N/A</v>
      </c>
      <c r="AE53" s="180" t="e">
        <f t="shared" ca="1" si="75"/>
        <v>#N/A</v>
      </c>
      <c r="AF53" s="180" t="e">
        <f t="shared" ca="1" si="75"/>
        <v>#N/A</v>
      </c>
      <c r="AG53" s="180" t="e">
        <f t="shared" ref="AG53" ca="1" si="76">+AG11+AG25+AG38+AG51</f>
        <v>#N/A</v>
      </c>
    </row>
    <row r="55" spans="3:33">
      <c r="C55" s="209" t="s">
        <v>746</v>
      </c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09"/>
      <c r="O55" s="209"/>
      <c r="P55" s="209"/>
      <c r="Q55" s="209"/>
      <c r="R55" s="209"/>
      <c r="S55" s="209"/>
      <c r="T55" s="209"/>
      <c r="U55" s="209"/>
      <c r="V55" s="209"/>
      <c r="W55" s="209"/>
      <c r="X55" s="209"/>
      <c r="Y55" s="209"/>
      <c r="Z55" s="209"/>
      <c r="AA55" s="209"/>
      <c r="AB55" s="209"/>
      <c r="AC55" s="209"/>
      <c r="AD55" s="209"/>
      <c r="AE55" s="209"/>
      <c r="AF55" s="209"/>
      <c r="AG55" s="209"/>
    </row>
    <row r="56" spans="3:33">
      <c r="C56" s="183" t="s">
        <v>739</v>
      </c>
      <c r="D56" s="183">
        <f>'Financing assumptions Holdco'!M48</f>
        <v>7.0000000000000007E-2</v>
      </c>
      <c r="E56" s="183">
        <f>'Financing assumptions Holdco'!N48</f>
        <v>7.0000000000000007E-2</v>
      </c>
      <c r="F56" s="183">
        <f>'Financing assumptions Holdco'!O48</f>
        <v>7.0000000000000007E-2</v>
      </c>
      <c r="G56" s="183">
        <f>'Financing assumptions Holdco'!P48</f>
        <v>7.0000000000000007E-2</v>
      </c>
      <c r="H56" s="183">
        <f ca="1">'Financing assumptions Holdco'!Q48</f>
        <v>7.0000000000000007E-2</v>
      </c>
      <c r="I56" s="183">
        <f ca="1">'Financing assumptions Holdco'!R48</f>
        <v>7.0000000000000007E-2</v>
      </c>
      <c r="J56" s="183">
        <f ca="1">'Financing assumptions Holdco'!S48</f>
        <v>7.0000000000000007E-2</v>
      </c>
      <c r="K56" s="183">
        <f ca="1">'Financing assumptions Holdco'!T48</f>
        <v>7.0000000000000007E-2</v>
      </c>
      <c r="L56" s="183">
        <f ca="1">'Financing assumptions Holdco'!U48</f>
        <v>7.0000000000000007E-2</v>
      </c>
      <c r="M56" s="183">
        <f ca="1">'Financing assumptions Holdco'!V48</f>
        <v>7.0000000000000007E-2</v>
      </c>
      <c r="N56" s="183">
        <f ca="1">'Financing assumptions Holdco'!W48</f>
        <v>7.0000000000000007E-2</v>
      </c>
      <c r="O56" s="183">
        <f ca="1">'Financing assumptions Holdco'!X48</f>
        <v>7.0000000000000007E-2</v>
      </c>
      <c r="P56" s="183">
        <f ca="1">'Financing assumptions Holdco'!Y48</f>
        <v>7.0000000000000007E-2</v>
      </c>
      <c r="Q56" s="183">
        <f ca="1">'Financing assumptions Holdco'!Z48</f>
        <v>7.0000000000000007E-2</v>
      </c>
      <c r="R56" s="183">
        <f ca="1">'Financing assumptions Holdco'!AA48</f>
        <v>7.0000000000000007E-2</v>
      </c>
      <c r="S56" s="183">
        <f ca="1">'Financing assumptions Holdco'!AB48</f>
        <v>7.0000000000000007E-2</v>
      </c>
      <c r="T56" s="183">
        <f ca="1">'Financing assumptions Holdco'!AC48</f>
        <v>7.0000000000000007E-2</v>
      </c>
      <c r="U56" s="183">
        <f ca="1">'Financing assumptions Holdco'!AD48</f>
        <v>7.0000000000000007E-2</v>
      </c>
      <c r="V56" s="183">
        <f ca="1">'Financing assumptions Holdco'!AE48</f>
        <v>7.0000000000000007E-2</v>
      </c>
      <c r="W56" s="183">
        <f ca="1">'Financing assumptions Holdco'!AF48</f>
        <v>7.0000000000000007E-2</v>
      </c>
      <c r="X56" s="183">
        <f ca="1">'Financing assumptions Holdco'!AG48</f>
        <v>7.0000000000000007E-2</v>
      </c>
      <c r="Y56" s="183">
        <f ca="1">'Financing assumptions Holdco'!AH48</f>
        <v>7.0000000000000007E-2</v>
      </c>
      <c r="Z56" s="183">
        <f ca="1">'Financing assumptions Holdco'!AI48</f>
        <v>7.0000000000000007E-2</v>
      </c>
      <c r="AA56" s="183">
        <f ca="1">'Financing assumptions Holdco'!AJ48</f>
        <v>7.0000000000000007E-2</v>
      </c>
      <c r="AB56" s="183">
        <f ca="1">'Financing assumptions Holdco'!AK48</f>
        <v>7.0000000000000007E-2</v>
      </c>
      <c r="AC56" s="183">
        <f ca="1">'Financing assumptions Holdco'!AL48</f>
        <v>7.0000000000000007E-2</v>
      </c>
      <c r="AD56" s="183">
        <f ca="1">'Financing assumptions Holdco'!AM48</f>
        <v>7.0000000000000007E-2</v>
      </c>
      <c r="AE56" s="183">
        <f ca="1">'Financing assumptions Holdco'!AN48</f>
        <v>7.0000000000000007E-2</v>
      </c>
      <c r="AF56" s="183">
        <f ca="1">'Financing assumptions Holdco'!AO48</f>
        <v>7.0000000000000007E-2</v>
      </c>
      <c r="AG56" s="183">
        <f ca="1">'Financing assumptions Holdco'!AP48</f>
        <v>7.0000000000000007E-2</v>
      </c>
    </row>
    <row r="57" spans="3:33">
      <c r="C57" s="183" t="s">
        <v>741</v>
      </c>
      <c r="D57" s="183">
        <f>D56-'Financing assumptions Holdco'!$F$49/10000</f>
        <v>1.0000000000000009E-2</v>
      </c>
      <c r="E57" s="183">
        <f>E56-'Financing assumptions Holdco'!$F$49/10000</f>
        <v>1.0000000000000009E-2</v>
      </c>
      <c r="F57" s="183">
        <f>F56-'Financing assumptions Holdco'!$F$49/10000</f>
        <v>1.0000000000000009E-2</v>
      </c>
      <c r="G57" s="183">
        <f>G56-'Financing assumptions Holdco'!$F$49/10000</f>
        <v>1.0000000000000009E-2</v>
      </c>
      <c r="H57" s="183">
        <f ca="1">H56-'Financing assumptions Holdco'!$F$49/10000</f>
        <v>1.0000000000000009E-2</v>
      </c>
      <c r="I57" s="183">
        <f ca="1">I56-'Financing assumptions Holdco'!$F$49/10000</f>
        <v>1.0000000000000009E-2</v>
      </c>
      <c r="J57" s="183">
        <f ca="1">J56-'Financing assumptions Holdco'!$F$49/10000</f>
        <v>1.0000000000000009E-2</v>
      </c>
      <c r="K57" s="183">
        <f ca="1">K56-'Financing assumptions Holdco'!$F$49/10000</f>
        <v>1.0000000000000009E-2</v>
      </c>
      <c r="L57" s="183">
        <f ca="1">L56-'Financing assumptions Holdco'!$F$49/10000</f>
        <v>1.0000000000000009E-2</v>
      </c>
      <c r="M57" s="183">
        <f ca="1">M56-'Financing assumptions Holdco'!$F$49/10000</f>
        <v>1.0000000000000009E-2</v>
      </c>
      <c r="N57" s="183">
        <f ca="1">N56-'Financing assumptions Holdco'!$F$49/10000</f>
        <v>1.0000000000000009E-2</v>
      </c>
      <c r="O57" s="183">
        <f ca="1">O56-'Financing assumptions Holdco'!$F$49/10000</f>
        <v>1.0000000000000009E-2</v>
      </c>
      <c r="P57" s="183">
        <f ca="1">P56-'Financing assumptions Holdco'!$F$49/10000</f>
        <v>1.0000000000000009E-2</v>
      </c>
      <c r="Q57" s="183">
        <f ca="1">Q56-'Financing assumptions Holdco'!$F$49/10000</f>
        <v>1.0000000000000009E-2</v>
      </c>
      <c r="R57" s="183">
        <f ca="1">R56-'Financing assumptions Holdco'!$F$49/10000</f>
        <v>1.0000000000000009E-2</v>
      </c>
      <c r="S57" s="183">
        <f ca="1">S56-'Financing assumptions Holdco'!$F$49/10000</f>
        <v>1.0000000000000009E-2</v>
      </c>
      <c r="T57" s="183">
        <f ca="1">T56-'Financing assumptions Holdco'!$F$49/10000</f>
        <v>1.0000000000000009E-2</v>
      </c>
      <c r="U57" s="183">
        <f ca="1">U56-'Financing assumptions Holdco'!$F$49/10000</f>
        <v>1.0000000000000009E-2</v>
      </c>
      <c r="V57" s="183">
        <f ca="1">V56-'Financing assumptions Holdco'!$F$49/10000</f>
        <v>1.0000000000000009E-2</v>
      </c>
      <c r="W57" s="183">
        <f ca="1">W56-'Financing assumptions Holdco'!$F$49/10000</f>
        <v>1.0000000000000009E-2</v>
      </c>
      <c r="X57" s="183">
        <f ca="1">X56-'Financing assumptions Holdco'!$F$49/10000</f>
        <v>1.0000000000000009E-2</v>
      </c>
      <c r="Y57" s="183">
        <f ca="1">Y56-'Financing assumptions Holdco'!$F$49/10000</f>
        <v>1.0000000000000009E-2</v>
      </c>
      <c r="Z57" s="183">
        <f ca="1">Z56-'Financing assumptions Holdco'!$F$49/10000</f>
        <v>1.0000000000000009E-2</v>
      </c>
      <c r="AA57" s="183">
        <f ca="1">AA56-'Financing assumptions Holdco'!$F$49/10000</f>
        <v>1.0000000000000009E-2</v>
      </c>
      <c r="AB57" s="183">
        <f ca="1">AB56-'Financing assumptions Holdco'!$F$49/10000</f>
        <v>1.0000000000000009E-2</v>
      </c>
      <c r="AC57" s="183">
        <f ca="1">AC56-'Financing assumptions Holdco'!$F$49/10000</f>
        <v>1.0000000000000009E-2</v>
      </c>
      <c r="AD57" s="183">
        <f ca="1">AD56-'Financing assumptions Holdco'!$F$49/10000</f>
        <v>1.0000000000000009E-2</v>
      </c>
      <c r="AE57" s="183">
        <f ca="1">AE56-'Financing assumptions Holdco'!$F$49/10000</f>
        <v>1.0000000000000009E-2</v>
      </c>
      <c r="AF57" s="183">
        <f ca="1">AF56-'Financing assumptions Holdco'!$F$49/10000</f>
        <v>1.0000000000000009E-2</v>
      </c>
      <c r="AG57" s="183">
        <f ca="1">AG56-'Financing assumptions Holdco'!$F$49/10000</f>
        <v>1.0000000000000009E-2</v>
      </c>
    </row>
    <row r="58" spans="3:33">
      <c r="C58" s="291" t="s">
        <v>730</v>
      </c>
      <c r="D58" s="291">
        <v>0</v>
      </c>
      <c r="E58" s="291">
        <f ca="1">D66</f>
        <v>0</v>
      </c>
      <c r="F58" s="291">
        <f t="shared" ref="F58:AB58" ca="1" si="77">E66</f>
        <v>0</v>
      </c>
      <c r="G58" s="291">
        <f t="shared" ca="1" si="77"/>
        <v>0</v>
      </c>
      <c r="H58" s="291">
        <f t="shared" ca="1" si="77"/>
        <v>0</v>
      </c>
      <c r="I58" s="291">
        <f t="shared" ca="1" si="77"/>
        <v>0</v>
      </c>
      <c r="J58" s="291">
        <f t="shared" ca="1" si="77"/>
        <v>0</v>
      </c>
      <c r="K58" s="291">
        <f t="shared" ca="1" si="77"/>
        <v>0</v>
      </c>
      <c r="L58" s="291">
        <f t="shared" ca="1" si="77"/>
        <v>0</v>
      </c>
      <c r="M58" s="291">
        <f t="shared" ca="1" si="77"/>
        <v>0</v>
      </c>
      <c r="N58" s="291">
        <f t="shared" ca="1" si="77"/>
        <v>0</v>
      </c>
      <c r="O58" s="291">
        <f t="shared" ca="1" si="77"/>
        <v>0</v>
      </c>
      <c r="P58" s="291">
        <f t="shared" ca="1" si="77"/>
        <v>0</v>
      </c>
      <c r="Q58" s="291">
        <f t="shared" ca="1" si="77"/>
        <v>0</v>
      </c>
      <c r="R58" s="291">
        <f t="shared" ca="1" si="77"/>
        <v>0</v>
      </c>
      <c r="S58" s="291">
        <f t="shared" ca="1" si="77"/>
        <v>0</v>
      </c>
      <c r="T58" s="291">
        <f t="shared" ca="1" si="77"/>
        <v>0</v>
      </c>
      <c r="U58" s="291">
        <f t="shared" ca="1" si="77"/>
        <v>0</v>
      </c>
      <c r="V58" s="291">
        <f t="shared" ca="1" si="77"/>
        <v>0</v>
      </c>
      <c r="W58" s="291">
        <f t="shared" ca="1" si="77"/>
        <v>0</v>
      </c>
      <c r="X58" s="291">
        <f t="shared" ca="1" si="77"/>
        <v>0</v>
      </c>
      <c r="Y58" s="291">
        <f t="shared" ca="1" si="77"/>
        <v>0</v>
      </c>
      <c r="Z58" s="291">
        <f t="shared" ca="1" si="77"/>
        <v>0</v>
      </c>
      <c r="AA58" s="291">
        <f t="shared" ca="1" si="77"/>
        <v>0</v>
      </c>
      <c r="AB58" s="291">
        <f t="shared" ca="1" si="77"/>
        <v>0</v>
      </c>
      <c r="AC58" s="291">
        <f t="shared" ref="AC58" ca="1" si="78">AB66</f>
        <v>0</v>
      </c>
      <c r="AD58" s="291">
        <f t="shared" ref="AD58" ca="1" si="79">AC66</f>
        <v>0</v>
      </c>
      <c r="AE58" s="291">
        <f t="shared" ref="AE58" ca="1" si="80">AD66</f>
        <v>0</v>
      </c>
      <c r="AF58" s="291">
        <f t="shared" ref="AF58:AG58" ca="1" si="81">AE66</f>
        <v>0</v>
      </c>
      <c r="AG58" s="291">
        <f t="shared" ca="1" si="81"/>
        <v>0</v>
      </c>
    </row>
    <row r="59" spans="3:33">
      <c r="C59" s="310" t="s">
        <v>725</v>
      </c>
      <c r="D59" s="291">
        <f>'Financing assumptions Holdco'!$F$45*1000</f>
        <v>0</v>
      </c>
      <c r="E59" s="291">
        <v>0</v>
      </c>
      <c r="F59" s="291">
        <v>0</v>
      </c>
      <c r="G59" s="291">
        <v>0</v>
      </c>
      <c r="H59" s="291">
        <v>0</v>
      </c>
      <c r="I59" s="291">
        <v>0</v>
      </c>
      <c r="J59" s="291">
        <v>0</v>
      </c>
      <c r="K59" s="291">
        <v>0</v>
      </c>
      <c r="L59" s="291">
        <v>0</v>
      </c>
      <c r="M59" s="291">
        <v>0</v>
      </c>
      <c r="N59" s="291">
        <v>0</v>
      </c>
      <c r="O59" s="291">
        <v>0</v>
      </c>
      <c r="P59" s="291">
        <v>0</v>
      </c>
      <c r="Q59" s="291">
        <v>0</v>
      </c>
      <c r="R59" s="291">
        <v>0</v>
      </c>
      <c r="S59" s="291">
        <v>0</v>
      </c>
      <c r="T59" s="291">
        <v>0</v>
      </c>
      <c r="U59" s="291">
        <v>0</v>
      </c>
      <c r="V59" s="291">
        <v>0</v>
      </c>
      <c r="W59" s="291">
        <v>0</v>
      </c>
      <c r="X59" s="291">
        <v>0</v>
      </c>
      <c r="Y59" s="291">
        <v>0</v>
      </c>
      <c r="Z59" s="291">
        <v>0</v>
      </c>
      <c r="AA59" s="291">
        <v>0</v>
      </c>
      <c r="AB59" s="291">
        <v>0</v>
      </c>
      <c r="AC59" s="291">
        <v>0</v>
      </c>
      <c r="AD59" s="291">
        <v>0</v>
      </c>
      <c r="AE59" s="291">
        <v>0</v>
      </c>
      <c r="AF59" s="291">
        <v>0</v>
      </c>
      <c r="AG59" s="291">
        <v>0</v>
      </c>
    </row>
    <row r="60" spans="3:33">
      <c r="C60" s="310" t="s">
        <v>726</v>
      </c>
      <c r="D60" s="291">
        <f>(D58+D59)*D56/4</f>
        <v>0</v>
      </c>
      <c r="E60" s="291">
        <f t="shared" ref="E60:AB60" ca="1" si="82">(E58+E59)*E56/4</f>
        <v>0</v>
      </c>
      <c r="F60" s="291">
        <f t="shared" ca="1" si="82"/>
        <v>0</v>
      </c>
      <c r="G60" s="291">
        <f t="shared" ca="1" si="82"/>
        <v>0</v>
      </c>
      <c r="H60" s="291">
        <f t="shared" ca="1" si="82"/>
        <v>0</v>
      </c>
      <c r="I60" s="291">
        <f t="shared" ca="1" si="82"/>
        <v>0</v>
      </c>
      <c r="J60" s="291">
        <f t="shared" ca="1" si="82"/>
        <v>0</v>
      </c>
      <c r="K60" s="291">
        <f t="shared" ca="1" si="82"/>
        <v>0</v>
      </c>
      <c r="L60" s="291">
        <f t="shared" ca="1" si="82"/>
        <v>0</v>
      </c>
      <c r="M60" s="291">
        <f t="shared" ca="1" si="82"/>
        <v>0</v>
      </c>
      <c r="N60" s="291">
        <f t="shared" ca="1" si="82"/>
        <v>0</v>
      </c>
      <c r="O60" s="291">
        <f t="shared" ca="1" si="82"/>
        <v>0</v>
      </c>
      <c r="P60" s="291">
        <f t="shared" ca="1" si="82"/>
        <v>0</v>
      </c>
      <c r="Q60" s="291">
        <f t="shared" ca="1" si="82"/>
        <v>0</v>
      </c>
      <c r="R60" s="291">
        <f t="shared" ca="1" si="82"/>
        <v>0</v>
      </c>
      <c r="S60" s="291">
        <f t="shared" ca="1" si="82"/>
        <v>0</v>
      </c>
      <c r="T60" s="291">
        <f t="shared" ca="1" si="82"/>
        <v>0</v>
      </c>
      <c r="U60" s="291">
        <f t="shared" ca="1" si="82"/>
        <v>0</v>
      </c>
      <c r="V60" s="291">
        <f t="shared" ca="1" si="82"/>
        <v>0</v>
      </c>
      <c r="W60" s="291">
        <f t="shared" ca="1" si="82"/>
        <v>0</v>
      </c>
      <c r="X60" s="291">
        <f t="shared" ca="1" si="82"/>
        <v>0</v>
      </c>
      <c r="Y60" s="291">
        <f t="shared" ca="1" si="82"/>
        <v>0</v>
      </c>
      <c r="Z60" s="291">
        <f t="shared" ca="1" si="82"/>
        <v>0</v>
      </c>
      <c r="AA60" s="291">
        <f t="shared" ca="1" si="82"/>
        <v>0</v>
      </c>
      <c r="AB60" s="291">
        <f t="shared" ca="1" si="82"/>
        <v>0</v>
      </c>
      <c r="AC60" s="291">
        <f t="shared" ref="AC60:AF60" ca="1" si="83">(AC58+AC59)*AC56/4</f>
        <v>0</v>
      </c>
      <c r="AD60" s="291">
        <f t="shared" ca="1" si="83"/>
        <v>0</v>
      </c>
      <c r="AE60" s="291">
        <f t="shared" ca="1" si="83"/>
        <v>0</v>
      </c>
      <c r="AF60" s="291">
        <f t="shared" ca="1" si="83"/>
        <v>0</v>
      </c>
      <c r="AG60" s="291">
        <f t="shared" ref="AG60" ca="1" si="84">(AG58+AG59)*AG56/4</f>
        <v>0</v>
      </c>
    </row>
    <row r="61" spans="3:33">
      <c r="C61" s="310" t="s">
        <v>727</v>
      </c>
      <c r="D61" s="291">
        <f>MAX('Financing assumptions Holdco'!M45*1000,-(D59+D58))</f>
        <v>0</v>
      </c>
      <c r="E61" s="291">
        <f ca="1">MAX('Financing assumptions Holdco'!N45*1000,-(E59+E58))</f>
        <v>0</v>
      </c>
      <c r="F61" s="291">
        <f ca="1">MAX('Financing assumptions Holdco'!O45*1000,-(F59+F58))</f>
        <v>0</v>
      </c>
      <c r="G61" s="291">
        <f ca="1">MAX('Financing assumptions Holdco'!P45*1000,-(G59+G58))</f>
        <v>0</v>
      </c>
      <c r="H61" s="291">
        <f ca="1">MAX('Financing assumptions Holdco'!Q45*1000,-(H59+H58))</f>
        <v>0</v>
      </c>
      <c r="I61" s="291">
        <f ca="1">MAX('Financing assumptions Holdco'!R45*1000,-(I59+I58))</f>
        <v>0</v>
      </c>
      <c r="J61" s="291">
        <f ca="1">MAX('Financing assumptions Holdco'!S45*1000,-(J59+J58))</f>
        <v>0</v>
      </c>
      <c r="K61" s="291">
        <f ca="1">MAX('Financing assumptions Holdco'!T45*1000,-(K59+K58))</f>
        <v>0</v>
      </c>
      <c r="L61" s="291">
        <f ca="1">MAX('Financing assumptions Holdco'!U45*1000,-(L59+L58))</f>
        <v>0</v>
      </c>
      <c r="M61" s="291">
        <f ca="1">MAX('Financing assumptions Holdco'!V45*1000,-(M59+M58))</f>
        <v>0</v>
      </c>
      <c r="N61" s="291">
        <f ca="1">MAX('Financing assumptions Holdco'!W45*1000,-(N59+N58))</f>
        <v>0</v>
      </c>
      <c r="O61" s="291">
        <f ca="1">MAX('Financing assumptions Holdco'!X45*1000,-(O59+O58))</f>
        <v>0</v>
      </c>
      <c r="P61" s="291">
        <f ca="1">MAX('Financing assumptions Holdco'!Y45*1000,-(P59+P58))</f>
        <v>0</v>
      </c>
      <c r="Q61" s="291">
        <f ca="1">MAX('Financing assumptions Holdco'!Z45*1000,-(Q59+Q58))</f>
        <v>0</v>
      </c>
      <c r="R61" s="291">
        <f ca="1">MAX('Financing assumptions Holdco'!AA45*1000,-(R59+R58))</f>
        <v>0</v>
      </c>
      <c r="S61" s="291">
        <f ca="1">MAX('Financing assumptions Holdco'!AB45*1000,-(S59+S58))</f>
        <v>0</v>
      </c>
      <c r="T61" s="291">
        <f ca="1">MAX('Financing assumptions Holdco'!AC45*1000,-(T59+T58))</f>
        <v>0</v>
      </c>
      <c r="U61" s="291">
        <f ca="1">MAX('Financing assumptions Holdco'!AD45*1000,-(U59+U58))</f>
        <v>0</v>
      </c>
      <c r="V61" s="291">
        <f ca="1">MAX('Financing assumptions Holdco'!AE45*1000,-(V59+V58))</f>
        <v>0</v>
      </c>
      <c r="W61" s="291">
        <f ca="1">MAX('Financing assumptions Holdco'!AF45*1000,-(W59+W58))</f>
        <v>0</v>
      </c>
      <c r="X61" s="291">
        <f ca="1">MAX('Financing assumptions Holdco'!AG45*1000,-(X59+X58))</f>
        <v>0</v>
      </c>
      <c r="Y61" s="291">
        <f ca="1">MAX('Financing assumptions Holdco'!AH45*1000,-(Y59+Y58))</f>
        <v>0</v>
      </c>
      <c r="Z61" s="291">
        <f ca="1">MAX('Financing assumptions Holdco'!AI45*1000,-(Z59+Z58))</f>
        <v>0</v>
      </c>
      <c r="AA61" s="291">
        <f ca="1">MAX('Financing assumptions Holdco'!AJ45*1000,-(AA59+AA58))</f>
        <v>0</v>
      </c>
      <c r="AB61" s="291">
        <f ca="1">MAX('Financing assumptions Holdco'!AK45*1000,-(AB59+AB58))</f>
        <v>0</v>
      </c>
      <c r="AC61" s="291">
        <f ca="1">MAX('Financing assumptions Holdco'!AL45*1000,-(AC59+AC58))</f>
        <v>0</v>
      </c>
      <c r="AD61" s="291">
        <f ca="1">MAX('Financing assumptions Holdco'!AM45*1000,-(AD59+AD58))</f>
        <v>0</v>
      </c>
      <c r="AE61" s="291">
        <f ca="1">MAX('Financing assumptions Holdco'!AN45*1000,-(AE59+AE58))</f>
        <v>0</v>
      </c>
      <c r="AF61" s="291">
        <f ca="1">MAX('Financing assumptions Holdco'!AO45*1000,-(AF59+AF58))</f>
        <v>0</v>
      </c>
      <c r="AG61" s="291">
        <f ca="1">MAX('Financing assumptions Holdco'!AP45*1000,-(AG59+AG58))</f>
        <v>0</v>
      </c>
    </row>
    <row r="62" spans="3:33">
      <c r="C62" s="310" t="s">
        <v>733</v>
      </c>
      <c r="D62" s="291">
        <v>0</v>
      </c>
      <c r="E62" s="291">
        <f ca="1">IFERROR(SUM($D63:D63)/$D59*E61*'Financing assumptions Holdco'!Sweep_adj_repay_trigger,0)</f>
        <v>0</v>
      </c>
      <c r="F62" s="291">
        <f ca="1">IFERROR(SUM($D63:E63)/$D59*F61*'Financing assumptions Holdco'!Sweep_adj_repay_trigger,0)</f>
        <v>0</v>
      </c>
      <c r="G62" s="291">
        <f ca="1">IFERROR(SUM($D63:F63)/$D59*G61*'Financing assumptions Holdco'!Sweep_adj_repay_trigger,0)</f>
        <v>0</v>
      </c>
      <c r="H62" s="291">
        <f ca="1">IFERROR(SUM($D63:G63)/$D59*H61*'Financing assumptions Holdco'!Sweep_adj_repay_trigger,0)</f>
        <v>0</v>
      </c>
      <c r="I62" s="291">
        <f ca="1">IFERROR(SUM($D63:H63)/$D59*I61*'Financing assumptions Holdco'!Sweep_adj_repay_trigger,0)</f>
        <v>0</v>
      </c>
      <c r="J62" s="291">
        <f ca="1">IFERROR(SUM($D63:I63)/$D59*J61*'Financing assumptions Holdco'!Sweep_adj_repay_trigger,0)</f>
        <v>0</v>
      </c>
      <c r="K62" s="291">
        <f ca="1">IFERROR(SUM($D63:J63)/$D59*K61*'Financing assumptions Holdco'!Sweep_adj_repay_trigger,0)</f>
        <v>0</v>
      </c>
      <c r="L62" s="291">
        <f ca="1">IFERROR(SUM($D63:K63)/$D59*L61*'Financing assumptions Holdco'!Sweep_adj_repay_trigger,0)</f>
        <v>0</v>
      </c>
      <c r="M62" s="291">
        <f ca="1">IFERROR(SUM($D63:L63)/$D59*M61*'Financing assumptions Holdco'!Sweep_adj_repay_trigger,0)</f>
        <v>0</v>
      </c>
      <c r="N62" s="291">
        <f ca="1">IFERROR(SUM($D63:M63)/$D59*N61*'Financing assumptions Holdco'!Sweep_adj_repay_trigger,0)</f>
        <v>0</v>
      </c>
      <c r="O62" s="291">
        <f ca="1">IFERROR(SUM($D63:N63)/$D59*O61*'Financing assumptions Holdco'!Sweep_adj_repay_trigger,0)</f>
        <v>0</v>
      </c>
      <c r="P62" s="291">
        <f ca="1">IFERROR(SUM($D63:O63)/$D59*P61*'Financing assumptions Holdco'!Sweep_adj_repay_trigger,0)</f>
        <v>0</v>
      </c>
      <c r="Q62" s="291">
        <f ca="1">IFERROR(SUM($D63:P63)/$D59*Q61*'Financing assumptions Holdco'!Sweep_adj_repay_trigger,0)</f>
        <v>0</v>
      </c>
      <c r="R62" s="291">
        <f ca="1">IFERROR(SUM($D63:Q63)/$D59*R61*'Financing assumptions Holdco'!Sweep_adj_repay_trigger,0)</f>
        <v>0</v>
      </c>
      <c r="S62" s="291">
        <f ca="1">IFERROR(SUM($D63:R63)/$D59*S61*'Financing assumptions Holdco'!Sweep_adj_repay_trigger,0)</f>
        <v>0</v>
      </c>
      <c r="T62" s="291">
        <f ca="1">IFERROR(SUM($D63:S63)/$D59*T61*'Financing assumptions Holdco'!Sweep_adj_repay_trigger,0)</f>
        <v>0</v>
      </c>
      <c r="U62" s="291">
        <f ca="1">IFERROR(SUM($D63:T63)/$D59*U61*'Financing assumptions Holdco'!Sweep_adj_repay_trigger,0)</f>
        <v>0</v>
      </c>
      <c r="V62" s="291">
        <f ca="1">IFERROR(SUM($D63:U63)/$D59*V61*'Financing assumptions Holdco'!Sweep_adj_repay_trigger,0)</f>
        <v>0</v>
      </c>
      <c r="W62" s="291">
        <f ca="1">IFERROR(SUM($D63:V63)/$D59*W61*'Financing assumptions Holdco'!Sweep_adj_repay_trigger,0)</f>
        <v>0</v>
      </c>
      <c r="X62" s="291">
        <f ca="1">IFERROR(SUM($D63:W63)/$D59*X61*'Financing assumptions Holdco'!Sweep_adj_repay_trigger,0)</f>
        <v>0</v>
      </c>
      <c r="Y62" s="291">
        <f ca="1">IFERROR(SUM($D63:X63)/$D59*Y61*'Financing assumptions Holdco'!Sweep_adj_repay_trigger,0)</f>
        <v>0</v>
      </c>
      <c r="Z62" s="291">
        <f ca="1">IFERROR(SUM($D63:Y63)/$D59*Z61*'Financing assumptions Holdco'!Sweep_adj_repay_trigger,0)</f>
        <v>0</v>
      </c>
      <c r="AA62" s="291">
        <f ca="1">IFERROR(SUM($D63:Z63)/$D59*AA61*'Financing assumptions Holdco'!Sweep_adj_repay_trigger,0)</f>
        <v>0</v>
      </c>
      <c r="AB62" s="291">
        <f ca="1">IFERROR(SUM($D63:AA63)/$D59*AB61*'Financing assumptions Holdco'!Sweep_adj_repay_trigger,0)</f>
        <v>0</v>
      </c>
      <c r="AC62" s="291">
        <f ca="1">IFERROR(SUM($D63:AB63)/$D59*AC61*'Financing assumptions Holdco'!Sweep_adj_repay_trigger,0)</f>
        <v>0</v>
      </c>
      <c r="AD62" s="291">
        <f ca="1">IFERROR(SUM($D63:AC63)/$D59*AD61*'Financing assumptions Holdco'!Sweep_adj_repay_trigger,0)</f>
        <v>0</v>
      </c>
      <c r="AE62" s="291">
        <f ca="1">IFERROR(SUM($D63:AD63)/$D59*AE61*'Financing assumptions Holdco'!Sweep_adj_repay_trigger,0)</f>
        <v>0</v>
      </c>
      <c r="AF62" s="291">
        <f ca="1">IFERROR(SUM($D63:AE63)/$D59*AF61*'Financing assumptions Holdco'!Sweep_adj_repay_trigger,0)</f>
        <v>0</v>
      </c>
      <c r="AG62" s="291">
        <f ca="1">IFERROR(SUM($D63:AF63)/$D59*AG61*'Financing assumptions Holdco'!Sweep_adj_repay_trigger,0)</f>
        <v>0</v>
      </c>
    </row>
    <row r="63" spans="3:33">
      <c r="C63" s="310" t="s">
        <v>728</v>
      </c>
      <c r="D63" s="291">
        <f ca="1">'Cash sweep &amp; dividend Holdco'!D45</f>
        <v>0</v>
      </c>
      <c r="E63" s="291">
        <f ca="1">'Cash sweep &amp; dividend Holdco'!E45</f>
        <v>0</v>
      </c>
      <c r="F63" s="291">
        <f ca="1">'Cash sweep &amp; dividend Holdco'!F45</f>
        <v>0</v>
      </c>
      <c r="G63" s="291">
        <f ca="1">'Cash sweep &amp; dividend Holdco'!G45</f>
        <v>0</v>
      </c>
      <c r="H63" s="291">
        <f ca="1">'Cash sweep &amp; dividend Holdco'!H45</f>
        <v>0</v>
      </c>
      <c r="I63" s="291">
        <f ca="1">'Cash sweep &amp; dividend Holdco'!I45</f>
        <v>0</v>
      </c>
      <c r="J63" s="291">
        <f ca="1">'Cash sweep &amp; dividend Holdco'!J45</f>
        <v>0</v>
      </c>
      <c r="K63" s="291">
        <f ca="1">'Cash sweep &amp; dividend Holdco'!K45</f>
        <v>0</v>
      </c>
      <c r="L63" s="291">
        <f ca="1">'Cash sweep &amp; dividend Holdco'!L45</f>
        <v>0</v>
      </c>
      <c r="M63" s="291">
        <f ca="1">'Cash sweep &amp; dividend Holdco'!M45</f>
        <v>0</v>
      </c>
      <c r="N63" s="291">
        <f ca="1">'Cash sweep &amp; dividend Holdco'!N45</f>
        <v>0</v>
      </c>
      <c r="O63" s="291">
        <f ca="1">'Cash sweep &amp; dividend Holdco'!O45</f>
        <v>0</v>
      </c>
      <c r="P63" s="291">
        <f ca="1">'Cash sweep &amp; dividend Holdco'!P45</f>
        <v>0</v>
      </c>
      <c r="Q63" s="291">
        <f ca="1">'Cash sweep &amp; dividend Holdco'!Q45</f>
        <v>0</v>
      </c>
      <c r="R63" s="291">
        <f ca="1">'Cash sweep &amp; dividend Holdco'!R45</f>
        <v>0</v>
      </c>
      <c r="S63" s="291">
        <f ca="1">'Cash sweep &amp; dividend Holdco'!S45</f>
        <v>0</v>
      </c>
      <c r="T63" s="291">
        <f ca="1">'Cash sweep &amp; dividend Holdco'!T45</f>
        <v>0</v>
      </c>
      <c r="U63" s="291">
        <f ca="1">'Cash sweep &amp; dividend Holdco'!U45</f>
        <v>0</v>
      </c>
      <c r="V63" s="291">
        <f ca="1">'Cash sweep &amp; dividend Holdco'!V45</f>
        <v>0</v>
      </c>
      <c r="W63" s="291">
        <f ca="1">'Cash sweep &amp; dividend Holdco'!W45</f>
        <v>0</v>
      </c>
      <c r="X63" s="291">
        <f ca="1">'Cash sweep &amp; dividend Holdco'!X45</f>
        <v>0</v>
      </c>
      <c r="Y63" s="291">
        <f ca="1">'Cash sweep &amp; dividend Holdco'!Y45</f>
        <v>0</v>
      </c>
      <c r="Z63" s="291">
        <f ca="1">'Cash sweep &amp; dividend Holdco'!Z45</f>
        <v>0</v>
      </c>
      <c r="AA63" s="291">
        <f ca="1">'Cash sweep &amp; dividend Holdco'!AA45</f>
        <v>0</v>
      </c>
      <c r="AB63" s="291">
        <f ca="1">'Cash sweep &amp; dividend Holdco'!AB45</f>
        <v>0</v>
      </c>
      <c r="AC63" s="291">
        <f ca="1">'Cash sweep &amp; dividend Holdco'!AC45</f>
        <v>0</v>
      </c>
      <c r="AD63" s="291">
        <f ca="1">'Cash sweep &amp; dividend Holdco'!AD45</f>
        <v>0</v>
      </c>
      <c r="AE63" s="291">
        <f ca="1">'Cash sweep &amp; dividend Holdco'!AE45</f>
        <v>0</v>
      </c>
      <c r="AF63" s="291">
        <f ca="1">'Cash sweep &amp; dividend Holdco'!AF45</f>
        <v>0</v>
      </c>
      <c r="AG63" s="291">
        <f>'Cash sweep &amp; dividend Holdco'!AG45</f>
        <v>0</v>
      </c>
    </row>
    <row r="64" spans="3:33">
      <c r="C64" s="310" t="s">
        <v>729</v>
      </c>
      <c r="D64" s="291">
        <f>-D57*(D58+D59)/4</f>
        <v>0</v>
      </c>
      <c r="E64" s="291">
        <f t="shared" ref="E64:AB64" ca="1" si="85">-E57*(E58+E59)/4</f>
        <v>0</v>
      </c>
      <c r="F64" s="291">
        <f t="shared" ca="1" si="85"/>
        <v>0</v>
      </c>
      <c r="G64" s="291">
        <f t="shared" ca="1" si="85"/>
        <v>0</v>
      </c>
      <c r="H64" s="291">
        <f t="shared" ca="1" si="85"/>
        <v>0</v>
      </c>
      <c r="I64" s="291">
        <f t="shared" ca="1" si="85"/>
        <v>0</v>
      </c>
      <c r="J64" s="291">
        <f t="shared" ca="1" si="85"/>
        <v>0</v>
      </c>
      <c r="K64" s="291">
        <f t="shared" ca="1" si="85"/>
        <v>0</v>
      </c>
      <c r="L64" s="291">
        <f t="shared" ca="1" si="85"/>
        <v>0</v>
      </c>
      <c r="M64" s="291">
        <f t="shared" ca="1" si="85"/>
        <v>0</v>
      </c>
      <c r="N64" s="291">
        <f t="shared" ca="1" si="85"/>
        <v>0</v>
      </c>
      <c r="O64" s="291">
        <f t="shared" ca="1" si="85"/>
        <v>0</v>
      </c>
      <c r="P64" s="291">
        <f t="shared" ca="1" si="85"/>
        <v>0</v>
      </c>
      <c r="Q64" s="291">
        <f t="shared" ca="1" si="85"/>
        <v>0</v>
      </c>
      <c r="R64" s="291">
        <f t="shared" ca="1" si="85"/>
        <v>0</v>
      </c>
      <c r="S64" s="291">
        <f t="shared" ca="1" si="85"/>
        <v>0</v>
      </c>
      <c r="T64" s="291">
        <f t="shared" ca="1" si="85"/>
        <v>0</v>
      </c>
      <c r="U64" s="291">
        <f t="shared" ca="1" si="85"/>
        <v>0</v>
      </c>
      <c r="V64" s="291">
        <f t="shared" ca="1" si="85"/>
        <v>0</v>
      </c>
      <c r="W64" s="291">
        <f t="shared" ca="1" si="85"/>
        <v>0</v>
      </c>
      <c r="X64" s="291">
        <f t="shared" ca="1" si="85"/>
        <v>0</v>
      </c>
      <c r="Y64" s="291">
        <f t="shared" ca="1" si="85"/>
        <v>0</v>
      </c>
      <c r="Z64" s="291">
        <f t="shared" ca="1" si="85"/>
        <v>0</v>
      </c>
      <c r="AA64" s="291">
        <f t="shared" ca="1" si="85"/>
        <v>0</v>
      </c>
      <c r="AB64" s="291">
        <f t="shared" ca="1" si="85"/>
        <v>0</v>
      </c>
      <c r="AC64" s="291">
        <f t="shared" ref="AC64:AF64" ca="1" si="86">-AC57*(AC58+AC59)/4</f>
        <v>0</v>
      </c>
      <c r="AD64" s="291">
        <f t="shared" ca="1" si="86"/>
        <v>0</v>
      </c>
      <c r="AE64" s="291">
        <f t="shared" ca="1" si="86"/>
        <v>0</v>
      </c>
      <c r="AF64" s="291">
        <f t="shared" ca="1" si="86"/>
        <v>0</v>
      </c>
      <c r="AG64" s="291">
        <f t="shared" ref="AG64" ca="1" si="87">-AG57*(AG58+AG59)/4</f>
        <v>0</v>
      </c>
    </row>
    <row r="65" spans="1:33">
      <c r="C65" s="310" t="s">
        <v>747</v>
      </c>
      <c r="D65" s="291">
        <v>0</v>
      </c>
      <c r="E65" s="291">
        <f ca="1">IFERROR(MIN(MAX((-SUM(E61:E64)-E53-E76-E78),-SUM(D$65:$D65)),-SUM(E61:E64)),0)</f>
        <v>0</v>
      </c>
      <c r="F65" s="291">
        <f ca="1">IFERROR(MIN(MAX((-SUM(F61:F64)-F53-F76-F78),-SUM($D$65:E65)),-SUM(F61:F64)),0)</f>
        <v>0</v>
      </c>
      <c r="G65" s="291">
        <f ca="1">IFERROR(MIN(MAX((-SUM(G61:G64)-G53-G76-G78),-SUM($D$65:F65)),-SUM(G61:G64)),0)</f>
        <v>0</v>
      </c>
      <c r="H65" s="291">
        <f ca="1">IFERROR(MIN(MAX((-SUM(H61:H64)-H53-H76-H78),-SUM($D$65:G65)),-SUM(H61:H64)),0)</f>
        <v>0</v>
      </c>
      <c r="I65" s="291">
        <f ca="1">IFERROR(MIN(MAX((-SUM(I61:I64)-I53-I76-I78),-SUM($D$65:H65)),-SUM(I61:I64)),0)</f>
        <v>0</v>
      </c>
      <c r="J65" s="291">
        <f ca="1">IFERROR(MIN(MAX((-SUM(J61:J64)-J53-J76-J78),-SUM($D$65:I65)),-SUM(J61:J64)),0)</f>
        <v>0</v>
      </c>
      <c r="K65" s="291">
        <f ca="1">IFERROR(MIN(MAX((-SUM(K61:K64)-K53-K76-K78),-SUM($D$65:J65)),-SUM(K61:K64)),0)</f>
        <v>0</v>
      </c>
      <c r="L65" s="291">
        <f ca="1">IFERROR(MIN(MAX((-SUM(L61:L64)-L53-L76-L78),-SUM($D$65:K65)),-SUM(L61:L64)),0)</f>
        <v>0</v>
      </c>
      <c r="M65" s="291">
        <f ca="1">IFERROR(MIN(MAX((-SUM(M61:M64)-M53-M76-M78),-SUM($D$65:L65)),-SUM(M61:M64)),0)</f>
        <v>0</v>
      </c>
      <c r="N65" s="291">
        <f ca="1">IFERROR(MIN(MAX((-SUM(N61:N64)-N53-N76-N78),-SUM($D$65:M65)),-SUM(N61:N64)),0)</f>
        <v>0</v>
      </c>
      <c r="O65" s="291">
        <f ca="1">IFERROR(MIN(MAX((-SUM(O61:O64)-O53-O76-O78),-SUM($D$65:N65)),-SUM(O61:O64)),0)</f>
        <v>0</v>
      </c>
      <c r="P65" s="291">
        <f ca="1">IFERROR(MIN(MAX((-SUM(P61:P64)-P53-P76-P78),-SUM($D$65:O65)),-SUM(P61:P64)),0)</f>
        <v>0</v>
      </c>
      <c r="Q65" s="291">
        <f ca="1">IFERROR(MIN(MAX((-SUM(Q61:Q64)-Q53-Q76-Q78),-SUM($D$65:P65)),-SUM(Q61:Q64)),0)</f>
        <v>0</v>
      </c>
      <c r="R65" s="291">
        <f ca="1">IFERROR(MIN(MAX((-SUM(R61:R64)-R53-R76-R78),-SUM($D$65:Q65)),-SUM(R61:R64)),0)</f>
        <v>0</v>
      </c>
      <c r="S65" s="291">
        <f ca="1">IFERROR(MIN(MAX((-SUM(S61:S64)-S53-S76-S78),-SUM($D$65:R65)),-SUM(S61:S64)),0)</f>
        <v>0</v>
      </c>
      <c r="T65" s="291">
        <f ca="1">IFERROR(MIN(MAX((-SUM(T61:T64)-T53-T76-T78),-SUM($D$65:S65)),-SUM(T61:T64)),0)</f>
        <v>0</v>
      </c>
      <c r="U65" s="291">
        <f ca="1">IFERROR(MIN(MAX((-SUM(U61:U64)-U53-U76-U78),-SUM($D$65:T65)),-SUM(U61:U64)),0)</f>
        <v>0</v>
      </c>
      <c r="V65" s="291">
        <f ca="1">IFERROR(MIN(MAX((-SUM(V61:V64)-V53-V76-V78),-SUM($D$65:U65)),-SUM(V61:V64)),0)</f>
        <v>0</v>
      </c>
      <c r="W65" s="291">
        <f ca="1">IFERROR(MIN(MAX((-SUM(W61:W64)-W53-W76-W78),-SUM($D$65:V65)),-SUM(W61:W64)),0)</f>
        <v>0</v>
      </c>
      <c r="X65" s="291">
        <f ca="1">IFERROR(MIN(MAX((-SUM(X61:X64)-X53-X76-X78),-SUM($D$65:W65)),-SUM(X61:X64)),0)</f>
        <v>0</v>
      </c>
      <c r="Y65" s="291">
        <f ca="1">IFERROR(MIN(MAX((-SUM(Y61:Y64)-Y53-Y76-Y78),-SUM($D$65:X65)),-SUM(Y61:Y64)),0)</f>
        <v>0</v>
      </c>
      <c r="Z65" s="291">
        <f ca="1">IFERROR(MIN(MAX((-SUM(Z61:Z64)-Z53-Z76-Z78),-SUM($D$65:Y65)),-SUM(Z61:Z64)),0)</f>
        <v>0</v>
      </c>
      <c r="AA65" s="291">
        <f ca="1">IFERROR(MIN(MAX((-SUM(AA61:AA64)-AA53-AA76-AA78),-SUM($D$65:Z65)),-SUM(AA61:AA64)),0)</f>
        <v>0</v>
      </c>
      <c r="AB65" s="291">
        <f ca="1">IFERROR(MIN(MAX((-SUM(AB61:AB64)-AB53-AB76-AB78),-SUM($D$65:AA65)),-SUM(AB61:AB64)),0)</f>
        <v>0</v>
      </c>
      <c r="AC65" s="291">
        <f ca="1">IFERROR(MIN(MAX((-SUM(AC61:AC64)-AC53-AC76-AC78),-SUM($D$65:AB65)),-SUM(AC61:AC64)),0)</f>
        <v>0</v>
      </c>
      <c r="AD65" s="291">
        <f ca="1">IFERROR(MIN(MAX((-SUM(AD61:AD64)-AD53-AD76-AD78),-SUM($D$65:AC65)),-SUM(AD61:AD64)),0)</f>
        <v>0</v>
      </c>
      <c r="AE65" s="291">
        <f ca="1">IFERROR(MIN(MAX((-SUM(AE61:AE64)-AE53-AE76-AE78),-SUM($D$65:AD65)),-SUM(AE61:AE64)),0)</f>
        <v>0</v>
      </c>
      <c r="AF65" s="291">
        <f ca="1">IFERROR(MIN(MAX((-SUM(AF61:AF64)-AF53-AF76-AF78),-SUM($D$65:AE65)),-SUM(AF61:AF64)),0)</f>
        <v>0</v>
      </c>
      <c r="AG65" s="291">
        <f ca="1">IFERROR(MIN(MAX((-SUM(AG61:AG64)-AG53-AG76-AG78),-SUM($D$65:AF65)),-SUM(AG61:AG64)),0)</f>
        <v>0</v>
      </c>
    </row>
    <row r="66" spans="1:33">
      <c r="C66" s="195" t="s">
        <v>731</v>
      </c>
      <c r="D66" s="195">
        <f t="shared" ref="D66:AB66" ca="1" si="88">SUM(D58:D65)</f>
        <v>0</v>
      </c>
      <c r="E66" s="195">
        <f t="shared" ca="1" si="88"/>
        <v>0</v>
      </c>
      <c r="F66" s="195">
        <f t="shared" ca="1" si="88"/>
        <v>0</v>
      </c>
      <c r="G66" s="195">
        <f t="shared" ca="1" si="88"/>
        <v>0</v>
      </c>
      <c r="H66" s="195">
        <f t="shared" ca="1" si="88"/>
        <v>0</v>
      </c>
      <c r="I66" s="195">
        <f t="shared" ca="1" si="88"/>
        <v>0</v>
      </c>
      <c r="J66" s="195">
        <f t="shared" ca="1" si="88"/>
        <v>0</v>
      </c>
      <c r="K66" s="195">
        <f t="shared" ca="1" si="88"/>
        <v>0</v>
      </c>
      <c r="L66" s="195">
        <f t="shared" ca="1" si="88"/>
        <v>0</v>
      </c>
      <c r="M66" s="195">
        <f t="shared" ca="1" si="88"/>
        <v>0</v>
      </c>
      <c r="N66" s="195">
        <f t="shared" ca="1" si="88"/>
        <v>0</v>
      </c>
      <c r="O66" s="195">
        <f t="shared" ca="1" si="88"/>
        <v>0</v>
      </c>
      <c r="P66" s="195">
        <f t="shared" ca="1" si="88"/>
        <v>0</v>
      </c>
      <c r="Q66" s="195">
        <f t="shared" ca="1" si="88"/>
        <v>0</v>
      </c>
      <c r="R66" s="195">
        <f t="shared" ca="1" si="88"/>
        <v>0</v>
      </c>
      <c r="S66" s="195">
        <f t="shared" ca="1" si="88"/>
        <v>0</v>
      </c>
      <c r="T66" s="195">
        <f t="shared" ca="1" si="88"/>
        <v>0</v>
      </c>
      <c r="U66" s="195">
        <f t="shared" ca="1" si="88"/>
        <v>0</v>
      </c>
      <c r="V66" s="195">
        <f t="shared" ca="1" si="88"/>
        <v>0</v>
      </c>
      <c r="W66" s="195">
        <f t="shared" ca="1" si="88"/>
        <v>0</v>
      </c>
      <c r="X66" s="195">
        <f t="shared" ca="1" si="88"/>
        <v>0</v>
      </c>
      <c r="Y66" s="195">
        <f t="shared" ca="1" si="88"/>
        <v>0</v>
      </c>
      <c r="Z66" s="195">
        <f t="shared" ca="1" si="88"/>
        <v>0</v>
      </c>
      <c r="AA66" s="195">
        <f t="shared" ca="1" si="88"/>
        <v>0</v>
      </c>
      <c r="AB66" s="195">
        <f t="shared" ca="1" si="88"/>
        <v>0</v>
      </c>
      <c r="AC66" s="195">
        <f t="shared" ref="AC66:AF66" ca="1" si="89">SUM(AC58:AC65)</f>
        <v>0</v>
      </c>
      <c r="AD66" s="195">
        <f t="shared" ca="1" si="89"/>
        <v>0</v>
      </c>
      <c r="AE66" s="195">
        <f t="shared" ca="1" si="89"/>
        <v>0</v>
      </c>
      <c r="AF66" s="195">
        <f t="shared" ca="1" si="89"/>
        <v>0</v>
      </c>
      <c r="AG66" s="195">
        <f t="shared" ref="AG66" ca="1" si="90">SUM(AG58:AG65)</f>
        <v>0</v>
      </c>
    </row>
    <row r="67" spans="1:33">
      <c r="C67" s="195" t="s">
        <v>1042</v>
      </c>
      <c r="D67" s="195">
        <f t="shared" ref="D67:AB67" ca="1" si="91">+D59+SUM(D61:D65)</f>
        <v>0</v>
      </c>
      <c r="E67" s="195">
        <f t="shared" ca="1" si="91"/>
        <v>0</v>
      </c>
      <c r="F67" s="195">
        <f t="shared" ca="1" si="91"/>
        <v>0</v>
      </c>
      <c r="G67" s="195">
        <f t="shared" ca="1" si="91"/>
        <v>0</v>
      </c>
      <c r="H67" s="195">
        <f t="shared" ca="1" si="91"/>
        <v>0</v>
      </c>
      <c r="I67" s="195">
        <f t="shared" ca="1" si="91"/>
        <v>0</v>
      </c>
      <c r="J67" s="195">
        <f t="shared" ca="1" si="91"/>
        <v>0</v>
      </c>
      <c r="K67" s="195">
        <f t="shared" ca="1" si="91"/>
        <v>0</v>
      </c>
      <c r="L67" s="195">
        <f t="shared" ca="1" si="91"/>
        <v>0</v>
      </c>
      <c r="M67" s="195">
        <f t="shared" ca="1" si="91"/>
        <v>0</v>
      </c>
      <c r="N67" s="195">
        <f t="shared" ca="1" si="91"/>
        <v>0</v>
      </c>
      <c r="O67" s="195">
        <f t="shared" ca="1" si="91"/>
        <v>0</v>
      </c>
      <c r="P67" s="195">
        <f t="shared" ca="1" si="91"/>
        <v>0</v>
      </c>
      <c r="Q67" s="195">
        <f t="shared" ca="1" si="91"/>
        <v>0</v>
      </c>
      <c r="R67" s="195">
        <f t="shared" ca="1" si="91"/>
        <v>0</v>
      </c>
      <c r="S67" s="195">
        <f t="shared" ca="1" si="91"/>
        <v>0</v>
      </c>
      <c r="T67" s="195">
        <f t="shared" ca="1" si="91"/>
        <v>0</v>
      </c>
      <c r="U67" s="195">
        <f t="shared" ca="1" si="91"/>
        <v>0</v>
      </c>
      <c r="V67" s="195">
        <f t="shared" ca="1" si="91"/>
        <v>0</v>
      </c>
      <c r="W67" s="195">
        <f t="shared" ca="1" si="91"/>
        <v>0</v>
      </c>
      <c r="X67" s="195">
        <f t="shared" ca="1" si="91"/>
        <v>0</v>
      </c>
      <c r="Y67" s="195">
        <f t="shared" ca="1" si="91"/>
        <v>0</v>
      </c>
      <c r="Z67" s="195">
        <f t="shared" ca="1" si="91"/>
        <v>0</v>
      </c>
      <c r="AA67" s="195">
        <f t="shared" ca="1" si="91"/>
        <v>0</v>
      </c>
      <c r="AB67" s="195">
        <f t="shared" ca="1" si="91"/>
        <v>0</v>
      </c>
      <c r="AC67" s="195">
        <f t="shared" ref="AC67:AF67" ca="1" si="92">+AC59+SUM(AC61:AC65)</f>
        <v>0</v>
      </c>
      <c r="AD67" s="195">
        <f t="shared" ca="1" si="92"/>
        <v>0</v>
      </c>
      <c r="AE67" s="195">
        <f t="shared" ca="1" si="92"/>
        <v>0</v>
      </c>
      <c r="AF67" s="195">
        <f t="shared" ca="1" si="92"/>
        <v>0</v>
      </c>
      <c r="AG67" s="195">
        <f t="shared" ref="AG67" ca="1" si="93">+AG59+SUM(AG61:AG65)</f>
        <v>0</v>
      </c>
    </row>
    <row r="68" spans="1:3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</row>
    <row r="69" spans="1:33">
      <c r="C69" s="180" t="s">
        <v>753</v>
      </c>
      <c r="D69" s="180">
        <f t="shared" ref="D69:AB69" ca="1" si="94">D67+D53</f>
        <v>0</v>
      </c>
      <c r="E69" s="180">
        <f t="shared" ca="1" si="94"/>
        <v>0</v>
      </c>
      <c r="F69" s="180">
        <f t="shared" ca="1" si="94"/>
        <v>0</v>
      </c>
      <c r="G69" s="180">
        <f t="shared" ca="1" si="94"/>
        <v>0</v>
      </c>
      <c r="H69" s="180">
        <f t="shared" ca="1" si="94"/>
        <v>0</v>
      </c>
      <c r="I69" s="180">
        <f t="shared" ca="1" si="94"/>
        <v>0</v>
      </c>
      <c r="J69" s="180">
        <f t="shared" ca="1" si="94"/>
        <v>0</v>
      </c>
      <c r="K69" s="180">
        <f t="shared" ca="1" si="94"/>
        <v>0</v>
      </c>
      <c r="L69" s="180">
        <f t="shared" ca="1" si="94"/>
        <v>0</v>
      </c>
      <c r="M69" s="180">
        <f t="shared" ca="1" si="94"/>
        <v>0</v>
      </c>
      <c r="N69" s="180">
        <f t="shared" ca="1" si="94"/>
        <v>0</v>
      </c>
      <c r="O69" s="180">
        <f t="shared" ca="1" si="94"/>
        <v>0</v>
      </c>
      <c r="P69" s="180">
        <f t="shared" ca="1" si="94"/>
        <v>0</v>
      </c>
      <c r="Q69" s="180">
        <f t="shared" ca="1" si="94"/>
        <v>0</v>
      </c>
      <c r="R69" s="180">
        <f t="shared" ca="1" si="94"/>
        <v>0</v>
      </c>
      <c r="S69" s="180">
        <f t="shared" ca="1" si="94"/>
        <v>0</v>
      </c>
      <c r="T69" s="180">
        <f t="shared" ca="1" si="94"/>
        <v>0</v>
      </c>
      <c r="U69" s="180">
        <f t="shared" ca="1" si="94"/>
        <v>0</v>
      </c>
      <c r="V69" s="180">
        <f t="shared" ca="1" si="94"/>
        <v>0</v>
      </c>
      <c r="W69" s="180">
        <f t="shared" ca="1" si="94"/>
        <v>0</v>
      </c>
      <c r="X69" s="180">
        <f t="shared" ca="1" si="94"/>
        <v>0</v>
      </c>
      <c r="Y69" s="180">
        <f t="shared" ca="1" si="94"/>
        <v>0</v>
      </c>
      <c r="Z69" s="180">
        <f t="shared" ca="1" si="94"/>
        <v>0</v>
      </c>
      <c r="AA69" s="180">
        <f t="shared" ca="1" si="94"/>
        <v>0</v>
      </c>
      <c r="AB69" s="180" t="e">
        <f t="shared" ca="1" si="94"/>
        <v>#N/A</v>
      </c>
      <c r="AC69" s="180" t="e">
        <f t="shared" ref="AC69:AF69" ca="1" si="95">AC67+AC53</f>
        <v>#N/A</v>
      </c>
      <c r="AD69" s="180" t="e">
        <f t="shared" ca="1" si="95"/>
        <v>#N/A</v>
      </c>
      <c r="AE69" s="180" t="e">
        <f t="shared" ca="1" si="95"/>
        <v>#N/A</v>
      </c>
      <c r="AF69" s="180" t="e">
        <f t="shared" ca="1" si="95"/>
        <v>#N/A</v>
      </c>
      <c r="AG69" s="180" t="e">
        <f t="shared" ref="AG69" ca="1" si="96">AG67+AG53</f>
        <v>#N/A</v>
      </c>
    </row>
    <row r="71" spans="1:33">
      <c r="C71" s="209" t="s">
        <v>1043</v>
      </c>
      <c r="D71" s="209"/>
      <c r="E71" s="209"/>
      <c r="F71" s="209"/>
      <c r="G71" s="209"/>
      <c r="H71" s="209"/>
      <c r="I71" s="209"/>
      <c r="J71" s="209"/>
      <c r="K71" s="209"/>
      <c r="L71" s="209"/>
      <c r="M71" s="209"/>
      <c r="N71" s="209"/>
      <c r="O71" s="209"/>
      <c r="P71" s="209"/>
      <c r="Q71" s="209"/>
      <c r="R71" s="209"/>
      <c r="S71" s="209"/>
      <c r="T71" s="209"/>
      <c r="U71" s="209"/>
      <c r="V71" s="20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</row>
    <row r="72" spans="1:33">
      <c r="C72" s="180" t="s">
        <v>1044</v>
      </c>
      <c r="D72" s="180">
        <f>'Financing assumptions Holdco'!$F$54*1000</f>
        <v>0</v>
      </c>
      <c r="E72" s="180">
        <f>'Financing assumptions Holdco'!$F$54*1000</f>
        <v>0</v>
      </c>
      <c r="F72" s="180">
        <f>'Financing assumptions Holdco'!$F$54*1000</f>
        <v>0</v>
      </c>
      <c r="G72" s="180">
        <f>'Financing assumptions Holdco'!$F$54*1000</f>
        <v>0</v>
      </c>
      <c r="H72" s="180">
        <f>'Financing assumptions Holdco'!$F$54*1000</f>
        <v>0</v>
      </c>
      <c r="I72" s="180">
        <f>'Financing assumptions Holdco'!$F$54*1000</f>
        <v>0</v>
      </c>
      <c r="J72" s="180">
        <f>'Financing assumptions Holdco'!$F$54*1000</f>
        <v>0</v>
      </c>
      <c r="K72" s="180">
        <f>'Financing assumptions Holdco'!$F$54*1000</f>
        <v>0</v>
      </c>
      <c r="L72" s="180">
        <f>'Financing assumptions Holdco'!$F$54*1000</f>
        <v>0</v>
      </c>
      <c r="M72" s="180">
        <f>'Financing assumptions Holdco'!$F$54*1000</f>
        <v>0</v>
      </c>
      <c r="N72" s="180">
        <f>'Financing assumptions Holdco'!$F$54*1000</f>
        <v>0</v>
      </c>
      <c r="O72" s="180">
        <f>'Financing assumptions Holdco'!$F$54*1000</f>
        <v>0</v>
      </c>
      <c r="P72" s="180">
        <f>'Financing assumptions Holdco'!$F$54*1000</f>
        <v>0</v>
      </c>
      <c r="Q72" s="180">
        <f>'Financing assumptions Holdco'!$F$54*1000</f>
        <v>0</v>
      </c>
      <c r="R72" s="180">
        <f>'Financing assumptions Holdco'!$F$54*1000</f>
        <v>0</v>
      </c>
      <c r="S72" s="180">
        <f>'Financing assumptions Holdco'!$F$54*1000</f>
        <v>0</v>
      </c>
      <c r="T72" s="180">
        <f>'Financing assumptions Holdco'!$F$54*1000</f>
        <v>0</v>
      </c>
      <c r="U72" s="180">
        <f>'Financing assumptions Holdco'!$F$54*1000</f>
        <v>0</v>
      </c>
      <c r="V72" s="180">
        <f>'Financing assumptions Holdco'!$F$54*1000</f>
        <v>0</v>
      </c>
      <c r="W72" s="180">
        <f>'Financing assumptions Holdco'!$F$54*1000</f>
        <v>0</v>
      </c>
      <c r="X72" s="180">
        <f>'Financing assumptions Holdco'!$F$54*1000</f>
        <v>0</v>
      </c>
      <c r="Y72" s="180">
        <f>'Financing assumptions Holdco'!$F$54*1000</f>
        <v>0</v>
      </c>
      <c r="Z72" s="180">
        <f>'Financing assumptions Holdco'!$F$54*1000</f>
        <v>0</v>
      </c>
      <c r="AA72" s="180">
        <f>'Financing assumptions Holdco'!$F$54*1000</f>
        <v>0</v>
      </c>
      <c r="AB72" s="180">
        <f>'Financing assumptions Holdco'!$F$54*1000</f>
        <v>0</v>
      </c>
      <c r="AC72" s="180">
        <f>'Financing assumptions Holdco'!$F$54*1000</f>
        <v>0</v>
      </c>
      <c r="AD72" s="180">
        <f>'Financing assumptions Holdco'!$F$54*1000</f>
        <v>0</v>
      </c>
      <c r="AE72" s="180">
        <f>'Financing assumptions Holdco'!$F$54*1000</f>
        <v>0</v>
      </c>
      <c r="AF72" s="180">
        <f>'Financing assumptions Holdco'!$F$54*1000</f>
        <v>0</v>
      </c>
      <c r="AG72" s="180">
        <f>'Financing assumptions Holdco'!$F$54*1000</f>
        <v>0</v>
      </c>
    </row>
    <row r="73" spans="1:33">
      <c r="C73" s="183" t="s">
        <v>739</v>
      </c>
      <c r="D73" s="183">
        <f>'Financing assumptions Holdco'!M55</f>
        <v>5.9899999999999995E-2</v>
      </c>
      <c r="E73" s="183">
        <f>'Financing assumptions Holdco'!N55</f>
        <v>5.9899999999999995E-2</v>
      </c>
      <c r="F73" s="183">
        <f>'Financing assumptions Holdco'!O55</f>
        <v>5.9899999999999995E-2</v>
      </c>
      <c r="G73" s="183">
        <f>'Financing assumptions Holdco'!P55</f>
        <v>5.9899999999999995E-2</v>
      </c>
      <c r="H73" s="183">
        <f ca="1">'Financing assumptions Holdco'!Q55</f>
        <v>5.9899999999999995E-2</v>
      </c>
      <c r="I73" s="183">
        <f ca="1">'Financing assumptions Holdco'!R55</f>
        <v>5.9899999999999995E-2</v>
      </c>
      <c r="J73" s="183">
        <f ca="1">'Financing assumptions Holdco'!S55</f>
        <v>5.9899999999999995E-2</v>
      </c>
      <c r="K73" s="183">
        <f ca="1">'Financing assumptions Holdco'!T55</f>
        <v>5.9899999999999995E-2</v>
      </c>
      <c r="L73" s="183">
        <f ca="1">'Financing assumptions Holdco'!U55</f>
        <v>5.9899999999999995E-2</v>
      </c>
      <c r="M73" s="183">
        <f ca="1">'Financing assumptions Holdco'!V55</f>
        <v>5.9899999999999995E-2</v>
      </c>
      <c r="N73" s="183">
        <f ca="1">'Financing assumptions Holdco'!W55</f>
        <v>5.9899999999999995E-2</v>
      </c>
      <c r="O73" s="183">
        <f ca="1">'Financing assumptions Holdco'!X55</f>
        <v>5.9899999999999995E-2</v>
      </c>
      <c r="P73" s="183">
        <f ca="1">'Financing assumptions Holdco'!Y55</f>
        <v>5.9899999999999995E-2</v>
      </c>
      <c r="Q73" s="183">
        <f ca="1">'Financing assumptions Holdco'!Z55</f>
        <v>5.9899999999999995E-2</v>
      </c>
      <c r="R73" s="183">
        <f ca="1">'Financing assumptions Holdco'!AA55</f>
        <v>5.9899999999999995E-2</v>
      </c>
      <c r="S73" s="183">
        <f ca="1">'Financing assumptions Holdco'!AB55</f>
        <v>5.9899999999999995E-2</v>
      </c>
      <c r="T73" s="183">
        <f ca="1">'Financing assumptions Holdco'!AC55</f>
        <v>5.9899999999999995E-2</v>
      </c>
      <c r="U73" s="183">
        <f ca="1">'Financing assumptions Holdco'!AD55</f>
        <v>5.9899999999999995E-2</v>
      </c>
      <c r="V73" s="183">
        <f ca="1">'Financing assumptions Holdco'!AE55</f>
        <v>5.9899999999999995E-2</v>
      </c>
      <c r="W73" s="183">
        <f ca="1">'Financing assumptions Holdco'!AF55</f>
        <v>5.9899999999999995E-2</v>
      </c>
      <c r="X73" s="183">
        <f ca="1">'Financing assumptions Holdco'!AG55</f>
        <v>5.9899999999999995E-2</v>
      </c>
      <c r="Y73" s="183">
        <f ca="1">'Financing assumptions Holdco'!AH55</f>
        <v>5.9899999999999995E-2</v>
      </c>
      <c r="Z73" s="183">
        <f ca="1">'Financing assumptions Holdco'!AI55</f>
        <v>5.9899999999999995E-2</v>
      </c>
      <c r="AA73" s="183">
        <f ca="1">'Financing assumptions Holdco'!AJ55</f>
        <v>5.9899999999999995E-2</v>
      </c>
      <c r="AB73" s="183">
        <f ca="1">'Financing assumptions Holdco'!AK55</f>
        <v>5.9899999999999995E-2</v>
      </c>
      <c r="AC73" s="183">
        <f ca="1">'Financing assumptions Holdco'!AL55</f>
        <v>5.9899999999999995E-2</v>
      </c>
      <c r="AD73" s="183">
        <f ca="1">'Financing assumptions Holdco'!AM55</f>
        <v>5.9899999999999995E-2</v>
      </c>
      <c r="AE73" s="183">
        <f ca="1">'Financing assumptions Holdco'!AN55</f>
        <v>5.9899999999999995E-2</v>
      </c>
      <c r="AF73" s="183">
        <f ca="1">'Financing assumptions Holdco'!AO55</f>
        <v>5.9899999999999995E-2</v>
      </c>
      <c r="AG73" s="183">
        <f ca="1">'Financing assumptions Holdco'!AP55</f>
        <v>5.9899999999999995E-2</v>
      </c>
    </row>
    <row r="74" spans="1:33">
      <c r="C74" s="183" t="s">
        <v>756</v>
      </c>
      <c r="D74" s="183">
        <f>'Financing assumptions Holdco'!$F$56/10000</f>
        <v>1.095E-2</v>
      </c>
      <c r="E74" s="183">
        <f>'Financing assumptions Holdco'!$F$56/10000</f>
        <v>1.095E-2</v>
      </c>
      <c r="F74" s="183">
        <f>'Financing assumptions Holdco'!$F$56/10000</f>
        <v>1.095E-2</v>
      </c>
      <c r="G74" s="183">
        <f>'Financing assumptions Holdco'!$F$56/10000</f>
        <v>1.095E-2</v>
      </c>
      <c r="H74" s="183">
        <f>'Financing assumptions Holdco'!$F$56/10000</f>
        <v>1.095E-2</v>
      </c>
      <c r="I74" s="183">
        <f>'Financing assumptions Holdco'!$F$56/10000</f>
        <v>1.095E-2</v>
      </c>
      <c r="J74" s="183">
        <f>'Financing assumptions Holdco'!$F$56/10000</f>
        <v>1.095E-2</v>
      </c>
      <c r="K74" s="183">
        <f>'Financing assumptions Holdco'!$F$56/10000</f>
        <v>1.095E-2</v>
      </c>
      <c r="L74" s="183">
        <f>'Financing assumptions Holdco'!$F$56/10000</f>
        <v>1.095E-2</v>
      </c>
      <c r="M74" s="183">
        <f>'Financing assumptions Holdco'!$F$56/10000</f>
        <v>1.095E-2</v>
      </c>
      <c r="N74" s="183">
        <f>'Financing assumptions Holdco'!$F$56/10000</f>
        <v>1.095E-2</v>
      </c>
      <c r="O74" s="183">
        <f>'Financing assumptions Holdco'!$F$56/10000</f>
        <v>1.095E-2</v>
      </c>
      <c r="P74" s="183">
        <f>'Financing assumptions Holdco'!$F$56/10000</f>
        <v>1.095E-2</v>
      </c>
      <c r="Q74" s="183">
        <f>'Financing assumptions Holdco'!$F$56/10000</f>
        <v>1.095E-2</v>
      </c>
      <c r="R74" s="183">
        <f>'Financing assumptions Holdco'!$F$56/10000</f>
        <v>1.095E-2</v>
      </c>
      <c r="S74" s="183">
        <f>'Financing assumptions Holdco'!$F$56/10000</f>
        <v>1.095E-2</v>
      </c>
      <c r="T74" s="183">
        <f>'Financing assumptions Holdco'!$F$56/10000</f>
        <v>1.095E-2</v>
      </c>
      <c r="U74" s="183">
        <f>'Financing assumptions Holdco'!$F$56/10000</f>
        <v>1.095E-2</v>
      </c>
      <c r="V74" s="183">
        <f>'Financing assumptions Holdco'!$F$56/10000</f>
        <v>1.095E-2</v>
      </c>
      <c r="W74" s="183">
        <f>'Financing assumptions Holdco'!$F$56/10000</f>
        <v>1.095E-2</v>
      </c>
      <c r="X74" s="183">
        <f>'Financing assumptions Holdco'!$F$56/10000</f>
        <v>1.095E-2</v>
      </c>
      <c r="Y74" s="183">
        <f>'Financing assumptions Holdco'!$F$56/10000</f>
        <v>1.095E-2</v>
      </c>
      <c r="Z74" s="183">
        <f>'Financing assumptions Holdco'!$F$56/10000</f>
        <v>1.095E-2</v>
      </c>
      <c r="AA74" s="183">
        <f>'Financing assumptions Holdco'!$F$56/10000</f>
        <v>1.095E-2</v>
      </c>
      <c r="AB74" s="183">
        <f>'Financing assumptions Holdco'!$F$56/10000</f>
        <v>1.095E-2</v>
      </c>
      <c r="AC74" s="183">
        <f>'Financing assumptions Holdco'!$F$56/10000</f>
        <v>1.095E-2</v>
      </c>
      <c r="AD74" s="183">
        <f>'Financing assumptions Holdco'!$F$56/10000</f>
        <v>1.095E-2</v>
      </c>
      <c r="AE74" s="183">
        <f>'Financing assumptions Holdco'!$F$56/10000</f>
        <v>1.095E-2</v>
      </c>
      <c r="AF74" s="183">
        <f>'Financing assumptions Holdco'!$F$56/10000</f>
        <v>1.095E-2</v>
      </c>
      <c r="AG74" s="183">
        <f>'Financing assumptions Holdco'!$F$56/10000</f>
        <v>1.095E-2</v>
      </c>
    </row>
    <row r="75" spans="1:33">
      <c r="C75" s="28" t="s">
        <v>730</v>
      </c>
      <c r="D75" s="291">
        <f>'Financing assumptions Holdco'!F57*1000</f>
        <v>0</v>
      </c>
      <c r="E75" s="291">
        <f>D79</f>
        <v>0</v>
      </c>
      <c r="F75" s="291">
        <f t="shared" ref="F75:AB75" ca="1" si="97">E79</f>
        <v>0</v>
      </c>
      <c r="G75" s="291">
        <f t="shared" ca="1" si="97"/>
        <v>0</v>
      </c>
      <c r="H75" s="291">
        <f t="shared" ca="1" si="97"/>
        <v>0</v>
      </c>
      <c r="I75" s="291">
        <f t="shared" ca="1" si="97"/>
        <v>0</v>
      </c>
      <c r="J75" s="291">
        <f t="shared" ca="1" si="97"/>
        <v>0</v>
      </c>
      <c r="K75" s="291">
        <f t="shared" ca="1" si="97"/>
        <v>0</v>
      </c>
      <c r="L75" s="291">
        <f t="shared" ca="1" si="97"/>
        <v>0</v>
      </c>
      <c r="M75" s="291">
        <f t="shared" ca="1" si="97"/>
        <v>0</v>
      </c>
      <c r="N75" s="291">
        <f t="shared" ca="1" si="97"/>
        <v>0</v>
      </c>
      <c r="O75" s="291">
        <f t="shared" ca="1" si="97"/>
        <v>0</v>
      </c>
      <c r="P75" s="291">
        <f t="shared" ca="1" si="97"/>
        <v>0</v>
      </c>
      <c r="Q75" s="291">
        <f t="shared" ca="1" si="97"/>
        <v>0</v>
      </c>
      <c r="R75" s="291">
        <f t="shared" ca="1" si="97"/>
        <v>0</v>
      </c>
      <c r="S75" s="291">
        <f t="shared" ca="1" si="97"/>
        <v>0</v>
      </c>
      <c r="T75" s="291">
        <f t="shared" ca="1" si="97"/>
        <v>0</v>
      </c>
      <c r="U75" s="291">
        <f t="shared" ca="1" si="97"/>
        <v>0</v>
      </c>
      <c r="V75" s="291">
        <f t="shared" ca="1" si="97"/>
        <v>0</v>
      </c>
      <c r="W75" s="291">
        <f t="shared" ca="1" si="97"/>
        <v>0</v>
      </c>
      <c r="X75" s="291">
        <f t="shared" ca="1" si="97"/>
        <v>0</v>
      </c>
      <c r="Y75" s="291">
        <f t="shared" ca="1" si="97"/>
        <v>0</v>
      </c>
      <c r="Z75" s="291">
        <f t="shared" ca="1" si="97"/>
        <v>0</v>
      </c>
      <c r="AA75" s="291">
        <f t="shared" ca="1" si="97"/>
        <v>0</v>
      </c>
      <c r="AB75" s="291">
        <f t="shared" ca="1" si="97"/>
        <v>0</v>
      </c>
      <c r="AC75" s="291" t="e">
        <f t="shared" ref="AC75" ca="1" si="98">AB79</f>
        <v>#N/A</v>
      </c>
      <c r="AD75" s="291" t="e">
        <f t="shared" ref="AD75" ca="1" si="99">AC79</f>
        <v>#N/A</v>
      </c>
      <c r="AE75" s="291" t="e">
        <f t="shared" ref="AE75" ca="1" si="100">AD79</f>
        <v>#N/A</v>
      </c>
      <c r="AF75" s="291" t="e">
        <f t="shared" ref="AF75:AG75" ca="1" si="101">AE79</f>
        <v>#N/A</v>
      </c>
      <c r="AG75" s="291" t="e">
        <f t="shared" ca="1" si="101"/>
        <v>#N/A</v>
      </c>
    </row>
    <row r="76" spans="1:33">
      <c r="C76" s="28" t="s">
        <v>758</v>
      </c>
      <c r="D76" s="291">
        <f>D72-D75</f>
        <v>0</v>
      </c>
      <c r="E76" s="291">
        <f t="shared" ref="E76:AB76" si="102">E72-E75</f>
        <v>0</v>
      </c>
      <c r="F76" s="291">
        <f t="shared" ca="1" si="102"/>
        <v>0</v>
      </c>
      <c r="G76" s="291">
        <f t="shared" ca="1" si="102"/>
        <v>0</v>
      </c>
      <c r="H76" s="291">
        <f t="shared" ca="1" si="102"/>
        <v>0</v>
      </c>
      <c r="I76" s="291">
        <f t="shared" ca="1" si="102"/>
        <v>0</v>
      </c>
      <c r="J76" s="291">
        <f t="shared" ca="1" si="102"/>
        <v>0</v>
      </c>
      <c r="K76" s="291">
        <f t="shared" ca="1" si="102"/>
        <v>0</v>
      </c>
      <c r="L76" s="291">
        <f t="shared" ca="1" si="102"/>
        <v>0</v>
      </c>
      <c r="M76" s="291">
        <f t="shared" ca="1" si="102"/>
        <v>0</v>
      </c>
      <c r="N76" s="291">
        <f t="shared" ca="1" si="102"/>
        <v>0</v>
      </c>
      <c r="O76" s="291">
        <f t="shared" ca="1" si="102"/>
        <v>0</v>
      </c>
      <c r="P76" s="291">
        <f t="shared" ca="1" si="102"/>
        <v>0</v>
      </c>
      <c r="Q76" s="291">
        <f t="shared" ca="1" si="102"/>
        <v>0</v>
      </c>
      <c r="R76" s="291">
        <f t="shared" ca="1" si="102"/>
        <v>0</v>
      </c>
      <c r="S76" s="291">
        <f t="shared" ca="1" si="102"/>
        <v>0</v>
      </c>
      <c r="T76" s="291">
        <f t="shared" ca="1" si="102"/>
        <v>0</v>
      </c>
      <c r="U76" s="291">
        <f t="shared" ca="1" si="102"/>
        <v>0</v>
      </c>
      <c r="V76" s="291">
        <f t="shared" ca="1" si="102"/>
        <v>0</v>
      </c>
      <c r="W76" s="291">
        <f t="shared" ca="1" si="102"/>
        <v>0</v>
      </c>
      <c r="X76" s="291">
        <f t="shared" ca="1" si="102"/>
        <v>0</v>
      </c>
      <c r="Y76" s="291">
        <f t="shared" ca="1" si="102"/>
        <v>0</v>
      </c>
      <c r="Z76" s="291">
        <f t="shared" ca="1" si="102"/>
        <v>0</v>
      </c>
      <c r="AA76" s="291">
        <f t="shared" ca="1" si="102"/>
        <v>0</v>
      </c>
      <c r="AB76" s="291">
        <f t="shared" ca="1" si="102"/>
        <v>0</v>
      </c>
      <c r="AC76" s="291" t="e">
        <f t="shared" ref="AC76:AF76" ca="1" si="103">AC72-AC75</f>
        <v>#N/A</v>
      </c>
      <c r="AD76" s="291" t="e">
        <f t="shared" ca="1" si="103"/>
        <v>#N/A</v>
      </c>
      <c r="AE76" s="291" t="e">
        <f t="shared" ca="1" si="103"/>
        <v>#N/A</v>
      </c>
      <c r="AF76" s="291" t="e">
        <f t="shared" ca="1" si="103"/>
        <v>#N/A</v>
      </c>
      <c r="AG76" s="291" t="e">
        <f t="shared" ref="AG76" ca="1" si="104">AG72-AG75</f>
        <v>#N/A</v>
      </c>
    </row>
    <row r="77" spans="1:33">
      <c r="C77" s="295" t="s">
        <v>732</v>
      </c>
      <c r="D77" s="291">
        <v>0</v>
      </c>
      <c r="E77" s="291">
        <f ca="1">MAX(MIN(-E69-E78+'Cash sweep &amp; dividend Holdco'!E52,E76),-E75)</f>
        <v>0</v>
      </c>
      <c r="F77" s="291">
        <f ca="1">MAX(MIN(-F69-F78+'Cash sweep &amp; dividend Holdco'!F52,F76),-F75)</f>
        <v>0</v>
      </c>
      <c r="G77" s="291">
        <f ca="1">MAX(MIN(-G69-G78+'Cash sweep &amp; dividend Holdco'!G52,G76),-G75)</f>
        <v>0</v>
      </c>
      <c r="H77" s="291">
        <f ca="1">MAX(MIN(-H69-H78+'Cash sweep &amp; dividend Holdco'!H52,H76),-H75)</f>
        <v>0</v>
      </c>
      <c r="I77" s="291">
        <f ca="1">MAX(MIN(-I69-I78+'Cash sweep &amp; dividend Holdco'!I52,I76),-I75)</f>
        <v>0</v>
      </c>
      <c r="J77" s="291">
        <f ca="1">MAX(MIN(-J69-J78+'Cash sweep &amp; dividend Holdco'!J52,J76),-J75)</f>
        <v>0</v>
      </c>
      <c r="K77" s="291">
        <f ca="1">MAX(MIN(-K69-K78+'Cash sweep &amp; dividend Holdco'!K52,K76),-K75)</f>
        <v>0</v>
      </c>
      <c r="L77" s="291">
        <f ca="1">MAX(MIN(-L69-L78+'Cash sweep &amp; dividend Holdco'!L52,L76),-L75)</f>
        <v>0</v>
      </c>
      <c r="M77" s="291">
        <f ca="1">MAX(MIN(-M69-M78+'Cash sweep &amp; dividend Holdco'!M52,M76),-M75)</f>
        <v>0</v>
      </c>
      <c r="N77" s="291">
        <f ca="1">MAX(MIN(-N69-N78+'Cash sweep &amp; dividend Holdco'!N52,N76),-N75)</f>
        <v>0</v>
      </c>
      <c r="O77" s="291">
        <f ca="1">MAX(MIN(-O69-O78+'Cash sweep &amp; dividend Holdco'!O52,O76),-O75)</f>
        <v>0</v>
      </c>
      <c r="P77" s="291">
        <f ca="1">MAX(MIN(-P69-P78+'Cash sweep &amp; dividend Holdco'!P52,P76),-P75)</f>
        <v>0</v>
      </c>
      <c r="Q77" s="291">
        <f ca="1">MAX(MIN(-Q69-Q78+'Cash sweep &amp; dividend Holdco'!Q52,Q76),-Q75)</f>
        <v>0</v>
      </c>
      <c r="R77" s="291">
        <f ca="1">MAX(MIN(-R69-R78+'Cash sweep &amp; dividend Holdco'!R52,R76),-R75)</f>
        <v>0</v>
      </c>
      <c r="S77" s="291">
        <f ca="1">MAX(MIN(-S69-S78+'Cash sweep &amp; dividend Holdco'!S52,S76),-S75)</f>
        <v>0</v>
      </c>
      <c r="T77" s="291">
        <f ca="1">MAX(MIN(-T69-T78+'Cash sweep &amp; dividend Holdco'!T52,T76),-T75)</f>
        <v>0</v>
      </c>
      <c r="U77" s="291">
        <f ca="1">MAX(MIN(-U69-U78+'Cash sweep &amp; dividend Holdco'!U52,U76),-U75)</f>
        <v>0</v>
      </c>
      <c r="V77" s="291">
        <f ca="1">MAX(MIN(-V69-V78+'Cash sweep &amp; dividend Holdco'!V52,V76),-V75)</f>
        <v>0</v>
      </c>
      <c r="W77" s="291">
        <f ca="1">MAX(MIN(-W69-W78+'Cash sweep &amp; dividend Holdco'!W52,W76),-W75)</f>
        <v>0</v>
      </c>
      <c r="X77" s="291">
        <f ca="1">MAX(MIN(-X69-X78+'Cash sweep &amp; dividend Holdco'!X52,X76),-X75)</f>
        <v>0</v>
      </c>
      <c r="Y77" s="291">
        <f ca="1">MAX(MIN(-Y69-Y78+'Cash sweep &amp; dividend Holdco'!Y52,Y76),-Y75)</f>
        <v>0</v>
      </c>
      <c r="Z77" s="291">
        <f ca="1">MAX(MIN(-Z69-Z78+'Cash sweep &amp; dividend Holdco'!Z52,Z76),-Z75)</f>
        <v>0</v>
      </c>
      <c r="AA77" s="291">
        <f ca="1">MAX(MIN(-AA69-AA78+'Cash sweep &amp; dividend Holdco'!AA52,AA76),-AA75)</f>
        <v>0</v>
      </c>
      <c r="AB77" s="291" t="e">
        <f ca="1">MAX(MIN(-AB69-AB78+'Cash sweep &amp; dividend Holdco'!AB52,AB76),-AB75)</f>
        <v>#N/A</v>
      </c>
      <c r="AC77" s="291" t="e">
        <f ca="1">MAX(MIN(-AC69-AC78+'Cash sweep &amp; dividend Holdco'!AC52,AC76),-AC75)</f>
        <v>#N/A</v>
      </c>
      <c r="AD77" s="291" t="e">
        <f ca="1">MAX(MIN(-AD69-AD78+'Cash sweep &amp; dividend Holdco'!AD52,AD76),-AD75)</f>
        <v>#N/A</v>
      </c>
      <c r="AE77" s="291" t="e">
        <f ca="1">MAX(MIN(-AE69-AE78+'Cash sweep &amp; dividend Holdco'!AE52,AE76),-AE75)</f>
        <v>#N/A</v>
      </c>
      <c r="AF77" s="291" t="e">
        <f ca="1">MAX(MIN(-AF69-AF78+'Cash sweep &amp; dividend Holdco'!AF52,AF76),-AF75)</f>
        <v>#N/A</v>
      </c>
      <c r="AG77" s="291" t="e">
        <f ca="1">MAX(MIN(-AG69-AG78+'Cash sweep &amp; dividend Holdco'!AG52,AG76),-AG75)</f>
        <v>#N/A</v>
      </c>
    </row>
    <row r="78" spans="1:33">
      <c r="C78" s="295" t="s">
        <v>729</v>
      </c>
      <c r="D78" s="291">
        <f t="shared" ref="D78:AB78" si="105">NOT(D6)*-(D73*D75/4+D76*D74/4)</f>
        <v>0</v>
      </c>
      <c r="E78" s="291">
        <f t="shared" si="105"/>
        <v>0</v>
      </c>
      <c r="F78" s="291">
        <f t="shared" ca="1" si="105"/>
        <v>0</v>
      </c>
      <c r="G78" s="291">
        <f t="shared" ca="1" si="105"/>
        <v>0</v>
      </c>
      <c r="H78" s="291">
        <f t="shared" ca="1" si="105"/>
        <v>0</v>
      </c>
      <c r="I78" s="291">
        <f t="shared" ca="1" si="105"/>
        <v>0</v>
      </c>
      <c r="J78" s="291">
        <f t="shared" ca="1" si="105"/>
        <v>0</v>
      </c>
      <c r="K78" s="291">
        <f t="shared" ca="1" si="105"/>
        <v>0</v>
      </c>
      <c r="L78" s="291">
        <f t="shared" ca="1" si="105"/>
        <v>0</v>
      </c>
      <c r="M78" s="291">
        <f t="shared" ca="1" si="105"/>
        <v>0</v>
      </c>
      <c r="N78" s="291">
        <f t="shared" ca="1" si="105"/>
        <v>0</v>
      </c>
      <c r="O78" s="291">
        <f t="shared" ca="1" si="105"/>
        <v>0</v>
      </c>
      <c r="P78" s="291">
        <f t="shared" ca="1" si="105"/>
        <v>0</v>
      </c>
      <c r="Q78" s="291">
        <f t="shared" ca="1" si="105"/>
        <v>0</v>
      </c>
      <c r="R78" s="291">
        <f t="shared" ca="1" si="105"/>
        <v>0</v>
      </c>
      <c r="S78" s="291">
        <f t="shared" ca="1" si="105"/>
        <v>0</v>
      </c>
      <c r="T78" s="291">
        <f t="shared" ca="1" si="105"/>
        <v>0</v>
      </c>
      <c r="U78" s="291">
        <f t="shared" ca="1" si="105"/>
        <v>0</v>
      </c>
      <c r="V78" s="291">
        <f t="shared" ca="1" si="105"/>
        <v>0</v>
      </c>
      <c r="W78" s="291">
        <f t="shared" ca="1" si="105"/>
        <v>0</v>
      </c>
      <c r="X78" s="291">
        <f t="shared" ca="1" si="105"/>
        <v>0</v>
      </c>
      <c r="Y78" s="291">
        <f t="shared" ca="1" si="105"/>
        <v>0</v>
      </c>
      <c r="Z78" s="291">
        <f t="shared" ca="1" si="105"/>
        <v>0</v>
      </c>
      <c r="AA78" s="291">
        <f t="shared" ca="1" si="105"/>
        <v>0</v>
      </c>
      <c r="AB78" s="291">
        <f t="shared" ca="1" si="105"/>
        <v>0</v>
      </c>
      <c r="AC78" s="291" t="e">
        <f t="shared" ref="AC78:AF78" ca="1" si="106">NOT(AC6)*-(AC73*AC75/4+AC76*AC74/4)</f>
        <v>#N/A</v>
      </c>
      <c r="AD78" s="291" t="e">
        <f t="shared" ca="1" si="106"/>
        <v>#N/A</v>
      </c>
      <c r="AE78" s="291" t="e">
        <f t="shared" ca="1" si="106"/>
        <v>#N/A</v>
      </c>
      <c r="AF78" s="291" t="e">
        <f t="shared" ca="1" si="106"/>
        <v>#N/A</v>
      </c>
      <c r="AG78" s="291" t="e">
        <f t="shared" ref="AG78" ca="1" si="107">NOT(AG6)*-(AG73*AG75/4+AG76*AG74/4)</f>
        <v>#N/A</v>
      </c>
    </row>
    <row r="79" spans="1:33">
      <c r="C79" s="195" t="s">
        <v>731</v>
      </c>
      <c r="D79" s="195">
        <f>D75+D77</f>
        <v>0</v>
      </c>
      <c r="E79" s="195">
        <f t="shared" ref="E79:AB79" ca="1" si="108">E75+E77</f>
        <v>0</v>
      </c>
      <c r="F79" s="195">
        <f t="shared" ca="1" si="108"/>
        <v>0</v>
      </c>
      <c r="G79" s="195">
        <f t="shared" ca="1" si="108"/>
        <v>0</v>
      </c>
      <c r="H79" s="195">
        <f t="shared" ca="1" si="108"/>
        <v>0</v>
      </c>
      <c r="I79" s="195">
        <f t="shared" ca="1" si="108"/>
        <v>0</v>
      </c>
      <c r="J79" s="195">
        <f t="shared" ca="1" si="108"/>
        <v>0</v>
      </c>
      <c r="K79" s="195">
        <f t="shared" ca="1" si="108"/>
        <v>0</v>
      </c>
      <c r="L79" s="195">
        <f t="shared" ca="1" si="108"/>
        <v>0</v>
      </c>
      <c r="M79" s="195">
        <f t="shared" ca="1" si="108"/>
        <v>0</v>
      </c>
      <c r="N79" s="195">
        <f t="shared" ca="1" si="108"/>
        <v>0</v>
      </c>
      <c r="O79" s="195">
        <f t="shared" ca="1" si="108"/>
        <v>0</v>
      </c>
      <c r="P79" s="195">
        <f ca="1">P75+P77</f>
        <v>0</v>
      </c>
      <c r="Q79" s="195">
        <f t="shared" ca="1" si="108"/>
        <v>0</v>
      </c>
      <c r="R79" s="195">
        <f t="shared" ca="1" si="108"/>
        <v>0</v>
      </c>
      <c r="S79" s="195">
        <f t="shared" ca="1" si="108"/>
        <v>0</v>
      </c>
      <c r="T79" s="195">
        <f t="shared" ca="1" si="108"/>
        <v>0</v>
      </c>
      <c r="U79" s="195">
        <f t="shared" ca="1" si="108"/>
        <v>0</v>
      </c>
      <c r="V79" s="195">
        <f t="shared" ca="1" si="108"/>
        <v>0</v>
      </c>
      <c r="W79" s="195">
        <f t="shared" ca="1" si="108"/>
        <v>0</v>
      </c>
      <c r="X79" s="195">
        <f t="shared" ca="1" si="108"/>
        <v>0</v>
      </c>
      <c r="Y79" s="195">
        <f t="shared" ca="1" si="108"/>
        <v>0</v>
      </c>
      <c r="Z79" s="195">
        <f t="shared" ca="1" si="108"/>
        <v>0</v>
      </c>
      <c r="AA79" s="195">
        <f t="shared" ca="1" si="108"/>
        <v>0</v>
      </c>
      <c r="AB79" s="195" t="e">
        <f t="shared" ca="1" si="108"/>
        <v>#N/A</v>
      </c>
      <c r="AC79" s="195" t="e">
        <f t="shared" ref="AC79:AF79" ca="1" si="109">AC75+AC77</f>
        <v>#N/A</v>
      </c>
      <c r="AD79" s="195" t="e">
        <f t="shared" ca="1" si="109"/>
        <v>#N/A</v>
      </c>
      <c r="AE79" s="195" t="e">
        <f t="shared" ca="1" si="109"/>
        <v>#N/A</v>
      </c>
      <c r="AF79" s="195" t="e">
        <f t="shared" ca="1" si="109"/>
        <v>#N/A</v>
      </c>
      <c r="AG79" s="195" t="e">
        <f t="shared" ref="AG79" ca="1" si="110">AG75+AG77</f>
        <v>#N/A</v>
      </c>
    </row>
    <row r="80" spans="1:33">
      <c r="C80" s="195" t="s">
        <v>1045</v>
      </c>
      <c r="D80" s="195">
        <f>D72-D79</f>
        <v>0</v>
      </c>
      <c r="E80" s="195">
        <f t="shared" ref="E80:AB80" ca="1" si="111">E72-E79</f>
        <v>0</v>
      </c>
      <c r="F80" s="195">
        <f t="shared" ca="1" si="111"/>
        <v>0</v>
      </c>
      <c r="G80" s="195">
        <f t="shared" ca="1" si="111"/>
        <v>0</v>
      </c>
      <c r="H80" s="195">
        <f t="shared" ca="1" si="111"/>
        <v>0</v>
      </c>
      <c r="I80" s="195">
        <f t="shared" ca="1" si="111"/>
        <v>0</v>
      </c>
      <c r="J80" s="195">
        <f t="shared" ca="1" si="111"/>
        <v>0</v>
      </c>
      <c r="K80" s="195">
        <f t="shared" ca="1" si="111"/>
        <v>0</v>
      </c>
      <c r="L80" s="195">
        <f t="shared" ca="1" si="111"/>
        <v>0</v>
      </c>
      <c r="M80" s="195">
        <f t="shared" ca="1" si="111"/>
        <v>0</v>
      </c>
      <c r="N80" s="195">
        <f t="shared" ca="1" si="111"/>
        <v>0</v>
      </c>
      <c r="O80" s="195">
        <f t="shared" ca="1" si="111"/>
        <v>0</v>
      </c>
      <c r="P80" s="195">
        <f t="shared" ca="1" si="111"/>
        <v>0</v>
      </c>
      <c r="Q80" s="195">
        <f t="shared" ca="1" si="111"/>
        <v>0</v>
      </c>
      <c r="R80" s="195">
        <f t="shared" ca="1" si="111"/>
        <v>0</v>
      </c>
      <c r="S80" s="195">
        <f t="shared" ca="1" si="111"/>
        <v>0</v>
      </c>
      <c r="T80" s="195">
        <f t="shared" ca="1" si="111"/>
        <v>0</v>
      </c>
      <c r="U80" s="195">
        <f t="shared" ca="1" si="111"/>
        <v>0</v>
      </c>
      <c r="V80" s="195">
        <f t="shared" ca="1" si="111"/>
        <v>0</v>
      </c>
      <c r="W80" s="195">
        <f t="shared" ca="1" si="111"/>
        <v>0</v>
      </c>
      <c r="X80" s="195">
        <f t="shared" ca="1" si="111"/>
        <v>0</v>
      </c>
      <c r="Y80" s="195">
        <f t="shared" ca="1" si="111"/>
        <v>0</v>
      </c>
      <c r="Z80" s="195">
        <f t="shared" ca="1" si="111"/>
        <v>0</v>
      </c>
      <c r="AA80" s="195">
        <f t="shared" ca="1" si="111"/>
        <v>0</v>
      </c>
      <c r="AB80" s="195" t="e">
        <f t="shared" ca="1" si="111"/>
        <v>#N/A</v>
      </c>
      <c r="AC80" s="195" t="e">
        <f t="shared" ref="AC80:AF80" ca="1" si="112">AC72-AC79</f>
        <v>#N/A</v>
      </c>
      <c r="AD80" s="195" t="e">
        <f t="shared" ca="1" si="112"/>
        <v>#N/A</v>
      </c>
      <c r="AE80" s="195" t="e">
        <f t="shared" ca="1" si="112"/>
        <v>#N/A</v>
      </c>
      <c r="AF80" s="195" t="e">
        <f t="shared" ca="1" si="112"/>
        <v>#N/A</v>
      </c>
      <c r="AG80" s="195" t="e">
        <f t="shared" ref="AG80" ca="1" si="113">AG72-AG79</f>
        <v>#N/A</v>
      </c>
    </row>
    <row r="82" spans="3:33">
      <c r="C82" s="379" t="s">
        <v>840</v>
      </c>
      <c r="D82" s="379"/>
      <c r="E82" s="379">
        <f t="shared" ref="E82:AB82" ca="1" si="114">D89*cash_int_holdco/4</f>
        <v>0</v>
      </c>
      <c r="F82" s="379">
        <f t="shared" ca="1" si="114"/>
        <v>0</v>
      </c>
      <c r="G82" s="379">
        <f t="shared" ca="1" si="114"/>
        <v>0</v>
      </c>
      <c r="H82" s="379">
        <f t="shared" ca="1" si="114"/>
        <v>0</v>
      </c>
      <c r="I82" s="379">
        <f t="shared" ca="1" si="114"/>
        <v>0</v>
      </c>
      <c r="J82" s="379">
        <f t="shared" ca="1" si="114"/>
        <v>0</v>
      </c>
      <c r="K82" s="379">
        <f t="shared" ca="1" si="114"/>
        <v>0</v>
      </c>
      <c r="L82" s="379">
        <f t="shared" ca="1" si="114"/>
        <v>0</v>
      </c>
      <c r="M82" s="379">
        <f t="shared" ca="1" si="114"/>
        <v>0</v>
      </c>
      <c r="N82" s="379">
        <f t="shared" ca="1" si="114"/>
        <v>0</v>
      </c>
      <c r="O82" s="379">
        <f t="shared" ca="1" si="114"/>
        <v>0</v>
      </c>
      <c r="P82" s="379">
        <f t="shared" ca="1" si="114"/>
        <v>0</v>
      </c>
      <c r="Q82" s="379">
        <f t="shared" ca="1" si="114"/>
        <v>0</v>
      </c>
      <c r="R82" s="379">
        <f t="shared" ca="1" si="114"/>
        <v>0</v>
      </c>
      <c r="S82" s="379">
        <f t="shared" ca="1" si="114"/>
        <v>0</v>
      </c>
      <c r="T82" s="379">
        <f t="shared" ca="1" si="114"/>
        <v>0</v>
      </c>
      <c r="U82" s="379">
        <f t="shared" ca="1" si="114"/>
        <v>0</v>
      </c>
      <c r="V82" s="379">
        <f t="shared" ca="1" si="114"/>
        <v>0</v>
      </c>
      <c r="W82" s="379">
        <f t="shared" ca="1" si="114"/>
        <v>0</v>
      </c>
      <c r="X82" s="379">
        <f t="shared" ca="1" si="114"/>
        <v>0</v>
      </c>
      <c r="Y82" s="379">
        <f t="shared" ca="1" si="114"/>
        <v>0</v>
      </c>
      <c r="Z82" s="379">
        <f t="shared" ca="1" si="114"/>
        <v>0</v>
      </c>
      <c r="AA82" s="379">
        <f t="shared" ca="1" si="114"/>
        <v>0</v>
      </c>
      <c r="AB82" s="379">
        <f t="shared" ca="1" si="114"/>
        <v>0</v>
      </c>
      <c r="AC82" s="379" t="e">
        <f t="shared" ref="AC82" ca="1" si="115">AB89*cash_int_holdco/4</f>
        <v>#N/A</v>
      </c>
      <c r="AD82" s="379" t="e">
        <f t="shared" ref="AD82" ca="1" si="116">AC89*cash_int_holdco/4</f>
        <v>#N/A</v>
      </c>
      <c r="AE82" s="379" t="e">
        <f t="shared" ref="AE82" ca="1" si="117">AD89*cash_int_holdco/4</f>
        <v>#N/A</v>
      </c>
      <c r="AF82" s="379" t="e">
        <f t="shared" ref="AF82:AG82" ca="1" si="118">AE89*cash_int_holdco/4</f>
        <v>#N/A</v>
      </c>
      <c r="AG82" s="379" t="e">
        <f t="shared" ca="1" si="118"/>
        <v>#N/A</v>
      </c>
    </row>
    <row r="84" spans="3:33">
      <c r="C84" s="183" t="s">
        <v>754</v>
      </c>
      <c r="D84" s="183">
        <f>'Financing assumptions Holdco'!$F$65*'Financing assumptions Holdco'!$F$66</f>
        <v>0</v>
      </c>
      <c r="E84" s="183">
        <f>'Financing assumptions Holdco'!$F$65*'Financing assumptions Holdco'!$F$66</f>
        <v>0</v>
      </c>
      <c r="F84" s="183">
        <f>'Financing assumptions Holdco'!$F$65*'Financing assumptions Holdco'!$F$66</f>
        <v>0</v>
      </c>
      <c r="G84" s="183">
        <f>'Financing assumptions Holdco'!$F$65*'Financing assumptions Holdco'!$F$66</f>
        <v>0</v>
      </c>
      <c r="H84" s="183">
        <f>'Financing assumptions Holdco'!$F$65*'Financing assumptions Holdco'!$F$66</f>
        <v>0</v>
      </c>
      <c r="I84" s="183">
        <f>'Financing assumptions Holdco'!$F$65*'Financing assumptions Holdco'!$F$66</f>
        <v>0</v>
      </c>
      <c r="J84" s="183">
        <f>'Financing assumptions Holdco'!$F$65*'Financing assumptions Holdco'!$F$66</f>
        <v>0</v>
      </c>
      <c r="K84" s="183">
        <f>'Financing assumptions Holdco'!$F$65*'Financing assumptions Holdco'!$F$66</f>
        <v>0</v>
      </c>
      <c r="L84" s="183">
        <f>'Financing assumptions Holdco'!$F$65*'Financing assumptions Holdco'!$F$66</f>
        <v>0</v>
      </c>
      <c r="M84" s="183">
        <f>'Financing assumptions Holdco'!$F$65*'Financing assumptions Holdco'!$F$66</f>
        <v>0</v>
      </c>
      <c r="N84" s="183">
        <f>'Financing assumptions Holdco'!$F$65*'Financing assumptions Holdco'!$F$66</f>
        <v>0</v>
      </c>
      <c r="O84" s="183">
        <f>'Financing assumptions Holdco'!$F$65*'Financing assumptions Holdco'!$F$66</f>
        <v>0</v>
      </c>
      <c r="P84" s="183">
        <f>'Financing assumptions Holdco'!$F$65*'Financing assumptions Holdco'!$F$66</f>
        <v>0</v>
      </c>
      <c r="Q84" s="183">
        <f>'Financing assumptions Holdco'!$F$65*'Financing assumptions Holdco'!$F$66</f>
        <v>0</v>
      </c>
      <c r="R84" s="183">
        <f>'Financing assumptions Holdco'!$F$65*'Financing assumptions Holdco'!$F$66</f>
        <v>0</v>
      </c>
      <c r="S84" s="183">
        <f>'Financing assumptions Holdco'!$F$65*'Financing assumptions Holdco'!$F$66</f>
        <v>0</v>
      </c>
      <c r="T84" s="183">
        <f>'Financing assumptions Holdco'!$F$65*'Financing assumptions Holdco'!$F$66</f>
        <v>0</v>
      </c>
      <c r="U84" s="183">
        <f>'Financing assumptions Holdco'!$F$65*'Financing assumptions Holdco'!$F$66</f>
        <v>0</v>
      </c>
      <c r="V84" s="183">
        <f>'Financing assumptions Holdco'!$F$65*'Financing assumptions Holdco'!$F$66</f>
        <v>0</v>
      </c>
      <c r="W84" s="183">
        <f>'Financing assumptions Holdco'!$F$65*'Financing assumptions Holdco'!$F$66</f>
        <v>0</v>
      </c>
      <c r="X84" s="183">
        <f>'Financing assumptions Holdco'!$F$65*'Financing assumptions Holdco'!$F$66</f>
        <v>0</v>
      </c>
      <c r="Y84" s="183">
        <f>'Financing assumptions Holdco'!$F$65*'Financing assumptions Holdco'!$F$66</f>
        <v>0</v>
      </c>
      <c r="Z84" s="183">
        <f>'Financing assumptions Holdco'!$F$65*'Financing assumptions Holdco'!$F$66</f>
        <v>0</v>
      </c>
      <c r="AA84" s="183">
        <f>'Financing assumptions Holdco'!$F$65*'Financing assumptions Holdco'!$F$66</f>
        <v>0</v>
      </c>
      <c r="AB84" s="183">
        <f>'Financing assumptions Holdco'!$F$65*'Financing assumptions Holdco'!$F$66</f>
        <v>0</v>
      </c>
      <c r="AC84" s="183">
        <f>'Financing assumptions Holdco'!$F$65*'Financing assumptions Holdco'!$F$66</f>
        <v>0</v>
      </c>
      <c r="AD84" s="183">
        <f>'Financing assumptions Holdco'!$F$65*'Financing assumptions Holdco'!$F$66</f>
        <v>0</v>
      </c>
      <c r="AE84" s="183">
        <f>'Financing assumptions Holdco'!$F$65*'Financing assumptions Holdco'!$F$66</f>
        <v>0</v>
      </c>
      <c r="AF84" s="183">
        <f>'Financing assumptions Holdco'!$F$65*'Financing assumptions Holdco'!$F$66</f>
        <v>0</v>
      </c>
      <c r="AG84" s="183">
        <f>'Financing assumptions Holdco'!$F$65*'Financing assumptions Holdco'!$F$66</f>
        <v>0</v>
      </c>
    </row>
    <row r="85" spans="3:33">
      <c r="C85" s="180" t="s">
        <v>755</v>
      </c>
      <c r="D85" s="180">
        <f t="shared" ref="D85:AB85" si="119">-D84*(D78-D60+D49+D36+D23+D82)</f>
        <v>0</v>
      </c>
      <c r="E85" s="180">
        <f t="shared" ca="1" si="119"/>
        <v>0</v>
      </c>
      <c r="F85" s="180">
        <f t="shared" ca="1" si="119"/>
        <v>0</v>
      </c>
      <c r="G85" s="180">
        <f t="shared" ca="1" si="119"/>
        <v>0</v>
      </c>
      <c r="H85" s="180">
        <f t="shared" ca="1" si="119"/>
        <v>0</v>
      </c>
      <c r="I85" s="180">
        <f t="shared" ca="1" si="119"/>
        <v>0</v>
      </c>
      <c r="J85" s="180">
        <f t="shared" ca="1" si="119"/>
        <v>0</v>
      </c>
      <c r="K85" s="180">
        <f t="shared" ca="1" si="119"/>
        <v>0</v>
      </c>
      <c r="L85" s="180">
        <f t="shared" ca="1" si="119"/>
        <v>0</v>
      </c>
      <c r="M85" s="180">
        <f t="shared" ca="1" si="119"/>
        <v>0</v>
      </c>
      <c r="N85" s="180">
        <f t="shared" ca="1" si="119"/>
        <v>0</v>
      </c>
      <c r="O85" s="180">
        <f t="shared" ca="1" si="119"/>
        <v>0</v>
      </c>
      <c r="P85" s="180">
        <f t="shared" ca="1" si="119"/>
        <v>0</v>
      </c>
      <c r="Q85" s="180">
        <f t="shared" ca="1" si="119"/>
        <v>0</v>
      </c>
      <c r="R85" s="180">
        <f t="shared" ca="1" si="119"/>
        <v>0</v>
      </c>
      <c r="S85" s="180">
        <f t="shared" ca="1" si="119"/>
        <v>0</v>
      </c>
      <c r="T85" s="180">
        <f t="shared" ca="1" si="119"/>
        <v>0</v>
      </c>
      <c r="U85" s="180">
        <f t="shared" ca="1" si="119"/>
        <v>0</v>
      </c>
      <c r="V85" s="180">
        <f t="shared" ca="1" si="119"/>
        <v>0</v>
      </c>
      <c r="W85" s="180">
        <f t="shared" ca="1" si="119"/>
        <v>0</v>
      </c>
      <c r="X85" s="180">
        <f t="shared" ca="1" si="119"/>
        <v>0</v>
      </c>
      <c r="Y85" s="180">
        <f t="shared" ca="1" si="119"/>
        <v>0</v>
      </c>
      <c r="Z85" s="180">
        <f t="shared" ca="1" si="119"/>
        <v>0</v>
      </c>
      <c r="AA85" s="180">
        <f t="shared" ca="1" si="119"/>
        <v>0</v>
      </c>
      <c r="AB85" s="180">
        <f t="shared" ca="1" si="119"/>
        <v>0</v>
      </c>
      <c r="AC85" s="180" t="e">
        <f t="shared" ref="AC85:AF85" ca="1" si="120">-AC84*(AC78-AC60+AC49+AC36+AC23+AC82)</f>
        <v>#N/A</v>
      </c>
      <c r="AD85" s="180" t="e">
        <f t="shared" ca="1" si="120"/>
        <v>#N/A</v>
      </c>
      <c r="AE85" s="180" t="e">
        <f t="shared" ca="1" si="120"/>
        <v>#N/A</v>
      </c>
      <c r="AF85" s="180" t="e">
        <f t="shared" ca="1" si="120"/>
        <v>#N/A</v>
      </c>
      <c r="AG85" s="180" t="e">
        <f t="shared" ref="AG85" ca="1" si="121">-AG84*(AG78-AG60+AG49+AG36+AG23+AG82)</f>
        <v>#N/A</v>
      </c>
    </row>
    <row r="87" spans="3:33">
      <c r="C87" s="303" t="s">
        <v>823</v>
      </c>
      <c r="D87" s="303">
        <f ca="1">D69+D77+D78+D85+D82</f>
        <v>0</v>
      </c>
      <c r="E87" s="303">
        <f t="shared" ref="E87:AB87" ca="1" si="122">E69+E77+E78+E85+E82</f>
        <v>0</v>
      </c>
      <c r="F87" s="303">
        <f t="shared" ca="1" si="122"/>
        <v>0</v>
      </c>
      <c r="G87" s="303">
        <f t="shared" ca="1" si="122"/>
        <v>0</v>
      </c>
      <c r="H87" s="303">
        <f t="shared" ca="1" si="122"/>
        <v>0</v>
      </c>
      <c r="I87" s="303">
        <f t="shared" ca="1" si="122"/>
        <v>0</v>
      </c>
      <c r="J87" s="303">
        <f t="shared" ca="1" si="122"/>
        <v>0</v>
      </c>
      <c r="K87" s="303">
        <f t="shared" ca="1" si="122"/>
        <v>0</v>
      </c>
      <c r="L87" s="303">
        <f t="shared" ca="1" si="122"/>
        <v>0</v>
      </c>
      <c r="M87" s="303">
        <f t="shared" ca="1" si="122"/>
        <v>0</v>
      </c>
      <c r="N87" s="303">
        <f t="shared" ca="1" si="122"/>
        <v>0</v>
      </c>
      <c r="O87" s="303">
        <f t="shared" ca="1" si="122"/>
        <v>0</v>
      </c>
      <c r="P87" s="303">
        <f t="shared" ca="1" si="122"/>
        <v>0</v>
      </c>
      <c r="Q87" s="303">
        <f t="shared" ca="1" si="122"/>
        <v>0</v>
      </c>
      <c r="R87" s="303">
        <f t="shared" ca="1" si="122"/>
        <v>0</v>
      </c>
      <c r="S87" s="303">
        <f t="shared" ca="1" si="122"/>
        <v>0</v>
      </c>
      <c r="T87" s="303">
        <f t="shared" ca="1" si="122"/>
        <v>0</v>
      </c>
      <c r="U87" s="303">
        <f t="shared" ca="1" si="122"/>
        <v>0</v>
      </c>
      <c r="V87" s="303">
        <f t="shared" ca="1" si="122"/>
        <v>0</v>
      </c>
      <c r="W87" s="303">
        <f t="shared" ca="1" si="122"/>
        <v>0</v>
      </c>
      <c r="X87" s="303">
        <f t="shared" ca="1" si="122"/>
        <v>0</v>
      </c>
      <c r="Y87" s="303">
        <f t="shared" ca="1" si="122"/>
        <v>0</v>
      </c>
      <c r="Z87" s="303">
        <f t="shared" ca="1" si="122"/>
        <v>0</v>
      </c>
      <c r="AA87" s="303">
        <f t="shared" ca="1" si="122"/>
        <v>0</v>
      </c>
      <c r="AB87" s="303" t="e">
        <f t="shared" ca="1" si="122"/>
        <v>#N/A</v>
      </c>
      <c r="AC87" s="303" t="e">
        <f t="shared" ref="AC87:AF87" ca="1" si="123">AC69+AC77+AC78+AC85+AC82</f>
        <v>#N/A</v>
      </c>
      <c r="AD87" s="303" t="e">
        <f t="shared" ca="1" si="123"/>
        <v>#N/A</v>
      </c>
      <c r="AE87" s="303" t="e">
        <f t="shared" ca="1" si="123"/>
        <v>#N/A</v>
      </c>
      <c r="AF87" s="303" t="e">
        <f t="shared" ca="1" si="123"/>
        <v>#N/A</v>
      </c>
      <c r="AG87" s="303" t="e">
        <f t="shared" ref="AG87" ca="1" si="124">AG69+AG77+AG78+AG85+AG82</f>
        <v>#N/A</v>
      </c>
    </row>
    <row r="88" spans="3:33">
      <c r="C88" s="180" t="s">
        <v>735</v>
      </c>
      <c r="D88" s="180">
        <f>-'Cash sweep &amp; dividend Holdco'!D52</f>
        <v>0</v>
      </c>
      <c r="E88" s="180">
        <f ca="1">-'Cash sweep &amp; dividend Holdco'!E52</f>
        <v>0</v>
      </c>
      <c r="F88" s="180">
        <f ca="1">-'Cash sweep &amp; dividend Holdco'!F52</f>
        <v>0</v>
      </c>
      <c r="G88" s="180">
        <f ca="1">-'Cash sweep &amp; dividend Holdco'!G52</f>
        <v>0</v>
      </c>
      <c r="H88" s="180">
        <f ca="1">-'Cash sweep &amp; dividend Holdco'!H52</f>
        <v>0</v>
      </c>
      <c r="I88" s="180">
        <f ca="1">-'Cash sweep &amp; dividend Holdco'!I52</f>
        <v>0</v>
      </c>
      <c r="J88" s="180">
        <f ca="1">-'Cash sweep &amp; dividend Holdco'!J52</f>
        <v>0</v>
      </c>
      <c r="K88" s="180">
        <f ca="1">-'Cash sweep &amp; dividend Holdco'!K52</f>
        <v>0</v>
      </c>
      <c r="L88" s="180">
        <f ca="1">-'Cash sweep &amp; dividend Holdco'!L52</f>
        <v>0</v>
      </c>
      <c r="M88" s="180">
        <f ca="1">-'Cash sweep &amp; dividend Holdco'!M52</f>
        <v>0</v>
      </c>
      <c r="N88" s="180">
        <f ca="1">-'Cash sweep &amp; dividend Holdco'!N52</f>
        <v>0</v>
      </c>
      <c r="O88" s="180">
        <f ca="1">-'Cash sweep &amp; dividend Holdco'!O52</f>
        <v>0</v>
      </c>
      <c r="P88" s="180">
        <f ca="1">-'Cash sweep &amp; dividend Holdco'!P52</f>
        <v>0</v>
      </c>
      <c r="Q88" s="180">
        <f ca="1">-'Cash sweep &amp; dividend Holdco'!Q52</f>
        <v>0</v>
      </c>
      <c r="R88" s="180">
        <f ca="1">-'Cash sweep &amp; dividend Holdco'!R52</f>
        <v>0</v>
      </c>
      <c r="S88" s="180">
        <f ca="1">-'Cash sweep &amp; dividend Holdco'!S52</f>
        <v>0</v>
      </c>
      <c r="T88" s="180">
        <f ca="1">-'Cash sweep &amp; dividend Holdco'!T52</f>
        <v>0</v>
      </c>
      <c r="U88" s="180">
        <f ca="1">-'Cash sweep &amp; dividend Holdco'!U52</f>
        <v>0</v>
      </c>
      <c r="V88" s="180">
        <f ca="1">-'Cash sweep &amp; dividend Holdco'!V52</f>
        <v>0</v>
      </c>
      <c r="W88" s="180">
        <f ca="1">-'Cash sweep &amp; dividend Holdco'!W52</f>
        <v>0</v>
      </c>
      <c r="X88" s="180">
        <f ca="1">-'Cash sweep &amp; dividend Holdco'!X52</f>
        <v>0</v>
      </c>
      <c r="Y88" s="180">
        <f ca="1">-'Cash sweep &amp; dividend Holdco'!Y52</f>
        <v>0</v>
      </c>
      <c r="Z88" s="180">
        <f ca="1">-'Cash sweep &amp; dividend Holdco'!Z52</f>
        <v>0</v>
      </c>
      <c r="AA88" s="180">
        <f ca="1">-'Cash sweep &amp; dividend Holdco'!AA52</f>
        <v>0</v>
      </c>
      <c r="AB88" s="180">
        <f ca="1">-'Cash sweep &amp; dividend Holdco'!AB52</f>
        <v>0</v>
      </c>
      <c r="AC88" s="180">
        <f ca="1">-'Cash sweep &amp; dividend Holdco'!AC52</f>
        <v>0</v>
      </c>
      <c r="AD88" s="180">
        <f ca="1">-'Cash sweep &amp; dividend Holdco'!AD52</f>
        <v>0</v>
      </c>
      <c r="AE88" s="180">
        <f ca="1">-'Cash sweep &amp; dividend Holdco'!AE52</f>
        <v>0</v>
      </c>
      <c r="AF88" s="180">
        <f ca="1">-'Cash sweep &amp; dividend Holdco'!AF52</f>
        <v>0</v>
      </c>
      <c r="AG88" s="180">
        <f>-'Cash sweep &amp; dividend Holdco'!AG52</f>
        <v>0</v>
      </c>
    </row>
    <row r="89" spans="3:33">
      <c r="C89" s="180" t="s">
        <v>734</v>
      </c>
      <c r="D89" s="180">
        <f ca="1">D69+D77+D78+D82+D85+D88</f>
        <v>0</v>
      </c>
      <c r="E89" s="180">
        <f t="shared" ref="E89:AB89" ca="1" si="125">E69+E77+E78+E82+E85+E88</f>
        <v>0</v>
      </c>
      <c r="F89" s="180">
        <f t="shared" ca="1" si="125"/>
        <v>0</v>
      </c>
      <c r="G89" s="180">
        <f t="shared" ca="1" si="125"/>
        <v>0</v>
      </c>
      <c r="H89" s="180">
        <f t="shared" ca="1" si="125"/>
        <v>0</v>
      </c>
      <c r="I89" s="180">
        <f t="shared" ca="1" si="125"/>
        <v>0</v>
      </c>
      <c r="J89" s="180">
        <f t="shared" ca="1" si="125"/>
        <v>0</v>
      </c>
      <c r="K89" s="180">
        <f t="shared" ca="1" si="125"/>
        <v>0</v>
      </c>
      <c r="L89" s="180">
        <f t="shared" ca="1" si="125"/>
        <v>0</v>
      </c>
      <c r="M89" s="180">
        <f t="shared" ca="1" si="125"/>
        <v>0</v>
      </c>
      <c r="N89" s="180">
        <f t="shared" ca="1" si="125"/>
        <v>0</v>
      </c>
      <c r="O89" s="180">
        <f t="shared" ca="1" si="125"/>
        <v>0</v>
      </c>
      <c r="P89" s="180">
        <f t="shared" ca="1" si="125"/>
        <v>0</v>
      </c>
      <c r="Q89" s="180">
        <f t="shared" ca="1" si="125"/>
        <v>0</v>
      </c>
      <c r="R89" s="180">
        <f t="shared" ca="1" si="125"/>
        <v>0</v>
      </c>
      <c r="S89" s="180">
        <f t="shared" ca="1" si="125"/>
        <v>0</v>
      </c>
      <c r="T89" s="180">
        <f t="shared" ca="1" si="125"/>
        <v>0</v>
      </c>
      <c r="U89" s="180">
        <f t="shared" ca="1" si="125"/>
        <v>0</v>
      </c>
      <c r="V89" s="180">
        <f t="shared" ca="1" si="125"/>
        <v>0</v>
      </c>
      <c r="W89" s="180">
        <f t="shared" ca="1" si="125"/>
        <v>0</v>
      </c>
      <c r="X89" s="180">
        <f t="shared" ca="1" si="125"/>
        <v>0</v>
      </c>
      <c r="Y89" s="180">
        <f t="shared" ca="1" si="125"/>
        <v>0</v>
      </c>
      <c r="Z89" s="180">
        <f t="shared" ca="1" si="125"/>
        <v>0</v>
      </c>
      <c r="AA89" s="180">
        <f t="shared" ca="1" si="125"/>
        <v>0</v>
      </c>
      <c r="AB89" s="180" t="e">
        <f t="shared" ca="1" si="125"/>
        <v>#N/A</v>
      </c>
      <c r="AC89" s="180" t="e">
        <f t="shared" ref="AC89:AF89" ca="1" si="126">AC69+AC77+AC78+AC82+AC85+AC88</f>
        <v>#N/A</v>
      </c>
      <c r="AD89" s="180" t="e">
        <f t="shared" ca="1" si="126"/>
        <v>#N/A</v>
      </c>
      <c r="AE89" s="180" t="e">
        <f t="shared" ca="1" si="126"/>
        <v>#N/A</v>
      </c>
      <c r="AF89" s="180" t="e">
        <f t="shared" ca="1" si="126"/>
        <v>#N/A</v>
      </c>
      <c r="AG89" s="180" t="e">
        <f t="shared" ref="AG89" ca="1" si="127">AG69+AG77+AG78+AG82+AG85+AG88</f>
        <v>#N/A</v>
      </c>
    </row>
    <row r="92" spans="3:33">
      <c r="C92" s="28" t="s">
        <v>842</v>
      </c>
      <c r="D92" s="291">
        <f>+D18+D31+D44+D59+D77</f>
        <v>0</v>
      </c>
      <c r="E92" s="291">
        <f t="shared" ref="E92:AB92" ca="1" si="128">+E18+E31+E44+E59+E77</f>
        <v>0</v>
      </c>
      <c r="F92" s="291">
        <f t="shared" ca="1" si="128"/>
        <v>0</v>
      </c>
      <c r="G92" s="291">
        <f t="shared" ca="1" si="128"/>
        <v>0</v>
      </c>
      <c r="H92" s="291">
        <f t="shared" ca="1" si="128"/>
        <v>0</v>
      </c>
      <c r="I92" s="291">
        <f t="shared" ca="1" si="128"/>
        <v>0</v>
      </c>
      <c r="J92" s="291">
        <f t="shared" ca="1" si="128"/>
        <v>0</v>
      </c>
      <c r="K92" s="291">
        <f t="shared" ca="1" si="128"/>
        <v>0</v>
      </c>
      <c r="L92" s="291">
        <f t="shared" ca="1" si="128"/>
        <v>0</v>
      </c>
      <c r="M92" s="291">
        <f t="shared" ca="1" si="128"/>
        <v>0</v>
      </c>
      <c r="N92" s="291">
        <f t="shared" ca="1" si="128"/>
        <v>0</v>
      </c>
      <c r="O92" s="291">
        <f t="shared" ca="1" si="128"/>
        <v>0</v>
      </c>
      <c r="P92" s="291">
        <f t="shared" ca="1" si="128"/>
        <v>0</v>
      </c>
      <c r="Q92" s="291">
        <f t="shared" ca="1" si="128"/>
        <v>0</v>
      </c>
      <c r="R92" s="291">
        <f t="shared" ca="1" si="128"/>
        <v>0</v>
      </c>
      <c r="S92" s="291">
        <f t="shared" ca="1" si="128"/>
        <v>0</v>
      </c>
      <c r="T92" s="291">
        <f t="shared" ca="1" si="128"/>
        <v>0</v>
      </c>
      <c r="U92" s="291">
        <f t="shared" ca="1" si="128"/>
        <v>0</v>
      </c>
      <c r="V92" s="291">
        <f t="shared" ca="1" si="128"/>
        <v>0</v>
      </c>
      <c r="W92" s="291">
        <f t="shared" ca="1" si="128"/>
        <v>0</v>
      </c>
      <c r="X92" s="291">
        <f t="shared" ca="1" si="128"/>
        <v>0</v>
      </c>
      <c r="Y92" s="291">
        <f t="shared" ca="1" si="128"/>
        <v>0</v>
      </c>
      <c r="Z92" s="291">
        <f t="shared" ca="1" si="128"/>
        <v>0</v>
      </c>
      <c r="AA92" s="291">
        <f t="shared" ca="1" si="128"/>
        <v>0</v>
      </c>
      <c r="AB92" s="291" t="e">
        <f t="shared" ca="1" si="128"/>
        <v>#N/A</v>
      </c>
      <c r="AC92" s="291" t="e">
        <f t="shared" ref="AC92:AF92" ca="1" si="129">+AC18+AC31+AC44+AC59+AC77</f>
        <v>#N/A</v>
      </c>
      <c r="AD92" s="291" t="e">
        <f t="shared" ca="1" si="129"/>
        <v>#N/A</v>
      </c>
      <c r="AE92" s="291" t="e">
        <f t="shared" ca="1" si="129"/>
        <v>#N/A</v>
      </c>
      <c r="AF92" s="291" t="e">
        <f t="shared" ca="1" si="129"/>
        <v>#N/A</v>
      </c>
      <c r="AG92" s="291" t="e">
        <f t="shared" ref="AG92" ca="1" si="130">+AG18+AG31+AG44+AG59+AG77</f>
        <v>#N/A</v>
      </c>
    </row>
    <row r="93" spans="3:33">
      <c r="C93" s="28" t="s">
        <v>824</v>
      </c>
      <c r="D93" s="291">
        <f t="shared" ref="D93:AB93" si="131">-(D19+D32+D45+D60-D78-D82)</f>
        <v>0</v>
      </c>
      <c r="E93" s="291">
        <f t="shared" ca="1" si="131"/>
        <v>0</v>
      </c>
      <c r="F93" s="291">
        <f t="shared" ca="1" si="131"/>
        <v>0</v>
      </c>
      <c r="G93" s="291">
        <f t="shared" ca="1" si="131"/>
        <v>0</v>
      </c>
      <c r="H93" s="291">
        <f t="shared" ca="1" si="131"/>
        <v>0</v>
      </c>
      <c r="I93" s="291">
        <f t="shared" ca="1" si="131"/>
        <v>0</v>
      </c>
      <c r="J93" s="291">
        <f t="shared" ca="1" si="131"/>
        <v>0</v>
      </c>
      <c r="K93" s="291">
        <f t="shared" ca="1" si="131"/>
        <v>0</v>
      </c>
      <c r="L93" s="291">
        <f t="shared" ca="1" si="131"/>
        <v>0</v>
      </c>
      <c r="M93" s="291">
        <f t="shared" ca="1" si="131"/>
        <v>0</v>
      </c>
      <c r="N93" s="291">
        <f t="shared" ca="1" si="131"/>
        <v>0</v>
      </c>
      <c r="O93" s="291">
        <f t="shared" ca="1" si="131"/>
        <v>0</v>
      </c>
      <c r="P93" s="291">
        <f t="shared" ca="1" si="131"/>
        <v>0</v>
      </c>
      <c r="Q93" s="291">
        <f t="shared" ca="1" si="131"/>
        <v>0</v>
      </c>
      <c r="R93" s="291">
        <f t="shared" ca="1" si="131"/>
        <v>0</v>
      </c>
      <c r="S93" s="291">
        <f t="shared" ca="1" si="131"/>
        <v>0</v>
      </c>
      <c r="T93" s="291">
        <f t="shared" ca="1" si="131"/>
        <v>0</v>
      </c>
      <c r="U93" s="291">
        <f t="shared" ca="1" si="131"/>
        <v>0</v>
      </c>
      <c r="V93" s="291">
        <f t="shared" ca="1" si="131"/>
        <v>0</v>
      </c>
      <c r="W93" s="291">
        <f t="shared" ca="1" si="131"/>
        <v>0</v>
      </c>
      <c r="X93" s="291">
        <f t="shared" ca="1" si="131"/>
        <v>0</v>
      </c>
      <c r="Y93" s="291">
        <f t="shared" ca="1" si="131"/>
        <v>0</v>
      </c>
      <c r="Z93" s="291">
        <f t="shared" ca="1" si="131"/>
        <v>0</v>
      </c>
      <c r="AA93" s="291">
        <f t="shared" ca="1" si="131"/>
        <v>0</v>
      </c>
      <c r="AB93" s="291">
        <f t="shared" ca="1" si="131"/>
        <v>0</v>
      </c>
      <c r="AC93" s="291" t="e">
        <f t="shared" ref="AC93:AF93" ca="1" si="132">-(AC19+AC32+AC45+AC60-AC78-AC82)</f>
        <v>#N/A</v>
      </c>
      <c r="AD93" s="291" t="e">
        <f t="shared" ca="1" si="132"/>
        <v>#N/A</v>
      </c>
      <c r="AE93" s="291" t="e">
        <f t="shared" ca="1" si="132"/>
        <v>#N/A</v>
      </c>
      <c r="AF93" s="291" t="e">
        <f t="shared" ca="1" si="132"/>
        <v>#N/A</v>
      </c>
      <c r="AG93" s="291" t="e">
        <f t="shared" ref="AG93" ca="1" si="133">-(AG19+AG32+AG45+AG60-AG78-AG82)</f>
        <v>#N/A</v>
      </c>
    </row>
    <row r="94" spans="3:33">
      <c r="C94" s="28" t="s">
        <v>825</v>
      </c>
      <c r="D94" s="291">
        <f t="shared" ref="D94:Z94" si="134">+D23+D36+D49+D64+D78+D82</f>
        <v>0</v>
      </c>
      <c r="E94" s="291">
        <f t="shared" ca="1" si="134"/>
        <v>0</v>
      </c>
      <c r="F94" s="291">
        <f t="shared" ca="1" si="134"/>
        <v>0</v>
      </c>
      <c r="G94" s="291">
        <f t="shared" ca="1" si="134"/>
        <v>0</v>
      </c>
      <c r="H94" s="291">
        <f t="shared" ca="1" si="134"/>
        <v>0</v>
      </c>
      <c r="I94" s="291">
        <f t="shared" ca="1" si="134"/>
        <v>0</v>
      </c>
      <c r="J94" s="291">
        <f t="shared" ca="1" si="134"/>
        <v>0</v>
      </c>
      <c r="K94" s="291">
        <f t="shared" ca="1" si="134"/>
        <v>0</v>
      </c>
      <c r="L94" s="291">
        <f t="shared" ca="1" si="134"/>
        <v>0</v>
      </c>
      <c r="M94" s="291">
        <f t="shared" ca="1" si="134"/>
        <v>0</v>
      </c>
      <c r="N94" s="291">
        <f t="shared" ca="1" si="134"/>
        <v>0</v>
      </c>
      <c r="O94" s="291">
        <f t="shared" ca="1" si="134"/>
        <v>0</v>
      </c>
      <c r="P94" s="291">
        <f t="shared" ca="1" si="134"/>
        <v>0</v>
      </c>
      <c r="Q94" s="291">
        <f t="shared" ca="1" si="134"/>
        <v>0</v>
      </c>
      <c r="R94" s="291">
        <f t="shared" ca="1" si="134"/>
        <v>0</v>
      </c>
      <c r="S94" s="291">
        <f t="shared" ca="1" si="134"/>
        <v>0</v>
      </c>
      <c r="T94" s="291">
        <f t="shared" ca="1" si="134"/>
        <v>0</v>
      </c>
      <c r="U94" s="291">
        <f t="shared" ca="1" si="134"/>
        <v>0</v>
      </c>
      <c r="V94" s="291">
        <f t="shared" ca="1" si="134"/>
        <v>0</v>
      </c>
      <c r="W94" s="291">
        <f t="shared" ca="1" si="134"/>
        <v>0</v>
      </c>
      <c r="X94" s="291">
        <f t="shared" ca="1" si="134"/>
        <v>0</v>
      </c>
      <c r="Y94" s="291">
        <f t="shared" ca="1" si="134"/>
        <v>0</v>
      </c>
      <c r="Z94" s="291">
        <f t="shared" ca="1" si="134"/>
        <v>0</v>
      </c>
      <c r="AA94" s="291">
        <f ca="1">+AA23+AA36+AA49+AA64+AA78+AA82</f>
        <v>0</v>
      </c>
      <c r="AB94" s="291">
        <f t="shared" ref="AB94:AG94" ca="1" si="135">+AB23+AB36+AB49+AB64+AB78+AB82</f>
        <v>0</v>
      </c>
      <c r="AC94" s="291" t="e">
        <f t="shared" ca="1" si="135"/>
        <v>#N/A</v>
      </c>
      <c r="AD94" s="291" t="e">
        <f t="shared" ca="1" si="135"/>
        <v>#N/A</v>
      </c>
      <c r="AE94" s="291" t="e">
        <f t="shared" ca="1" si="135"/>
        <v>#N/A</v>
      </c>
      <c r="AF94" s="291" t="e">
        <f t="shared" ca="1" si="135"/>
        <v>#N/A</v>
      </c>
      <c r="AG94" s="291" t="e">
        <f t="shared" ca="1" si="135"/>
        <v>#N/A</v>
      </c>
    </row>
    <row r="95" spans="3:33">
      <c r="C95" s="28" t="s">
        <v>826</v>
      </c>
      <c r="D95" s="291">
        <f>+D20+D21+D33+D34+D46+D47+D61+D62</f>
        <v>0</v>
      </c>
      <c r="E95" s="291">
        <f t="shared" ref="E95:AB95" ca="1" si="136">+E20+E21+E33+E34+E46+E47+E61+E62</f>
        <v>0</v>
      </c>
      <c r="F95" s="291">
        <f t="shared" ca="1" si="136"/>
        <v>0</v>
      </c>
      <c r="G95" s="291">
        <f t="shared" ca="1" si="136"/>
        <v>0</v>
      </c>
      <c r="H95" s="291">
        <f t="shared" ca="1" si="136"/>
        <v>0</v>
      </c>
      <c r="I95" s="291">
        <f t="shared" ca="1" si="136"/>
        <v>0</v>
      </c>
      <c r="J95" s="291">
        <f t="shared" ca="1" si="136"/>
        <v>0</v>
      </c>
      <c r="K95" s="291">
        <f t="shared" ca="1" si="136"/>
        <v>0</v>
      </c>
      <c r="L95" s="291">
        <f t="shared" ca="1" si="136"/>
        <v>0</v>
      </c>
      <c r="M95" s="291">
        <f t="shared" ca="1" si="136"/>
        <v>0</v>
      </c>
      <c r="N95" s="291">
        <f t="shared" ca="1" si="136"/>
        <v>0</v>
      </c>
      <c r="O95" s="291">
        <f t="shared" ca="1" si="136"/>
        <v>0</v>
      </c>
      <c r="P95" s="291">
        <f t="shared" ca="1" si="136"/>
        <v>0</v>
      </c>
      <c r="Q95" s="291">
        <f t="shared" ca="1" si="136"/>
        <v>0</v>
      </c>
      <c r="R95" s="291">
        <f t="shared" ca="1" si="136"/>
        <v>0</v>
      </c>
      <c r="S95" s="291">
        <f t="shared" ca="1" si="136"/>
        <v>0</v>
      </c>
      <c r="T95" s="291">
        <f t="shared" ca="1" si="136"/>
        <v>0</v>
      </c>
      <c r="U95" s="291">
        <f t="shared" ca="1" si="136"/>
        <v>0</v>
      </c>
      <c r="V95" s="291">
        <f t="shared" ca="1" si="136"/>
        <v>0</v>
      </c>
      <c r="W95" s="291">
        <f t="shared" ca="1" si="136"/>
        <v>0</v>
      </c>
      <c r="X95" s="291">
        <f t="shared" ca="1" si="136"/>
        <v>0</v>
      </c>
      <c r="Y95" s="291">
        <f t="shared" ca="1" si="136"/>
        <v>0</v>
      </c>
      <c r="Z95" s="291">
        <f t="shared" ca="1" si="136"/>
        <v>0</v>
      </c>
      <c r="AA95" s="291">
        <f t="shared" ca="1" si="136"/>
        <v>0</v>
      </c>
      <c r="AB95" s="291">
        <f t="shared" ca="1" si="136"/>
        <v>0</v>
      </c>
      <c r="AC95" s="291">
        <f t="shared" ref="AC95:AF95" ca="1" si="137">+AC20+AC21+AC33+AC34+AC46+AC47+AC61+AC62</f>
        <v>0</v>
      </c>
      <c r="AD95" s="291">
        <f t="shared" ca="1" si="137"/>
        <v>0</v>
      </c>
      <c r="AE95" s="291">
        <f t="shared" ca="1" si="137"/>
        <v>0</v>
      </c>
      <c r="AF95" s="291">
        <f t="shared" ca="1" si="137"/>
        <v>0</v>
      </c>
      <c r="AG95" s="291">
        <f t="shared" ref="AG95" ca="1" si="138">+AG20+AG21+AG33+AG34+AG46+AG47+AG61+AG62</f>
        <v>0</v>
      </c>
    </row>
    <row r="96" spans="3:33">
      <c r="C96" s="28" t="s">
        <v>827</v>
      </c>
      <c r="D96" s="291">
        <f ca="1">+D22+D35+D48+D63</f>
        <v>0</v>
      </c>
      <c r="E96" s="291">
        <f t="shared" ref="E96:AB96" ca="1" si="139">+E22+E35+E48+E63</f>
        <v>0</v>
      </c>
      <c r="F96" s="291">
        <f t="shared" ca="1" si="139"/>
        <v>0</v>
      </c>
      <c r="G96" s="291">
        <f t="shared" ca="1" si="139"/>
        <v>0</v>
      </c>
      <c r="H96" s="291">
        <f t="shared" ca="1" si="139"/>
        <v>0</v>
      </c>
      <c r="I96" s="291">
        <f t="shared" ca="1" si="139"/>
        <v>0</v>
      </c>
      <c r="J96" s="291">
        <f t="shared" ca="1" si="139"/>
        <v>0</v>
      </c>
      <c r="K96" s="291">
        <f t="shared" ca="1" si="139"/>
        <v>0</v>
      </c>
      <c r="L96" s="291">
        <f t="shared" ca="1" si="139"/>
        <v>0</v>
      </c>
      <c r="M96" s="291">
        <f t="shared" ca="1" si="139"/>
        <v>0</v>
      </c>
      <c r="N96" s="291">
        <f t="shared" ca="1" si="139"/>
        <v>0</v>
      </c>
      <c r="O96" s="291">
        <f t="shared" ca="1" si="139"/>
        <v>0</v>
      </c>
      <c r="P96" s="291">
        <f t="shared" ca="1" si="139"/>
        <v>0</v>
      </c>
      <c r="Q96" s="291">
        <f t="shared" ca="1" si="139"/>
        <v>0</v>
      </c>
      <c r="R96" s="291">
        <f t="shared" ca="1" si="139"/>
        <v>0</v>
      </c>
      <c r="S96" s="291">
        <f t="shared" ca="1" si="139"/>
        <v>0</v>
      </c>
      <c r="T96" s="291">
        <f t="shared" ca="1" si="139"/>
        <v>0</v>
      </c>
      <c r="U96" s="291">
        <f t="shared" ca="1" si="139"/>
        <v>0</v>
      </c>
      <c r="V96" s="291">
        <f t="shared" ca="1" si="139"/>
        <v>0</v>
      </c>
      <c r="W96" s="291">
        <f t="shared" ca="1" si="139"/>
        <v>0</v>
      </c>
      <c r="X96" s="291">
        <f t="shared" ca="1" si="139"/>
        <v>0</v>
      </c>
      <c r="Y96" s="291">
        <f t="shared" ca="1" si="139"/>
        <v>0</v>
      </c>
      <c r="Z96" s="291">
        <f t="shared" ca="1" si="139"/>
        <v>0</v>
      </c>
      <c r="AA96" s="291">
        <f t="shared" ca="1" si="139"/>
        <v>0</v>
      </c>
      <c r="AB96" s="291">
        <f t="shared" ca="1" si="139"/>
        <v>0</v>
      </c>
      <c r="AC96" s="291">
        <f t="shared" ref="AC96:AF96" ca="1" si="140">+AC22+AC35+AC48+AC63</f>
        <v>0</v>
      </c>
      <c r="AD96" s="291">
        <f t="shared" ca="1" si="140"/>
        <v>0</v>
      </c>
      <c r="AE96" s="291">
        <f t="shared" ca="1" si="140"/>
        <v>0</v>
      </c>
      <c r="AF96" s="291">
        <f t="shared" ca="1" si="140"/>
        <v>0</v>
      </c>
      <c r="AG96" s="291">
        <f t="shared" ref="AG96" si="141">+AG22+AG35+AG48+AG63</f>
        <v>0</v>
      </c>
    </row>
    <row r="97" spans="3:33">
      <c r="C97" s="28" t="s">
        <v>829</v>
      </c>
      <c r="D97" s="291">
        <f ca="1">+D24+D37+D50+D79</f>
        <v>0</v>
      </c>
      <c r="E97" s="291">
        <f t="shared" ref="E97:AB97" ca="1" si="142">+E24+E37+E50+E79</f>
        <v>0</v>
      </c>
      <c r="F97" s="291">
        <f t="shared" ca="1" si="142"/>
        <v>0</v>
      </c>
      <c r="G97" s="291">
        <f t="shared" ca="1" si="142"/>
        <v>0</v>
      </c>
      <c r="H97" s="291">
        <f t="shared" ca="1" si="142"/>
        <v>0</v>
      </c>
      <c r="I97" s="291">
        <f t="shared" ca="1" si="142"/>
        <v>0</v>
      </c>
      <c r="J97" s="291">
        <f t="shared" ca="1" si="142"/>
        <v>0</v>
      </c>
      <c r="K97" s="291">
        <f t="shared" ca="1" si="142"/>
        <v>0</v>
      </c>
      <c r="L97" s="291">
        <f t="shared" ca="1" si="142"/>
        <v>0</v>
      </c>
      <c r="M97" s="291">
        <f t="shared" ca="1" si="142"/>
        <v>0</v>
      </c>
      <c r="N97" s="291">
        <f t="shared" ca="1" si="142"/>
        <v>0</v>
      </c>
      <c r="O97" s="291">
        <f t="shared" ca="1" si="142"/>
        <v>0</v>
      </c>
      <c r="P97" s="291">
        <f t="shared" ca="1" si="142"/>
        <v>0</v>
      </c>
      <c r="Q97" s="291">
        <f t="shared" ca="1" si="142"/>
        <v>0</v>
      </c>
      <c r="R97" s="291">
        <f t="shared" ca="1" si="142"/>
        <v>0</v>
      </c>
      <c r="S97" s="291">
        <f t="shared" ca="1" si="142"/>
        <v>0</v>
      </c>
      <c r="T97" s="291">
        <f t="shared" ca="1" si="142"/>
        <v>0</v>
      </c>
      <c r="U97" s="291">
        <f t="shared" ca="1" si="142"/>
        <v>0</v>
      </c>
      <c r="V97" s="291">
        <f t="shared" ca="1" si="142"/>
        <v>0</v>
      </c>
      <c r="W97" s="291">
        <f t="shared" ca="1" si="142"/>
        <v>0</v>
      </c>
      <c r="X97" s="291">
        <f t="shared" ca="1" si="142"/>
        <v>0</v>
      </c>
      <c r="Y97" s="291">
        <f t="shared" ca="1" si="142"/>
        <v>0</v>
      </c>
      <c r="Z97" s="291">
        <f t="shared" ca="1" si="142"/>
        <v>0</v>
      </c>
      <c r="AA97" s="291">
        <f t="shared" ca="1" si="142"/>
        <v>0</v>
      </c>
      <c r="AB97" s="291" t="e">
        <f t="shared" ca="1" si="142"/>
        <v>#N/A</v>
      </c>
      <c r="AC97" s="291" t="e">
        <f t="shared" ref="AC97:AF97" ca="1" si="143">+AC24+AC37+AC50+AC79</f>
        <v>#N/A</v>
      </c>
      <c r="AD97" s="291" t="e">
        <f t="shared" ca="1" si="143"/>
        <v>#N/A</v>
      </c>
      <c r="AE97" s="291" t="e">
        <f t="shared" ca="1" si="143"/>
        <v>#N/A</v>
      </c>
      <c r="AF97" s="291" t="e">
        <f t="shared" ca="1" si="143"/>
        <v>#N/A</v>
      </c>
      <c r="AG97" s="291" t="e">
        <f t="shared" ref="AG97" ca="1" si="144">+AG24+AG37+AG50+AG79</f>
        <v>#N/A</v>
      </c>
    </row>
    <row r="98" spans="3:33">
      <c r="C98" s="28" t="s">
        <v>828</v>
      </c>
      <c r="D98" s="291">
        <f ca="1">+D24+D37+D50+D66+D79</f>
        <v>0</v>
      </c>
      <c r="E98" s="291">
        <f t="shared" ref="E98:AB98" ca="1" si="145">+E24+E37+E50+E66+E79</f>
        <v>0</v>
      </c>
      <c r="F98" s="291">
        <f t="shared" ca="1" si="145"/>
        <v>0</v>
      </c>
      <c r="G98" s="291">
        <f t="shared" ca="1" si="145"/>
        <v>0</v>
      </c>
      <c r="H98" s="291">
        <f t="shared" ca="1" si="145"/>
        <v>0</v>
      </c>
      <c r="I98" s="291">
        <f t="shared" ca="1" si="145"/>
        <v>0</v>
      </c>
      <c r="J98" s="291">
        <f t="shared" ca="1" si="145"/>
        <v>0</v>
      </c>
      <c r="K98" s="291">
        <f t="shared" ca="1" si="145"/>
        <v>0</v>
      </c>
      <c r="L98" s="291">
        <f t="shared" ca="1" si="145"/>
        <v>0</v>
      </c>
      <c r="M98" s="291">
        <f t="shared" ca="1" si="145"/>
        <v>0</v>
      </c>
      <c r="N98" s="291">
        <f t="shared" ca="1" si="145"/>
        <v>0</v>
      </c>
      <c r="O98" s="291">
        <f t="shared" ca="1" si="145"/>
        <v>0</v>
      </c>
      <c r="P98" s="291">
        <f t="shared" ca="1" si="145"/>
        <v>0</v>
      </c>
      <c r="Q98" s="291">
        <f t="shared" ca="1" si="145"/>
        <v>0</v>
      </c>
      <c r="R98" s="291">
        <f t="shared" ca="1" si="145"/>
        <v>0</v>
      </c>
      <c r="S98" s="291">
        <f t="shared" ca="1" si="145"/>
        <v>0</v>
      </c>
      <c r="T98" s="291">
        <f t="shared" ca="1" si="145"/>
        <v>0</v>
      </c>
      <c r="U98" s="291">
        <f t="shared" ca="1" si="145"/>
        <v>0</v>
      </c>
      <c r="V98" s="291">
        <f t="shared" ca="1" si="145"/>
        <v>0</v>
      </c>
      <c r="W98" s="291">
        <f t="shared" ca="1" si="145"/>
        <v>0</v>
      </c>
      <c r="X98" s="291">
        <f t="shared" ca="1" si="145"/>
        <v>0</v>
      </c>
      <c r="Y98" s="291">
        <f t="shared" ca="1" si="145"/>
        <v>0</v>
      </c>
      <c r="Z98" s="291">
        <f t="shared" ca="1" si="145"/>
        <v>0</v>
      </c>
      <c r="AA98" s="291">
        <f t="shared" ca="1" si="145"/>
        <v>0</v>
      </c>
      <c r="AB98" s="291" t="e">
        <f t="shared" ca="1" si="145"/>
        <v>#N/A</v>
      </c>
      <c r="AC98" s="291" t="e">
        <f t="shared" ref="AC98:AF98" ca="1" si="146">+AC24+AC37+AC50+AC66+AC79</f>
        <v>#N/A</v>
      </c>
      <c r="AD98" s="291" t="e">
        <f t="shared" ca="1" si="146"/>
        <v>#N/A</v>
      </c>
      <c r="AE98" s="291" t="e">
        <f t="shared" ca="1" si="146"/>
        <v>#N/A</v>
      </c>
      <c r="AF98" s="291" t="e">
        <f t="shared" ca="1" si="146"/>
        <v>#N/A</v>
      </c>
      <c r="AG98" s="291" t="e">
        <f t="shared" ref="AG98" ca="1" si="147">+AG24+AG37+AG50+AG66+AG79</f>
        <v>#N/A</v>
      </c>
    </row>
    <row r="99" spans="3:33">
      <c r="C99" s="28" t="s">
        <v>837</v>
      </c>
      <c r="D99" s="291">
        <f t="shared" ref="D99:AB99" ca="1" si="148">D98-D79</f>
        <v>0</v>
      </c>
      <c r="E99" s="291">
        <f t="shared" ca="1" si="148"/>
        <v>0</v>
      </c>
      <c r="F99" s="291">
        <f t="shared" ca="1" si="148"/>
        <v>0</v>
      </c>
      <c r="G99" s="291">
        <f t="shared" ca="1" si="148"/>
        <v>0</v>
      </c>
      <c r="H99" s="291">
        <f t="shared" ca="1" si="148"/>
        <v>0</v>
      </c>
      <c r="I99" s="291">
        <f t="shared" ca="1" si="148"/>
        <v>0</v>
      </c>
      <c r="J99" s="291">
        <f t="shared" ca="1" si="148"/>
        <v>0</v>
      </c>
      <c r="K99" s="291">
        <f t="shared" ca="1" si="148"/>
        <v>0</v>
      </c>
      <c r="L99" s="291">
        <f t="shared" ca="1" si="148"/>
        <v>0</v>
      </c>
      <c r="M99" s="291">
        <f t="shared" ca="1" si="148"/>
        <v>0</v>
      </c>
      <c r="N99" s="291">
        <f t="shared" ca="1" si="148"/>
        <v>0</v>
      </c>
      <c r="O99" s="291">
        <f t="shared" ca="1" si="148"/>
        <v>0</v>
      </c>
      <c r="P99" s="291">
        <f t="shared" ca="1" si="148"/>
        <v>0</v>
      </c>
      <c r="Q99" s="291">
        <f t="shared" ca="1" si="148"/>
        <v>0</v>
      </c>
      <c r="R99" s="291">
        <f t="shared" ca="1" si="148"/>
        <v>0</v>
      </c>
      <c r="S99" s="291">
        <f t="shared" ca="1" si="148"/>
        <v>0</v>
      </c>
      <c r="T99" s="291">
        <f t="shared" ca="1" si="148"/>
        <v>0</v>
      </c>
      <c r="U99" s="291">
        <f t="shared" ca="1" si="148"/>
        <v>0</v>
      </c>
      <c r="V99" s="291">
        <f t="shared" ca="1" si="148"/>
        <v>0</v>
      </c>
      <c r="W99" s="291">
        <f t="shared" ca="1" si="148"/>
        <v>0</v>
      </c>
      <c r="X99" s="291">
        <f t="shared" ca="1" si="148"/>
        <v>0</v>
      </c>
      <c r="Y99" s="291">
        <f t="shared" ca="1" si="148"/>
        <v>0</v>
      </c>
      <c r="Z99" s="291">
        <f t="shared" ca="1" si="148"/>
        <v>0</v>
      </c>
      <c r="AA99" s="291">
        <f t="shared" ca="1" si="148"/>
        <v>0</v>
      </c>
      <c r="AB99" s="291" t="e">
        <f t="shared" ca="1" si="148"/>
        <v>#N/A</v>
      </c>
      <c r="AC99" s="291" t="e">
        <f t="shared" ref="AC99:AF99" ca="1" si="149">AC98-AC79</f>
        <v>#N/A</v>
      </c>
      <c r="AD99" s="291" t="e">
        <f t="shared" ca="1" si="149"/>
        <v>#N/A</v>
      </c>
      <c r="AE99" s="291" t="e">
        <f t="shared" ca="1" si="149"/>
        <v>#N/A</v>
      </c>
      <c r="AF99" s="291" t="e">
        <f t="shared" ca="1" si="149"/>
        <v>#N/A</v>
      </c>
      <c r="AG99" s="291" t="e">
        <f t="shared" ref="AG99" ca="1" si="150">AG98-AG79</f>
        <v>#N/A</v>
      </c>
    </row>
    <row r="100" spans="3:33">
      <c r="C100" s="28" t="s">
        <v>830</v>
      </c>
      <c r="D100" s="291">
        <f>+D65</f>
        <v>0</v>
      </c>
      <c r="E100" s="291">
        <f t="shared" ref="E100:AB100" ca="1" si="151">+E65</f>
        <v>0</v>
      </c>
      <c r="F100" s="291">
        <f t="shared" ca="1" si="151"/>
        <v>0</v>
      </c>
      <c r="G100" s="291">
        <f t="shared" ca="1" si="151"/>
        <v>0</v>
      </c>
      <c r="H100" s="291">
        <f t="shared" ca="1" si="151"/>
        <v>0</v>
      </c>
      <c r="I100" s="291">
        <f t="shared" ca="1" si="151"/>
        <v>0</v>
      </c>
      <c r="J100" s="291">
        <f t="shared" ca="1" si="151"/>
        <v>0</v>
      </c>
      <c r="K100" s="291">
        <f t="shared" ca="1" si="151"/>
        <v>0</v>
      </c>
      <c r="L100" s="291">
        <f t="shared" ca="1" si="151"/>
        <v>0</v>
      </c>
      <c r="M100" s="291">
        <f t="shared" ca="1" si="151"/>
        <v>0</v>
      </c>
      <c r="N100" s="291">
        <f t="shared" ca="1" si="151"/>
        <v>0</v>
      </c>
      <c r="O100" s="291">
        <f t="shared" ca="1" si="151"/>
        <v>0</v>
      </c>
      <c r="P100" s="291">
        <f t="shared" ca="1" si="151"/>
        <v>0</v>
      </c>
      <c r="Q100" s="291">
        <f t="shared" ca="1" si="151"/>
        <v>0</v>
      </c>
      <c r="R100" s="291">
        <f t="shared" ca="1" si="151"/>
        <v>0</v>
      </c>
      <c r="S100" s="291">
        <f t="shared" ca="1" si="151"/>
        <v>0</v>
      </c>
      <c r="T100" s="291">
        <f t="shared" ca="1" si="151"/>
        <v>0</v>
      </c>
      <c r="U100" s="291">
        <f t="shared" ca="1" si="151"/>
        <v>0</v>
      </c>
      <c r="V100" s="291">
        <f t="shared" ca="1" si="151"/>
        <v>0</v>
      </c>
      <c r="W100" s="291">
        <f t="shared" ca="1" si="151"/>
        <v>0</v>
      </c>
      <c r="X100" s="291">
        <f t="shared" ca="1" si="151"/>
        <v>0</v>
      </c>
      <c r="Y100" s="291">
        <f t="shared" ca="1" si="151"/>
        <v>0</v>
      </c>
      <c r="Z100" s="291">
        <f t="shared" ca="1" si="151"/>
        <v>0</v>
      </c>
      <c r="AA100" s="291">
        <f t="shared" ca="1" si="151"/>
        <v>0</v>
      </c>
      <c r="AB100" s="291">
        <f t="shared" ca="1" si="151"/>
        <v>0</v>
      </c>
      <c r="AC100" s="291">
        <f t="shared" ref="AC100:AF100" ca="1" si="152">+AC65</f>
        <v>0</v>
      </c>
      <c r="AD100" s="291">
        <f t="shared" ca="1" si="152"/>
        <v>0</v>
      </c>
      <c r="AE100" s="291">
        <f t="shared" ca="1" si="152"/>
        <v>0</v>
      </c>
      <c r="AF100" s="291">
        <f t="shared" ca="1" si="152"/>
        <v>0</v>
      </c>
      <c r="AG100" s="291">
        <f t="shared" ref="AG100" ca="1" si="153">+AG65</f>
        <v>0</v>
      </c>
    </row>
    <row r="101" spans="3:33">
      <c r="C101" s="28" t="s">
        <v>755</v>
      </c>
      <c r="D101" s="291">
        <f>D85</f>
        <v>0</v>
      </c>
      <c r="E101" s="291">
        <f t="shared" ref="E101:AB101" ca="1" si="154">E85</f>
        <v>0</v>
      </c>
      <c r="F101" s="291">
        <f t="shared" ca="1" si="154"/>
        <v>0</v>
      </c>
      <c r="G101" s="291">
        <f t="shared" ca="1" si="154"/>
        <v>0</v>
      </c>
      <c r="H101" s="291">
        <f t="shared" ca="1" si="154"/>
        <v>0</v>
      </c>
      <c r="I101" s="291">
        <f t="shared" ca="1" si="154"/>
        <v>0</v>
      </c>
      <c r="J101" s="291">
        <f t="shared" ca="1" si="154"/>
        <v>0</v>
      </c>
      <c r="K101" s="291">
        <f t="shared" ca="1" si="154"/>
        <v>0</v>
      </c>
      <c r="L101" s="291">
        <f t="shared" ca="1" si="154"/>
        <v>0</v>
      </c>
      <c r="M101" s="291">
        <f t="shared" ca="1" si="154"/>
        <v>0</v>
      </c>
      <c r="N101" s="291">
        <f t="shared" ca="1" si="154"/>
        <v>0</v>
      </c>
      <c r="O101" s="291">
        <f t="shared" ca="1" si="154"/>
        <v>0</v>
      </c>
      <c r="P101" s="291">
        <f t="shared" ca="1" si="154"/>
        <v>0</v>
      </c>
      <c r="Q101" s="291">
        <f t="shared" ca="1" si="154"/>
        <v>0</v>
      </c>
      <c r="R101" s="291">
        <f t="shared" ca="1" si="154"/>
        <v>0</v>
      </c>
      <c r="S101" s="291">
        <f t="shared" ca="1" si="154"/>
        <v>0</v>
      </c>
      <c r="T101" s="291">
        <f t="shared" ca="1" si="154"/>
        <v>0</v>
      </c>
      <c r="U101" s="291">
        <f t="shared" ca="1" si="154"/>
        <v>0</v>
      </c>
      <c r="V101" s="291">
        <f t="shared" ca="1" si="154"/>
        <v>0</v>
      </c>
      <c r="W101" s="291">
        <f t="shared" ca="1" si="154"/>
        <v>0</v>
      </c>
      <c r="X101" s="291">
        <f t="shared" ca="1" si="154"/>
        <v>0</v>
      </c>
      <c r="Y101" s="291">
        <f t="shared" ca="1" si="154"/>
        <v>0</v>
      </c>
      <c r="Z101" s="291">
        <f t="shared" ca="1" si="154"/>
        <v>0</v>
      </c>
      <c r="AA101" s="291">
        <f t="shared" ca="1" si="154"/>
        <v>0</v>
      </c>
      <c r="AB101" s="291">
        <f t="shared" ca="1" si="154"/>
        <v>0</v>
      </c>
      <c r="AC101" s="291" t="e">
        <f t="shared" ref="AC101:AF101" ca="1" si="155">AC85</f>
        <v>#N/A</v>
      </c>
      <c r="AD101" s="291" t="e">
        <f t="shared" ca="1" si="155"/>
        <v>#N/A</v>
      </c>
      <c r="AE101" s="291" t="e">
        <f t="shared" ca="1" si="155"/>
        <v>#N/A</v>
      </c>
      <c r="AF101" s="291" t="e">
        <f t="shared" ca="1" si="155"/>
        <v>#N/A</v>
      </c>
      <c r="AG101" s="291" t="e">
        <f t="shared" ref="AG101" ca="1" si="156">AG85</f>
        <v>#N/A</v>
      </c>
    </row>
    <row r="103" spans="3:33">
      <c r="D103" s="1">
        <v>0.25</v>
      </c>
      <c r="E103" s="1">
        <f>+D103+0.25</f>
        <v>0.5</v>
      </c>
      <c r="F103" s="1">
        <f t="shared" ref="F103:W103" si="157">+E103+0.25</f>
        <v>0.75</v>
      </c>
      <c r="G103" s="1">
        <f t="shared" si="157"/>
        <v>1</v>
      </c>
      <c r="H103" s="1">
        <f t="shared" si="157"/>
        <v>1.25</v>
      </c>
      <c r="I103" s="1">
        <f t="shared" si="157"/>
        <v>1.5</v>
      </c>
      <c r="J103" s="1">
        <f t="shared" si="157"/>
        <v>1.75</v>
      </c>
      <c r="K103" s="1">
        <f t="shared" si="157"/>
        <v>2</v>
      </c>
      <c r="L103" s="1">
        <f t="shared" si="157"/>
        <v>2.25</v>
      </c>
      <c r="M103" s="1">
        <f t="shared" si="157"/>
        <v>2.5</v>
      </c>
      <c r="N103" s="1">
        <f t="shared" si="157"/>
        <v>2.75</v>
      </c>
      <c r="O103" s="1">
        <f t="shared" si="157"/>
        <v>3</v>
      </c>
      <c r="P103" s="1">
        <f t="shared" si="157"/>
        <v>3.25</v>
      </c>
      <c r="Q103" s="1">
        <f t="shared" si="157"/>
        <v>3.5</v>
      </c>
      <c r="R103" s="1">
        <f t="shared" si="157"/>
        <v>3.75</v>
      </c>
      <c r="S103" s="1">
        <f t="shared" si="157"/>
        <v>4</v>
      </c>
      <c r="T103" s="1">
        <f t="shared" si="157"/>
        <v>4.25</v>
      </c>
      <c r="U103" s="1">
        <f t="shared" si="157"/>
        <v>4.5</v>
      </c>
      <c r="V103" s="1">
        <f t="shared" si="157"/>
        <v>4.75</v>
      </c>
      <c r="W103" s="1">
        <f t="shared" si="157"/>
        <v>5</v>
      </c>
      <c r="X103" s="1">
        <f t="shared" ref="X103" si="158">+W103+0.25</f>
        <v>5.25</v>
      </c>
      <c r="Y103" s="1">
        <f t="shared" ref="Y103" si="159">+X103+0.25</f>
        <v>5.5</v>
      </c>
      <c r="Z103" s="1">
        <f t="shared" ref="Z103" si="160">+Y103+0.25</f>
        <v>5.75</v>
      </c>
      <c r="AA103" s="1">
        <f t="shared" ref="AA103" si="161">+Z103+0.25</f>
        <v>6</v>
      </c>
      <c r="AB103" s="1">
        <f t="shared" ref="AB103" si="162">+AA103+0.25</f>
        <v>6.25</v>
      </c>
      <c r="AC103" s="1">
        <f t="shared" ref="AC103" si="163">+AB103+0.25</f>
        <v>6.5</v>
      </c>
      <c r="AD103" s="1">
        <f t="shared" ref="AD103" si="164">+AC103+0.25</f>
        <v>6.75</v>
      </c>
      <c r="AE103" s="1">
        <f t="shared" ref="AE103" si="165">+AD103+0.25</f>
        <v>7</v>
      </c>
      <c r="AF103" s="1">
        <f t="shared" ref="AF103" si="166">+AE103+0.25</f>
        <v>7.25</v>
      </c>
      <c r="AG103" s="1">
        <f t="shared" ref="AG103" si="167">+AF103+0.25</f>
        <v>7.5</v>
      </c>
    </row>
    <row r="104" spans="3:33" s="93" customFormat="1" hidden="1" outlineLevel="1">
      <c r="C104" s="93" t="s">
        <v>1510</v>
      </c>
      <c r="D104" s="396">
        <f ca="1">D96+D95</f>
        <v>0</v>
      </c>
      <c r="E104" s="396">
        <f ca="1">E96+E95</f>
        <v>0</v>
      </c>
      <c r="F104" s="396">
        <f t="shared" ref="F104:W104" ca="1" si="168">F96+F95</f>
        <v>0</v>
      </c>
      <c r="G104" s="396">
        <f t="shared" ca="1" si="168"/>
        <v>0</v>
      </c>
      <c r="H104" s="396">
        <f t="shared" ca="1" si="168"/>
        <v>0</v>
      </c>
      <c r="I104" s="396">
        <f t="shared" ca="1" si="168"/>
        <v>0</v>
      </c>
      <c r="J104" s="396">
        <f t="shared" ca="1" si="168"/>
        <v>0</v>
      </c>
      <c r="K104" s="396">
        <f t="shared" ca="1" si="168"/>
        <v>0</v>
      </c>
      <c r="L104" s="396">
        <f t="shared" ca="1" si="168"/>
        <v>0</v>
      </c>
      <c r="M104" s="396">
        <f t="shared" ca="1" si="168"/>
        <v>0</v>
      </c>
      <c r="N104" s="396">
        <f t="shared" ca="1" si="168"/>
        <v>0</v>
      </c>
      <c r="O104" s="396">
        <f t="shared" ca="1" si="168"/>
        <v>0</v>
      </c>
      <c r="P104" s="396">
        <f t="shared" ca="1" si="168"/>
        <v>0</v>
      </c>
      <c r="Q104" s="396">
        <f t="shared" ca="1" si="168"/>
        <v>0</v>
      </c>
      <c r="R104" s="396">
        <f t="shared" ca="1" si="168"/>
        <v>0</v>
      </c>
      <c r="S104" s="396">
        <f t="shared" ca="1" si="168"/>
        <v>0</v>
      </c>
      <c r="T104" s="396">
        <f t="shared" ca="1" si="168"/>
        <v>0</v>
      </c>
      <c r="U104" s="396">
        <f t="shared" ca="1" si="168"/>
        <v>0</v>
      </c>
      <c r="V104" s="396">
        <f t="shared" ca="1" si="168"/>
        <v>0</v>
      </c>
      <c r="W104" s="396">
        <f t="shared" ca="1" si="168"/>
        <v>0</v>
      </c>
      <c r="X104" s="396"/>
      <c r="Y104" s="396"/>
      <c r="Z104" s="396"/>
      <c r="AA104" s="396"/>
      <c r="AB104" s="396"/>
      <c r="AC104" s="396"/>
      <c r="AD104" s="396"/>
      <c r="AE104" s="396"/>
      <c r="AF104" s="396"/>
      <c r="AG104" s="396"/>
    </row>
    <row r="105" spans="3:33" s="93" customFormat="1" hidden="1" outlineLevel="1">
      <c r="C105" s="93" t="s">
        <v>1511</v>
      </c>
      <c r="D105" s="93">
        <f ca="1">-SUMPRODUCT(D103:AB103,D104:AB104)/4995000000</f>
        <v>0</v>
      </c>
    </row>
    <row r="106" spans="3:33" collapsed="1"/>
  </sheetData>
  <phoneticPr fontId="52" type="noConversion"/>
  <conditionalFormatting sqref="D5:AF6">
    <cfRule type="cellIs" dxfId="91" priority="8" operator="equal">
      <formula>TRUE</formula>
    </cfRule>
  </conditionalFormatting>
  <conditionalFormatting sqref="D65:AF65">
    <cfRule type="cellIs" dxfId="90" priority="7" operator="greaterThan">
      <formula>0</formula>
    </cfRule>
  </conditionalFormatting>
  <conditionalFormatting sqref="D89:AF89">
    <cfRule type="cellIs" dxfId="89" priority="6" operator="lessThan">
      <formula>0</formula>
    </cfRule>
  </conditionalFormatting>
  <conditionalFormatting sqref="D89:AF89">
    <cfRule type="cellIs" dxfId="88" priority="5" operator="lessThan">
      <formula>0</formula>
    </cfRule>
  </conditionalFormatting>
  <conditionalFormatting sqref="AG5:AG6">
    <cfRule type="cellIs" dxfId="87" priority="4" operator="equal">
      <formula>TRUE</formula>
    </cfRule>
  </conditionalFormatting>
  <conditionalFormatting sqref="AG65">
    <cfRule type="cellIs" dxfId="86" priority="3" operator="greaterThan">
      <formula>0</formula>
    </cfRule>
  </conditionalFormatting>
  <conditionalFormatting sqref="AG89">
    <cfRule type="cellIs" dxfId="85" priority="2" operator="lessThan">
      <formula>0</formula>
    </cfRule>
  </conditionalFormatting>
  <conditionalFormatting sqref="AG89">
    <cfRule type="cellIs" dxfId="84" priority="1" operator="lessThan">
      <formula>0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1793" r:id="rId3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192024</xdr:colOff>
                    <xdr:row>2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94" r:id="rId4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192024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tabColor theme="0"/>
  </sheetPr>
  <dimension ref="C1:AO31"/>
  <sheetViews>
    <sheetView zoomScale="90" zoomScaleNormal="90" workbookViewId="0">
      <pane xSplit="3" ySplit="9" topLeftCell="K19" activePane="bottomRight" state="frozen"/>
      <selection activeCell="E19" sqref="E19"/>
      <selection pane="topRight" activeCell="E19" sqref="E19"/>
      <selection pane="bottomLeft" activeCell="E19" sqref="E19"/>
      <selection pane="bottomRight" activeCell="E19" sqref="E19"/>
    </sheetView>
  </sheetViews>
  <sheetFormatPr defaultColWidth="9.140625" defaultRowHeight="14.6" customHeight="1" outlineLevelRow="1"/>
  <cols>
    <col min="1" max="1" width="3.5703125" style="1" customWidth="1"/>
    <col min="2" max="2" width="3.28515625" style="1" customWidth="1"/>
    <col min="3" max="3" width="32.5703125" style="1" customWidth="1"/>
    <col min="4" max="11" width="9.5703125" style="1" customWidth="1"/>
    <col min="12" max="12" width="13.140625" style="1" customWidth="1"/>
    <col min="13" max="13" width="13.28515625" style="1" customWidth="1"/>
    <col min="14" max="14" width="13.42578125" style="1" customWidth="1"/>
    <col min="15" max="15" width="11.85546875" style="1" customWidth="1"/>
    <col min="16" max="16" width="13.7109375" style="1" customWidth="1"/>
    <col min="17" max="36" width="11.85546875" style="1" customWidth="1"/>
    <col min="37" max="39" width="11.7109375" style="1" bestFit="1" customWidth="1"/>
    <col min="40" max="41" width="12.85546875" style="1" bestFit="1" customWidth="1"/>
    <col min="42" max="16384" width="9.140625" style="1"/>
  </cols>
  <sheetData>
    <row r="1" spans="3:41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41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4" spans="3:41" s="34" customFormat="1" ht="14.6" customHeight="1">
      <c r="C4" s="307" t="s">
        <v>719</v>
      </c>
      <c r="D4" s="307"/>
      <c r="E4" s="307"/>
      <c r="F4" s="307"/>
      <c r="G4" s="307"/>
      <c r="H4" s="307"/>
      <c r="I4" s="307"/>
      <c r="J4" s="307"/>
      <c r="K4" s="307"/>
      <c r="L4" s="307">
        <f>IF(stub_switch,EOMONTH('Control Panel'!B9,3),EOMONTH('Control Panel'!B11,2))</f>
        <v>43555</v>
      </c>
      <c r="M4" s="307">
        <f>EOMONTH(L4,3)</f>
        <v>43646</v>
      </c>
      <c r="N4" s="307">
        <f t="shared" ref="N4:AJ4" si="0">EOMONTH(M4,3)</f>
        <v>43738</v>
      </c>
      <c r="O4" s="307">
        <f t="shared" si="0"/>
        <v>43830</v>
      </c>
      <c r="P4" s="307">
        <f t="shared" si="0"/>
        <v>43921</v>
      </c>
      <c r="Q4" s="307">
        <f t="shared" si="0"/>
        <v>44012</v>
      </c>
      <c r="R4" s="307">
        <f t="shared" si="0"/>
        <v>44104</v>
      </c>
      <c r="S4" s="307">
        <f t="shared" si="0"/>
        <v>44196</v>
      </c>
      <c r="T4" s="307">
        <f t="shared" si="0"/>
        <v>44286</v>
      </c>
      <c r="U4" s="307">
        <f t="shared" si="0"/>
        <v>44377</v>
      </c>
      <c r="V4" s="307">
        <f t="shared" si="0"/>
        <v>44469</v>
      </c>
      <c r="W4" s="307">
        <f t="shared" si="0"/>
        <v>44561</v>
      </c>
      <c r="X4" s="307">
        <f t="shared" si="0"/>
        <v>44651</v>
      </c>
      <c r="Y4" s="307">
        <f t="shared" si="0"/>
        <v>44742</v>
      </c>
      <c r="Z4" s="307">
        <f t="shared" si="0"/>
        <v>44834</v>
      </c>
      <c r="AA4" s="307">
        <f t="shared" si="0"/>
        <v>44926</v>
      </c>
      <c r="AB4" s="307">
        <f t="shared" si="0"/>
        <v>45016</v>
      </c>
      <c r="AC4" s="307">
        <f t="shared" si="0"/>
        <v>45107</v>
      </c>
      <c r="AD4" s="307">
        <f t="shared" si="0"/>
        <v>45199</v>
      </c>
      <c r="AE4" s="307">
        <f t="shared" si="0"/>
        <v>45291</v>
      </c>
      <c r="AF4" s="307">
        <f t="shared" si="0"/>
        <v>45382</v>
      </c>
      <c r="AG4" s="307">
        <f t="shared" si="0"/>
        <v>45473</v>
      </c>
      <c r="AH4" s="307">
        <f t="shared" si="0"/>
        <v>45565</v>
      </c>
      <c r="AI4" s="307">
        <f t="shared" si="0"/>
        <v>45657</v>
      </c>
      <c r="AJ4" s="307">
        <f t="shared" si="0"/>
        <v>45747</v>
      </c>
      <c r="AK4" s="307">
        <f t="shared" ref="AK4" si="1">EOMONTH(AJ4,3)</f>
        <v>45838</v>
      </c>
      <c r="AL4" s="307">
        <f t="shared" ref="AL4" si="2">EOMONTH(AK4,3)</f>
        <v>45930</v>
      </c>
      <c r="AM4" s="307">
        <f t="shared" ref="AM4" si="3">EOMONTH(AL4,3)</f>
        <v>46022</v>
      </c>
      <c r="AN4" s="307">
        <f t="shared" ref="AN4:AO4" si="4">EOMONTH(AM4,3)</f>
        <v>46112</v>
      </c>
      <c r="AO4" s="307">
        <f t="shared" si="4"/>
        <v>46203</v>
      </c>
    </row>
    <row r="5" spans="3:41" s="28" customFormat="1" ht="14.6" customHeight="1">
      <c r="C5" s="28" t="s">
        <v>694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1</v>
      </c>
      <c r="AC5" s="28" t="b">
        <f>AC4&lt;=DATE('Control Panel'!$B$13,'Control Panel'!$B$6,'Control Panel'!$B$7)</f>
        <v>1</v>
      </c>
      <c r="AD5" s="28" t="b">
        <f>AD4&lt;=DATE('Control Panel'!$B$13,'Control Panel'!$B$6,'Control Panel'!$B$7)</f>
        <v>1</v>
      </c>
      <c r="AE5" s="28" t="b">
        <f>AE4&lt;=DATE('Control Panel'!$B$13,'Control Panel'!$B$6,'Control Panel'!$B$7)</f>
        <v>1</v>
      </c>
      <c r="AF5" s="28" t="b">
        <f>AF4&lt;=DATE('Control Panel'!$B$13,'Control Panel'!$B$6,'Control Panel'!$B$7)</f>
        <v>1</v>
      </c>
      <c r="AG5" s="28" t="b">
        <f>AG4&lt;=DATE('Control Panel'!$B$13,'Control Panel'!$B$6,'Control Panel'!$B$7)</f>
        <v>1</v>
      </c>
      <c r="AH5" s="28" t="b">
        <f>AH4&lt;=DATE('Control Panel'!$B$13,'Control Panel'!$B$6,'Control Panel'!$B$7)</f>
        <v>1</v>
      </c>
      <c r="AI5" s="28" t="b">
        <f>AI4&lt;=DATE('Control Panel'!$B$13,'Control Panel'!$B$6,'Control Panel'!$B$7)</f>
        <v>1</v>
      </c>
      <c r="AJ5" s="28" t="b">
        <f>AJ4&lt;=DATE('Control Panel'!$B$13,'Control Panel'!$B$6,'Control Panel'!$B$7)</f>
        <v>0</v>
      </c>
      <c r="AK5" s="28" t="b">
        <f>AK4&lt;=DATE('Control Panel'!$B$13,'Control Panel'!$B$6,'Control Panel'!$B$7)</f>
        <v>0</v>
      </c>
      <c r="AL5" s="28" t="b">
        <f>AL4&lt;=DATE('Control Panel'!$B$13,'Control Panel'!$B$6,'Control Panel'!$B$7)</f>
        <v>0</v>
      </c>
      <c r="AM5" s="28" t="b">
        <f>AM4&lt;=DATE('Control Panel'!$B$13,'Control Panel'!$B$6,'Control Panel'!$B$7)</f>
        <v>0</v>
      </c>
      <c r="AN5" s="28" t="b">
        <f>AN4&lt;=DATE('Control Panel'!$B$13,'Control Panel'!$B$6,'Control Panel'!$B$7)</f>
        <v>0</v>
      </c>
      <c r="AO5" s="28" t="b">
        <f>AO4&lt;=DATE('Control Panel'!$B$13,'Control Panel'!$B$6,'Control Panel'!$B$7)</f>
        <v>0</v>
      </c>
    </row>
    <row r="6" spans="3:41" s="28" customFormat="1" ht="14.6" customHeight="1">
      <c r="C6" s="28" t="s">
        <v>720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  <c r="AH6" s="28" t="b">
        <f>AH4&lt;=DATE(YEAR('Control Panel'!$B$9),'Control Panel'!$B$6,'Control Panel'!$B$7)*stub_switch</f>
        <v>0</v>
      </c>
      <c r="AI6" s="28" t="b">
        <f>AI4&lt;=DATE(YEAR('Control Panel'!$B$9),'Control Panel'!$B$6,'Control Panel'!$B$7)*stub_switch</f>
        <v>0</v>
      </c>
      <c r="AJ6" s="28" t="b">
        <f>AJ4&lt;=DATE(YEAR('Control Panel'!$B$9),'Control Panel'!$B$6,'Control Panel'!$B$7)*stub_switch</f>
        <v>0</v>
      </c>
      <c r="AK6" s="28" t="b">
        <f>AK4&lt;=DATE(YEAR('Control Panel'!$B$9),'Control Panel'!$B$6,'Control Panel'!$B$7)*stub_switch</f>
        <v>0</v>
      </c>
      <c r="AL6" s="28" t="b">
        <f>AL4&lt;=DATE(YEAR('Control Panel'!$B$9),'Control Panel'!$B$6,'Control Panel'!$B$7)*stub_switch</f>
        <v>0</v>
      </c>
      <c r="AM6" s="28" t="b">
        <f>AM4&lt;=DATE(YEAR('Control Panel'!$B$9),'Control Panel'!$B$6,'Control Panel'!$B$7)*stub_switch</f>
        <v>0</v>
      </c>
      <c r="AN6" s="28" t="b">
        <f>AN4&lt;=DATE(YEAR('Control Panel'!$B$9),'Control Panel'!$B$6,'Control Panel'!$B$7)*stub_switch</f>
        <v>0</v>
      </c>
      <c r="AO6" s="28" t="b">
        <f>AO4&lt;=DATE(YEAR('Control Panel'!$B$9),'Control Panel'!$B$6,'Control Panel'!$B$7)*stub_switch</f>
        <v>0</v>
      </c>
    </row>
    <row r="7" spans="3:41" s="28" customFormat="1" ht="14.6" customHeight="1">
      <c r="C7" s="28" t="s">
        <v>1512</v>
      </c>
      <c r="L7" s="28">
        <f>YEAR(L4)</f>
        <v>2019</v>
      </c>
      <c r="M7" s="28">
        <f t="shared" ref="M7:AJ7" si="5">YEAR(M4)</f>
        <v>2019</v>
      </c>
      <c r="N7" s="28">
        <f t="shared" si="5"/>
        <v>2019</v>
      </c>
      <c r="O7" s="28">
        <f t="shared" si="5"/>
        <v>2019</v>
      </c>
      <c r="P7" s="28">
        <f t="shared" si="5"/>
        <v>2020</v>
      </c>
      <c r="Q7" s="28">
        <f t="shared" si="5"/>
        <v>2020</v>
      </c>
      <c r="R7" s="28">
        <f t="shared" si="5"/>
        <v>2020</v>
      </c>
      <c r="S7" s="28">
        <f t="shared" si="5"/>
        <v>2020</v>
      </c>
      <c r="T7" s="28">
        <f t="shared" si="5"/>
        <v>2021</v>
      </c>
      <c r="U7" s="28">
        <f t="shared" si="5"/>
        <v>2021</v>
      </c>
      <c r="V7" s="28">
        <f t="shared" si="5"/>
        <v>2021</v>
      </c>
      <c r="W7" s="28">
        <f t="shared" si="5"/>
        <v>2021</v>
      </c>
      <c r="X7" s="28">
        <f t="shared" si="5"/>
        <v>2022</v>
      </c>
      <c r="Y7" s="28">
        <f t="shared" si="5"/>
        <v>2022</v>
      </c>
      <c r="Z7" s="28">
        <f t="shared" si="5"/>
        <v>2022</v>
      </c>
      <c r="AA7" s="28">
        <f t="shared" si="5"/>
        <v>2022</v>
      </c>
      <c r="AB7" s="28">
        <f t="shared" si="5"/>
        <v>2023</v>
      </c>
      <c r="AC7" s="28">
        <f t="shared" si="5"/>
        <v>2023</v>
      </c>
      <c r="AD7" s="28">
        <f t="shared" si="5"/>
        <v>2023</v>
      </c>
      <c r="AE7" s="28">
        <f t="shared" si="5"/>
        <v>2023</v>
      </c>
      <c r="AF7" s="28">
        <f t="shared" si="5"/>
        <v>2024</v>
      </c>
      <c r="AG7" s="28">
        <f t="shared" si="5"/>
        <v>2024</v>
      </c>
      <c r="AH7" s="28">
        <f t="shared" si="5"/>
        <v>2024</v>
      </c>
      <c r="AI7" s="28">
        <f t="shared" si="5"/>
        <v>2024</v>
      </c>
      <c r="AJ7" s="28">
        <f t="shared" si="5"/>
        <v>2025</v>
      </c>
      <c r="AK7" s="28">
        <f t="shared" ref="AK7:AN7" si="6">YEAR(AK4)</f>
        <v>2025</v>
      </c>
      <c r="AL7" s="28">
        <f t="shared" si="6"/>
        <v>2025</v>
      </c>
      <c r="AM7" s="28">
        <f t="shared" si="6"/>
        <v>2025</v>
      </c>
      <c r="AN7" s="28">
        <f t="shared" si="6"/>
        <v>2026</v>
      </c>
      <c r="AO7" s="28">
        <f t="shared" ref="AO7" si="7">YEAR(AO4)</f>
        <v>2026</v>
      </c>
    </row>
    <row r="8" spans="3:41" ht="14.6" customHeight="1">
      <c r="C8" s="209"/>
      <c r="D8" s="794" t="s">
        <v>717</v>
      </c>
      <c r="E8" s="794"/>
      <c r="F8" s="794"/>
      <c r="G8" s="794"/>
      <c r="H8" s="794" t="s">
        <v>718</v>
      </c>
      <c r="I8" s="794"/>
      <c r="J8" s="794"/>
      <c r="K8" s="794"/>
      <c r="L8" s="380" t="str">
        <f>CONCATENATE(YEAR(L4),"F")</f>
        <v>2019F</v>
      </c>
      <c r="M8" s="380" t="str">
        <f t="shared" ref="M8:AJ8" si="8">CONCATENATE(YEAR(M4),"F")</f>
        <v>2019F</v>
      </c>
      <c r="N8" s="380" t="str">
        <f t="shared" si="8"/>
        <v>2019F</v>
      </c>
      <c r="O8" s="380" t="str">
        <f t="shared" si="8"/>
        <v>2019F</v>
      </c>
      <c r="P8" s="380" t="str">
        <f t="shared" si="8"/>
        <v>2020F</v>
      </c>
      <c r="Q8" s="380" t="str">
        <f t="shared" si="8"/>
        <v>2020F</v>
      </c>
      <c r="R8" s="380" t="str">
        <f t="shared" si="8"/>
        <v>2020F</v>
      </c>
      <c r="S8" s="380" t="str">
        <f t="shared" si="8"/>
        <v>2020F</v>
      </c>
      <c r="T8" s="380" t="str">
        <f t="shared" si="8"/>
        <v>2021F</v>
      </c>
      <c r="U8" s="380" t="str">
        <f t="shared" si="8"/>
        <v>2021F</v>
      </c>
      <c r="V8" s="380" t="str">
        <f t="shared" si="8"/>
        <v>2021F</v>
      </c>
      <c r="W8" s="380" t="str">
        <f t="shared" si="8"/>
        <v>2021F</v>
      </c>
      <c r="X8" s="380" t="str">
        <f t="shared" si="8"/>
        <v>2022F</v>
      </c>
      <c r="Y8" s="380" t="str">
        <f t="shared" si="8"/>
        <v>2022F</v>
      </c>
      <c r="Z8" s="380" t="str">
        <f t="shared" si="8"/>
        <v>2022F</v>
      </c>
      <c r="AA8" s="380" t="str">
        <f t="shared" si="8"/>
        <v>2022F</v>
      </c>
      <c r="AB8" s="380" t="str">
        <f t="shared" si="8"/>
        <v>2023F</v>
      </c>
      <c r="AC8" s="380" t="str">
        <f t="shared" si="8"/>
        <v>2023F</v>
      </c>
      <c r="AD8" s="380" t="str">
        <f t="shared" si="8"/>
        <v>2023F</v>
      </c>
      <c r="AE8" s="380" t="str">
        <f t="shared" si="8"/>
        <v>2023F</v>
      </c>
      <c r="AF8" s="380" t="str">
        <f t="shared" si="8"/>
        <v>2024F</v>
      </c>
      <c r="AG8" s="380" t="str">
        <f t="shared" si="8"/>
        <v>2024F</v>
      </c>
      <c r="AH8" s="380" t="str">
        <f t="shared" si="8"/>
        <v>2024F</v>
      </c>
      <c r="AI8" s="380" t="str">
        <f t="shared" si="8"/>
        <v>2024F</v>
      </c>
      <c r="AJ8" s="380" t="str">
        <f t="shared" si="8"/>
        <v>2025F</v>
      </c>
      <c r="AK8" s="406" t="str">
        <f t="shared" ref="AK8:AN8" si="9">CONCATENATE(YEAR(AK4),"F")</f>
        <v>2025F</v>
      </c>
      <c r="AL8" s="406" t="str">
        <f t="shared" si="9"/>
        <v>2025F</v>
      </c>
      <c r="AM8" s="406" t="str">
        <f t="shared" si="9"/>
        <v>2025F</v>
      </c>
      <c r="AN8" s="406" t="str">
        <f t="shared" si="9"/>
        <v>2026F</v>
      </c>
      <c r="AO8" s="413" t="str">
        <f t="shared" ref="AO8" si="10">CONCATENATE(YEAR(AO4),"F")</f>
        <v>2026F</v>
      </c>
    </row>
    <row r="9" spans="3:41" ht="14.6" customHeight="1">
      <c r="C9" s="209"/>
      <c r="D9" s="309">
        <v>1</v>
      </c>
      <c r="E9" s="309">
        <f>D9+1</f>
        <v>2</v>
      </c>
      <c r="F9" s="309">
        <f>E9+1</f>
        <v>3</v>
      </c>
      <c r="G9" s="309">
        <f>F9+1</f>
        <v>4</v>
      </c>
      <c r="H9" s="309">
        <v>1</v>
      </c>
      <c r="I9" s="309">
        <f>H9+1</f>
        <v>2</v>
      </c>
      <c r="J9" s="309">
        <f>I9+1</f>
        <v>3</v>
      </c>
      <c r="K9" s="309">
        <f>J9+1</f>
        <v>4</v>
      </c>
      <c r="L9" s="309">
        <f>M2</f>
        <v>1</v>
      </c>
      <c r="M9" s="309">
        <f>IF(L9=4,1,L9+1)</f>
        <v>2</v>
      </c>
      <c r="N9" s="309">
        <f>IF(M9=4,1,M9+1)</f>
        <v>3</v>
      </c>
      <c r="O9" s="309">
        <f>IF(N9=4,1,N9+1)</f>
        <v>4</v>
      </c>
      <c r="P9" s="309">
        <f>IF(O9=4,1,O9+1)</f>
        <v>1</v>
      </c>
      <c r="Q9" s="309">
        <f t="shared" ref="Q9:AJ9" si="11">IF(P9=4,1,P9+1)</f>
        <v>2</v>
      </c>
      <c r="R9" s="309">
        <f t="shared" si="11"/>
        <v>3</v>
      </c>
      <c r="S9" s="309">
        <f t="shared" si="11"/>
        <v>4</v>
      </c>
      <c r="T9" s="309">
        <f t="shared" si="11"/>
        <v>1</v>
      </c>
      <c r="U9" s="309">
        <f t="shared" si="11"/>
        <v>2</v>
      </c>
      <c r="V9" s="309">
        <f t="shared" si="11"/>
        <v>3</v>
      </c>
      <c r="W9" s="309">
        <f t="shared" si="11"/>
        <v>4</v>
      </c>
      <c r="X9" s="309">
        <f t="shared" si="11"/>
        <v>1</v>
      </c>
      <c r="Y9" s="309">
        <f t="shared" si="11"/>
        <v>2</v>
      </c>
      <c r="Z9" s="309">
        <f t="shared" si="11"/>
        <v>3</v>
      </c>
      <c r="AA9" s="309">
        <f t="shared" si="11"/>
        <v>4</v>
      </c>
      <c r="AB9" s="309">
        <f t="shared" si="11"/>
        <v>1</v>
      </c>
      <c r="AC9" s="309">
        <f t="shared" si="11"/>
        <v>2</v>
      </c>
      <c r="AD9" s="309">
        <f t="shared" si="11"/>
        <v>3</v>
      </c>
      <c r="AE9" s="309">
        <f t="shared" si="11"/>
        <v>4</v>
      </c>
      <c r="AF9" s="309">
        <f t="shared" si="11"/>
        <v>1</v>
      </c>
      <c r="AG9" s="309">
        <f t="shared" si="11"/>
        <v>2</v>
      </c>
      <c r="AH9" s="309">
        <f t="shared" si="11"/>
        <v>3</v>
      </c>
      <c r="AI9" s="309">
        <f t="shared" si="11"/>
        <v>4</v>
      </c>
      <c r="AJ9" s="309">
        <f t="shared" si="11"/>
        <v>1</v>
      </c>
      <c r="AK9" s="309">
        <f t="shared" ref="AK9" si="12">IF(AJ9=4,1,AJ9+1)</f>
        <v>2</v>
      </c>
      <c r="AL9" s="309">
        <f t="shared" ref="AL9" si="13">IF(AK9=4,1,AK9+1)</f>
        <v>3</v>
      </c>
      <c r="AM9" s="309">
        <f t="shared" ref="AM9" si="14">IF(AL9=4,1,AL9+1)</f>
        <v>4</v>
      </c>
      <c r="AN9" s="309">
        <f t="shared" ref="AN9:AO9" si="15">IF(AM9=4,1,AM9+1)</f>
        <v>1</v>
      </c>
      <c r="AO9" s="309">
        <f t="shared" si="15"/>
        <v>2</v>
      </c>
    </row>
    <row r="10" spans="3:41" ht="14.6" customHeight="1" outlineLevel="1">
      <c r="C10" s="209" t="s">
        <v>721</v>
      </c>
      <c r="D10" s="209"/>
      <c r="E10" s="209"/>
      <c r="F10" s="209"/>
      <c r="G10" s="209"/>
      <c r="H10" s="209"/>
      <c r="I10" s="209"/>
      <c r="J10" s="209"/>
      <c r="K10" s="209"/>
      <c r="L10" s="209"/>
      <c r="M10" s="209"/>
      <c r="N10" s="209"/>
      <c r="O10" s="209"/>
      <c r="P10" s="209"/>
      <c r="Q10" s="209"/>
      <c r="R10" s="209"/>
      <c r="S10" s="209"/>
      <c r="T10" s="209"/>
      <c r="U10" s="209"/>
      <c r="V10" s="209"/>
      <c r="W10" s="209"/>
      <c r="X10" s="209"/>
      <c r="Y10" s="2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</row>
    <row r="11" spans="3:41" s="34" customFormat="1" ht="14.6" customHeight="1" outlineLevel="1">
      <c r="C11" s="180" t="s">
        <v>714</v>
      </c>
      <c r="D11" s="180"/>
      <c r="E11" s="382"/>
      <c r="F11" s="382"/>
      <c r="G11" s="382"/>
      <c r="H11" s="382"/>
      <c r="I11" s="382"/>
      <c r="J11" s="382"/>
      <c r="K11" s="382"/>
      <c r="L11" s="312">
        <f>IF(L$6,INDEX($D11:$G11,MATCH(L$9,$D$9:$G$9,0)),INDEX($H11:$K11,MATCH(L$9,$H$9:$K$9)))</f>
        <v>0</v>
      </c>
      <c r="M11" s="312">
        <f t="shared" ref="M11:AB16" si="16">IF(M$6,INDEX($D11:$G11,MATCH(M$9,$D$9:$G$9,0)),INDEX($H11:$K11,MATCH(M$9,$H$9:$K$9)))</f>
        <v>0</v>
      </c>
      <c r="N11" s="312">
        <f t="shared" si="16"/>
        <v>0</v>
      </c>
      <c r="O11" s="312">
        <f t="shared" si="16"/>
        <v>0</v>
      </c>
      <c r="P11" s="312">
        <f t="shared" si="16"/>
        <v>0</v>
      </c>
      <c r="Q11" s="312">
        <f t="shared" si="16"/>
        <v>0</v>
      </c>
      <c r="R11" s="312">
        <f t="shared" si="16"/>
        <v>0</v>
      </c>
      <c r="S11" s="312">
        <f t="shared" si="16"/>
        <v>0</v>
      </c>
      <c r="T11" s="312">
        <f t="shared" si="16"/>
        <v>0</v>
      </c>
      <c r="U11" s="312">
        <f t="shared" si="16"/>
        <v>0</v>
      </c>
      <c r="V11" s="312">
        <f t="shared" si="16"/>
        <v>0</v>
      </c>
      <c r="W11" s="312">
        <f t="shared" si="16"/>
        <v>0</v>
      </c>
      <c r="X11" s="312">
        <f t="shared" si="16"/>
        <v>0</v>
      </c>
      <c r="Y11" s="312">
        <f t="shared" si="16"/>
        <v>0</v>
      </c>
      <c r="Z11" s="312">
        <f t="shared" si="16"/>
        <v>0</v>
      </c>
      <c r="AA11" s="312">
        <f t="shared" si="16"/>
        <v>0</v>
      </c>
      <c r="AB11" s="312">
        <f t="shared" si="16"/>
        <v>0</v>
      </c>
      <c r="AC11" s="312">
        <f t="shared" ref="AC11:AO16" si="17">IF(AC$6,INDEX($D11:$G11,MATCH(AC$9,$D$9:$G$9,0)),INDEX($H11:$K11,MATCH(AC$9,$H$9:$K$9)))</f>
        <v>0</v>
      </c>
      <c r="AD11" s="312">
        <f t="shared" si="17"/>
        <v>0</v>
      </c>
      <c r="AE11" s="312">
        <f t="shared" si="17"/>
        <v>0</v>
      </c>
      <c r="AF11" s="312">
        <f t="shared" si="17"/>
        <v>0</v>
      </c>
      <c r="AG11" s="312">
        <f t="shared" si="17"/>
        <v>0</v>
      </c>
      <c r="AH11" s="312">
        <f t="shared" si="17"/>
        <v>0</v>
      </c>
      <c r="AI11" s="312">
        <f t="shared" si="17"/>
        <v>0</v>
      </c>
      <c r="AJ11" s="312">
        <f t="shared" si="17"/>
        <v>0</v>
      </c>
      <c r="AK11" s="312">
        <f t="shared" si="17"/>
        <v>0</v>
      </c>
      <c r="AL11" s="312">
        <f t="shared" si="17"/>
        <v>0</v>
      </c>
      <c r="AM11" s="312">
        <f t="shared" si="17"/>
        <v>0</v>
      </c>
      <c r="AN11" s="312">
        <f t="shared" si="17"/>
        <v>0</v>
      </c>
      <c r="AO11" s="312">
        <f t="shared" si="17"/>
        <v>0</v>
      </c>
    </row>
    <row r="12" spans="3:41" ht="14.6" customHeight="1" outlineLevel="1">
      <c r="C12" s="295" t="s">
        <v>1457</v>
      </c>
      <c r="E12" s="382"/>
      <c r="F12" s="382"/>
      <c r="G12" s="382"/>
      <c r="H12" s="382"/>
      <c r="I12" s="382"/>
      <c r="J12" s="382"/>
      <c r="K12" s="382"/>
      <c r="L12" s="183">
        <f t="shared" ref="L12:AA16" si="18">IF(L$6,INDEX($D12:$G12,MATCH(L$9,$D$9:$G$9,0)),INDEX($H12:$K12,MATCH(L$9,$H$9:$K$9)))</f>
        <v>0</v>
      </c>
      <c r="M12" s="183">
        <f t="shared" si="16"/>
        <v>0</v>
      </c>
      <c r="N12" s="183">
        <f t="shared" si="16"/>
        <v>0</v>
      </c>
      <c r="O12" s="183">
        <f t="shared" si="16"/>
        <v>0</v>
      </c>
      <c r="P12" s="183">
        <f t="shared" si="16"/>
        <v>0</v>
      </c>
      <c r="Q12" s="183">
        <f t="shared" si="16"/>
        <v>0</v>
      </c>
      <c r="R12" s="183">
        <f t="shared" si="16"/>
        <v>0</v>
      </c>
      <c r="S12" s="183">
        <f t="shared" si="16"/>
        <v>0</v>
      </c>
      <c r="T12" s="183">
        <f t="shared" si="16"/>
        <v>0</v>
      </c>
      <c r="U12" s="183">
        <f t="shared" si="16"/>
        <v>0</v>
      </c>
      <c r="V12" s="183">
        <f t="shared" si="16"/>
        <v>0</v>
      </c>
      <c r="W12" s="183">
        <f t="shared" si="16"/>
        <v>0</v>
      </c>
      <c r="X12" s="183">
        <f t="shared" si="16"/>
        <v>0</v>
      </c>
      <c r="Y12" s="183">
        <f t="shared" si="16"/>
        <v>0</v>
      </c>
      <c r="Z12" s="183">
        <f t="shared" si="16"/>
        <v>0</v>
      </c>
      <c r="AA12" s="183">
        <f t="shared" si="16"/>
        <v>0</v>
      </c>
      <c r="AB12" s="183">
        <f t="shared" si="16"/>
        <v>0</v>
      </c>
      <c r="AC12" s="183">
        <f t="shared" si="17"/>
        <v>0</v>
      </c>
      <c r="AD12" s="183">
        <f t="shared" si="17"/>
        <v>0</v>
      </c>
      <c r="AE12" s="183">
        <f t="shared" si="17"/>
        <v>0</v>
      </c>
      <c r="AF12" s="183">
        <f t="shared" si="17"/>
        <v>0</v>
      </c>
      <c r="AG12" s="183">
        <f t="shared" si="17"/>
        <v>0</v>
      </c>
      <c r="AH12" s="183">
        <f t="shared" si="17"/>
        <v>0</v>
      </c>
      <c r="AI12" s="183">
        <f t="shared" si="17"/>
        <v>0</v>
      </c>
      <c r="AJ12" s="183">
        <f t="shared" si="17"/>
        <v>0</v>
      </c>
      <c r="AK12" s="183">
        <f t="shared" si="17"/>
        <v>0</v>
      </c>
      <c r="AL12" s="183">
        <f t="shared" si="17"/>
        <v>0</v>
      </c>
      <c r="AM12" s="183">
        <f t="shared" si="17"/>
        <v>0</v>
      </c>
      <c r="AN12" s="183">
        <f t="shared" si="17"/>
        <v>0</v>
      </c>
      <c r="AO12" s="183">
        <f t="shared" si="17"/>
        <v>0</v>
      </c>
    </row>
    <row r="13" spans="3:41" ht="14.6" customHeight="1" outlineLevel="1">
      <c r="C13" s="295" t="s">
        <v>715</v>
      </c>
      <c r="E13" s="382"/>
      <c r="F13" s="274">
        <v>0.5</v>
      </c>
      <c r="G13" s="274">
        <v>0.5</v>
      </c>
      <c r="H13" s="274">
        <v>0.25</v>
      </c>
      <c r="I13" s="274">
        <v>0.25</v>
      </c>
      <c r="J13" s="274">
        <v>0.25</v>
      </c>
      <c r="K13" s="274">
        <v>0.25</v>
      </c>
      <c r="L13" s="183">
        <f t="shared" si="18"/>
        <v>0.25</v>
      </c>
      <c r="M13" s="183">
        <f t="shared" si="16"/>
        <v>0.25</v>
      </c>
      <c r="N13" s="183">
        <f t="shared" si="16"/>
        <v>0.25</v>
      </c>
      <c r="O13" s="183">
        <f t="shared" si="16"/>
        <v>0.25</v>
      </c>
      <c r="P13" s="183">
        <f t="shared" si="16"/>
        <v>0.25</v>
      </c>
      <c r="Q13" s="183">
        <f t="shared" si="16"/>
        <v>0.25</v>
      </c>
      <c r="R13" s="183">
        <f t="shared" si="16"/>
        <v>0.25</v>
      </c>
      <c r="S13" s="183">
        <f t="shared" si="16"/>
        <v>0.25</v>
      </c>
      <c r="T13" s="183">
        <f t="shared" si="16"/>
        <v>0.25</v>
      </c>
      <c r="U13" s="183">
        <f t="shared" si="16"/>
        <v>0.25</v>
      </c>
      <c r="V13" s="183">
        <f t="shared" si="16"/>
        <v>0.25</v>
      </c>
      <c r="W13" s="183">
        <f t="shared" si="16"/>
        <v>0.25</v>
      </c>
      <c r="X13" s="183">
        <f t="shared" si="16"/>
        <v>0.25</v>
      </c>
      <c r="Y13" s="183">
        <f t="shared" si="16"/>
        <v>0.25</v>
      </c>
      <c r="Z13" s="183">
        <f t="shared" si="16"/>
        <v>0.25</v>
      </c>
      <c r="AA13" s="183">
        <f t="shared" si="16"/>
        <v>0.25</v>
      </c>
      <c r="AB13" s="183">
        <f t="shared" si="16"/>
        <v>0.25</v>
      </c>
      <c r="AC13" s="183">
        <f t="shared" si="17"/>
        <v>0.25</v>
      </c>
      <c r="AD13" s="183">
        <f t="shared" si="17"/>
        <v>0.25</v>
      </c>
      <c r="AE13" s="183">
        <f t="shared" si="17"/>
        <v>0.25</v>
      </c>
      <c r="AF13" s="183">
        <f t="shared" si="17"/>
        <v>0.25</v>
      </c>
      <c r="AG13" s="183">
        <f t="shared" si="17"/>
        <v>0.25</v>
      </c>
      <c r="AH13" s="183">
        <f t="shared" si="17"/>
        <v>0.25</v>
      </c>
      <c r="AI13" s="183">
        <f t="shared" si="17"/>
        <v>0.25</v>
      </c>
      <c r="AJ13" s="183">
        <f t="shared" si="17"/>
        <v>0.25</v>
      </c>
      <c r="AK13" s="183">
        <f t="shared" si="17"/>
        <v>0.25</v>
      </c>
      <c r="AL13" s="183">
        <f t="shared" si="17"/>
        <v>0.25</v>
      </c>
      <c r="AM13" s="183">
        <f t="shared" si="17"/>
        <v>0.25</v>
      </c>
      <c r="AN13" s="183">
        <f t="shared" si="17"/>
        <v>0.25</v>
      </c>
      <c r="AO13" s="183">
        <f t="shared" si="17"/>
        <v>0.25</v>
      </c>
    </row>
    <row r="14" spans="3:41" ht="14.6" customHeight="1" outlineLevel="1">
      <c r="C14" s="295" t="s">
        <v>716</v>
      </c>
      <c r="E14" s="382"/>
      <c r="F14" s="382"/>
      <c r="G14" s="382"/>
      <c r="H14" s="382"/>
      <c r="I14" s="382"/>
      <c r="J14" s="382"/>
      <c r="K14" s="382"/>
      <c r="L14" s="183">
        <f t="shared" si="18"/>
        <v>0</v>
      </c>
      <c r="M14" s="183">
        <f t="shared" si="16"/>
        <v>0</v>
      </c>
      <c r="N14" s="183">
        <f t="shared" si="16"/>
        <v>0</v>
      </c>
      <c r="O14" s="183">
        <f t="shared" si="16"/>
        <v>0</v>
      </c>
      <c r="P14" s="183">
        <f t="shared" si="16"/>
        <v>0</v>
      </c>
      <c r="Q14" s="183">
        <f t="shared" si="16"/>
        <v>0</v>
      </c>
      <c r="R14" s="183">
        <f t="shared" si="16"/>
        <v>0</v>
      </c>
      <c r="S14" s="183">
        <f t="shared" si="16"/>
        <v>0</v>
      </c>
      <c r="T14" s="183">
        <f t="shared" si="16"/>
        <v>0</v>
      </c>
      <c r="U14" s="183">
        <f t="shared" si="16"/>
        <v>0</v>
      </c>
      <c r="V14" s="183">
        <f t="shared" si="16"/>
        <v>0</v>
      </c>
      <c r="W14" s="183">
        <f t="shared" si="16"/>
        <v>0</v>
      </c>
      <c r="X14" s="183">
        <f t="shared" si="16"/>
        <v>0</v>
      </c>
      <c r="Y14" s="183">
        <f t="shared" si="16"/>
        <v>0</v>
      </c>
      <c r="Z14" s="183">
        <f t="shared" si="16"/>
        <v>0</v>
      </c>
      <c r="AA14" s="183">
        <f t="shared" si="16"/>
        <v>0</v>
      </c>
      <c r="AB14" s="183">
        <f t="shared" si="16"/>
        <v>0</v>
      </c>
      <c r="AC14" s="183">
        <f t="shared" si="17"/>
        <v>0</v>
      </c>
      <c r="AD14" s="183">
        <f t="shared" si="17"/>
        <v>0</v>
      </c>
      <c r="AE14" s="183">
        <f t="shared" si="17"/>
        <v>0</v>
      </c>
      <c r="AF14" s="183">
        <f t="shared" si="17"/>
        <v>0</v>
      </c>
      <c r="AG14" s="183">
        <f t="shared" si="17"/>
        <v>0</v>
      </c>
      <c r="AH14" s="183">
        <f t="shared" si="17"/>
        <v>0</v>
      </c>
      <c r="AI14" s="183">
        <f t="shared" si="17"/>
        <v>0</v>
      </c>
      <c r="AJ14" s="183">
        <f t="shared" si="17"/>
        <v>0</v>
      </c>
      <c r="AK14" s="183">
        <f t="shared" si="17"/>
        <v>0</v>
      </c>
      <c r="AL14" s="183">
        <f t="shared" si="17"/>
        <v>0</v>
      </c>
      <c r="AM14" s="183">
        <f t="shared" si="17"/>
        <v>0</v>
      </c>
      <c r="AN14" s="183">
        <f t="shared" si="17"/>
        <v>0</v>
      </c>
      <c r="AO14" s="183">
        <f t="shared" si="17"/>
        <v>0</v>
      </c>
    </row>
    <row r="15" spans="3:41" ht="14.6" customHeight="1" outlineLevel="1">
      <c r="C15" s="295" t="s">
        <v>1458</v>
      </c>
      <c r="E15" s="382"/>
      <c r="F15" s="382"/>
      <c r="G15" s="382"/>
      <c r="H15" s="382"/>
      <c r="I15" s="382"/>
      <c r="J15" s="382"/>
      <c r="K15" s="382"/>
      <c r="L15" s="183">
        <f t="shared" si="18"/>
        <v>0</v>
      </c>
      <c r="M15" s="183">
        <f t="shared" si="16"/>
        <v>0</v>
      </c>
      <c r="N15" s="183">
        <f t="shared" si="16"/>
        <v>0</v>
      </c>
      <c r="O15" s="183">
        <f t="shared" si="16"/>
        <v>0</v>
      </c>
      <c r="P15" s="183">
        <f t="shared" si="16"/>
        <v>0</v>
      </c>
      <c r="Q15" s="183">
        <f t="shared" si="16"/>
        <v>0</v>
      </c>
      <c r="R15" s="183">
        <f t="shared" si="16"/>
        <v>0</v>
      </c>
      <c r="S15" s="183">
        <f t="shared" si="16"/>
        <v>0</v>
      </c>
      <c r="T15" s="183">
        <f t="shared" si="16"/>
        <v>0</v>
      </c>
      <c r="U15" s="183">
        <f t="shared" si="16"/>
        <v>0</v>
      </c>
      <c r="V15" s="183">
        <f t="shared" si="16"/>
        <v>0</v>
      </c>
      <c r="W15" s="183">
        <f t="shared" si="16"/>
        <v>0</v>
      </c>
      <c r="X15" s="183">
        <f t="shared" si="16"/>
        <v>0</v>
      </c>
      <c r="Y15" s="183">
        <f t="shared" si="16"/>
        <v>0</v>
      </c>
      <c r="Z15" s="183">
        <f t="shared" si="16"/>
        <v>0</v>
      </c>
      <c r="AA15" s="183">
        <f t="shared" si="16"/>
        <v>0</v>
      </c>
      <c r="AB15" s="183">
        <f t="shared" si="16"/>
        <v>0</v>
      </c>
      <c r="AC15" s="183">
        <f t="shared" si="17"/>
        <v>0</v>
      </c>
      <c r="AD15" s="183">
        <f t="shared" si="17"/>
        <v>0</v>
      </c>
      <c r="AE15" s="183">
        <f t="shared" si="17"/>
        <v>0</v>
      </c>
      <c r="AF15" s="183">
        <f t="shared" si="17"/>
        <v>0</v>
      </c>
      <c r="AG15" s="183">
        <f t="shared" si="17"/>
        <v>0</v>
      </c>
      <c r="AH15" s="183">
        <f t="shared" si="17"/>
        <v>0</v>
      </c>
      <c r="AI15" s="183">
        <f t="shared" si="17"/>
        <v>0</v>
      </c>
      <c r="AJ15" s="183">
        <f t="shared" si="17"/>
        <v>0</v>
      </c>
      <c r="AK15" s="183">
        <f t="shared" si="17"/>
        <v>0</v>
      </c>
      <c r="AL15" s="183">
        <f t="shared" si="17"/>
        <v>0</v>
      </c>
      <c r="AM15" s="183">
        <f t="shared" si="17"/>
        <v>0</v>
      </c>
      <c r="AN15" s="183">
        <f t="shared" si="17"/>
        <v>0</v>
      </c>
      <c r="AO15" s="183">
        <f t="shared" si="17"/>
        <v>0</v>
      </c>
    </row>
    <row r="16" spans="3:41" ht="14.6" customHeight="1" outlineLevel="1">
      <c r="C16" s="295" t="s">
        <v>1459</v>
      </c>
      <c r="E16" s="382"/>
      <c r="F16" s="382"/>
      <c r="G16" s="382"/>
      <c r="H16" s="382"/>
      <c r="I16" s="382"/>
      <c r="J16" s="382"/>
      <c r="K16" s="382"/>
      <c r="L16" s="183">
        <f t="shared" si="18"/>
        <v>0</v>
      </c>
      <c r="M16" s="183">
        <f t="shared" si="18"/>
        <v>0</v>
      </c>
      <c r="N16" s="183">
        <f t="shared" si="18"/>
        <v>0</v>
      </c>
      <c r="O16" s="183">
        <f t="shared" si="18"/>
        <v>0</v>
      </c>
      <c r="P16" s="183">
        <f t="shared" si="18"/>
        <v>0</v>
      </c>
      <c r="Q16" s="183">
        <f t="shared" si="18"/>
        <v>0</v>
      </c>
      <c r="R16" s="183">
        <f t="shared" si="18"/>
        <v>0</v>
      </c>
      <c r="S16" s="183">
        <f t="shared" si="18"/>
        <v>0</v>
      </c>
      <c r="T16" s="183">
        <f t="shared" si="18"/>
        <v>0</v>
      </c>
      <c r="U16" s="183">
        <f t="shared" si="18"/>
        <v>0</v>
      </c>
      <c r="V16" s="183">
        <f t="shared" si="18"/>
        <v>0</v>
      </c>
      <c r="W16" s="183">
        <f t="shared" si="18"/>
        <v>0</v>
      </c>
      <c r="X16" s="183">
        <f t="shared" si="18"/>
        <v>0</v>
      </c>
      <c r="Y16" s="183">
        <f t="shared" si="18"/>
        <v>0</v>
      </c>
      <c r="Z16" s="183">
        <f t="shared" si="18"/>
        <v>0</v>
      </c>
      <c r="AA16" s="183">
        <f t="shared" si="18"/>
        <v>0</v>
      </c>
      <c r="AB16" s="183">
        <f t="shared" si="16"/>
        <v>0</v>
      </c>
      <c r="AC16" s="183">
        <f t="shared" si="17"/>
        <v>0</v>
      </c>
      <c r="AD16" s="183">
        <f t="shared" si="17"/>
        <v>0</v>
      </c>
      <c r="AE16" s="183">
        <f t="shared" si="17"/>
        <v>0</v>
      </c>
      <c r="AF16" s="183">
        <f t="shared" si="17"/>
        <v>0</v>
      </c>
      <c r="AG16" s="183">
        <f t="shared" si="17"/>
        <v>0</v>
      </c>
      <c r="AH16" s="183">
        <f t="shared" si="17"/>
        <v>0</v>
      </c>
      <c r="AI16" s="183">
        <f t="shared" si="17"/>
        <v>0</v>
      </c>
      <c r="AJ16" s="183">
        <f t="shared" si="17"/>
        <v>0</v>
      </c>
      <c r="AK16" s="183">
        <f t="shared" si="17"/>
        <v>0</v>
      </c>
      <c r="AL16" s="183">
        <f t="shared" si="17"/>
        <v>0</v>
      </c>
      <c r="AM16" s="183">
        <f t="shared" si="17"/>
        <v>0</v>
      </c>
      <c r="AN16" s="183">
        <f t="shared" si="17"/>
        <v>0</v>
      </c>
      <c r="AO16" s="183">
        <f t="shared" si="17"/>
        <v>0</v>
      </c>
    </row>
    <row r="17" spans="3:41" ht="14.6" customHeight="1" outlineLevel="1">
      <c r="C17" s="180" t="s">
        <v>1460</v>
      </c>
      <c r="E17" s="382"/>
      <c r="F17" s="382"/>
      <c r="G17" s="382"/>
      <c r="H17" s="382"/>
      <c r="I17" s="382"/>
      <c r="J17" s="382"/>
      <c r="K17" s="382"/>
      <c r="L17" s="183"/>
      <c r="M17" s="183"/>
      <c r="N17" s="183"/>
      <c r="O17" s="183"/>
      <c r="P17" s="183"/>
      <c r="Q17" s="183"/>
      <c r="R17" s="183"/>
      <c r="S17" s="183"/>
      <c r="T17" s="183"/>
      <c r="U17" s="183"/>
      <c r="V17" s="183"/>
      <c r="W17" s="183"/>
      <c r="X17" s="183"/>
      <c r="Y17" s="183"/>
      <c r="Z17" s="183"/>
      <c r="AA17" s="183"/>
      <c r="AB17" s="183"/>
      <c r="AC17" s="183"/>
      <c r="AD17" s="183"/>
      <c r="AE17" s="183"/>
      <c r="AF17" s="183"/>
      <c r="AG17" s="183"/>
      <c r="AH17" s="183"/>
      <c r="AI17" s="183"/>
      <c r="AJ17" s="183"/>
      <c r="AK17" s="183"/>
      <c r="AL17" s="183"/>
      <c r="AM17" s="183"/>
      <c r="AN17" s="183"/>
      <c r="AO17" s="183"/>
    </row>
    <row r="18" spans="3:41" ht="14.6" customHeight="1" outlineLevel="1"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</row>
    <row r="19" spans="3:41" ht="14.6" customHeight="1">
      <c r="C19" s="209" t="s">
        <v>722</v>
      </c>
      <c r="D19" s="213"/>
      <c r="E19" s="213"/>
      <c r="F19" s="213"/>
      <c r="G19" s="213"/>
      <c r="H19" s="213"/>
      <c r="I19" s="213"/>
      <c r="J19" s="213"/>
      <c r="K19" s="213"/>
      <c r="L19" s="213"/>
      <c r="M19" s="213"/>
      <c r="N19" s="213"/>
      <c r="O19" s="213"/>
      <c r="P19" s="213"/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</row>
    <row r="20" spans="3:41" ht="14.6" customHeight="1">
      <c r="C20" s="180" t="s">
        <v>1484</v>
      </c>
      <c r="D20" s="180"/>
      <c r="E20" s="180"/>
      <c r="F20" s="180"/>
      <c r="G20" s="180"/>
      <c r="H20" s="180"/>
      <c r="I20" s="180"/>
      <c r="J20" s="180"/>
      <c r="K20" s="180"/>
      <c r="L20" s="180">
        <f ca="1">SUM(L21:L22)</f>
        <v>0</v>
      </c>
      <c r="M20" s="180">
        <f t="shared" ref="M20:AO20" ca="1" si="19">SUM(M21:M22)</f>
        <v>0</v>
      </c>
      <c r="N20" s="180">
        <f t="shared" ca="1" si="19"/>
        <v>0</v>
      </c>
      <c r="O20" s="180">
        <f t="shared" ca="1" si="19"/>
        <v>0</v>
      </c>
      <c r="P20" s="180">
        <f t="shared" ca="1" si="19"/>
        <v>0</v>
      </c>
      <c r="Q20" s="180">
        <f t="shared" ca="1" si="19"/>
        <v>0</v>
      </c>
      <c r="R20" s="180">
        <f t="shared" ca="1" si="19"/>
        <v>0</v>
      </c>
      <c r="S20" s="180">
        <f t="shared" ca="1" si="19"/>
        <v>0</v>
      </c>
      <c r="T20" s="180">
        <f t="shared" ca="1" si="19"/>
        <v>0</v>
      </c>
      <c r="U20" s="180">
        <f t="shared" ca="1" si="19"/>
        <v>0</v>
      </c>
      <c r="V20" s="180">
        <f t="shared" ca="1" si="19"/>
        <v>0</v>
      </c>
      <c r="W20" s="180">
        <f t="shared" ca="1" si="19"/>
        <v>0</v>
      </c>
      <c r="X20" s="180">
        <f t="shared" ca="1" si="19"/>
        <v>0</v>
      </c>
      <c r="Y20" s="180">
        <f t="shared" ca="1" si="19"/>
        <v>0</v>
      </c>
      <c r="Z20" s="180">
        <f t="shared" ca="1" si="19"/>
        <v>0</v>
      </c>
      <c r="AA20" s="180">
        <f t="shared" ca="1" si="19"/>
        <v>0</v>
      </c>
      <c r="AB20" s="180">
        <f t="shared" ca="1" si="19"/>
        <v>0</v>
      </c>
      <c r="AC20" s="180">
        <f t="shared" ca="1" si="19"/>
        <v>0</v>
      </c>
      <c r="AD20" s="180">
        <f t="shared" ca="1" si="19"/>
        <v>0</v>
      </c>
      <c r="AE20" s="180">
        <f t="shared" ca="1" si="19"/>
        <v>0</v>
      </c>
      <c r="AF20" s="180">
        <f t="shared" ca="1" si="19"/>
        <v>0</v>
      </c>
      <c r="AG20" s="180">
        <f t="shared" ca="1" si="19"/>
        <v>0</v>
      </c>
      <c r="AH20" s="180">
        <f t="shared" ca="1" si="19"/>
        <v>0</v>
      </c>
      <c r="AI20" s="180">
        <f t="shared" ca="1" si="19"/>
        <v>0</v>
      </c>
      <c r="AJ20" s="180" t="e">
        <f t="shared" ca="1" si="19"/>
        <v>#N/A</v>
      </c>
      <c r="AK20" s="180" t="e">
        <f t="shared" ca="1" si="19"/>
        <v>#N/A</v>
      </c>
      <c r="AL20" s="180" t="e">
        <f t="shared" ca="1" si="19"/>
        <v>#N/A</v>
      </c>
      <c r="AM20" s="180" t="e">
        <f t="shared" ca="1" si="19"/>
        <v>#N/A</v>
      </c>
      <c r="AN20" s="180" t="e">
        <f t="shared" ca="1" si="19"/>
        <v>#N/A</v>
      </c>
      <c r="AO20" s="180" t="e">
        <f t="shared" ca="1" si="19"/>
        <v>#N/A</v>
      </c>
    </row>
    <row r="21" spans="3:41" ht="14.6" customHeight="1">
      <c r="C21" s="341" t="s">
        <v>1486</v>
      </c>
      <c r="D21" s="341"/>
      <c r="E21" s="341"/>
      <c r="F21" s="341"/>
      <c r="G21" s="341"/>
      <c r="H21" s="341"/>
      <c r="I21" s="341"/>
      <c r="J21" s="341"/>
      <c r="K21" s="341"/>
      <c r="L21" s="341">
        <f>+'Cash sweep &amp; dividend offshore'!D52*Stake_Bu1</f>
        <v>0</v>
      </c>
      <c r="M21" s="341">
        <f ca="1">+'Cash sweep &amp; dividend offshore'!E52*Stake_Bu1</f>
        <v>0</v>
      </c>
      <c r="N21" s="341">
        <f ca="1">+'Cash sweep &amp; dividend offshore'!F52*Stake_Bu1</f>
        <v>0</v>
      </c>
      <c r="O21" s="341">
        <f ca="1">+'Cash sweep &amp; dividend offshore'!G52*Stake_Bu1</f>
        <v>0</v>
      </c>
      <c r="P21" s="341">
        <f ca="1">+'Cash sweep &amp; dividend offshore'!H52*Stake_Bu1</f>
        <v>0</v>
      </c>
      <c r="Q21" s="341">
        <f ca="1">+'Cash sweep &amp; dividend offshore'!I52*Stake_Bu1</f>
        <v>0</v>
      </c>
      <c r="R21" s="341">
        <f ca="1">+'Cash sweep &amp; dividend offshore'!J52*Stake_Bu1</f>
        <v>0</v>
      </c>
      <c r="S21" s="341">
        <f ca="1">+'Cash sweep &amp; dividend offshore'!K52*Stake_Bu1</f>
        <v>0</v>
      </c>
      <c r="T21" s="341">
        <f ca="1">+'Cash sweep &amp; dividend offshore'!L52*Stake_Bu1</f>
        <v>0</v>
      </c>
      <c r="U21" s="341">
        <f ca="1">+'Cash sweep &amp; dividend offshore'!M52*Stake_Bu1</f>
        <v>0</v>
      </c>
      <c r="V21" s="341">
        <f ca="1">+'Cash sweep &amp; dividend offshore'!N52*Stake_Bu1</f>
        <v>0</v>
      </c>
      <c r="W21" s="341">
        <f ca="1">+'Cash sweep &amp; dividend offshore'!O52*Stake_Bu1</f>
        <v>0</v>
      </c>
      <c r="X21" s="341">
        <f ca="1">+'Cash sweep &amp; dividend offshore'!P52*Stake_Bu1</f>
        <v>0</v>
      </c>
      <c r="Y21" s="341">
        <f ca="1">+'Cash sweep &amp; dividend offshore'!Q52*Stake_Bu1</f>
        <v>0</v>
      </c>
      <c r="Z21" s="341">
        <f ca="1">+'Cash sweep &amp; dividend offshore'!R52*Stake_Bu1</f>
        <v>0</v>
      </c>
      <c r="AA21" s="341">
        <f ca="1">+'Cash sweep &amp; dividend offshore'!S52*Stake_Bu1</f>
        <v>0</v>
      </c>
      <c r="AB21" s="341">
        <f ca="1">+'Cash sweep &amp; dividend offshore'!T52*Stake_Bu1</f>
        <v>0</v>
      </c>
      <c r="AC21" s="341">
        <f ca="1">+'Cash sweep &amp; dividend offshore'!U52*Stake_Bu1</f>
        <v>0</v>
      </c>
      <c r="AD21" s="341">
        <f ca="1">+'Cash sweep &amp; dividend offshore'!V52*Stake_Bu1</f>
        <v>0</v>
      </c>
      <c r="AE21" s="341">
        <f ca="1">+'Cash sweep &amp; dividend offshore'!W52*Stake_Bu1</f>
        <v>0</v>
      </c>
      <c r="AF21" s="341">
        <f ca="1">+'Cash sweep &amp; dividend offshore'!X52*Stake_Bu1</f>
        <v>0</v>
      </c>
      <c r="AG21" s="341">
        <f ca="1">+'Cash sweep &amp; dividend offshore'!Y52*Stake_Bu1</f>
        <v>0</v>
      </c>
      <c r="AH21" s="341">
        <f ca="1">+'Cash sweep &amp; dividend offshore'!Z52*Stake_Bu1</f>
        <v>0</v>
      </c>
      <c r="AI21" s="341">
        <f ca="1">+'Cash sweep &amp; dividend offshore'!AA52*Stake_Bu1</f>
        <v>0</v>
      </c>
      <c r="AJ21" s="341" t="e">
        <f ca="1">+'Cash sweep &amp; dividend offshore'!AB52*Stake_Bu1</f>
        <v>#N/A</v>
      </c>
      <c r="AK21" s="341" t="e">
        <f ca="1">+'Cash sweep &amp; dividend offshore'!AC52*Stake_Bu1</f>
        <v>#N/A</v>
      </c>
      <c r="AL21" s="341" t="e">
        <f ca="1">+'Cash sweep &amp; dividend offshore'!AD52*Stake_Bu1</f>
        <v>#N/A</v>
      </c>
      <c r="AM21" s="341" t="e">
        <f ca="1">+'Cash sweep &amp; dividend offshore'!AE52*Stake_Bu1</f>
        <v>#N/A</v>
      </c>
      <c r="AN21" s="341" t="e">
        <f ca="1">+'Cash sweep &amp; dividend offshore'!AF52*Stake_Bu1</f>
        <v>#N/A</v>
      </c>
      <c r="AO21" s="341" t="e">
        <f ca="1">+'Cash sweep &amp; dividend offshore'!AG52*Stake_Bu1</f>
        <v>#N/A</v>
      </c>
    </row>
    <row r="22" spans="3:41" ht="14.6" customHeight="1">
      <c r="C22" s="341" t="s">
        <v>1737</v>
      </c>
      <c r="D22" s="341"/>
      <c r="E22" s="341"/>
      <c r="F22" s="341"/>
      <c r="G22" s="341"/>
      <c r="H22" s="341"/>
      <c r="I22" s="341"/>
      <c r="J22" s="341"/>
      <c r="K22" s="341"/>
      <c r="L22" s="341">
        <f ca="1">+'Cash sweep &amp; dividend onshore'!D52*Stake_Bu2</f>
        <v>0</v>
      </c>
      <c r="M22" s="341">
        <f ca="1">+'Cash sweep &amp; dividend onshore'!E52*Stake_Bu2</f>
        <v>0</v>
      </c>
      <c r="N22" s="341">
        <f ca="1">+'Cash sweep &amp; dividend onshore'!F52*Stake_Bu2</f>
        <v>0</v>
      </c>
      <c r="O22" s="341">
        <f ca="1">+'Cash sweep &amp; dividend onshore'!G52*Stake_Bu2</f>
        <v>0</v>
      </c>
      <c r="P22" s="341">
        <f ca="1">+'Cash sweep &amp; dividend onshore'!H52*Stake_Bu2</f>
        <v>0</v>
      </c>
      <c r="Q22" s="341">
        <f ca="1">+'Cash sweep &amp; dividend onshore'!I52*Stake_Bu2</f>
        <v>0</v>
      </c>
      <c r="R22" s="341">
        <f ca="1">+'Cash sweep &amp; dividend onshore'!J52*Stake_Bu2</f>
        <v>0</v>
      </c>
      <c r="S22" s="341">
        <f ca="1">+'Cash sweep &amp; dividend onshore'!K52*Stake_Bu2</f>
        <v>0</v>
      </c>
      <c r="T22" s="341">
        <f ca="1">+'Cash sweep &amp; dividend onshore'!L52*Stake_Bu2</f>
        <v>0</v>
      </c>
      <c r="U22" s="341">
        <f ca="1">+'Cash sweep &amp; dividend onshore'!M52*Stake_Bu2</f>
        <v>0</v>
      </c>
      <c r="V22" s="341">
        <f ca="1">+'Cash sweep &amp; dividend onshore'!N52*Stake_Bu2</f>
        <v>0</v>
      </c>
      <c r="W22" s="341">
        <f ca="1">+'Cash sweep &amp; dividend onshore'!O52*Stake_Bu2</f>
        <v>0</v>
      </c>
      <c r="X22" s="341">
        <f ca="1">+'Cash sweep &amp; dividend onshore'!P52*Stake_Bu2</f>
        <v>0</v>
      </c>
      <c r="Y22" s="341">
        <f ca="1">+'Cash sweep &amp; dividend onshore'!Q52*Stake_Bu2</f>
        <v>0</v>
      </c>
      <c r="Z22" s="341">
        <f ca="1">+'Cash sweep &amp; dividend onshore'!R52*Stake_Bu2</f>
        <v>0</v>
      </c>
      <c r="AA22" s="341">
        <f ca="1">+'Cash sweep &amp; dividend onshore'!S52*Stake_Bu2</f>
        <v>0</v>
      </c>
      <c r="AB22" s="341">
        <f ca="1">+'Cash sweep &amp; dividend onshore'!T52*Stake_Bu2</f>
        <v>0</v>
      </c>
      <c r="AC22" s="341">
        <f ca="1">+'Cash sweep &amp; dividend onshore'!U52*Stake_Bu2</f>
        <v>0</v>
      </c>
      <c r="AD22" s="341">
        <f ca="1">+'Cash sweep &amp; dividend onshore'!V52*Stake_Bu2</f>
        <v>0</v>
      </c>
      <c r="AE22" s="341">
        <f ca="1">+'Cash sweep &amp; dividend onshore'!W52*Stake_Bu2</f>
        <v>0</v>
      </c>
      <c r="AF22" s="341">
        <f ca="1">+'Cash sweep &amp; dividend onshore'!X52*Stake_Bu2</f>
        <v>0</v>
      </c>
      <c r="AG22" s="341">
        <f ca="1">+'Cash sweep &amp; dividend onshore'!Y52*Stake_Bu2</f>
        <v>0</v>
      </c>
      <c r="AH22" s="341">
        <f ca="1">+'Cash sweep &amp; dividend onshore'!Z52*Stake_Bu2</f>
        <v>0</v>
      </c>
      <c r="AI22" s="341">
        <f ca="1">+'Cash sweep &amp; dividend onshore'!AA52*Stake_Bu2</f>
        <v>0</v>
      </c>
      <c r="AJ22" s="341" t="e">
        <f ca="1">+'Cash sweep &amp; dividend onshore'!AB52*Stake_Bu2</f>
        <v>#N/A</v>
      </c>
      <c r="AK22" s="341" t="e">
        <f ca="1">+'Cash sweep &amp; dividend onshore'!AC52*Stake_Bu2</f>
        <v>#N/A</v>
      </c>
      <c r="AL22" s="341" t="e">
        <f ca="1">+'Cash sweep &amp; dividend onshore'!AD52*Stake_Bu2</f>
        <v>#N/A</v>
      </c>
      <c r="AM22" s="341" t="e">
        <f ca="1">+'Cash sweep &amp; dividend onshore'!AE52*Stake_Bu2</f>
        <v>#N/A</v>
      </c>
      <c r="AN22" s="341" t="e">
        <f ca="1">+'Cash sweep &amp; dividend onshore'!AF52*Stake_Bu2</f>
        <v>#N/A</v>
      </c>
      <c r="AO22" s="341" t="e">
        <f ca="1">+'Cash sweep &amp; dividend onshore'!AG52*Stake_Bu2</f>
        <v>#N/A</v>
      </c>
    </row>
    <row r="23" spans="3:41" s="180" customFormat="1" ht="14.6" customHeight="1">
      <c r="C23" s="180" t="s">
        <v>1516</v>
      </c>
      <c r="L23" s="180">
        <f>L$5*L13*INDEX('IS Holdco'!32:32,MATCH(L$8,'IS Holdco'!17:17,0))</f>
        <v>0</v>
      </c>
      <c r="M23" s="180">
        <f>M$5*M13*INDEX('IS Holdco'!32:32,MATCH(M$8,'IS Holdco'!17:17,0))</f>
        <v>0</v>
      </c>
      <c r="N23" s="180">
        <f>N$5*N13*INDEX('IS Holdco'!32:32,MATCH(N$8,'IS Holdco'!17:17,0))</f>
        <v>0</v>
      </c>
      <c r="O23" s="180">
        <f>O$5*O13*INDEX('IS Holdco'!32:32,MATCH(O$8,'IS Holdco'!17:17,0))</f>
        <v>0</v>
      </c>
      <c r="P23" s="180">
        <f>P$5*P13*INDEX('IS Holdco'!32:32,MATCH(P$8,'IS Holdco'!17:17,0))</f>
        <v>0</v>
      </c>
      <c r="Q23" s="180">
        <f>Q$5*Q13*INDEX('IS Holdco'!32:32,MATCH(Q$8,'IS Holdco'!17:17,0))</f>
        <v>0</v>
      </c>
      <c r="R23" s="180">
        <f>R$5*R13*INDEX('IS Holdco'!32:32,MATCH(R$8,'IS Holdco'!17:17,0))</f>
        <v>0</v>
      </c>
      <c r="S23" s="180">
        <f>S$5*S13*INDEX('IS Holdco'!32:32,MATCH(S$8,'IS Holdco'!17:17,0))</f>
        <v>0</v>
      </c>
      <c r="T23" s="180">
        <f>T$5*T13*INDEX('IS Holdco'!32:32,MATCH(T$8,'IS Holdco'!17:17,0))</f>
        <v>0</v>
      </c>
      <c r="U23" s="180">
        <f>U$5*U13*INDEX('IS Holdco'!32:32,MATCH(U$8,'IS Holdco'!17:17,0))</f>
        <v>0</v>
      </c>
      <c r="V23" s="180">
        <f>V$5*V13*INDEX('IS Holdco'!32:32,MATCH(V$8,'IS Holdco'!17:17,0))</f>
        <v>0</v>
      </c>
      <c r="W23" s="180">
        <f>W$5*W13*INDEX('IS Holdco'!32:32,MATCH(W$8,'IS Holdco'!17:17,0))</f>
        <v>0</v>
      </c>
      <c r="X23" s="180">
        <f>X$5*X13*INDEX('IS Holdco'!32:32,MATCH(X$8,'IS Holdco'!17:17,0))</f>
        <v>0</v>
      </c>
      <c r="Y23" s="180">
        <f>Y$5*Y13*INDEX('IS Holdco'!32:32,MATCH(Y$8,'IS Holdco'!17:17,0))</f>
        <v>0</v>
      </c>
      <c r="Z23" s="180">
        <f>Z$5*Z13*INDEX('IS Holdco'!32:32,MATCH(Z$8,'IS Holdco'!17:17,0))</f>
        <v>0</v>
      </c>
      <c r="AA23" s="180">
        <f>AA$5*AA13*INDEX('IS Holdco'!32:32,MATCH(AA$8,'IS Holdco'!17:17,0))</f>
        <v>0</v>
      </c>
      <c r="AB23" s="180">
        <f>AB$5*AB13*INDEX('IS Holdco'!32:32,MATCH(AB$8,'IS Holdco'!17:17,0))</f>
        <v>0</v>
      </c>
      <c r="AC23" s="180">
        <f>AC$5*AC13*INDEX('IS Holdco'!32:32,MATCH(AC$8,'IS Holdco'!17:17,0))</f>
        <v>0</v>
      </c>
      <c r="AD23" s="180">
        <f>AD$5*AD13*INDEX('IS Holdco'!32:32,MATCH(AD$8,'IS Holdco'!17:17,0))</f>
        <v>0</v>
      </c>
      <c r="AE23" s="180">
        <f>AE$5*AE13*INDEX('IS Holdco'!32:32,MATCH(AE$8,'IS Holdco'!17:17,0))</f>
        <v>0</v>
      </c>
      <c r="AF23" s="180">
        <f>AF$5*AF13*INDEX('IS Holdco'!32:32,MATCH(AF$8,'IS Holdco'!17:17,0))</f>
        <v>0</v>
      </c>
      <c r="AG23" s="180">
        <f>AG$5*AG13*INDEX('IS Holdco'!32:32,MATCH(AG$8,'IS Holdco'!17:17,0))</f>
        <v>0</v>
      </c>
      <c r="AH23" s="180">
        <f>AH$5*AH13*INDEX('IS Holdco'!32:32,MATCH(AH$8,'IS Holdco'!17:17,0))</f>
        <v>0</v>
      </c>
      <c r="AI23" s="180">
        <f>AI$5*AI13*INDEX('IS Holdco'!32:32,MATCH(AI$8,'IS Holdco'!17:17,0))</f>
        <v>0</v>
      </c>
      <c r="AJ23" s="180" t="e">
        <f>AJ$5*AJ13*INDEX('IS Holdco'!32:32,MATCH(AJ$8,'IS Holdco'!17:17,0))</f>
        <v>#N/A</v>
      </c>
      <c r="AK23" s="180" t="e">
        <f>AK$5*AK13*INDEX('IS Holdco'!32:32,MATCH(AK$8,'IS Holdco'!17:17,0))</f>
        <v>#N/A</v>
      </c>
      <c r="AL23" s="180" t="e">
        <f>AL$5*AL13*INDEX('IS Holdco'!32:32,MATCH(AL$8,'IS Holdco'!17:17,0))</f>
        <v>#N/A</v>
      </c>
      <c r="AM23" s="180" t="e">
        <f>AM$5*AM13*INDEX('IS Holdco'!32:32,MATCH(AM$8,'IS Holdco'!17:17,0))</f>
        <v>#N/A</v>
      </c>
      <c r="AN23" s="180" t="e">
        <f>AN$5*AN13*INDEX('IS Holdco'!32:32,MATCH(AN$8,'IS Holdco'!17:17,0))</f>
        <v>#N/A</v>
      </c>
      <c r="AO23" s="180" t="e">
        <f>AO$5*AO13*INDEX('IS Holdco'!32:32,MATCH(AO$8,'IS Holdco'!17:17,0))</f>
        <v>#N/A</v>
      </c>
    </row>
    <row r="24" spans="3:41" ht="14.6" customHeight="1">
      <c r="C24" s="180" t="s">
        <v>1485</v>
      </c>
      <c r="D24" s="291"/>
      <c r="E24" s="291"/>
      <c r="F24" s="291"/>
      <c r="G24" s="291"/>
      <c r="H24" s="291"/>
      <c r="I24" s="291"/>
      <c r="J24" s="291"/>
      <c r="K24" s="291"/>
      <c r="L24" s="383">
        <f t="shared" ref="L24:AJ24" ca="1" si="20">SUM(L25:L27)</f>
        <v>0</v>
      </c>
      <c r="M24" s="383">
        <f t="shared" ca="1" si="20"/>
        <v>0</v>
      </c>
      <c r="N24" s="383">
        <f t="shared" ca="1" si="20"/>
        <v>0</v>
      </c>
      <c r="O24" s="383">
        <f t="shared" ca="1" si="20"/>
        <v>0</v>
      </c>
      <c r="P24" s="383">
        <f t="shared" ca="1" si="20"/>
        <v>0</v>
      </c>
      <c r="Q24" s="383">
        <f t="shared" ca="1" si="20"/>
        <v>0</v>
      </c>
      <c r="R24" s="383">
        <f t="shared" ca="1" si="20"/>
        <v>0</v>
      </c>
      <c r="S24" s="383">
        <f t="shared" ca="1" si="20"/>
        <v>0</v>
      </c>
      <c r="T24" s="383">
        <f t="shared" ca="1" si="20"/>
        <v>0</v>
      </c>
      <c r="U24" s="383">
        <f t="shared" ca="1" si="20"/>
        <v>0</v>
      </c>
      <c r="V24" s="383">
        <f t="shared" ca="1" si="20"/>
        <v>0</v>
      </c>
      <c r="W24" s="383">
        <f t="shared" ca="1" si="20"/>
        <v>0</v>
      </c>
      <c r="X24" s="383">
        <f t="shared" ca="1" si="20"/>
        <v>0</v>
      </c>
      <c r="Y24" s="383">
        <f t="shared" ca="1" si="20"/>
        <v>0</v>
      </c>
      <c r="Z24" s="383">
        <f t="shared" ca="1" si="20"/>
        <v>0</v>
      </c>
      <c r="AA24" s="383">
        <f t="shared" ca="1" si="20"/>
        <v>0</v>
      </c>
      <c r="AB24" s="383">
        <f t="shared" ca="1" si="20"/>
        <v>0</v>
      </c>
      <c r="AC24" s="383">
        <f t="shared" ca="1" si="20"/>
        <v>0</v>
      </c>
      <c r="AD24" s="383">
        <f t="shared" ca="1" si="20"/>
        <v>0</v>
      </c>
      <c r="AE24" s="383">
        <f t="shared" ca="1" si="20"/>
        <v>0</v>
      </c>
      <c r="AF24" s="383">
        <f t="shared" ca="1" si="20"/>
        <v>0</v>
      </c>
      <c r="AG24" s="383">
        <f t="shared" ca="1" si="20"/>
        <v>0</v>
      </c>
      <c r="AH24" s="383">
        <f t="shared" ca="1" si="20"/>
        <v>0</v>
      </c>
      <c r="AI24" s="383">
        <f t="shared" ca="1" si="20"/>
        <v>0</v>
      </c>
      <c r="AJ24" s="383" t="e">
        <f t="shared" ca="1" si="20"/>
        <v>#N/A</v>
      </c>
      <c r="AK24" s="383" t="e">
        <f t="shared" ref="AK24:AN24" ca="1" si="21">SUM(AK25:AK27)</f>
        <v>#N/A</v>
      </c>
      <c r="AL24" s="383" t="e">
        <f t="shared" ca="1" si="21"/>
        <v>#N/A</v>
      </c>
      <c r="AM24" s="383" t="e">
        <f t="shared" ca="1" si="21"/>
        <v>#N/A</v>
      </c>
      <c r="AN24" s="383" t="e">
        <f t="shared" ca="1" si="21"/>
        <v>#N/A</v>
      </c>
      <c r="AO24" s="383" t="e">
        <f t="shared" ref="AO24" ca="1" si="22">SUM(AO25:AO27)</f>
        <v>#N/A</v>
      </c>
    </row>
    <row r="25" spans="3:41" ht="14.6" customHeight="1">
      <c r="C25" s="384" t="s">
        <v>1487</v>
      </c>
      <c r="D25" s="291"/>
      <c r="E25" s="291"/>
      <c r="F25" s="291"/>
      <c r="G25" s="291"/>
      <c r="H25" s="291"/>
      <c r="I25" s="291"/>
      <c r="J25" s="291"/>
      <c r="K25" s="291"/>
      <c r="L25" s="376">
        <f>-Withholding_tax_BU1*L21</f>
        <v>0</v>
      </c>
      <c r="M25" s="376">
        <f t="shared" ref="M25:AJ25" ca="1" si="23">-Withholding_tax_BU1*M21</f>
        <v>0</v>
      </c>
      <c r="N25" s="376">
        <f t="shared" ca="1" si="23"/>
        <v>0</v>
      </c>
      <c r="O25" s="376">
        <f t="shared" ca="1" si="23"/>
        <v>0</v>
      </c>
      <c r="P25" s="376">
        <f t="shared" ca="1" si="23"/>
        <v>0</v>
      </c>
      <c r="Q25" s="376">
        <f t="shared" ca="1" si="23"/>
        <v>0</v>
      </c>
      <c r="R25" s="376">
        <f t="shared" ca="1" si="23"/>
        <v>0</v>
      </c>
      <c r="S25" s="376">
        <f t="shared" ca="1" si="23"/>
        <v>0</v>
      </c>
      <c r="T25" s="376">
        <f t="shared" ca="1" si="23"/>
        <v>0</v>
      </c>
      <c r="U25" s="376">
        <f t="shared" ca="1" si="23"/>
        <v>0</v>
      </c>
      <c r="V25" s="376">
        <f t="shared" ca="1" si="23"/>
        <v>0</v>
      </c>
      <c r="W25" s="376">
        <f t="shared" ca="1" si="23"/>
        <v>0</v>
      </c>
      <c r="X25" s="376">
        <f t="shared" ca="1" si="23"/>
        <v>0</v>
      </c>
      <c r="Y25" s="376">
        <f t="shared" ca="1" si="23"/>
        <v>0</v>
      </c>
      <c r="Z25" s="376">
        <f t="shared" ca="1" si="23"/>
        <v>0</v>
      </c>
      <c r="AA25" s="376">
        <f t="shared" ca="1" si="23"/>
        <v>0</v>
      </c>
      <c r="AB25" s="376">
        <f t="shared" ca="1" si="23"/>
        <v>0</v>
      </c>
      <c r="AC25" s="376">
        <f t="shared" ca="1" si="23"/>
        <v>0</v>
      </c>
      <c r="AD25" s="376">
        <f t="shared" ca="1" si="23"/>
        <v>0</v>
      </c>
      <c r="AE25" s="376">
        <f t="shared" ca="1" si="23"/>
        <v>0</v>
      </c>
      <c r="AF25" s="376">
        <f t="shared" ca="1" si="23"/>
        <v>0</v>
      </c>
      <c r="AG25" s="376">
        <f t="shared" ca="1" si="23"/>
        <v>0</v>
      </c>
      <c r="AH25" s="376">
        <f t="shared" ca="1" si="23"/>
        <v>0</v>
      </c>
      <c r="AI25" s="376">
        <f t="shared" ca="1" si="23"/>
        <v>0</v>
      </c>
      <c r="AJ25" s="376" t="e">
        <f t="shared" ca="1" si="23"/>
        <v>#N/A</v>
      </c>
      <c r="AK25" s="376" t="e">
        <f t="shared" ref="AK25:AN25" ca="1" si="24">-Withholding_tax_BU1*AK21</f>
        <v>#N/A</v>
      </c>
      <c r="AL25" s="376" t="e">
        <f t="shared" ca="1" si="24"/>
        <v>#N/A</v>
      </c>
      <c r="AM25" s="376" t="e">
        <f t="shared" ca="1" si="24"/>
        <v>#N/A</v>
      </c>
      <c r="AN25" s="376" t="e">
        <f t="shared" ca="1" si="24"/>
        <v>#N/A</v>
      </c>
      <c r="AO25" s="376" t="e">
        <f t="shared" ref="AO25" ca="1" si="25">-Withholding_tax_BU1*AO21</f>
        <v>#N/A</v>
      </c>
    </row>
    <row r="26" spans="3:41" ht="14.6" customHeight="1">
      <c r="C26" s="384" t="s">
        <v>1738</v>
      </c>
      <c r="D26" s="291"/>
      <c r="E26" s="291"/>
      <c r="F26" s="291"/>
      <c r="G26" s="291"/>
      <c r="H26" s="291"/>
      <c r="I26" s="291"/>
      <c r="J26" s="291"/>
      <c r="K26" s="291"/>
      <c r="L26" s="376">
        <f t="shared" ref="L26:AO26" ca="1" si="26">-Withholding_tax_BU2*L22</f>
        <v>0</v>
      </c>
      <c r="M26" s="376">
        <f t="shared" ca="1" si="26"/>
        <v>0</v>
      </c>
      <c r="N26" s="376">
        <f t="shared" ca="1" si="26"/>
        <v>0</v>
      </c>
      <c r="O26" s="376">
        <f t="shared" ca="1" si="26"/>
        <v>0</v>
      </c>
      <c r="P26" s="376">
        <f t="shared" ca="1" si="26"/>
        <v>0</v>
      </c>
      <c r="Q26" s="376">
        <f t="shared" ca="1" si="26"/>
        <v>0</v>
      </c>
      <c r="R26" s="376">
        <f t="shared" ca="1" si="26"/>
        <v>0</v>
      </c>
      <c r="S26" s="376">
        <f t="shared" ca="1" si="26"/>
        <v>0</v>
      </c>
      <c r="T26" s="376">
        <f t="shared" ca="1" si="26"/>
        <v>0</v>
      </c>
      <c r="U26" s="376">
        <f t="shared" ca="1" si="26"/>
        <v>0</v>
      </c>
      <c r="V26" s="376">
        <f t="shared" ca="1" si="26"/>
        <v>0</v>
      </c>
      <c r="W26" s="376">
        <f t="shared" ca="1" si="26"/>
        <v>0</v>
      </c>
      <c r="X26" s="376">
        <f t="shared" ca="1" si="26"/>
        <v>0</v>
      </c>
      <c r="Y26" s="376">
        <f t="shared" ca="1" si="26"/>
        <v>0</v>
      </c>
      <c r="Z26" s="376">
        <f t="shared" ca="1" si="26"/>
        <v>0</v>
      </c>
      <c r="AA26" s="376">
        <f t="shared" ca="1" si="26"/>
        <v>0</v>
      </c>
      <c r="AB26" s="376">
        <f t="shared" ca="1" si="26"/>
        <v>0</v>
      </c>
      <c r="AC26" s="376">
        <f t="shared" ca="1" si="26"/>
        <v>0</v>
      </c>
      <c r="AD26" s="376">
        <f t="shared" ca="1" si="26"/>
        <v>0</v>
      </c>
      <c r="AE26" s="376">
        <f t="shared" ca="1" si="26"/>
        <v>0</v>
      </c>
      <c r="AF26" s="376">
        <f t="shared" ca="1" si="26"/>
        <v>0</v>
      </c>
      <c r="AG26" s="376">
        <f t="shared" ca="1" si="26"/>
        <v>0</v>
      </c>
      <c r="AH26" s="376">
        <f t="shared" ca="1" si="26"/>
        <v>0</v>
      </c>
      <c r="AI26" s="376">
        <f t="shared" ca="1" si="26"/>
        <v>0</v>
      </c>
      <c r="AJ26" s="376" t="e">
        <f t="shared" ca="1" si="26"/>
        <v>#N/A</v>
      </c>
      <c r="AK26" s="376" t="e">
        <f t="shared" ca="1" si="26"/>
        <v>#N/A</v>
      </c>
      <c r="AL26" s="376" t="e">
        <f t="shared" ca="1" si="26"/>
        <v>#N/A</v>
      </c>
      <c r="AM26" s="376" t="e">
        <f t="shared" ca="1" si="26"/>
        <v>#N/A</v>
      </c>
      <c r="AN26" s="376" t="e">
        <f t="shared" ca="1" si="26"/>
        <v>#N/A</v>
      </c>
      <c r="AO26" s="376" t="e">
        <f t="shared" ca="1" si="26"/>
        <v>#N/A</v>
      </c>
    </row>
    <row r="27" spans="3:41" ht="14.6" customHeight="1">
      <c r="C27" s="381" t="s">
        <v>1488</v>
      </c>
      <c r="D27" s="291"/>
      <c r="E27" s="291"/>
      <c r="F27" s="291"/>
      <c r="G27" s="291"/>
      <c r="H27" s="291"/>
      <c r="I27" s="291"/>
      <c r="J27" s="291"/>
      <c r="K27" s="291"/>
      <c r="L27" s="376"/>
      <c r="M27" s="376"/>
      <c r="N27" s="376"/>
      <c r="O27" s="376"/>
      <c r="P27" s="376"/>
      <c r="Q27" s="376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</row>
    <row r="28" spans="3:41" ht="14.6" customHeight="1">
      <c r="C28" s="180" t="s">
        <v>1483</v>
      </c>
      <c r="D28" s="180"/>
      <c r="E28" s="180"/>
      <c r="F28" s="180"/>
      <c r="G28" s="180"/>
      <c r="H28" s="180"/>
      <c r="I28" s="180"/>
      <c r="J28" s="180"/>
      <c r="K28" s="180"/>
      <c r="L28" s="180">
        <f ca="1">SUM(L29:L30)</f>
        <v>0</v>
      </c>
      <c r="M28" s="180">
        <f t="shared" ref="M28:AO28" ca="1" si="27">SUM(M29:M30)</f>
        <v>0</v>
      </c>
      <c r="N28" s="180">
        <f t="shared" ca="1" si="27"/>
        <v>0</v>
      </c>
      <c r="O28" s="180">
        <f t="shared" ca="1" si="27"/>
        <v>0</v>
      </c>
      <c r="P28" s="180">
        <f t="shared" ca="1" si="27"/>
        <v>0</v>
      </c>
      <c r="Q28" s="180">
        <f t="shared" ca="1" si="27"/>
        <v>0</v>
      </c>
      <c r="R28" s="180">
        <f t="shared" ca="1" si="27"/>
        <v>0</v>
      </c>
      <c r="S28" s="180">
        <f t="shared" ca="1" si="27"/>
        <v>0</v>
      </c>
      <c r="T28" s="180">
        <f t="shared" ca="1" si="27"/>
        <v>0</v>
      </c>
      <c r="U28" s="180">
        <f t="shared" ca="1" si="27"/>
        <v>0</v>
      </c>
      <c r="V28" s="180">
        <f t="shared" ca="1" si="27"/>
        <v>0</v>
      </c>
      <c r="W28" s="180">
        <f t="shared" ca="1" si="27"/>
        <v>0</v>
      </c>
      <c r="X28" s="180">
        <f t="shared" ca="1" si="27"/>
        <v>0</v>
      </c>
      <c r="Y28" s="180">
        <f t="shared" ca="1" si="27"/>
        <v>0</v>
      </c>
      <c r="Z28" s="180">
        <f t="shared" ca="1" si="27"/>
        <v>0</v>
      </c>
      <c r="AA28" s="180">
        <f t="shared" ca="1" si="27"/>
        <v>0</v>
      </c>
      <c r="AB28" s="180">
        <f t="shared" ca="1" si="27"/>
        <v>0</v>
      </c>
      <c r="AC28" s="180">
        <f t="shared" ca="1" si="27"/>
        <v>0</v>
      </c>
      <c r="AD28" s="180">
        <f t="shared" ca="1" si="27"/>
        <v>0</v>
      </c>
      <c r="AE28" s="180">
        <f t="shared" ca="1" si="27"/>
        <v>0</v>
      </c>
      <c r="AF28" s="180">
        <f t="shared" ca="1" si="27"/>
        <v>0</v>
      </c>
      <c r="AG28" s="180">
        <f t="shared" ca="1" si="27"/>
        <v>0</v>
      </c>
      <c r="AH28" s="180">
        <f t="shared" ca="1" si="27"/>
        <v>0</v>
      </c>
      <c r="AI28" s="180">
        <f t="shared" ca="1" si="27"/>
        <v>0</v>
      </c>
      <c r="AJ28" s="180" t="e">
        <f t="shared" ca="1" si="27"/>
        <v>#N/A</v>
      </c>
      <c r="AK28" s="180" t="e">
        <f t="shared" ca="1" si="27"/>
        <v>#N/A</v>
      </c>
      <c r="AL28" s="180" t="e">
        <f t="shared" ca="1" si="27"/>
        <v>#N/A</v>
      </c>
      <c r="AM28" s="180" t="e">
        <f t="shared" ca="1" si="27"/>
        <v>#N/A</v>
      </c>
      <c r="AN28" s="180" t="e">
        <f t="shared" ca="1" si="27"/>
        <v>#N/A</v>
      </c>
      <c r="AO28" s="180" t="e">
        <f t="shared" ca="1" si="27"/>
        <v>#N/A</v>
      </c>
    </row>
    <row r="29" spans="3:41" ht="14.6" customHeight="1">
      <c r="C29" s="341" t="s">
        <v>1482</v>
      </c>
      <c r="D29" s="341"/>
      <c r="E29" s="341"/>
      <c r="F29" s="341"/>
      <c r="G29" s="341"/>
      <c r="H29" s="341"/>
      <c r="I29" s="341"/>
      <c r="J29" s="341"/>
      <c r="K29" s="341"/>
      <c r="L29" s="341">
        <f>-'Financial Quarterly offshore'!D85</f>
        <v>0</v>
      </c>
      <c r="M29" s="341">
        <f ca="1">-'Financial Quarterly offshore'!E85</f>
        <v>0</v>
      </c>
      <c r="N29" s="341">
        <f ca="1">-'Financial Quarterly offshore'!F85</f>
        <v>0</v>
      </c>
      <c r="O29" s="341">
        <f ca="1">-'Financial Quarterly offshore'!G85</f>
        <v>0</v>
      </c>
      <c r="P29" s="341">
        <f ca="1">-'Financial Quarterly offshore'!H85</f>
        <v>0</v>
      </c>
      <c r="Q29" s="341">
        <f ca="1">-'Financial Quarterly offshore'!I85</f>
        <v>0</v>
      </c>
      <c r="R29" s="341">
        <f ca="1">-'Financial Quarterly offshore'!J85</f>
        <v>0</v>
      </c>
      <c r="S29" s="341">
        <f ca="1">-'Financial Quarterly offshore'!K85</f>
        <v>0</v>
      </c>
      <c r="T29" s="341">
        <f ca="1">-'Financial Quarterly offshore'!L85</f>
        <v>0</v>
      </c>
      <c r="U29" s="341">
        <f ca="1">-'Financial Quarterly offshore'!M85</f>
        <v>0</v>
      </c>
      <c r="V29" s="341">
        <f ca="1">-'Financial Quarterly offshore'!N85</f>
        <v>0</v>
      </c>
      <c r="W29" s="341">
        <f ca="1">-'Financial Quarterly offshore'!O85</f>
        <v>0</v>
      </c>
      <c r="X29" s="341">
        <f ca="1">-'Financial Quarterly offshore'!P85</f>
        <v>0</v>
      </c>
      <c r="Y29" s="341">
        <f ca="1">-'Financial Quarterly offshore'!Q85</f>
        <v>0</v>
      </c>
      <c r="Z29" s="341">
        <f ca="1">-'Financial Quarterly offshore'!R85</f>
        <v>0</v>
      </c>
      <c r="AA29" s="341">
        <f ca="1">-'Financial Quarterly offshore'!S85</f>
        <v>0</v>
      </c>
      <c r="AB29" s="341">
        <f ca="1">-'Financial Quarterly offshore'!T85</f>
        <v>0</v>
      </c>
      <c r="AC29" s="341">
        <f ca="1">-'Financial Quarterly offshore'!U85</f>
        <v>0</v>
      </c>
      <c r="AD29" s="341">
        <f ca="1">-'Financial Quarterly offshore'!V85</f>
        <v>0</v>
      </c>
      <c r="AE29" s="341">
        <f ca="1">-'Financial Quarterly offshore'!W85</f>
        <v>0</v>
      </c>
      <c r="AF29" s="341">
        <f ca="1">-'Financial Quarterly offshore'!X85</f>
        <v>0</v>
      </c>
      <c r="AG29" s="341">
        <f ca="1">-'Financial Quarterly offshore'!Y85</f>
        <v>0</v>
      </c>
      <c r="AH29" s="341">
        <f ca="1">-'Financial Quarterly offshore'!Z85</f>
        <v>0</v>
      </c>
      <c r="AI29" s="341">
        <f ca="1">-'Financial Quarterly offshore'!AA85</f>
        <v>0</v>
      </c>
      <c r="AJ29" s="341" t="e">
        <f ca="1">-'Financial Quarterly offshore'!AB85</f>
        <v>#N/A</v>
      </c>
      <c r="AK29" s="341" t="e">
        <f ca="1">-'Financial Quarterly offshore'!AC85</f>
        <v>#N/A</v>
      </c>
      <c r="AL29" s="341" t="e">
        <f ca="1">-'Financial Quarterly offshore'!AD85</f>
        <v>#N/A</v>
      </c>
      <c r="AM29" s="341" t="e">
        <f ca="1">-'Financial Quarterly offshore'!AE85</f>
        <v>#N/A</v>
      </c>
      <c r="AN29" s="341" t="e">
        <f ca="1">-'Financial Quarterly offshore'!AF85</f>
        <v>#N/A</v>
      </c>
      <c r="AO29" s="341" t="e">
        <f ca="1">-'Financial Quarterly offshore'!AG85</f>
        <v>#N/A</v>
      </c>
    </row>
    <row r="30" spans="3:41" ht="14.6" customHeight="1">
      <c r="C30" s="341" t="s">
        <v>1739</v>
      </c>
      <c r="D30" s="341"/>
      <c r="E30" s="341"/>
      <c r="F30" s="341"/>
      <c r="G30" s="341"/>
      <c r="H30" s="341"/>
      <c r="I30" s="341"/>
      <c r="J30" s="341"/>
      <c r="K30" s="341"/>
      <c r="L30" s="341">
        <f ca="1">-'Financial Quarterly onshore'!D85</f>
        <v>0</v>
      </c>
      <c r="M30" s="341">
        <f ca="1">-'Financial Quarterly onshore'!E85</f>
        <v>0</v>
      </c>
      <c r="N30" s="341">
        <f ca="1">-'Financial Quarterly onshore'!F85</f>
        <v>0</v>
      </c>
      <c r="O30" s="341">
        <f ca="1">-'Financial Quarterly onshore'!G85</f>
        <v>0</v>
      </c>
      <c r="P30" s="341">
        <f ca="1">-'Financial Quarterly onshore'!H85</f>
        <v>0</v>
      </c>
      <c r="Q30" s="341">
        <f ca="1">-'Financial Quarterly onshore'!I85</f>
        <v>0</v>
      </c>
      <c r="R30" s="341">
        <f ca="1">-'Financial Quarterly onshore'!J85</f>
        <v>0</v>
      </c>
      <c r="S30" s="341">
        <f ca="1">-'Financial Quarterly onshore'!K85</f>
        <v>0</v>
      </c>
      <c r="T30" s="341">
        <f ca="1">-'Financial Quarterly onshore'!L85</f>
        <v>0</v>
      </c>
      <c r="U30" s="341">
        <f ca="1">-'Financial Quarterly onshore'!M85</f>
        <v>0</v>
      </c>
      <c r="V30" s="341">
        <f ca="1">-'Financial Quarterly onshore'!N85</f>
        <v>0</v>
      </c>
      <c r="W30" s="341">
        <f ca="1">-'Financial Quarterly onshore'!O85</f>
        <v>0</v>
      </c>
      <c r="X30" s="341">
        <f ca="1">-'Financial Quarterly onshore'!P85</f>
        <v>0</v>
      </c>
      <c r="Y30" s="341">
        <f ca="1">-'Financial Quarterly onshore'!Q85</f>
        <v>0</v>
      </c>
      <c r="Z30" s="341">
        <f ca="1">-'Financial Quarterly onshore'!R85</f>
        <v>0</v>
      </c>
      <c r="AA30" s="341">
        <f ca="1">-'Financial Quarterly onshore'!S85</f>
        <v>0</v>
      </c>
      <c r="AB30" s="341">
        <f ca="1">-'Financial Quarterly onshore'!T85</f>
        <v>0</v>
      </c>
      <c r="AC30" s="341">
        <f ca="1">-'Financial Quarterly onshore'!U85</f>
        <v>0</v>
      </c>
      <c r="AD30" s="341">
        <f ca="1">-'Financial Quarterly onshore'!V85</f>
        <v>0</v>
      </c>
      <c r="AE30" s="341">
        <f ca="1">-'Financial Quarterly onshore'!W85</f>
        <v>0</v>
      </c>
      <c r="AF30" s="341">
        <f ca="1">-'Financial Quarterly onshore'!X85</f>
        <v>0</v>
      </c>
      <c r="AG30" s="341">
        <f ca="1">-'Financial Quarterly onshore'!Y85</f>
        <v>0</v>
      </c>
      <c r="AH30" s="341">
        <f ca="1">-'Financial Quarterly onshore'!Z85</f>
        <v>0</v>
      </c>
      <c r="AI30" s="341">
        <f ca="1">-'Financial Quarterly onshore'!AA85</f>
        <v>0</v>
      </c>
      <c r="AJ30" s="341" t="e">
        <f ca="1">-'Financial Quarterly onshore'!AB85</f>
        <v>#N/A</v>
      </c>
      <c r="AK30" s="341" t="e">
        <f ca="1">-'Financial Quarterly onshore'!AC85</f>
        <v>#N/A</v>
      </c>
      <c r="AL30" s="341" t="e">
        <f ca="1">-'Financial Quarterly onshore'!AD85</f>
        <v>#N/A</v>
      </c>
      <c r="AM30" s="341" t="e">
        <f ca="1">-'Financial Quarterly onshore'!AE85</f>
        <v>#N/A</v>
      </c>
      <c r="AN30" s="341" t="e">
        <f ca="1">-'Financial Quarterly onshore'!AF85</f>
        <v>#N/A</v>
      </c>
      <c r="AO30" s="341" t="e">
        <f ca="1">-'Financial Quarterly onshore'!AG85</f>
        <v>#N/A</v>
      </c>
    </row>
    <row r="31" spans="3:41" ht="14.6" customHeight="1">
      <c r="C31" s="195" t="s">
        <v>723</v>
      </c>
      <c r="D31" s="195"/>
      <c r="E31" s="195"/>
      <c r="F31" s="195"/>
      <c r="G31" s="195"/>
      <c r="H31" s="195"/>
      <c r="I31" s="195"/>
      <c r="J31" s="195"/>
      <c r="K31" s="195"/>
      <c r="L31" s="195">
        <f ca="1">+L20+L23+L24+L28</f>
        <v>0</v>
      </c>
      <c r="M31" s="195">
        <f t="shared" ref="M31:AJ31" ca="1" si="28">+M20+M23+M24+M28</f>
        <v>0</v>
      </c>
      <c r="N31" s="195">
        <f t="shared" ca="1" si="28"/>
        <v>0</v>
      </c>
      <c r="O31" s="195">
        <f t="shared" ca="1" si="28"/>
        <v>0</v>
      </c>
      <c r="P31" s="195">
        <f t="shared" ca="1" si="28"/>
        <v>0</v>
      </c>
      <c r="Q31" s="195">
        <f t="shared" ca="1" si="28"/>
        <v>0</v>
      </c>
      <c r="R31" s="195">
        <f t="shared" ca="1" si="28"/>
        <v>0</v>
      </c>
      <c r="S31" s="195">
        <f t="shared" ca="1" si="28"/>
        <v>0</v>
      </c>
      <c r="T31" s="195">
        <f t="shared" ca="1" si="28"/>
        <v>0</v>
      </c>
      <c r="U31" s="195">
        <f t="shared" ca="1" si="28"/>
        <v>0</v>
      </c>
      <c r="V31" s="195">
        <f t="shared" ca="1" si="28"/>
        <v>0</v>
      </c>
      <c r="W31" s="195">
        <f t="shared" ca="1" si="28"/>
        <v>0</v>
      </c>
      <c r="X31" s="195">
        <f t="shared" ca="1" si="28"/>
        <v>0</v>
      </c>
      <c r="Y31" s="195">
        <f t="shared" ca="1" si="28"/>
        <v>0</v>
      </c>
      <c r="Z31" s="195">
        <f t="shared" ca="1" si="28"/>
        <v>0</v>
      </c>
      <c r="AA31" s="195">
        <f t="shared" ca="1" si="28"/>
        <v>0</v>
      </c>
      <c r="AB31" s="195">
        <f t="shared" ca="1" si="28"/>
        <v>0</v>
      </c>
      <c r="AC31" s="195">
        <f t="shared" ca="1" si="28"/>
        <v>0</v>
      </c>
      <c r="AD31" s="195">
        <f t="shared" ca="1" si="28"/>
        <v>0</v>
      </c>
      <c r="AE31" s="195">
        <f t="shared" ca="1" si="28"/>
        <v>0</v>
      </c>
      <c r="AF31" s="195">
        <f t="shared" ca="1" si="28"/>
        <v>0</v>
      </c>
      <c r="AG31" s="195">
        <f t="shared" ca="1" si="28"/>
        <v>0</v>
      </c>
      <c r="AH31" s="195">
        <f t="shared" ca="1" si="28"/>
        <v>0</v>
      </c>
      <c r="AI31" s="195">
        <f t="shared" ca="1" si="28"/>
        <v>0</v>
      </c>
      <c r="AJ31" s="195" t="e">
        <f t="shared" ca="1" si="28"/>
        <v>#N/A</v>
      </c>
      <c r="AK31" s="195" t="e">
        <f t="shared" ref="AK31:AN31" ca="1" si="29">+AK20+AK23+AK24+AK28</f>
        <v>#N/A</v>
      </c>
      <c r="AL31" s="195" t="e">
        <f t="shared" ca="1" si="29"/>
        <v>#N/A</v>
      </c>
      <c r="AM31" s="195" t="e">
        <f t="shared" ca="1" si="29"/>
        <v>#N/A</v>
      </c>
      <c r="AN31" s="195" t="e">
        <f t="shared" ca="1" si="29"/>
        <v>#N/A</v>
      </c>
      <c r="AO31" s="195" t="e">
        <f t="shared" ref="AO31" ca="1" si="30">+AO20+AO23+AO24+AO28</f>
        <v>#N/A</v>
      </c>
    </row>
  </sheetData>
  <mergeCells count="2">
    <mergeCell ref="D8:G8"/>
    <mergeCell ref="H8:K8"/>
  </mergeCells>
  <phoneticPr fontId="52" type="noConversion"/>
  <conditionalFormatting sqref="D5:AN7">
    <cfRule type="cellIs" dxfId="83" priority="2" operator="equal">
      <formula>TRUE</formula>
    </cfRule>
  </conditionalFormatting>
  <conditionalFormatting sqref="AO5:AO7">
    <cfRule type="cellIs" dxfId="82" priority="1" operator="equal">
      <formula>TRUE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0769" r:id="rId3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6</xdr:col>
                    <xdr:colOff>73152</xdr:colOff>
                    <xdr:row>2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70" r:id="rId4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6</xdr:col>
                    <xdr:colOff>73152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rgb="FF002060"/>
  </sheetPr>
  <dimension ref="A1"/>
  <sheetViews>
    <sheetView workbookViewId="0">
      <selection activeCell="E19" sqref="E19"/>
    </sheetView>
  </sheetViews>
  <sheetFormatPr defaultRowHeight="13.7"/>
  <sheetData/>
  <phoneticPr fontId="5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00B0F0"/>
  </sheetPr>
  <dimension ref="A1:S228"/>
  <sheetViews>
    <sheetView zoomScale="85" zoomScaleNormal="85" workbookViewId="0">
      <pane xSplit="4" ySplit="11" topLeftCell="E12" activePane="bottomRight" state="frozen"/>
      <selection activeCell="E19" sqref="E19"/>
      <selection pane="topRight" activeCell="E19" sqref="E19"/>
      <selection pane="bottomLeft" activeCell="E19" sqref="E19"/>
      <selection pane="bottomRight" activeCell="K62" sqref="K62"/>
    </sheetView>
  </sheetViews>
  <sheetFormatPr defaultColWidth="9.140625" defaultRowHeight="13.7" outlineLevelRow="1" outlineLevelCol="1"/>
  <cols>
    <col min="1" max="2" width="2" style="28" customWidth="1"/>
    <col min="3" max="3" width="49.42578125" style="28" bestFit="1" customWidth="1"/>
    <col min="4" max="4" width="21.85546875" style="28" customWidth="1"/>
    <col min="5" max="5" width="14.42578125" style="28" customWidth="1"/>
    <col min="6" max="6" width="16.5703125" style="28" customWidth="1"/>
    <col min="7" max="7" width="17.140625" style="28" customWidth="1"/>
    <col min="8" max="8" width="17.7109375" style="28" customWidth="1"/>
    <col min="9" max="16" width="17.5703125" style="28" customWidth="1"/>
    <col min="17" max="17" width="17.5703125" style="28" hidden="1" customWidth="1" outlineLevel="1"/>
    <col min="18" max="18" width="13.7109375" style="28" customWidth="1" collapsed="1"/>
    <col min="19" max="19" width="13.7109375" style="28" customWidth="1"/>
    <col min="20" max="20" width="15.5703125" style="28" customWidth="1"/>
    <col min="21" max="21" width="14.28515625" style="28" customWidth="1"/>
    <col min="22" max="23" width="9.85546875" style="28" bestFit="1" customWidth="1"/>
    <col min="24" max="16384" width="9.140625" style="28"/>
  </cols>
  <sheetData>
    <row r="1" spans="1:19" ht="14.4" outlineLevel="1">
      <c r="A1" s="18"/>
      <c r="B1" s="18"/>
      <c r="C1" s="24" t="s">
        <v>870</v>
      </c>
      <c r="D1" s="89">
        <f>DATE('Control Panel'!B12,'Control Panel'!B6,'Control Panel'!B7)</f>
        <v>43830</v>
      </c>
      <c r="E1" s="24"/>
      <c r="F1" s="18" t="s">
        <v>689</v>
      </c>
      <c r="G1" s="5">
        <f>'Control Panel'!B11</f>
        <v>43466</v>
      </c>
      <c r="H1" s="18"/>
      <c r="I1" s="18" t="s">
        <v>691</v>
      </c>
      <c r="J1" s="5">
        <f>'Control Panel'!B9</f>
        <v>43465</v>
      </c>
      <c r="K1" s="18"/>
      <c r="L1" s="18"/>
      <c r="M1" s="18"/>
      <c r="N1" s="18"/>
      <c r="O1" s="18"/>
      <c r="P1" s="18"/>
      <c r="Q1" s="18"/>
      <c r="R1" s="18"/>
      <c r="S1" s="18"/>
    </row>
    <row r="2" spans="1:19" ht="14.4" outlineLevel="1">
      <c r="A2" s="18"/>
      <c r="B2" s="18"/>
      <c r="C2" s="24" t="s">
        <v>871</v>
      </c>
      <c r="D2" s="24">
        <f>'Financial summary'!E5</f>
        <v>1</v>
      </c>
      <c r="E2" s="24" t="str">
        <f>INDEX(D24:D27,D2)</f>
        <v>Bank worse</v>
      </c>
      <c r="F2" s="18"/>
      <c r="G2" s="18"/>
      <c r="H2" s="18"/>
      <c r="I2" s="18" t="s">
        <v>1555</v>
      </c>
      <c r="J2" s="18">
        <f>stub_quarter+1</f>
        <v>5</v>
      </c>
      <c r="K2" s="18"/>
      <c r="L2" s="18"/>
      <c r="M2" s="18"/>
      <c r="N2" s="18"/>
      <c r="O2" s="18"/>
      <c r="P2" s="18"/>
      <c r="Q2" s="18"/>
      <c r="R2" s="18"/>
      <c r="S2" s="18"/>
    </row>
    <row r="3" spans="1:19" ht="14.4" outlineLevel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38"/>
      <c r="S3" s="38"/>
    </row>
    <row r="4" spans="1:19" ht="14.4" outlineLevel="1">
      <c r="A4" s="1"/>
      <c r="B4" s="1"/>
      <c r="C4" s="1"/>
      <c r="D4" s="1"/>
      <c r="E4" s="90">
        <f>DATE('Control Panel'!B4,'Control Panel'!$B$6,'Control Panel'!$B$7)</f>
        <v>42004</v>
      </c>
      <c r="F4" s="91">
        <f t="shared" ref="F4:Q4" si="0">IF(stub_switch,(IF(EOMONTH(E4,12)&lt;$J$1,EOMONTH(E4,12),IF(E4=$J$1,EOMONTH(D4,12),IF(E4&gt;$J$1,EOMONTH(E4,12),$J$1)))),EOMONTH(E4,12))</f>
        <v>42369</v>
      </c>
      <c r="G4" s="91">
        <f t="shared" si="0"/>
        <v>42735</v>
      </c>
      <c r="H4" s="91">
        <f t="shared" si="0"/>
        <v>43100</v>
      </c>
      <c r="I4" s="91">
        <f t="shared" si="0"/>
        <v>43465</v>
      </c>
      <c r="J4" s="91">
        <f t="shared" si="0"/>
        <v>43830</v>
      </c>
      <c r="K4" s="91">
        <f t="shared" si="0"/>
        <v>44196</v>
      </c>
      <c r="L4" s="91">
        <f t="shared" si="0"/>
        <v>44561</v>
      </c>
      <c r="M4" s="91">
        <f t="shared" si="0"/>
        <v>44926</v>
      </c>
      <c r="N4" s="91">
        <f t="shared" si="0"/>
        <v>45291</v>
      </c>
      <c r="O4" s="91">
        <f t="shared" si="0"/>
        <v>45657</v>
      </c>
      <c r="P4" s="91">
        <f t="shared" si="0"/>
        <v>46022</v>
      </c>
      <c r="Q4" s="91">
        <f t="shared" si="0"/>
        <v>46387</v>
      </c>
      <c r="R4" s="401" t="s">
        <v>918</v>
      </c>
      <c r="S4" s="401" t="s">
        <v>919</v>
      </c>
    </row>
    <row r="5" spans="1:19" ht="14.4" outlineLevel="1">
      <c r="A5" s="1"/>
      <c r="B5" s="1"/>
      <c r="C5" s="1" t="s">
        <v>694</v>
      </c>
      <c r="D5" s="1"/>
      <c r="E5" s="1" t="b">
        <f>AND(E4&gt;$G$1,E4&lt;=DATE('Control Panel'!$B$13,'Control Panel'!$B$6,'Control Panel'!$B$7))</f>
        <v>0</v>
      </c>
      <c r="F5" s="1" t="b">
        <f>AND(F4&gt;$G$1,F4&lt;=DATE('Control Panel'!$B$13,'Control Panel'!$B$6,'Control Panel'!$B$7))</f>
        <v>0</v>
      </c>
      <c r="G5" s="1" t="b">
        <f>AND(G4&gt;$G$1,G4&lt;=DATE('Control Panel'!$B$13,'Control Panel'!$B$6,'Control Panel'!$B$7))</f>
        <v>0</v>
      </c>
      <c r="H5" s="1" t="b">
        <f>AND(H4&gt;$G$1,H4&lt;=DATE('Control Panel'!$B$13,'Control Panel'!$B$6,'Control Panel'!$B$7))</f>
        <v>0</v>
      </c>
      <c r="I5" s="1" t="b">
        <f>AND(I4&gt;$G$1,I4&lt;=DATE('Control Panel'!$B$13,'Control Panel'!$B$6,'Control Panel'!$B$7))</f>
        <v>0</v>
      </c>
      <c r="J5" s="1" t="b">
        <f>AND(J4&gt;$G$1,J4&lt;=DATE('Control Panel'!$B$13,'Control Panel'!$B$6,'Control Panel'!$B$7))</f>
        <v>1</v>
      </c>
      <c r="K5" s="1" t="b">
        <f>AND(K4&gt;$G$1,K4&lt;=DATE('Control Panel'!$B$13,'Control Panel'!$B$6,'Control Panel'!$B$7))</f>
        <v>1</v>
      </c>
      <c r="L5" s="1" t="b">
        <f>AND(L4&gt;$G$1,L4&lt;=DATE('Control Panel'!$B$13,'Control Panel'!$B$6,'Control Panel'!$B$7))</f>
        <v>1</v>
      </c>
      <c r="M5" s="1" t="b">
        <f>AND(M4&gt;$G$1,M4&lt;=DATE('Control Panel'!$B$13,'Control Panel'!$B$6,'Control Panel'!$B$7))</f>
        <v>1</v>
      </c>
      <c r="N5" s="1" t="b">
        <f>AND(N4&gt;$G$1,N4&lt;=DATE('Control Panel'!$B$13,'Control Panel'!$B$6,'Control Panel'!$B$7))</f>
        <v>1</v>
      </c>
      <c r="O5" s="1" t="b">
        <f>AND(O4&gt;$G$1,O4&lt;=DATE('Control Panel'!$B$13,'Control Panel'!$B$6,'Control Panel'!$B$7))</f>
        <v>1</v>
      </c>
      <c r="P5" s="1" t="b">
        <f>AND(P4&gt;$G$1,P4&lt;=DATE('Control Panel'!$B$13,'Control Panel'!$B$6,'Control Panel'!$B$7))</f>
        <v>0</v>
      </c>
      <c r="Q5" s="1" t="b">
        <f>AND(Q4&gt;$G$1,Q4&lt;=DATE('Control Panel'!$B$13,'Control Panel'!$B$6,'Control Panel'!$B$7))</f>
        <v>0</v>
      </c>
      <c r="R5" s="38"/>
      <c r="S5" s="38"/>
    </row>
    <row r="6" spans="1:19" ht="14.4" outlineLevel="1">
      <c r="A6" s="1"/>
      <c r="B6" s="1"/>
      <c r="C6" s="1" t="s">
        <v>687</v>
      </c>
      <c r="D6" s="1"/>
      <c r="E6" s="1" t="b">
        <f>E4=$J$1</f>
        <v>0</v>
      </c>
      <c r="F6" s="1" t="b">
        <f t="shared" ref="F6:Q6" si="1">F4=$J$1</f>
        <v>0</v>
      </c>
      <c r="G6" s="1" t="b">
        <f t="shared" si="1"/>
        <v>0</v>
      </c>
      <c r="H6" s="1" t="b">
        <f t="shared" si="1"/>
        <v>0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38"/>
      <c r="S6" s="38"/>
    </row>
    <row r="7" spans="1:19" ht="14.4" outlineLevel="1">
      <c r="A7" s="1"/>
      <c r="B7" s="1"/>
      <c r="C7" s="1" t="s">
        <v>695</v>
      </c>
      <c r="D7" s="1"/>
      <c r="E7" s="1"/>
      <c r="F7" s="1">
        <f>F4-E4</f>
        <v>365</v>
      </c>
      <c r="G7" s="1">
        <f t="shared" ref="G7:Q7" si="2">G4-F4</f>
        <v>366</v>
      </c>
      <c r="H7" s="1">
        <f t="shared" si="2"/>
        <v>365</v>
      </c>
      <c r="I7" s="1">
        <f t="shared" si="2"/>
        <v>365</v>
      </c>
      <c r="J7" s="1">
        <f t="shared" si="2"/>
        <v>365</v>
      </c>
      <c r="K7" s="1">
        <f t="shared" si="2"/>
        <v>366</v>
      </c>
      <c r="L7" s="1">
        <f t="shared" si="2"/>
        <v>365</v>
      </c>
      <c r="M7" s="1">
        <f t="shared" si="2"/>
        <v>365</v>
      </c>
      <c r="N7" s="1">
        <f t="shared" si="2"/>
        <v>365</v>
      </c>
      <c r="O7" s="1">
        <f t="shared" si="2"/>
        <v>366</v>
      </c>
      <c r="P7" s="1">
        <f t="shared" si="2"/>
        <v>365</v>
      </c>
      <c r="Q7" s="1">
        <f t="shared" si="2"/>
        <v>365</v>
      </c>
      <c r="R7" s="38"/>
      <c r="S7" s="38"/>
    </row>
    <row r="8" spans="1:19" ht="14.4" outlineLevel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38"/>
      <c r="S8" s="38"/>
    </row>
    <row r="9" spans="1:19" ht="16.600000000000001">
      <c r="A9" s="196" t="str">
        <f>CONCATENATE("Project ",project_name," - Financing Assumptions")</f>
        <v>Project  - Financing Assumptions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38"/>
      <c r="S9" s="38"/>
    </row>
    <row r="10" spans="1:19">
      <c r="A10" s="177" t="s">
        <v>1022</v>
      </c>
      <c r="B10" s="209"/>
      <c r="C10" s="209"/>
      <c r="D10" s="198"/>
      <c r="E10" s="198">
        <f>E4</f>
        <v>42004</v>
      </c>
      <c r="F10" s="198">
        <f t="shared" ref="F10:Q10" si="3">F4</f>
        <v>42369</v>
      </c>
      <c r="G10" s="198">
        <f t="shared" si="3"/>
        <v>42735</v>
      </c>
      <c r="H10" s="198">
        <f t="shared" si="3"/>
        <v>43100</v>
      </c>
      <c r="I10" s="198">
        <f t="shared" si="3"/>
        <v>43465</v>
      </c>
      <c r="J10" s="198">
        <f t="shared" si="3"/>
        <v>43830</v>
      </c>
      <c r="K10" s="198">
        <f t="shared" si="3"/>
        <v>44196</v>
      </c>
      <c r="L10" s="198">
        <f t="shared" si="3"/>
        <v>44561</v>
      </c>
      <c r="M10" s="198">
        <f t="shared" si="3"/>
        <v>44926</v>
      </c>
      <c r="N10" s="198">
        <f t="shared" si="3"/>
        <v>45291</v>
      </c>
      <c r="O10" s="198">
        <f t="shared" si="3"/>
        <v>45657</v>
      </c>
      <c r="P10" s="198">
        <f t="shared" si="3"/>
        <v>46022</v>
      </c>
      <c r="Q10" s="198">
        <f t="shared" si="3"/>
        <v>46387</v>
      </c>
      <c r="R10" s="791" t="s">
        <v>1053</v>
      </c>
      <c r="S10" s="791"/>
    </row>
    <row r="11" spans="1:19">
      <c r="A11" s="284"/>
      <c r="B11" s="209"/>
      <c r="C11" s="209"/>
      <c r="D11" s="178"/>
      <c r="E11" s="178" t="str">
        <f>IF(E5,"Projection",IF(E6,"Stub","Historic"))</f>
        <v>Historic</v>
      </c>
      <c r="F11" s="178" t="str">
        <f t="shared" ref="F11:Q11" si="4">IF(F5,"Projection",IF(F6,"Stub","Historic"))</f>
        <v>Historic</v>
      </c>
      <c r="G11" s="178" t="str">
        <f t="shared" si="4"/>
        <v>Historic</v>
      </c>
      <c r="H11" s="178" t="str">
        <f t="shared" si="4"/>
        <v>Historic</v>
      </c>
      <c r="I11" s="178" t="str">
        <f t="shared" si="4"/>
        <v>Stub</v>
      </c>
      <c r="J11" s="178" t="str">
        <f t="shared" si="4"/>
        <v>Projection</v>
      </c>
      <c r="K11" s="178" t="str">
        <f t="shared" si="4"/>
        <v>Projection</v>
      </c>
      <c r="L11" s="178" t="str">
        <f t="shared" si="4"/>
        <v>Projection</v>
      </c>
      <c r="M11" s="178" t="str">
        <f t="shared" si="4"/>
        <v>Projection</v>
      </c>
      <c r="N11" s="178" t="str">
        <f t="shared" si="4"/>
        <v>Projection</v>
      </c>
      <c r="O11" s="178" t="str">
        <f t="shared" si="4"/>
        <v>Projection</v>
      </c>
      <c r="P11" s="178" t="str">
        <f t="shared" si="4"/>
        <v>Historic</v>
      </c>
      <c r="Q11" s="178" t="str">
        <f t="shared" si="4"/>
        <v>Historic</v>
      </c>
      <c r="R11" s="178" t="str">
        <f>CONCATENATE("'",'Control Panel'!B4-2000,"-'",'Control Panel'!B4-2000+'Control Panel'!B5-1)</f>
        <v>'14-'18</v>
      </c>
      <c r="S11" s="178" t="str">
        <f>CONCATENATE("'",'Control Panel'!B4-2000+'Control Panel'!B5-1,"-'",'Control Panel'!B13-2000)</f>
        <v>'18-'24</v>
      </c>
    </row>
    <row r="12" spans="1:19" ht="16.600000000000001">
      <c r="A12" s="1"/>
      <c r="B12" s="1"/>
      <c r="C12" s="19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38"/>
      <c r="S12" s="38"/>
    </row>
    <row r="13" spans="1:19" ht="14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38"/>
      <c r="S13" s="38"/>
    </row>
    <row r="14" spans="1:19" ht="14.4">
      <c r="A14" s="180" t="s">
        <v>697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38"/>
      <c r="S14" s="38"/>
    </row>
    <row r="15" spans="1:19" ht="14.4">
      <c r="A15" s="1"/>
      <c r="B15" s="1"/>
      <c r="C15" s="28" t="s">
        <v>854</v>
      </c>
      <c r="D15" s="1"/>
      <c r="E15" s="1">
        <f>IFERROR(INDEX('Control Panel'!$G$4:$U$4,MATCH('Scenarios offshore'!E4,'Control Panel'!$G$3:$U$3,0)),Currency_conversion_BU1)</f>
        <v>1</v>
      </c>
      <c r="F15" s="1">
        <f>IFERROR(INDEX('Control Panel'!$G$4:$U$4,MATCH('Scenarios offshore'!F4,'Control Panel'!$G$3:$U$3,0)),Currency_conversion_BU1)</f>
        <v>1</v>
      </c>
      <c r="G15" s="1">
        <f>IFERROR(INDEX('Control Panel'!$G$4:$U$4,MATCH('Scenarios offshore'!G4,'Control Panel'!$G$3:$U$3,0)),Currency_conversion_BU1)</f>
        <v>1</v>
      </c>
      <c r="H15" s="1">
        <f>IFERROR(INDEX('Control Panel'!$G$4:$U$4,MATCH('Scenarios offshore'!H4,'Control Panel'!$G$3:$U$3,0)),Currency_conversion_BU1)</f>
        <v>1</v>
      </c>
      <c r="I15" s="1">
        <f>IFERROR(INDEX('Control Panel'!$G$4:$U$4,MATCH('Scenarios offshore'!I4,'Control Panel'!$G$3:$U$3,0)),Currency_conversion_BU1)</f>
        <v>1</v>
      </c>
      <c r="J15" s="1">
        <f>IFERROR(INDEX('Control Panel'!$G$4:$U$4,MATCH('Scenarios offshore'!J4,'Control Panel'!$G$3:$U$3,0)),Currency_conversion_BU1)</f>
        <v>1</v>
      </c>
      <c r="K15" s="1">
        <f>IFERROR(INDEX('Control Panel'!$G$4:$U$4,MATCH('Scenarios offshore'!K4,'Control Panel'!$G$3:$U$3,0)),Currency_conversion_BU1)</f>
        <v>1</v>
      </c>
      <c r="L15" s="1">
        <f>IFERROR(INDEX('Control Panel'!$G$4:$U$4,MATCH('Scenarios offshore'!L4,'Control Panel'!$G$3:$U$3,0)),Currency_conversion_BU1)</f>
        <v>1</v>
      </c>
      <c r="M15" s="1">
        <f>IFERROR(INDEX('Control Panel'!$G$4:$U$4,MATCH('Scenarios offshore'!M4,'Control Panel'!$G$3:$U$3,0)),Currency_conversion_BU1)</f>
        <v>1</v>
      </c>
      <c r="N15" s="1">
        <f>IFERROR(INDEX('Control Panel'!$G$4:$U$4,MATCH('Scenarios offshore'!N4,'Control Panel'!$G$3:$U$3,0)),Currency_conversion_BU1)</f>
        <v>1</v>
      </c>
      <c r="O15" s="1">
        <f>IFERROR(INDEX('Control Panel'!$G$4:$U$4,MATCH('Scenarios offshore'!O4,'Control Panel'!$G$3:$U$3,0)),Currency_conversion_BU1)</f>
        <v>1</v>
      </c>
      <c r="P15" s="1">
        <f>IFERROR(INDEX('Control Panel'!$G$4:$U$4,MATCH('Scenarios offshore'!P4,'Control Panel'!$G$3:$U$3,0)),Currency_conversion_BU1)</f>
        <v>1</v>
      </c>
      <c r="Q15" s="1">
        <f>IFERROR(INDEX('Control Panel'!$G$4:$U$4,MATCH('Scenarios offshore'!Q4,'Control Panel'!$G$3:$U$3,0)),Currency_conversion_BU1)</f>
        <v>1</v>
      </c>
      <c r="R15" s="316">
        <f>IFERROR((INDEX(15:15,MATCH(DATE('Control Panel'!$B$4+'Control Panel'!$B$5-1,'Control Panel'!$B$6,'Control Panel'!$B$7),'Scenarios offshore'!$10:$10,0))/INDEX(15:15,MATCH(DATE('Control Panel'!$B$4,'Control Panel'!$B$6,'Control Panel'!$B$7),'Scenarios offshore'!$10:$10,0)))^(1/('Control Panel'!$B$5-1))-1,"n.a.")</f>
        <v>0</v>
      </c>
      <c r="S15" s="316">
        <f>IFERROR(INDEX(15:15,MATCH(DATE('Control Panel'!$B$13,'Control Panel'!$B$6,'Control Panel'!$B$7),'Scenarios offshore'!$10:$10,0))/INDEX(15:15,MATCH(DATE('Control Panel'!$B$4+'Control Panel'!$B$5-1,'Control Panel'!$B$6,'Control Panel'!$B$7),'Scenarios offshore'!$10:$10,0))-1,"n.a.")</f>
        <v>0</v>
      </c>
    </row>
    <row r="16" spans="1:19" ht="14.4">
      <c r="A16" s="1"/>
      <c r="B16" s="1"/>
      <c r="C16" s="28" t="s">
        <v>855</v>
      </c>
      <c r="D16" s="1"/>
      <c r="E16" s="1">
        <f t="shared" ref="E16:Q16" si="5">Currency_conversion_BU1</f>
        <v>1</v>
      </c>
      <c r="F16" s="1">
        <f t="shared" si="5"/>
        <v>1</v>
      </c>
      <c r="G16" s="1">
        <f t="shared" si="5"/>
        <v>1</v>
      </c>
      <c r="H16" s="1">
        <f t="shared" si="5"/>
        <v>1</v>
      </c>
      <c r="I16" s="1">
        <f t="shared" si="5"/>
        <v>1</v>
      </c>
      <c r="J16" s="1">
        <f t="shared" si="5"/>
        <v>1</v>
      </c>
      <c r="K16" s="1">
        <f t="shared" si="5"/>
        <v>1</v>
      </c>
      <c r="L16" s="1">
        <f t="shared" si="5"/>
        <v>1</v>
      </c>
      <c r="M16" s="1">
        <f t="shared" si="5"/>
        <v>1</v>
      </c>
      <c r="N16" s="1">
        <f t="shared" si="5"/>
        <v>1</v>
      </c>
      <c r="O16" s="1">
        <f t="shared" si="5"/>
        <v>1</v>
      </c>
      <c r="P16" s="1">
        <f t="shared" si="5"/>
        <v>1</v>
      </c>
      <c r="Q16" s="1">
        <f t="shared" si="5"/>
        <v>1</v>
      </c>
      <c r="R16" s="316">
        <f>IFERROR((INDEX(16:16,MATCH(DATE('Control Panel'!$B$4+'Control Panel'!$B$5-1,'Control Panel'!$B$6,'Control Panel'!$B$7),'Scenarios offshore'!$10:$10,0))/INDEX(16:16,MATCH(DATE('Control Panel'!$B$4,'Control Panel'!$B$6,'Control Panel'!$B$7),'Scenarios offshore'!$10:$10,0)))^(1/('Control Panel'!$B$5-1))-1,"n.a.")</f>
        <v>0</v>
      </c>
      <c r="S16" s="316">
        <f>IFERROR(INDEX(16:16,MATCH(DATE('Control Panel'!$B$13,'Control Panel'!$B$6,'Control Panel'!$B$7),'Scenarios offshore'!$10:$10,0))/INDEX(16:16,MATCH(DATE('Control Panel'!$B$4+'Control Panel'!$B$5-1,'Control Panel'!$B$6,'Control Panel'!$B$7),'Scenarios offshore'!$10:$10,0))-1,"n.a.")</f>
        <v>0</v>
      </c>
    </row>
    <row r="17" spans="1:19" ht="14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9" ht="14.4">
      <c r="A18" s="34"/>
      <c r="B18" s="180" t="s">
        <v>921</v>
      </c>
      <c r="C18" s="180"/>
      <c r="D18" s="180" t="s">
        <v>604</v>
      </c>
      <c r="E18" s="180">
        <f t="shared" ref="E18:L18" si="6">IF(E$5,INDEX(E21:E24,$D$2),E20)</f>
        <v>0</v>
      </c>
      <c r="F18" s="180">
        <f t="shared" si="6"/>
        <v>0</v>
      </c>
      <c r="G18" s="180">
        <f t="shared" si="6"/>
        <v>0</v>
      </c>
      <c r="H18" s="180">
        <f>IF(H$5,INDEX(H21:H24,$D$2),H20)</f>
        <v>0</v>
      </c>
      <c r="I18" s="180">
        <f t="shared" si="6"/>
        <v>0</v>
      </c>
      <c r="J18" s="180">
        <f t="shared" si="6"/>
        <v>0</v>
      </c>
      <c r="K18" s="180">
        <f t="shared" si="6"/>
        <v>0</v>
      </c>
      <c r="L18" s="180">
        <f t="shared" si="6"/>
        <v>0</v>
      </c>
      <c r="M18" s="180">
        <f>IF(M$5,INDEX(M21:M24,$D$2),M20)</f>
        <v>0</v>
      </c>
      <c r="N18" s="180">
        <f>IF(N$5,INDEX(N21:N24,$D$2),N20)</f>
        <v>0</v>
      </c>
      <c r="O18" s="180">
        <f>IF(O$5,INDEX(O21:O24,$D$2),O20)</f>
        <v>0</v>
      </c>
      <c r="P18" s="180">
        <f>IF(P$5,INDEX(P21:P24,$D$2),P20)</f>
        <v>0</v>
      </c>
      <c r="Q18" s="180" t="str">
        <f>IF(Q$5,INDEX(Q21:Q24,$D$2),Q20)</f>
        <v/>
      </c>
      <c r="R18" s="315" t="str">
        <f>IFERROR((INDEX(18:18,MATCH(DATE('Control Panel'!$B$4+'Control Panel'!$B$5-1,'Control Panel'!$B$6,'Control Panel'!$B$7),'Scenarios offshore'!$10:$10,0))/INDEX(18:18,MATCH(DATE('Control Panel'!$B$4,'Control Panel'!$B$6,'Control Panel'!$B$7),'Scenarios offshore'!$10:$10,0)))^(1/('Control Panel'!$B$5-1))-1,"n.a.")</f>
        <v>n.a.</v>
      </c>
      <c r="S18" s="315" t="str">
        <f>IFERROR((INDEX(18:18,MATCH(DATE('Control Panel'!$B$13,'Control Panel'!$B$6,'Control Panel'!$B$7),'Scenarios offshore'!$10:$10,0))/INDEX(18:18,MATCH(DATE('Control Panel'!$B$4+'Control Panel'!$B$5-1,'Control Panel'!$B$6,'Control Panel'!$B$7),'Scenarios offshore'!$10:$10,0)))^(1/('Control Panel'!$B$13-'Control Panel'!$B$12+1))-1,"n.a.")</f>
        <v>n.a.</v>
      </c>
    </row>
    <row r="19" spans="1:19" ht="14.4">
      <c r="A19" s="38"/>
      <c r="B19" s="38"/>
      <c r="C19" s="38"/>
      <c r="D19" s="286" t="s">
        <v>920</v>
      </c>
      <c r="E19" s="185" t="str">
        <f t="shared" ref="E19:Q19" si="7">IFERROR(E18/INDEX(18:18,MATCH(DATE(YEAR(E$10)-1,MONTH(E$10),DAY(E$10)),$10:$10,0))-1,"n.a.")</f>
        <v>n.a.</v>
      </c>
      <c r="F19" s="185" t="str">
        <f t="shared" si="7"/>
        <v>n.a.</v>
      </c>
      <c r="G19" s="185" t="str">
        <f t="shared" si="7"/>
        <v>n.a.</v>
      </c>
      <c r="H19" s="185" t="str">
        <f t="shared" si="7"/>
        <v>n.a.</v>
      </c>
      <c r="I19" s="185" t="str">
        <f t="shared" si="7"/>
        <v>n.a.</v>
      </c>
      <c r="J19" s="185" t="str">
        <f t="shared" si="7"/>
        <v>n.a.</v>
      </c>
      <c r="K19" s="185" t="str">
        <f t="shared" si="7"/>
        <v>n.a.</v>
      </c>
      <c r="L19" s="185" t="str">
        <f t="shared" si="7"/>
        <v>n.a.</v>
      </c>
      <c r="M19" s="185" t="str">
        <f t="shared" si="7"/>
        <v>n.a.</v>
      </c>
      <c r="N19" s="185" t="str">
        <f t="shared" si="7"/>
        <v>n.a.</v>
      </c>
      <c r="O19" s="185" t="str">
        <f t="shared" si="7"/>
        <v>n.a.</v>
      </c>
      <c r="P19" s="185" t="str">
        <f t="shared" si="7"/>
        <v>n.a.</v>
      </c>
      <c r="Q19" s="185" t="str">
        <f t="shared" si="7"/>
        <v>n.a.</v>
      </c>
      <c r="R19" s="38"/>
      <c r="S19" s="38"/>
    </row>
    <row r="20" spans="1:19">
      <c r="A20" s="255"/>
      <c r="B20" s="255"/>
      <c r="C20" s="255"/>
      <c r="D20" s="255" t="s">
        <v>599</v>
      </c>
      <c r="E20" s="255">
        <f>IFERROR(Input_unit*(E$4&lt;$D$1)*SUMIF('Historical BU1'!$A$88:$A$417,"REV",INDEX('Historical BU1'!$D$88:$EE$417,0,MATCH(E$4,'Historical BU1'!$D$84:$EE$84,0))),0)</f>
        <v>0</v>
      </c>
      <c r="F20" s="255">
        <f>IFERROR(Input_unit*(F$4&lt;$D$1)*SUMIF('Historical BU1'!$A$88:$A$417,"REV",INDEX('Historical BU1'!$D$88:$EE$417,0,MATCH(F$4,'Historical BU1'!$D$84:$EE$84,0))),0)</f>
        <v>0</v>
      </c>
      <c r="G20" s="255">
        <f>IFERROR(Input_unit*(G$4&lt;$D$1)*SUMIF('Historical BU1'!$A$88:$A$417,"REV",INDEX('Historical BU1'!$D$88:$EE$417,0,MATCH(G$4,'Historical BU1'!$D$84:$EE$84,0))),0)</f>
        <v>0</v>
      </c>
      <c r="H20" s="255">
        <f>IFERROR(Input_unit*(H$4&lt;$D$1)*SUMIF('Historical BU1'!$A$88:$A$417,"REV",INDEX('Historical BU1'!$D$88:$EE$417,0,MATCH(H$4,'Historical BU1'!$D$84:$EE$84,0))),0)</f>
        <v>0</v>
      </c>
      <c r="I20" s="255">
        <f>IFERROR(Input_unit*(I$4&lt;$D$1)*SUMIF('Historical BU1'!$A$88:$A$417,"REV",INDEX('Historical BU1'!$D$88:$EE$417,0,MATCH(I$4,'Historical BU1'!$D$84:$EE$84,0))),0)</f>
        <v>0</v>
      </c>
      <c r="J20" s="255">
        <f>IFERROR(Input_unit*(J$4&lt;$D$1)*SUMIF('Historical BU1'!$A$88:$A$417,"REV",INDEX('Historical BU1'!$D$88:$EE$417,0,MATCH(J$4,'Historical BU1'!$D$84:$EE$84,0))),0)</f>
        <v>0</v>
      </c>
      <c r="K20" s="255">
        <f>IFERROR(Input_unit*(K$4&lt;$D$1)*SUMIF('Historical BU1'!$A$88:$A$417,"REV",INDEX('Historical BU1'!$D$88:$EE$417,0,MATCH(K$4,'Historical BU1'!$D$84:$EE$84,0))),0)</f>
        <v>0</v>
      </c>
      <c r="L20" s="255">
        <f>IFERROR(Input_unit*(L$4&lt;$D$1)*SUMIF('Historical BU1'!$A$88:$A$417,"REV",INDEX('Historical BU1'!$D$88:$EE$417,0,MATCH(L$4,'Historical BU1'!$D$84:$EE$84,0))),0)</f>
        <v>0</v>
      </c>
      <c r="M20" s="255">
        <f>IFERROR(Input_unit*(M$4&lt;$D$1)*SUMIF('Historical BU1'!$A$88:$A$417,"REV",INDEX('Historical BU1'!$D$88:$EE$417,0,MATCH(M$4,'Historical BU1'!$D$84:$EE$84,0))),0)</f>
        <v>0</v>
      </c>
      <c r="N20" s="255">
        <f>IFERROR(Input_unit*(N$4&lt;$D$1)*SUMIF('Historical BU1'!$A$88:$A$417,"REV",INDEX('Historical BU1'!$D$88:$EE$417,0,MATCH(N$4,'Historical BU1'!$D$84:$EE$84,0))),0)</f>
        <v>0</v>
      </c>
      <c r="O20" s="255">
        <f>IFERROR(Input_unit*(O$4&lt;$D$1)*SUMIF('Historical BU1'!$A$88:$A$417,"REV",INDEX('Historical BU1'!$D$88:$EE$417,0,MATCH(O$4,'Historical BU1'!$D$84:$EE$84,0))),0)</f>
        <v>0</v>
      </c>
      <c r="P20" s="255">
        <f>IFERROR(Input_unit*(P$4&lt;$D$1)*SUMIF('Historical BU1'!$A$88:$A$417,"REV",INDEX('Historical BU1'!$D$88:$EE$417,0,MATCH(P$4,'Historical BU1'!$D$84:$EE$84,0))),0)</f>
        <v>0</v>
      </c>
      <c r="Q20" s="255" t="str">
        <f>IFERROR(Input_unit*(Q$4&lt;$D$1)*SUMIF('Historical BU1'!$A$88:$A$417,"REV",INDEX('Historical BU1'!$D$88:$EE$417,0,MATCH(Q$4,'Historical BU1'!$D$84:$EE$84,0))),"")</f>
        <v/>
      </c>
      <c r="R20" s="255" t="str">
        <f>IFERROR(Input_unit*(R$4&lt;$D$1)*SUMIF('Historical BU1'!$A$88:$A$417,"REV",INDEX('Historical BU1'!$D$88:$EE$417,0,MATCH(R$4,'Historical BU1'!$D$84:$EE$84,0))),"")</f>
        <v/>
      </c>
      <c r="S20" s="292"/>
    </row>
    <row r="21" spans="1:19" ht="14.4">
      <c r="A21" s="1"/>
      <c r="B21" s="1"/>
      <c r="C21" s="1"/>
      <c r="D21" s="197" t="s">
        <v>600</v>
      </c>
      <c r="E21" s="291">
        <f>E$5*E29*E37</f>
        <v>0</v>
      </c>
      <c r="F21" s="291">
        <f t="shared" ref="F21:Q24" si="8">F$5*F29*F37</f>
        <v>0</v>
      </c>
      <c r="G21" s="291">
        <f t="shared" si="8"/>
        <v>0</v>
      </c>
      <c r="H21" s="291">
        <f t="shared" ref="H21:L23" si="9">H$5*H29*H37</f>
        <v>0</v>
      </c>
      <c r="I21" s="291">
        <f t="shared" si="9"/>
        <v>0</v>
      </c>
      <c r="J21" s="291">
        <f>J$5*J29*J37</f>
        <v>0</v>
      </c>
      <c r="K21" s="291">
        <f t="shared" si="9"/>
        <v>0</v>
      </c>
      <c r="L21" s="291">
        <f t="shared" si="9"/>
        <v>0</v>
      </c>
      <c r="M21" s="291">
        <f t="shared" si="8"/>
        <v>0</v>
      </c>
      <c r="N21" s="291">
        <f t="shared" si="8"/>
        <v>0</v>
      </c>
      <c r="O21" s="291">
        <f t="shared" si="8"/>
        <v>0</v>
      </c>
      <c r="P21" s="291">
        <f t="shared" si="8"/>
        <v>0</v>
      </c>
      <c r="Q21" s="291">
        <f t="shared" si="8"/>
        <v>0</v>
      </c>
      <c r="R21" s="289"/>
      <c r="S21" s="316" t="str">
        <f>IFERROR((INDEX(21:21,MATCH(DATE('Control Panel'!$B$13,'Control Panel'!$B$6,'Control Panel'!$B$7),'Scenarios offshore'!$10:$10,0))/INDEX(20:20,MATCH(DATE('Control Panel'!$B$4+'Control Panel'!$B$5-1,'Control Panel'!$B$6,'Control Panel'!$B$7),'Scenarios offshore'!$10:$10,0)))^(1/('Control Panel'!$B$13-'Control Panel'!$B$12+1))-1,"n.a.")</f>
        <v>n.a.</v>
      </c>
    </row>
    <row r="22" spans="1:19" ht="14.4">
      <c r="A22" s="1"/>
      <c r="B22" s="1"/>
      <c r="C22" s="1"/>
      <c r="D22" s="197" t="s">
        <v>1534</v>
      </c>
      <c r="E22" s="291">
        <f>E$5*E30*E38</f>
        <v>0</v>
      </c>
      <c r="F22" s="291">
        <f t="shared" si="8"/>
        <v>0</v>
      </c>
      <c r="G22" s="291">
        <f t="shared" si="8"/>
        <v>0</v>
      </c>
      <c r="H22" s="291">
        <f>H$5*H30*H38</f>
        <v>0</v>
      </c>
      <c r="I22" s="291">
        <f t="shared" si="9"/>
        <v>0</v>
      </c>
      <c r="J22" s="291">
        <f t="shared" si="9"/>
        <v>0</v>
      </c>
      <c r="K22" s="291">
        <f t="shared" si="9"/>
        <v>0</v>
      </c>
      <c r="L22" s="291">
        <f t="shared" si="9"/>
        <v>0</v>
      </c>
      <c r="M22" s="291">
        <f t="shared" si="8"/>
        <v>0</v>
      </c>
      <c r="N22" s="291">
        <f t="shared" si="8"/>
        <v>0</v>
      </c>
      <c r="O22" s="291">
        <f t="shared" si="8"/>
        <v>0</v>
      </c>
      <c r="P22" s="291">
        <f t="shared" si="8"/>
        <v>0</v>
      </c>
      <c r="Q22" s="291">
        <f t="shared" si="8"/>
        <v>0</v>
      </c>
      <c r="R22" s="289"/>
      <c r="S22" s="316" t="str">
        <f>IFERROR((INDEX(22:22,MATCH(DATE('Control Panel'!$B$13,'Control Panel'!$B$6,'Control Panel'!$B$7),'Scenarios offshore'!$10:$10,0))/INDEX(20:20,MATCH(DATE('Control Panel'!$B$4+'Control Panel'!$B$5-1,'Control Panel'!$B$6,'Control Panel'!$B$7),'Scenarios offshore'!$10:$10,0)))^(1/('Control Panel'!$B$13-'Control Panel'!$B$12+1))-1,"n.a.")</f>
        <v>n.a.</v>
      </c>
    </row>
    <row r="23" spans="1:19" ht="14.4">
      <c r="A23" s="1"/>
      <c r="B23" s="1"/>
      <c r="C23" s="1"/>
      <c r="D23" s="197" t="s">
        <v>602</v>
      </c>
      <c r="E23" s="291">
        <f>E$5*E31*E39</f>
        <v>0</v>
      </c>
      <c r="F23" s="291">
        <f t="shared" si="8"/>
        <v>0</v>
      </c>
      <c r="G23" s="291">
        <f t="shared" si="8"/>
        <v>0</v>
      </c>
      <c r="H23" s="291">
        <f>H$5*H31*H39</f>
        <v>0</v>
      </c>
      <c r="I23" s="291">
        <f t="shared" si="9"/>
        <v>0</v>
      </c>
      <c r="J23" s="291">
        <f t="shared" si="9"/>
        <v>0</v>
      </c>
      <c r="K23" s="291">
        <f t="shared" si="9"/>
        <v>0</v>
      </c>
      <c r="L23" s="291">
        <f t="shared" si="9"/>
        <v>0</v>
      </c>
      <c r="M23" s="291">
        <f t="shared" si="8"/>
        <v>0</v>
      </c>
      <c r="N23" s="291">
        <f t="shared" si="8"/>
        <v>0</v>
      </c>
      <c r="O23" s="291">
        <f t="shared" si="8"/>
        <v>0</v>
      </c>
      <c r="P23" s="291">
        <f t="shared" si="8"/>
        <v>0</v>
      </c>
      <c r="Q23" s="291">
        <f t="shared" si="8"/>
        <v>0</v>
      </c>
      <c r="R23" s="289"/>
      <c r="S23" s="316" t="str">
        <f>IFERROR((INDEX(23:23,MATCH(DATE('Control Panel'!$B$13,'Control Panel'!$B$6,'Control Panel'!$B$7),'Scenarios offshore'!$10:$10,0))/INDEX(20:20,MATCH(DATE('Control Panel'!$B$4+'Control Panel'!$B$5-1,'Control Panel'!$B$6,'Control Panel'!$B$7),'Scenarios offshore'!$10:$10,0)))^(1/('Control Panel'!$B$13-'Control Panel'!$B$12+1))-1,"n.a.")</f>
        <v>n.a.</v>
      </c>
    </row>
    <row r="24" spans="1:19" ht="14.4">
      <c r="A24" s="1"/>
      <c r="B24" s="1"/>
      <c r="C24" s="1"/>
      <c r="D24" s="197" t="s">
        <v>603</v>
      </c>
      <c r="E24" s="291">
        <f>E$5*E32*E40</f>
        <v>0</v>
      </c>
      <c r="F24" s="291">
        <f t="shared" si="8"/>
        <v>0</v>
      </c>
      <c r="G24" s="291">
        <f t="shared" si="8"/>
        <v>0</v>
      </c>
      <c r="H24" s="291">
        <f t="shared" si="8"/>
        <v>0</v>
      </c>
      <c r="I24" s="291">
        <f t="shared" si="8"/>
        <v>0</v>
      </c>
      <c r="J24" s="291">
        <f t="shared" si="8"/>
        <v>0</v>
      </c>
      <c r="K24" s="291">
        <f t="shared" si="8"/>
        <v>0</v>
      </c>
      <c r="L24" s="291">
        <f t="shared" si="8"/>
        <v>0</v>
      </c>
      <c r="M24" s="291">
        <f t="shared" si="8"/>
        <v>0</v>
      </c>
      <c r="N24" s="291">
        <f t="shared" si="8"/>
        <v>0</v>
      </c>
      <c r="O24" s="291">
        <f t="shared" si="8"/>
        <v>0</v>
      </c>
      <c r="P24" s="291">
        <f t="shared" si="8"/>
        <v>0</v>
      </c>
      <c r="Q24" s="291">
        <f t="shared" si="8"/>
        <v>0</v>
      </c>
      <c r="R24" s="289"/>
      <c r="S24" s="316" t="str">
        <f>IFERROR((INDEX(24:24,MATCH(DATE('Control Panel'!$B$13,'Control Panel'!$B$6,'Control Panel'!$B$7),'Scenarios offshore'!$10:$10,0))/INDEX(20:20,MATCH(DATE('Control Panel'!$B$4+'Control Panel'!$B$5-1,'Control Panel'!$B$6,'Control Panel'!$B$7),'Scenarios offshore'!$10:$10,0)))^(1/('Control Panel'!$B$13-'Control Panel'!$B$12+1))-1,"n.a.")</f>
        <v>n.a.</v>
      </c>
    </row>
    <row r="25" spans="1:19" ht="14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9" ht="14.4">
      <c r="A26" s="34"/>
      <c r="B26" s="180"/>
      <c r="C26" s="180" t="s">
        <v>922</v>
      </c>
      <c r="D26" s="180" t="s">
        <v>604</v>
      </c>
      <c r="E26" s="180">
        <f t="shared" ref="E26:L26" si="10">IF(E$5,INDEX(E29:E32,$D$2),E28)</f>
        <v>1</v>
      </c>
      <c r="F26" s="180">
        <f t="shared" si="10"/>
        <v>1</v>
      </c>
      <c r="G26" s="180">
        <f t="shared" si="10"/>
        <v>1</v>
      </c>
      <c r="H26" s="180">
        <f t="shared" si="10"/>
        <v>1</v>
      </c>
      <c r="I26" s="180">
        <f t="shared" si="10"/>
        <v>1</v>
      </c>
      <c r="J26" s="180">
        <f t="shared" si="10"/>
        <v>1</v>
      </c>
      <c r="K26" s="180">
        <f t="shared" si="10"/>
        <v>1</v>
      </c>
      <c r="L26" s="180">
        <f t="shared" si="10"/>
        <v>1</v>
      </c>
      <c r="M26" s="180">
        <f>IF(M$5,INDEX(M29:M32,$D$2),M28)</f>
        <v>1</v>
      </c>
      <c r="N26" s="180">
        <f>IF(N$5,INDEX(N29:N32,$D$2),N28)</f>
        <v>1</v>
      </c>
      <c r="O26" s="180">
        <f>IF(O$5,INDEX(O29:O32,$D$2),O28)</f>
        <v>1</v>
      </c>
      <c r="P26" s="180">
        <f>IF(P$5,INDEX(P29:P32,$D$2),P28)</f>
        <v>0</v>
      </c>
      <c r="Q26" s="180">
        <f>IF(Q$5,INDEX(Q29:Q32,$D$2),Q28)</f>
        <v>0</v>
      </c>
      <c r="R26" s="315">
        <f>IFERROR((INDEX(26:26,MATCH(DATE('Control Panel'!$B$4+'Control Panel'!$B$5-1,'Control Panel'!$B$6,'Control Panel'!$B$7),'Scenarios offshore'!$10:$10,0))/INDEX(26:26,MATCH(DATE('Control Panel'!$B$4,'Control Panel'!$B$6,'Control Panel'!$B$7),'Scenarios offshore'!$10:$10,0)))^(1/('Control Panel'!$B$5-1))-1,"n.a.")</f>
        <v>0</v>
      </c>
      <c r="S26" s="315">
        <f>IFERROR((INDEX(26:26,MATCH(DATE('Control Panel'!$B$13,'Control Panel'!$B$6,'Control Panel'!$B$7),'Scenarios offshore'!$10:$10,0))/INDEX(26:26,MATCH(DATE('Control Panel'!$B$4+'Control Panel'!$B$5-1,'Control Panel'!$B$6,'Control Panel'!$B$7),'Scenarios offshore'!$10:$10,0)))^(1/('Control Panel'!$B$13-'Control Panel'!$B$12+1))-1,"n.a.")</f>
        <v>0</v>
      </c>
    </row>
    <row r="27" spans="1:19" ht="14.4">
      <c r="A27" s="38"/>
      <c r="B27" s="38"/>
      <c r="C27" s="38"/>
      <c r="D27" s="286" t="s">
        <v>920</v>
      </c>
      <c r="E27" s="185" t="str">
        <f t="shared" ref="E27:Q27" si="11">IFERROR(E26/INDEX(26:26,MATCH(DATE(YEAR(E$10)-1,MONTH(E$10),DAY(E$10)),$10:$10,0))-1,"n.a.")</f>
        <v>n.a.</v>
      </c>
      <c r="F27" s="185">
        <f t="shared" si="11"/>
        <v>0</v>
      </c>
      <c r="G27" s="185">
        <f t="shared" si="11"/>
        <v>0</v>
      </c>
      <c r="H27" s="185">
        <f t="shared" si="11"/>
        <v>0</v>
      </c>
      <c r="I27" s="185">
        <f t="shared" si="11"/>
        <v>0</v>
      </c>
      <c r="J27" s="185">
        <f t="shared" si="11"/>
        <v>0</v>
      </c>
      <c r="K27" s="185">
        <f t="shared" si="11"/>
        <v>0</v>
      </c>
      <c r="L27" s="185">
        <f t="shared" si="11"/>
        <v>0</v>
      </c>
      <c r="M27" s="185">
        <f t="shared" si="11"/>
        <v>0</v>
      </c>
      <c r="N27" s="185">
        <f t="shared" si="11"/>
        <v>0</v>
      </c>
      <c r="O27" s="185">
        <f t="shared" si="11"/>
        <v>0</v>
      </c>
      <c r="P27" s="185">
        <f t="shared" si="11"/>
        <v>-1</v>
      </c>
      <c r="Q27" s="185" t="str">
        <f t="shared" si="11"/>
        <v>n.a.</v>
      </c>
      <c r="R27" s="38"/>
      <c r="S27" s="38"/>
    </row>
    <row r="28" spans="1:19">
      <c r="A28" s="255"/>
      <c r="B28" s="255"/>
      <c r="C28" s="255"/>
      <c r="D28" s="255" t="s">
        <v>599</v>
      </c>
      <c r="E28" s="197">
        <v>1</v>
      </c>
      <c r="F28" s="197">
        <v>1</v>
      </c>
      <c r="G28" s="197">
        <v>1</v>
      </c>
      <c r="H28" s="197">
        <v>1</v>
      </c>
      <c r="I28" s="197">
        <v>1</v>
      </c>
      <c r="J28" s="197">
        <v>1</v>
      </c>
      <c r="K28" s="197"/>
      <c r="L28" s="197"/>
      <c r="M28" s="197"/>
      <c r="N28" s="197"/>
      <c r="O28" s="197"/>
      <c r="P28" s="197"/>
      <c r="Q28" s="197"/>
      <c r="R28" s="316">
        <f>IFERROR((INDEX(28:28,MATCH(DATE('Control Panel'!$B$4+'Control Panel'!$B$5-1,'Control Panel'!$B$6,'Control Panel'!$B$7),'Scenarios offshore'!$10:$10,0))/INDEX(28:28,MATCH(DATE('Control Panel'!$B$4,'Control Panel'!$B$6,'Control Panel'!$B$7),'Scenarios offshore'!$10:$10,0)))^(1/('Control Panel'!$B$5-1))-1,"n.a.")</f>
        <v>0</v>
      </c>
      <c r="S28" s="292"/>
    </row>
    <row r="29" spans="1:19" ht="14.4">
      <c r="A29" s="1"/>
      <c r="B29" s="1"/>
      <c r="C29" s="1"/>
      <c r="D29" s="255" t="str">
        <f>$D$21</f>
        <v>Sponsor base</v>
      </c>
      <c r="E29" s="197"/>
      <c r="F29" s="197"/>
      <c r="G29" s="197"/>
      <c r="H29" s="197">
        <v>1</v>
      </c>
      <c r="I29" s="197">
        <v>1</v>
      </c>
      <c r="J29" s="197">
        <v>1</v>
      </c>
      <c r="K29" s="197">
        <v>1</v>
      </c>
      <c r="L29" s="197">
        <v>1</v>
      </c>
      <c r="M29" s="197">
        <v>1</v>
      </c>
      <c r="N29" s="197">
        <v>1</v>
      </c>
      <c r="O29" s="197">
        <v>1</v>
      </c>
      <c r="P29" s="197">
        <v>1</v>
      </c>
      <c r="Q29" s="197"/>
      <c r="R29" s="289"/>
      <c r="S29" s="316">
        <f>IFERROR((INDEX(29:29,MATCH(DATE('Control Panel'!$B$13,'Control Panel'!$B$6,'Control Panel'!$B$7),'Scenarios offshore'!$10:$10,0))/INDEX(28:28,MATCH(DATE('Control Panel'!$B$4+'Control Panel'!$B$5-1,'Control Panel'!$B$6,'Control Panel'!$B$7),'Scenarios offshore'!$10:$10,0)))^(1/('Control Panel'!$B$13-'Control Panel'!$B$12+1))-1,"n.a.")</f>
        <v>0</v>
      </c>
    </row>
    <row r="30" spans="1:19" ht="14.4">
      <c r="A30" s="1"/>
      <c r="B30" s="1"/>
      <c r="C30" s="1"/>
      <c r="D30" s="255" t="str">
        <f>$D$22</f>
        <v>Flat</v>
      </c>
      <c r="E30" s="197"/>
      <c r="F30" s="197"/>
      <c r="G30" s="197"/>
      <c r="H30" s="197">
        <v>1</v>
      </c>
      <c r="I30" s="197">
        <v>1</v>
      </c>
      <c r="J30" s="197">
        <v>1</v>
      </c>
      <c r="K30" s="197">
        <v>1</v>
      </c>
      <c r="L30" s="197">
        <v>1</v>
      </c>
      <c r="M30" s="197">
        <v>1</v>
      </c>
      <c r="N30" s="197">
        <v>1</v>
      </c>
      <c r="O30" s="197">
        <v>1</v>
      </c>
      <c r="P30" s="197">
        <v>1</v>
      </c>
      <c r="Q30" s="197"/>
      <c r="R30" s="289"/>
      <c r="S30" s="316">
        <f>IFERROR((INDEX(30:30,MATCH(DATE('Control Panel'!$B$13,'Control Panel'!$B$6,'Control Panel'!$B$7),'Scenarios offshore'!$10:$10,0))/INDEX(28:28,MATCH(DATE('Control Panel'!$B$4+'Control Panel'!$B$5-1,'Control Panel'!$B$6,'Control Panel'!$B$7),'Scenarios offshore'!$10:$10,0)))^(1/('Control Panel'!$B$13-'Control Panel'!$B$12+1))-1,"n.a.")</f>
        <v>0</v>
      </c>
    </row>
    <row r="31" spans="1:19" ht="14.4">
      <c r="A31" s="1"/>
      <c r="B31" s="1"/>
      <c r="C31" s="1"/>
      <c r="D31" s="255" t="str">
        <f>$D$23</f>
        <v>Bank case</v>
      </c>
      <c r="E31" s="197"/>
      <c r="F31" s="197"/>
      <c r="G31" s="197"/>
      <c r="H31" s="197">
        <v>1</v>
      </c>
      <c r="I31" s="197">
        <v>1</v>
      </c>
      <c r="J31" s="197">
        <v>1</v>
      </c>
      <c r="K31" s="197">
        <v>1</v>
      </c>
      <c r="L31" s="197">
        <v>1</v>
      </c>
      <c r="M31" s="197">
        <v>1</v>
      </c>
      <c r="N31" s="197">
        <v>1</v>
      </c>
      <c r="O31" s="197">
        <v>1</v>
      </c>
      <c r="P31" s="197">
        <v>1</v>
      </c>
      <c r="Q31" s="197"/>
      <c r="R31" s="289"/>
      <c r="S31" s="316">
        <f>IFERROR((INDEX(31:31,MATCH(DATE('Control Panel'!$B$13,'Control Panel'!$B$6,'Control Panel'!$B$7),'Scenarios offshore'!$10:$10,0))/INDEX(28:28,MATCH(DATE('Control Panel'!$B$4+'Control Panel'!$B$5-1,'Control Panel'!$B$6,'Control Panel'!$B$7),'Scenarios offshore'!$10:$10,0)))^(1/('Control Panel'!$B$13-'Control Panel'!$B$12+1))-1,"n.a.")</f>
        <v>0</v>
      </c>
    </row>
    <row r="32" spans="1:19" ht="14.4">
      <c r="A32" s="1"/>
      <c r="B32" s="1"/>
      <c r="C32" s="1"/>
      <c r="D32" s="255" t="str">
        <f>$D$24</f>
        <v>Bank worse</v>
      </c>
      <c r="E32" s="197"/>
      <c r="F32" s="197"/>
      <c r="G32" s="197"/>
      <c r="H32" s="197">
        <v>1</v>
      </c>
      <c r="I32" s="197">
        <v>1</v>
      </c>
      <c r="J32" s="197">
        <v>1</v>
      </c>
      <c r="K32" s="197">
        <v>1</v>
      </c>
      <c r="L32" s="197">
        <v>1</v>
      </c>
      <c r="M32" s="197">
        <v>1</v>
      </c>
      <c r="N32" s="197">
        <v>1</v>
      </c>
      <c r="O32" s="197">
        <v>1</v>
      </c>
      <c r="P32" s="197">
        <v>1</v>
      </c>
      <c r="Q32" s="197"/>
      <c r="R32" s="289"/>
      <c r="S32" s="316">
        <f>IFERROR((INDEX(32:32,MATCH(DATE('Control Panel'!$B$13,'Control Panel'!$B$6,'Control Panel'!$B$7),'Scenarios offshore'!$10:$10,0))/INDEX(28:28,MATCH(DATE('Control Panel'!$B$4+'Control Panel'!$B$5-1,'Control Panel'!$B$6,'Control Panel'!$B$7),'Scenarios offshore'!$10:$10,0)))^(1/('Control Panel'!$B$13-'Control Panel'!$B$12+1))-1,"n.a.")</f>
        <v>0</v>
      </c>
    </row>
    <row r="34" spans="1:19" ht="14.4">
      <c r="A34" s="34"/>
      <c r="B34" s="180"/>
      <c r="C34" s="180" t="s">
        <v>923</v>
      </c>
      <c r="D34" s="180" t="s">
        <v>604</v>
      </c>
      <c r="E34" s="180">
        <f t="shared" ref="E34:L34" si="12">IF(E$5,INDEX(E37:E40,$D$2),E36)</f>
        <v>0</v>
      </c>
      <c r="F34" s="180">
        <f t="shared" si="12"/>
        <v>0</v>
      </c>
      <c r="G34" s="180">
        <f t="shared" si="12"/>
        <v>0</v>
      </c>
      <c r="H34" s="180">
        <f>IF(H$5,INDEX(H37:H40,$D$2),H36)</f>
        <v>0</v>
      </c>
      <c r="I34" s="180">
        <f t="shared" si="12"/>
        <v>0</v>
      </c>
      <c r="J34" s="180">
        <f t="shared" si="12"/>
        <v>0</v>
      </c>
      <c r="K34" s="180">
        <f t="shared" si="12"/>
        <v>0</v>
      </c>
      <c r="L34" s="180">
        <f t="shared" si="12"/>
        <v>0</v>
      </c>
      <c r="M34" s="180">
        <f>IF(M$5,INDEX(M37:M40,$D$2),M36)</f>
        <v>0</v>
      </c>
      <c r="N34" s="180">
        <f>IF(N$5,INDEX(N37:N40,$D$2),N36)</f>
        <v>0</v>
      </c>
      <c r="O34" s="180">
        <f>IF(O$5,INDEX(O37:O40,$D$2),O36)</f>
        <v>0</v>
      </c>
      <c r="P34" s="180" t="str">
        <f>IF(P$5,INDEX(P37:P40,$D$2),P36)</f>
        <v>NA</v>
      </c>
      <c r="Q34" s="180" t="str">
        <f>IF(Q$5,INDEX(Q37:Q40,$D$2),Q36)</f>
        <v>NA</v>
      </c>
      <c r="R34" s="315" t="str">
        <f>IFERROR((INDEX(34:34,MATCH(DATE('Control Panel'!$B$4+'Control Panel'!$B$5-1,'Control Panel'!$B$6,'Control Panel'!$B$7),'Scenarios offshore'!$10:$10,0))/INDEX(34:34,MATCH(DATE('Control Panel'!$B$4,'Control Panel'!$B$6,'Control Panel'!$B$7),'Scenarios offshore'!$10:$10,0)))^(1/('Control Panel'!$B$5-1))-1,"n.a.")</f>
        <v>n.a.</v>
      </c>
      <c r="S34" s="315" t="str">
        <f>IFERROR((INDEX(34:34,MATCH(DATE('Control Panel'!$B$13,'Control Panel'!$B$6,'Control Panel'!$B$7),'Scenarios offshore'!$10:$10,0))/INDEX(34:34,MATCH(DATE('Control Panel'!$B$4+'Control Panel'!$B$5-1,'Control Panel'!$B$6,'Control Panel'!$B$7),'Scenarios offshore'!$10:$10,0)))^(1/('Control Panel'!$B$13-'Control Panel'!$B$12+1))-1,"n.a.")</f>
        <v>n.a.</v>
      </c>
    </row>
    <row r="35" spans="1:19" ht="14.4">
      <c r="A35" s="38"/>
      <c r="B35" s="38"/>
      <c r="C35" s="38"/>
      <c r="D35" s="286" t="s">
        <v>920</v>
      </c>
      <c r="E35" s="185" t="str">
        <f t="shared" ref="E35:Q35" si="13">IFERROR(E34/INDEX(34:34,MATCH(DATE(YEAR(E$10)-1,MONTH(E$10),DAY(E$10)),$10:$10,0))-1,"n.a.")</f>
        <v>n.a.</v>
      </c>
      <c r="F35" s="185" t="str">
        <f t="shared" si="13"/>
        <v>n.a.</v>
      </c>
      <c r="G35" s="185" t="str">
        <f t="shared" si="13"/>
        <v>n.a.</v>
      </c>
      <c r="H35" s="185" t="str">
        <f t="shared" si="13"/>
        <v>n.a.</v>
      </c>
      <c r="I35" s="185" t="str">
        <f t="shared" si="13"/>
        <v>n.a.</v>
      </c>
      <c r="J35" s="185" t="str">
        <f t="shared" si="13"/>
        <v>n.a.</v>
      </c>
      <c r="K35" s="185" t="str">
        <f t="shared" si="13"/>
        <v>n.a.</v>
      </c>
      <c r="L35" s="185" t="str">
        <f t="shared" si="13"/>
        <v>n.a.</v>
      </c>
      <c r="M35" s="185" t="str">
        <f t="shared" si="13"/>
        <v>n.a.</v>
      </c>
      <c r="N35" s="185" t="str">
        <f t="shared" si="13"/>
        <v>n.a.</v>
      </c>
      <c r="O35" s="185" t="str">
        <f t="shared" si="13"/>
        <v>n.a.</v>
      </c>
      <c r="P35" s="185" t="str">
        <f t="shared" si="13"/>
        <v>n.a.</v>
      </c>
      <c r="Q35" s="185" t="str">
        <f t="shared" si="13"/>
        <v>n.a.</v>
      </c>
      <c r="R35" s="38"/>
      <c r="S35" s="38"/>
    </row>
    <row r="36" spans="1:19">
      <c r="A36" s="255"/>
      <c r="B36" s="255"/>
      <c r="C36" s="255"/>
      <c r="D36" s="255" t="s">
        <v>599</v>
      </c>
      <c r="E36" s="255">
        <f t="shared" ref="E36:Q36" si="14">IFERROR(E20/E28,"NA")</f>
        <v>0</v>
      </c>
      <c r="F36" s="255">
        <f t="shared" si="14"/>
        <v>0</v>
      </c>
      <c r="G36" s="255">
        <f t="shared" si="14"/>
        <v>0</v>
      </c>
      <c r="H36" s="255">
        <f t="shared" si="14"/>
        <v>0</v>
      </c>
      <c r="I36" s="255">
        <f t="shared" si="14"/>
        <v>0</v>
      </c>
      <c r="J36" s="255">
        <f t="shared" si="14"/>
        <v>0</v>
      </c>
      <c r="K36" s="255" t="str">
        <f t="shared" si="14"/>
        <v>NA</v>
      </c>
      <c r="L36" s="255" t="str">
        <f t="shared" si="14"/>
        <v>NA</v>
      </c>
      <c r="M36" s="255" t="str">
        <f t="shared" si="14"/>
        <v>NA</v>
      </c>
      <c r="N36" s="255" t="str">
        <f t="shared" si="14"/>
        <v>NA</v>
      </c>
      <c r="O36" s="255" t="str">
        <f t="shared" si="14"/>
        <v>NA</v>
      </c>
      <c r="P36" s="255" t="str">
        <f t="shared" si="14"/>
        <v>NA</v>
      </c>
      <c r="Q36" s="255" t="str">
        <f t="shared" si="14"/>
        <v>NA</v>
      </c>
      <c r="R36" s="316" t="str">
        <f>IFERROR((INDEX(36:36,MATCH(DATE('Control Panel'!$B$4+'Control Panel'!$B$5-1,'Control Panel'!$B$6,'Control Panel'!$B$7),'Scenarios offshore'!$10:$10,0))/INDEX(36:36,MATCH(DATE('Control Panel'!$B$4,'Control Panel'!$B$6,'Control Panel'!$B$7),'Scenarios offshore'!$10:$10,0)))^(1/('Control Panel'!$B$5-1))-1,"n.a.")</f>
        <v>n.a.</v>
      </c>
      <c r="S36" s="292"/>
    </row>
    <row r="37" spans="1:19" ht="14.4">
      <c r="A37" s="1"/>
      <c r="B37" s="1"/>
      <c r="C37" s="1"/>
      <c r="D37" s="255" t="str">
        <f>$D$21</f>
        <v>Sponsor base</v>
      </c>
      <c r="E37" s="197"/>
      <c r="F37" s="197"/>
      <c r="G37" s="197"/>
      <c r="H37" s="197"/>
      <c r="I37" s="197">
        <f>'Scenarios onshore'!I37</f>
        <v>0</v>
      </c>
      <c r="J37" s="197">
        <f>'Scenarios onshore'!J37</f>
        <v>0</v>
      </c>
      <c r="K37" s="197">
        <f>'Scenarios onshore'!K37</f>
        <v>0</v>
      </c>
      <c r="L37" s="197">
        <f>'Scenarios onshore'!L37</f>
        <v>0</v>
      </c>
      <c r="M37" s="197">
        <f>'Scenarios onshore'!M37</f>
        <v>0</v>
      </c>
      <c r="N37" s="197">
        <f>'Scenarios onshore'!N37</f>
        <v>0</v>
      </c>
      <c r="O37" s="197">
        <f>'Scenarios onshore'!O37</f>
        <v>0</v>
      </c>
      <c r="P37" s="197">
        <f>'Scenarios onshore'!P37</f>
        <v>0</v>
      </c>
      <c r="Q37" s="197"/>
      <c r="R37" s="289"/>
      <c r="S37" s="316" t="str">
        <f>IFERROR((INDEX(37:37,MATCH(DATE('Control Panel'!$B$13,'Control Panel'!$B$6,'Control Panel'!$B$7),'Scenarios offshore'!$10:$10,0))/INDEX(36:36,MATCH(DATE('Control Panel'!$B$4+'Control Panel'!$B$5-1,'Control Panel'!$B$6,'Control Panel'!$B$7),'Scenarios offshore'!$10:$10,0)))^(1/('Control Panel'!$B$13-'Control Panel'!$B$12+1))-1,"n.a.")</f>
        <v>n.a.</v>
      </c>
    </row>
    <row r="38" spans="1:19" ht="14.4">
      <c r="A38" s="1"/>
      <c r="B38" s="1"/>
      <c r="C38" s="1"/>
      <c r="D38" s="255" t="str">
        <f>$D$22</f>
        <v>Flat</v>
      </c>
      <c r="E38" s="197"/>
      <c r="F38" s="197"/>
      <c r="G38" s="197"/>
      <c r="H38" s="197"/>
      <c r="I38" s="197">
        <f>'Scenarios onshore'!I38</f>
        <v>0</v>
      </c>
      <c r="J38" s="197">
        <f>'Scenarios onshore'!J38</f>
        <v>0</v>
      </c>
      <c r="K38" s="197">
        <f>'Scenarios onshore'!K38</f>
        <v>0</v>
      </c>
      <c r="L38" s="197">
        <f>'Scenarios onshore'!L38</f>
        <v>0</v>
      </c>
      <c r="M38" s="197">
        <f>'Scenarios onshore'!M38</f>
        <v>0</v>
      </c>
      <c r="N38" s="197">
        <f>'Scenarios onshore'!N38</f>
        <v>0</v>
      </c>
      <c r="O38" s="197">
        <f>'Scenarios onshore'!O38</f>
        <v>0</v>
      </c>
      <c r="P38" s="197">
        <f>'Scenarios onshore'!P38</f>
        <v>0</v>
      </c>
      <c r="Q38" s="197"/>
      <c r="R38" s="289"/>
      <c r="S38" s="316" t="str">
        <f>IFERROR((INDEX(38:38,MATCH(DATE('Control Panel'!$B$13,'Control Panel'!$B$6,'Control Panel'!$B$7),'Scenarios offshore'!$10:$10,0))/INDEX(36:36,MATCH(DATE('Control Panel'!$B$4+'Control Panel'!$B$5-1,'Control Panel'!$B$6,'Control Panel'!$B$7),'Scenarios offshore'!$10:$10,0)))^(1/('Control Panel'!$B$13-'Control Panel'!$B$12+1))-1,"n.a.")</f>
        <v>n.a.</v>
      </c>
    </row>
    <row r="39" spans="1:19" ht="14.4">
      <c r="A39" s="1"/>
      <c r="B39" s="1"/>
      <c r="C39" s="1"/>
      <c r="D39" s="255" t="str">
        <f>$D$23</f>
        <v>Bank case</v>
      </c>
      <c r="E39" s="197"/>
      <c r="F39" s="197"/>
      <c r="G39" s="197"/>
      <c r="H39" s="197"/>
      <c r="I39" s="197">
        <f>'Scenarios onshore'!I39</f>
        <v>0</v>
      </c>
      <c r="J39" s="197">
        <f>'Scenarios onshore'!J39</f>
        <v>0</v>
      </c>
      <c r="K39" s="197">
        <f>'Scenarios onshore'!K39</f>
        <v>0</v>
      </c>
      <c r="L39" s="197">
        <f>'Scenarios onshore'!L39</f>
        <v>0</v>
      </c>
      <c r="M39" s="197">
        <f>'Scenarios onshore'!M39</f>
        <v>0</v>
      </c>
      <c r="N39" s="197">
        <f>'Scenarios onshore'!N39</f>
        <v>0</v>
      </c>
      <c r="O39" s="197">
        <f>'Scenarios onshore'!O39</f>
        <v>0</v>
      </c>
      <c r="P39" s="197">
        <f>'Scenarios onshore'!P39</f>
        <v>0</v>
      </c>
      <c r="Q39" s="197">
        <f t="shared" ref="Q39" si="15">P39</f>
        <v>0</v>
      </c>
      <c r="R39" s="289"/>
      <c r="S39" s="316" t="str">
        <f>IFERROR((INDEX(39:39,MATCH(DATE('Control Panel'!$B$13,'Control Panel'!$B$6,'Control Panel'!$B$7),'Scenarios offshore'!$10:$10,0))/INDEX(36:36,MATCH(DATE('Control Panel'!$B$4+'Control Panel'!$B$5-1,'Control Panel'!$B$6,'Control Panel'!$B$7),'Scenarios offshore'!$10:$10,0)))^(1/('Control Panel'!$B$13-'Control Panel'!$B$12+1))-1,"n.a.")</f>
        <v>n.a.</v>
      </c>
    </row>
    <row r="40" spans="1:19" ht="14.4">
      <c r="A40" s="1"/>
      <c r="B40" s="1"/>
      <c r="C40" s="1"/>
      <c r="D40" s="255" t="str">
        <f>$D$24</f>
        <v>Bank worse</v>
      </c>
      <c r="E40" s="197"/>
      <c r="F40" s="197"/>
      <c r="G40" s="197"/>
      <c r="H40" s="197"/>
      <c r="I40" s="197">
        <f>'Scenarios onshore'!I40</f>
        <v>0</v>
      </c>
      <c r="J40" s="197">
        <f>'Scenarios onshore'!J40</f>
        <v>0</v>
      </c>
      <c r="K40" s="197">
        <f>'Scenarios onshore'!K40</f>
        <v>0</v>
      </c>
      <c r="L40" s="197">
        <f>'Scenarios onshore'!L40</f>
        <v>0</v>
      </c>
      <c r="M40" s="197">
        <f>'Scenarios onshore'!M40</f>
        <v>0</v>
      </c>
      <c r="N40" s="197">
        <f>'Scenarios onshore'!N40</f>
        <v>0</v>
      </c>
      <c r="O40" s="197">
        <f>'Scenarios onshore'!O40</f>
        <v>0</v>
      </c>
      <c r="P40" s="197">
        <f>'Scenarios onshore'!P40</f>
        <v>0</v>
      </c>
      <c r="Q40" s="197"/>
      <c r="R40" s="289"/>
      <c r="S40" s="316" t="str">
        <f>IFERROR((INDEX(40:40,MATCH(DATE('Control Panel'!$B$13,'Control Panel'!$B$6,'Control Panel'!$B$7),'Scenarios offshore'!$10:$10,0))/INDEX(36:36,MATCH(DATE('Control Panel'!$B$4+'Control Panel'!$B$5-1,'Control Panel'!$B$6,'Control Panel'!$B$7),'Scenarios offshore'!$10:$10,0)))^(1/('Control Panel'!$B$13-'Control Panel'!$B$12+1))-1,"n.a.")</f>
        <v>n.a.</v>
      </c>
    </row>
    <row r="42" spans="1:19" ht="14.4">
      <c r="A42" s="34"/>
      <c r="B42" s="180"/>
      <c r="C42" s="180" t="s">
        <v>924</v>
      </c>
      <c r="D42" s="180" t="s">
        <v>604</v>
      </c>
      <c r="E42" s="180">
        <f t="shared" ref="E42:Q42" si="16">IF(E$5,INDEX(E45:E48,$D$2),E44)</f>
        <v>0</v>
      </c>
      <c r="F42" s="180">
        <f t="shared" si="16"/>
        <v>0</v>
      </c>
      <c r="G42" s="180">
        <f t="shared" si="16"/>
        <v>0</v>
      </c>
      <c r="H42" s="180">
        <f t="shared" si="16"/>
        <v>0</v>
      </c>
      <c r="I42" s="180">
        <f t="shared" si="16"/>
        <v>0</v>
      </c>
      <c r="J42" s="180">
        <f t="shared" si="16"/>
        <v>0</v>
      </c>
      <c r="K42" s="180">
        <f t="shared" si="16"/>
        <v>0</v>
      </c>
      <c r="L42" s="180">
        <f t="shared" si="16"/>
        <v>0</v>
      </c>
      <c r="M42" s="180">
        <f t="shared" si="16"/>
        <v>0</v>
      </c>
      <c r="N42" s="180">
        <f t="shared" si="16"/>
        <v>0</v>
      </c>
      <c r="O42" s="180">
        <f t="shared" si="16"/>
        <v>0</v>
      </c>
      <c r="P42" s="180">
        <f t="shared" si="16"/>
        <v>0</v>
      </c>
      <c r="Q42" s="180" t="str">
        <f t="shared" si="16"/>
        <v/>
      </c>
      <c r="R42" s="315" t="str">
        <f>IFERROR((INDEX(42:42,MATCH(DATE('Control Panel'!$B$4+'Control Panel'!$B$5-1,'Control Panel'!$B$6,'Control Panel'!$B$7),'Scenarios offshore'!$10:$10,0))/INDEX(42:42,MATCH(DATE('Control Panel'!$B$4,'Control Panel'!$B$6,'Control Panel'!$B$7),'Scenarios offshore'!$10:$10,0)))^(1/('Control Panel'!$B$5-1))-1,"n.a.")</f>
        <v>n.a.</v>
      </c>
      <c r="S42" s="315" t="str">
        <f>IFERROR((INDEX(42:42,MATCH(DATE('Control Panel'!$B$13,'Control Panel'!$B$6,'Control Panel'!$B$7),'Scenarios offshore'!$10:$10,0))/INDEX(42:42,MATCH(DATE('Control Panel'!$B$4+'Control Panel'!$B$5-1,'Control Panel'!$B$6,'Control Panel'!$B$7),'Scenarios offshore'!$10:$10,0)))^(1/('Control Panel'!$B$13-'Control Panel'!$B$12+1))-1,"n.a.")</f>
        <v>n.a.</v>
      </c>
    </row>
    <row r="43" spans="1:19" ht="14.4">
      <c r="A43" s="38"/>
      <c r="B43" s="38"/>
      <c r="C43" s="38"/>
      <c r="D43" s="286" t="s">
        <v>605</v>
      </c>
      <c r="E43" s="183" t="str">
        <f>IFERROR(E42/E18,"")</f>
        <v/>
      </c>
      <c r="F43" s="183" t="str">
        <f t="shared" ref="F43:Q43" si="17">IFERROR(F42/F18,"")</f>
        <v/>
      </c>
      <c r="G43" s="183" t="str">
        <f t="shared" si="17"/>
        <v/>
      </c>
      <c r="H43" s="183" t="str">
        <f t="shared" si="17"/>
        <v/>
      </c>
      <c r="I43" s="183" t="str">
        <f t="shared" si="17"/>
        <v/>
      </c>
      <c r="J43" s="183" t="str">
        <f t="shared" si="17"/>
        <v/>
      </c>
      <c r="K43" s="183" t="str">
        <f t="shared" si="17"/>
        <v/>
      </c>
      <c r="L43" s="183" t="str">
        <f t="shared" si="17"/>
        <v/>
      </c>
      <c r="M43" s="183" t="str">
        <f t="shared" si="17"/>
        <v/>
      </c>
      <c r="N43" s="183" t="str">
        <f t="shared" si="17"/>
        <v/>
      </c>
      <c r="O43" s="183" t="str">
        <f t="shared" si="17"/>
        <v/>
      </c>
      <c r="P43" s="183" t="str">
        <f t="shared" si="17"/>
        <v/>
      </c>
      <c r="Q43" s="183" t="str">
        <f t="shared" si="17"/>
        <v/>
      </c>
      <c r="R43" s="38"/>
      <c r="S43" s="38"/>
    </row>
    <row r="44" spans="1:19">
      <c r="A44" s="255"/>
      <c r="B44" s="255"/>
      <c r="C44" s="255"/>
      <c r="D44" s="255" t="s">
        <v>599</v>
      </c>
      <c r="E44" s="255">
        <f>IFERROR(Input_unit*(E$4&lt;$D$1)*SUMIF('Historical BU1'!$A$88:$A$417,"COG",INDEX('Historical BU1'!$D$88:$EE$417,0,MATCH(E$4,'Historical BU1'!$D$84:$EE$84,0))),0)</f>
        <v>0</v>
      </c>
      <c r="F44" s="255">
        <f>IFERROR(Input_unit*(F$4&lt;$D$1)*SUMIF('Historical BU1'!$A$88:$A$417,"COG",INDEX('Historical BU1'!$D$88:$EE$417,0,MATCH(F$4,'Historical BU1'!$D$84:$EE$84,0))),0)</f>
        <v>0</v>
      </c>
      <c r="G44" s="255">
        <f>IFERROR(Input_unit*(G$4&lt;$D$1)*SUMIF('Historical BU1'!$A$88:$A$417,"COG",INDEX('Historical BU1'!$D$88:$EE$417,0,MATCH(G$4,'Historical BU1'!$D$84:$EE$84,0))),0)</f>
        <v>0</v>
      </c>
      <c r="H44" s="255">
        <f>IFERROR(Input_unit*(H$4&lt;$D$1)*SUMIF('Historical BU1'!$A$88:$A$417,"COG",INDEX('Historical BU1'!$D$88:$EE$417,0,MATCH(H$4,'Historical BU1'!$D$84:$EE$84,0))),0)</f>
        <v>0</v>
      </c>
      <c r="I44" s="255">
        <f>IFERROR(Input_unit*(I$4&lt;$D$1)*SUMIF('Historical BU1'!$A$88:$A$417,"COG",INDEX('Historical BU1'!$D$88:$EE$417,0,MATCH(I$4,'Historical BU1'!$D$84:$EE$84,0))),0)</f>
        <v>0</v>
      </c>
      <c r="J44" s="255">
        <f>IFERROR(Input_unit*(J$4&lt;$D$1)*SUMIF('Historical BU1'!$A$88:$A$417,"COG",INDEX('Historical BU1'!$D$88:$EE$417,0,MATCH(J$4,'Historical BU1'!$D$84:$EE$84,0))),0)</f>
        <v>0</v>
      </c>
      <c r="K44" s="255">
        <f>IFERROR(Input_unit*(K$4&lt;$D$1)*SUMIF('Historical BU1'!$A$88:$A$417,"COG",INDEX('Historical BU1'!$D$88:$EE$417,0,MATCH(K$4,'Historical BU1'!$D$84:$EE$84,0))),0)</f>
        <v>0</v>
      </c>
      <c r="L44" s="255">
        <f>IFERROR(Input_unit*(L$4&lt;$D$1)*SUMIF('Historical BU1'!$A$88:$A$417,"COG",INDEX('Historical BU1'!$D$88:$EE$417,0,MATCH(L$4,'Historical BU1'!$D$84:$EE$84,0))),0)</f>
        <v>0</v>
      </c>
      <c r="M44" s="255">
        <f>IFERROR(Input_unit*(M$4&lt;$D$1)*SUMIF('Historical BU1'!$A$88:$A$417,"COG",INDEX('Historical BU1'!$D$88:$EE$417,0,MATCH(M$4,'Historical BU1'!$D$84:$EE$84,0))),0)</f>
        <v>0</v>
      </c>
      <c r="N44" s="255">
        <f>IFERROR(Input_unit*(N$4&lt;$D$1)*SUMIF('Historical BU1'!$A$88:$A$417,"COG",INDEX('Historical BU1'!$D$88:$EE$417,0,MATCH(N$4,'Historical BU1'!$D$84:$EE$84,0))),0)</f>
        <v>0</v>
      </c>
      <c r="O44" s="255">
        <f>IFERROR(Input_unit*(O$4&lt;$D$1)*SUMIF('Historical BU1'!$A$88:$A$417,"COG",INDEX('Historical BU1'!$D$88:$EE$417,0,MATCH(O$4,'Historical BU1'!$D$84:$EE$84,0))),0)</f>
        <v>0</v>
      </c>
      <c r="P44" s="255">
        <f>IFERROR(Input_unit*(P$4&lt;$D$1)*SUMIF('Historical BU1'!$A$88:$A$417,"COG",INDEX('Historical BU1'!$D$88:$EE$417,0,MATCH(P$4,'Historical BU1'!$D$84:$EE$84,0))),0)</f>
        <v>0</v>
      </c>
      <c r="Q44" s="255" t="str">
        <f>IFERROR(Input_unit*(Q$4&lt;$D$1)*SUMIF('Historical BU1'!$A$88:$A$417,"COG",INDEX('Historical BU1'!$D$88:$EE$417,0,MATCH(Q$4,'Historical BU1'!$D$84:$EE$84,0))),"")</f>
        <v/>
      </c>
      <c r="R44" s="316" t="str">
        <f>IFERROR((INDEX(44:44,MATCH(DATE('Control Panel'!$B$4+'Control Panel'!$B$5-1,'Control Panel'!$B$6,'Control Panel'!$B$7),'Scenarios offshore'!$10:$10,0))/INDEX(44:44,MATCH(DATE('Control Panel'!$B$4,'Control Panel'!$B$6,'Control Panel'!$B$7),'Scenarios offshore'!$10:$10,0)))^(1/('Control Panel'!$B$5-1))-1,"n.a.")</f>
        <v>n.a.</v>
      </c>
      <c r="S44" s="292"/>
    </row>
    <row r="45" spans="1:19" ht="14.4">
      <c r="A45" s="1"/>
      <c r="B45" s="1"/>
      <c r="C45" s="1"/>
      <c r="D45" s="255" t="str">
        <f>$D$21</f>
        <v>Sponsor base</v>
      </c>
      <c r="E45" s="197"/>
      <c r="F45" s="197"/>
      <c r="G45" s="197"/>
      <c r="H45" s="197"/>
      <c r="I45" s="197">
        <f>'Scenarios onshore'!I21</f>
        <v>0</v>
      </c>
      <c r="J45" s="197">
        <f>'Scenarios onshore'!J21</f>
        <v>0</v>
      </c>
      <c r="K45" s="197">
        <f>'Scenarios onshore'!K21</f>
        <v>0</v>
      </c>
      <c r="L45" s="197">
        <f>'Scenarios onshore'!L21</f>
        <v>0</v>
      </c>
      <c r="M45" s="197">
        <f>'Scenarios onshore'!M21</f>
        <v>0</v>
      </c>
      <c r="N45" s="197">
        <f>'Scenarios onshore'!N21</f>
        <v>0</v>
      </c>
      <c r="O45" s="197">
        <f>'Scenarios onshore'!O21</f>
        <v>0</v>
      </c>
      <c r="P45" s="197">
        <f>'Scenarios onshore'!P21</f>
        <v>0</v>
      </c>
      <c r="Q45" s="197"/>
      <c r="R45" s="289"/>
      <c r="S45" s="316" t="str">
        <f>IFERROR((INDEX(45:45,MATCH(DATE('Control Panel'!$B$13,'Control Panel'!$B$6,'Control Panel'!$B$7),'Scenarios offshore'!$10:$10,0))/INDEX(44:44,MATCH(DATE('Control Panel'!$B$4+'Control Panel'!$B$5-1,'Control Panel'!$B$6,'Control Panel'!$B$7),'Scenarios offshore'!$10:$10,0)))^(1/('Control Panel'!$B$13-'Control Panel'!$B$12+1))-1,"n.a.")</f>
        <v>n.a.</v>
      </c>
    </row>
    <row r="46" spans="1:19" ht="14.4">
      <c r="A46" s="1"/>
      <c r="B46" s="1"/>
      <c r="C46" s="1"/>
      <c r="D46" s="255" t="str">
        <f>$D$22</f>
        <v>Flat</v>
      </c>
      <c r="E46" s="197"/>
      <c r="F46" s="197"/>
      <c r="G46" s="197"/>
      <c r="H46" s="197"/>
      <c r="I46" s="197">
        <f>'Scenarios onshore'!I22</f>
        <v>0</v>
      </c>
      <c r="J46" s="197">
        <f>'Scenarios onshore'!J22</f>
        <v>0</v>
      </c>
      <c r="K46" s="197">
        <f>'Scenarios onshore'!K22</f>
        <v>0</v>
      </c>
      <c r="L46" s="197">
        <f>'Scenarios onshore'!L22</f>
        <v>0</v>
      </c>
      <c r="M46" s="197">
        <f>'Scenarios onshore'!M22</f>
        <v>0</v>
      </c>
      <c r="N46" s="197">
        <f>'Scenarios onshore'!N22</f>
        <v>0</v>
      </c>
      <c r="O46" s="197">
        <f>'Scenarios onshore'!O22</f>
        <v>0</v>
      </c>
      <c r="P46" s="197">
        <f>'Scenarios onshore'!P22</f>
        <v>0</v>
      </c>
      <c r="Q46" s="197"/>
      <c r="R46" s="289"/>
      <c r="S46" s="316" t="str">
        <f>IFERROR((INDEX(46:46,MATCH(DATE('Control Panel'!$B$13,'Control Panel'!$B$6,'Control Panel'!$B$7),'Scenarios offshore'!$10:$10,0))/INDEX(44:44,MATCH(DATE('Control Panel'!$B$4+'Control Panel'!$B$5-1,'Control Panel'!$B$6,'Control Panel'!$B$7),'Scenarios offshore'!$10:$10,0)))^(1/('Control Panel'!$B$13-'Control Panel'!$B$12+1))-1,"n.a.")</f>
        <v>n.a.</v>
      </c>
    </row>
    <row r="47" spans="1:19" ht="14.4">
      <c r="A47" s="1"/>
      <c r="B47" s="1"/>
      <c r="C47" s="1"/>
      <c r="D47" s="255" t="str">
        <f>$D$23</f>
        <v>Bank case</v>
      </c>
      <c r="E47" s="197"/>
      <c r="F47" s="197"/>
      <c r="G47" s="197"/>
      <c r="H47" s="197"/>
      <c r="I47" s="197">
        <f>'Scenarios onshore'!I23</f>
        <v>0</v>
      </c>
      <c r="J47" s="197">
        <f>'Scenarios onshore'!J23</f>
        <v>0</v>
      </c>
      <c r="K47" s="197">
        <f>'Scenarios onshore'!K23</f>
        <v>0</v>
      </c>
      <c r="L47" s="197">
        <f>'Scenarios onshore'!L23</f>
        <v>0</v>
      </c>
      <c r="M47" s="197">
        <f>'Scenarios onshore'!M23</f>
        <v>0</v>
      </c>
      <c r="N47" s="197">
        <f>'Scenarios onshore'!N23</f>
        <v>0</v>
      </c>
      <c r="O47" s="197">
        <f>'Scenarios onshore'!O23</f>
        <v>0</v>
      </c>
      <c r="P47" s="197">
        <f>'Scenarios onshore'!P23</f>
        <v>0</v>
      </c>
      <c r="Q47" s="197"/>
      <c r="R47" s="289"/>
      <c r="S47" s="316" t="str">
        <f>IFERROR((INDEX(47:47,MATCH(DATE('Control Panel'!$B$13,'Control Panel'!$B$6,'Control Panel'!$B$7),'Scenarios offshore'!$10:$10,0))/INDEX(44:44,MATCH(DATE('Control Panel'!$B$4+'Control Panel'!$B$5-1,'Control Panel'!$B$6,'Control Panel'!$B$7),'Scenarios offshore'!$10:$10,0)))^(1/('Control Panel'!$B$13-'Control Panel'!$B$12+1))-1,"n.a.")</f>
        <v>n.a.</v>
      </c>
    </row>
    <row r="48" spans="1:19" ht="14.4">
      <c r="A48" s="1"/>
      <c r="B48" s="1"/>
      <c r="C48" s="1"/>
      <c r="D48" s="255" t="str">
        <f>$D$24</f>
        <v>Bank worse</v>
      </c>
      <c r="E48" s="197"/>
      <c r="F48" s="197"/>
      <c r="G48" s="197"/>
      <c r="H48" s="197"/>
      <c r="I48" s="197">
        <f>'Scenarios onshore'!I24</f>
        <v>0</v>
      </c>
      <c r="J48" s="197">
        <f>'Scenarios onshore'!J24</f>
        <v>0</v>
      </c>
      <c r="K48" s="197">
        <f>'Scenarios onshore'!K24</f>
        <v>0</v>
      </c>
      <c r="L48" s="197">
        <f>'Scenarios onshore'!L24</f>
        <v>0</v>
      </c>
      <c r="M48" s="197">
        <f>'Scenarios onshore'!M24</f>
        <v>0</v>
      </c>
      <c r="N48" s="197">
        <f>'Scenarios onshore'!N24</f>
        <v>0</v>
      </c>
      <c r="O48" s="197">
        <f>'Scenarios onshore'!O24</f>
        <v>0</v>
      </c>
      <c r="P48" s="197">
        <f>'Scenarios onshore'!P24</f>
        <v>0</v>
      </c>
      <c r="Q48" s="197"/>
      <c r="R48" s="289"/>
      <c r="S48" s="316" t="str">
        <f>IFERROR((INDEX(48:48,MATCH(DATE('Control Panel'!$B$13,'Control Panel'!$B$6,'Control Panel'!$B$7),'Scenarios offshore'!$10:$10,0))/INDEX(44:44,MATCH(DATE('Control Panel'!$B$4+'Control Panel'!$B$5-1,'Control Panel'!$B$6,'Control Panel'!$B$7),'Scenarios offshore'!$10:$10,0)))^(1/('Control Panel'!$B$13-'Control Panel'!$B$12+1))-1,"n.a.")</f>
        <v>n.a.</v>
      </c>
    </row>
    <row r="50" spans="1:19" ht="14.4">
      <c r="A50" s="34"/>
      <c r="B50" s="180"/>
      <c r="C50" s="180" t="s">
        <v>925</v>
      </c>
      <c r="D50" s="180" t="s">
        <v>604</v>
      </c>
      <c r="E50" s="180">
        <f t="shared" ref="E50:Q50" si="18">IF(E$5,INDEX(E53:E56,$D$2),E52)</f>
        <v>0</v>
      </c>
      <c r="F50" s="180">
        <f t="shared" si="18"/>
        <v>0</v>
      </c>
      <c r="G50" s="180">
        <f t="shared" si="18"/>
        <v>0</v>
      </c>
      <c r="H50" s="180">
        <f>IF(H$5,INDEX(H53:H56,$D$2),H52)</f>
        <v>0</v>
      </c>
      <c r="I50" s="180">
        <f t="shared" si="18"/>
        <v>0</v>
      </c>
      <c r="J50" s="180">
        <f t="shared" si="18"/>
        <v>0</v>
      </c>
      <c r="K50" s="180">
        <f t="shared" si="18"/>
        <v>0</v>
      </c>
      <c r="L50" s="180">
        <f t="shared" si="18"/>
        <v>0</v>
      </c>
      <c r="M50" s="180">
        <f t="shared" si="18"/>
        <v>0</v>
      </c>
      <c r="N50" s="180">
        <f t="shared" si="18"/>
        <v>0</v>
      </c>
      <c r="O50" s="180">
        <f t="shared" si="18"/>
        <v>0</v>
      </c>
      <c r="P50" s="180">
        <f t="shared" si="18"/>
        <v>0</v>
      </c>
      <c r="Q50" s="180" t="str">
        <f t="shared" si="18"/>
        <v/>
      </c>
      <c r="R50" s="315" t="str">
        <f>IFERROR((INDEX(50:50,MATCH(DATE('Control Panel'!$B$4+'Control Panel'!$B$5-1,'Control Panel'!$B$6,'Control Panel'!$B$7),'Scenarios offshore'!$10:$10,0))/INDEX(50:50,MATCH(DATE('Control Panel'!$B$4,'Control Panel'!$B$6,'Control Panel'!$B$7),'Scenarios offshore'!$10:$10,0)))^(1/('Control Panel'!$B$5-1))-1,"n.a.")</f>
        <v>n.a.</v>
      </c>
      <c r="S50" s="315" t="str">
        <f>IFERROR((INDEX(50:50,MATCH(DATE('Control Panel'!$B$13,'Control Panel'!$B$6,'Control Panel'!$B$7),'Scenarios offshore'!$10:$10,0))/INDEX(50:50,MATCH(DATE('Control Panel'!$B$4+'Control Panel'!$B$5-1,'Control Panel'!$B$6,'Control Panel'!$B$7),'Scenarios offshore'!$10:$10,0)))^(1/('Control Panel'!$B$13-'Control Panel'!$B$12+1))-1,"n.a.")</f>
        <v>n.a.</v>
      </c>
    </row>
    <row r="51" spans="1:19" ht="14.4">
      <c r="A51" s="38"/>
      <c r="B51" s="38"/>
      <c r="C51" s="38"/>
      <c r="D51" s="286" t="s">
        <v>605</v>
      </c>
      <c r="E51" s="183" t="str">
        <f>IFERROR(E50/E18,"")</f>
        <v/>
      </c>
      <c r="F51" s="183" t="str">
        <f t="shared" ref="F51:Q51" si="19">IFERROR(F50/F18,"")</f>
        <v/>
      </c>
      <c r="G51" s="183" t="str">
        <f t="shared" si="19"/>
        <v/>
      </c>
      <c r="H51" s="183" t="str">
        <f t="shared" si="19"/>
        <v/>
      </c>
      <c r="I51" s="183" t="str">
        <f t="shared" si="19"/>
        <v/>
      </c>
      <c r="J51" s="183" t="str">
        <f t="shared" si="19"/>
        <v/>
      </c>
      <c r="K51" s="183" t="str">
        <f t="shared" si="19"/>
        <v/>
      </c>
      <c r="L51" s="183" t="str">
        <f t="shared" si="19"/>
        <v/>
      </c>
      <c r="M51" s="183" t="str">
        <f t="shared" si="19"/>
        <v/>
      </c>
      <c r="N51" s="183" t="str">
        <f t="shared" si="19"/>
        <v/>
      </c>
      <c r="O51" s="183" t="str">
        <f t="shared" si="19"/>
        <v/>
      </c>
      <c r="P51" s="183" t="str">
        <f t="shared" si="19"/>
        <v/>
      </c>
      <c r="Q51" s="183" t="str">
        <f t="shared" si="19"/>
        <v/>
      </c>
      <c r="R51" s="38"/>
      <c r="S51" s="38"/>
    </row>
    <row r="52" spans="1:19">
      <c r="A52" s="255"/>
      <c r="B52" s="255"/>
      <c r="C52" s="255"/>
      <c r="D52" s="255" t="s">
        <v>599</v>
      </c>
      <c r="E52" s="255">
        <f>IFERROR(Input_unit*(E$4&lt;$D$1)*SUMIF('Historical BU1'!$A$88:$A$417,"SGA",INDEX('Historical BU1'!$D$88:$EE$417,0,MATCH(E$4,'Historical BU1'!$D$84:$EE$84,0))),0)</f>
        <v>0</v>
      </c>
      <c r="F52" s="255">
        <f>IFERROR(Input_unit*(F$4&lt;$D$1)*SUMIF('Historical BU1'!$A$88:$A$417,"SGA",INDEX('Historical BU1'!$D$88:$EE$417,0,MATCH(F$4,'Historical BU1'!$D$84:$EE$84,0))),0)</f>
        <v>0</v>
      </c>
      <c r="G52" s="255">
        <f>IFERROR(Input_unit*(G$4&lt;$D$1)*SUMIF('Historical BU1'!$A$88:$A$417,"SGA",INDEX('Historical BU1'!$D$88:$EE$417,0,MATCH(G$4,'Historical BU1'!$D$84:$EE$84,0))),0)</f>
        <v>0</v>
      </c>
      <c r="H52" s="255">
        <f>IFERROR(Input_unit*(H$4&lt;$D$1)*SUMIF('Historical BU1'!$A$88:$A$417,"SGA",INDEX('Historical BU1'!$D$88:$EE$417,0,MATCH(H$4,'Historical BU1'!$D$84:$EE$84,0))),0)</f>
        <v>0</v>
      </c>
      <c r="I52" s="255">
        <f>IFERROR(Input_unit*(I$4&lt;$D$1)*SUMIF('Historical BU1'!$A$88:$A$417,"SGA",INDEX('Historical BU1'!$D$88:$EE$417,0,MATCH(I$4,'Historical BU1'!$D$84:$EE$84,0))),0)</f>
        <v>0</v>
      </c>
      <c r="J52" s="255">
        <f>IFERROR(Input_unit*(J$4&lt;$D$1)*SUMIF('Historical BU1'!$A$88:$A$417,"SGA",INDEX('Historical BU1'!$D$88:$EE$417,0,MATCH(J$4,'Historical BU1'!$D$84:$EE$84,0))),0)</f>
        <v>0</v>
      </c>
      <c r="K52" s="255">
        <f>IFERROR(Input_unit*(K$4&lt;$D$1)*SUMIF('Historical BU1'!$A$88:$A$417,"SGA",INDEX('Historical BU1'!$D$88:$EE$417,0,MATCH(K$4,'Historical BU1'!$D$84:$EE$84,0))),0)</f>
        <v>0</v>
      </c>
      <c r="L52" s="255">
        <f>IFERROR(Input_unit*(L$4&lt;$D$1)*SUMIF('Historical BU1'!$A$88:$A$417,"SGA",INDEX('Historical BU1'!$D$88:$EE$417,0,MATCH(L$4,'Historical BU1'!$D$84:$EE$84,0))),0)</f>
        <v>0</v>
      </c>
      <c r="M52" s="255">
        <f>IFERROR(Input_unit*(M$4&lt;$D$1)*SUMIF('Historical BU1'!$A$88:$A$417,"SGA",INDEX('Historical BU1'!$D$88:$EE$417,0,MATCH(M$4,'Historical BU1'!$D$84:$EE$84,0))),0)</f>
        <v>0</v>
      </c>
      <c r="N52" s="255">
        <f>IFERROR(Input_unit*(N$4&lt;$D$1)*SUMIF('Historical BU1'!$A$88:$A$417,"SGA",INDEX('Historical BU1'!$D$88:$EE$417,0,MATCH(N$4,'Historical BU1'!$D$84:$EE$84,0))),0)</f>
        <v>0</v>
      </c>
      <c r="O52" s="255">
        <f>IFERROR(Input_unit*(O$4&lt;$D$1)*SUMIF('Historical BU1'!$A$88:$A$417,"SGA",INDEX('Historical BU1'!$D$88:$EE$417,0,MATCH(O$4,'Historical BU1'!$D$84:$EE$84,0))),0)</f>
        <v>0</v>
      </c>
      <c r="P52" s="255">
        <f>IFERROR(Input_unit*(P$4&lt;$D$1)*SUMIF('Historical BU1'!$A$88:$A$417,"SGA",INDEX('Historical BU1'!$D$88:$EE$417,0,MATCH(P$4,'Historical BU1'!$D$84:$EE$84,0))),0)</f>
        <v>0</v>
      </c>
      <c r="Q52" s="255" t="str">
        <f>IFERROR(Input_unit*(Q$4&lt;$D$1)*SUMIF('Historical BU1'!$A$88:$A$417,"SGA",INDEX('Historical BU1'!$D$88:$EE$417,0,MATCH(Q$4,'Historical BU1'!$D$84:$EE$84,0))),"")</f>
        <v/>
      </c>
      <c r="R52" s="316" t="str">
        <f>IFERROR((INDEX(52:52,MATCH(DATE('Control Panel'!$B$4+'Control Panel'!$B$5-1,'Control Panel'!$B$6,'Control Panel'!$B$7),'Scenarios offshore'!$10:$10,0))/INDEX(52:52,MATCH(DATE('Control Panel'!$B$4,'Control Panel'!$B$6,'Control Panel'!$B$7),'Scenarios offshore'!$10:$10,0)))^(1/('Control Panel'!$B$5-1))-1,"n.a.")</f>
        <v>n.a.</v>
      </c>
      <c r="S52" s="292"/>
    </row>
    <row r="53" spans="1:19" ht="14.4">
      <c r="A53" s="1"/>
      <c r="B53" s="1"/>
      <c r="C53" s="1"/>
      <c r="D53" s="255" t="str">
        <f>$D$21</f>
        <v>Sponsor base</v>
      </c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289"/>
      <c r="S53" s="316" t="str">
        <f>IFERROR((INDEX(53:53,MATCH(DATE('Control Panel'!$B$13,'Control Panel'!$B$6,'Control Panel'!$B$7),'Scenarios offshore'!$10:$10,0))/INDEX(52:52,MATCH(DATE('Control Panel'!$B$4+'Control Panel'!$B$5-1,'Control Panel'!$B$6,'Control Panel'!$B$7),'Scenarios offshore'!$10:$10,0)))^(1/('Control Panel'!$B$13-'Control Panel'!$B$12+1))-1,"n.a.")</f>
        <v>n.a.</v>
      </c>
    </row>
    <row r="54" spans="1:19" ht="14.4">
      <c r="A54" s="1"/>
      <c r="B54" s="1"/>
      <c r="C54" s="1"/>
      <c r="D54" s="255" t="str">
        <f>$D$22</f>
        <v>Flat</v>
      </c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197"/>
      <c r="P54" s="197"/>
      <c r="Q54" s="197"/>
      <c r="R54" s="289"/>
      <c r="S54" s="316" t="str">
        <f>IFERROR((INDEX(54:54,MATCH(DATE('Control Panel'!$B$13,'Control Panel'!$B$6,'Control Panel'!$B$7),'Scenarios offshore'!$10:$10,0))/INDEX(52:52,MATCH(DATE('Control Panel'!$B$4+'Control Panel'!$B$5-1,'Control Panel'!$B$6,'Control Panel'!$B$7),'Scenarios offshore'!$10:$10,0)))^(1/('Control Panel'!$B$13-'Control Panel'!$B$12+1))-1,"n.a.")</f>
        <v>n.a.</v>
      </c>
    </row>
    <row r="55" spans="1:19" ht="14.4">
      <c r="A55" s="1"/>
      <c r="B55" s="1"/>
      <c r="C55" s="1"/>
      <c r="D55" s="255" t="str">
        <f>$D$23</f>
        <v>Bank case</v>
      </c>
      <c r="E55" s="197"/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197"/>
      <c r="R55" s="289"/>
      <c r="S55" s="316" t="str">
        <f>IFERROR((INDEX(55:55,MATCH(DATE('Control Panel'!$B$13,'Control Panel'!$B$6,'Control Panel'!$B$7),'Scenarios offshore'!$10:$10,0))/INDEX(52:52,MATCH(DATE('Control Panel'!$B$4+'Control Panel'!$B$5-1,'Control Panel'!$B$6,'Control Panel'!$B$7),'Scenarios offshore'!$10:$10,0)))^(1/('Control Panel'!$B$13-'Control Panel'!$B$12+1))-1,"n.a.")</f>
        <v>n.a.</v>
      </c>
    </row>
    <row r="56" spans="1:19" ht="14.4">
      <c r="A56" s="1"/>
      <c r="B56" s="1"/>
      <c r="C56" s="1"/>
      <c r="D56" s="255" t="str">
        <f>$D$24</f>
        <v>Bank worse</v>
      </c>
      <c r="E56" s="197"/>
      <c r="F56" s="197"/>
      <c r="G56" s="197"/>
      <c r="H56" s="197"/>
      <c r="I56" s="197"/>
      <c r="J56" s="197"/>
      <c r="K56" s="197"/>
      <c r="L56" s="197"/>
      <c r="M56" s="197"/>
      <c r="N56" s="197"/>
      <c r="O56" s="197"/>
      <c r="P56" s="197"/>
      <c r="Q56" s="197"/>
      <c r="R56" s="289"/>
      <c r="S56" s="316" t="str">
        <f>IFERROR((INDEX(56:56,MATCH(DATE('Control Panel'!$B$13,'Control Panel'!$B$6,'Control Panel'!$B$7),'Scenarios offshore'!$10:$10,0))/INDEX(52:52,MATCH(DATE('Control Panel'!$B$4+'Control Panel'!$B$5-1,'Control Panel'!$B$6,'Control Panel'!$B$7),'Scenarios offshore'!$10:$10,0)))^(1/('Control Panel'!$B$13-'Control Panel'!$B$12+1))-1,"n.a.")</f>
        <v>n.a.</v>
      </c>
    </row>
    <row r="57" spans="1:19" ht="14.4">
      <c r="A57" s="1"/>
      <c r="B57" s="1"/>
      <c r="C57" s="1"/>
      <c r="D57" s="1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</row>
    <row r="58" spans="1:19" ht="14.4">
      <c r="A58" s="34"/>
      <c r="B58" s="180"/>
      <c r="C58" s="180" t="s">
        <v>926</v>
      </c>
      <c r="D58" s="180" t="s">
        <v>604</v>
      </c>
      <c r="E58" s="180">
        <f t="shared" ref="E58:Q58" si="20">IF(E$5,INDEX(E61:E64,$D$2),E60)</f>
        <v>0</v>
      </c>
      <c r="F58" s="180">
        <f t="shared" si="20"/>
        <v>0</v>
      </c>
      <c r="G58" s="180">
        <f t="shared" si="20"/>
        <v>0</v>
      </c>
      <c r="H58" s="180">
        <f>IF(H$5,INDEX(H61:H64,$D$2),H60)</f>
        <v>0</v>
      </c>
      <c r="I58" s="180">
        <f t="shared" si="20"/>
        <v>0</v>
      </c>
      <c r="J58" s="180">
        <f t="shared" si="20"/>
        <v>0</v>
      </c>
      <c r="K58" s="180">
        <f t="shared" si="20"/>
        <v>0</v>
      </c>
      <c r="L58" s="180">
        <f t="shared" si="20"/>
        <v>0</v>
      </c>
      <c r="M58" s="180">
        <f t="shared" si="20"/>
        <v>0</v>
      </c>
      <c r="N58" s="180">
        <f t="shared" si="20"/>
        <v>0</v>
      </c>
      <c r="O58" s="180">
        <f t="shared" si="20"/>
        <v>0</v>
      </c>
      <c r="P58" s="180">
        <f t="shared" si="20"/>
        <v>0</v>
      </c>
      <c r="Q58" s="180" t="str">
        <f t="shared" si="20"/>
        <v/>
      </c>
      <c r="R58" s="315" t="str">
        <f>IFERROR((INDEX(58:58,MATCH(DATE('Control Panel'!$B$4+'Control Panel'!$B$5-1,'Control Panel'!$B$6,'Control Panel'!$B$7),'Scenarios offshore'!$10:$10,0))/INDEX(58:58,MATCH(DATE('Control Panel'!$B$4,'Control Panel'!$B$6,'Control Panel'!$B$7),'Scenarios offshore'!$10:$10,0)))^(1/('Control Panel'!$B$5-1))-1,"n.a.")</f>
        <v>n.a.</v>
      </c>
      <c r="S58" s="315" t="str">
        <f>IFERROR((INDEX(58:58,MATCH(DATE('Control Panel'!$B$13,'Control Panel'!$B$6,'Control Panel'!$B$7),'Scenarios offshore'!$10:$10,0))/INDEX(58:58,MATCH(DATE('Control Panel'!$B$4+'Control Panel'!$B$5-1,'Control Panel'!$B$6,'Control Panel'!$B$7),'Scenarios offshore'!$10:$10,0)))^(1/('Control Panel'!$B$13-'Control Panel'!$B$12+1))-1,"n.a.")</f>
        <v>n.a.</v>
      </c>
    </row>
    <row r="59" spans="1:19" ht="14.4">
      <c r="A59" s="38"/>
      <c r="B59" s="38"/>
      <c r="C59" s="38"/>
      <c r="D59" s="286" t="s">
        <v>605</v>
      </c>
      <c r="E59" s="183" t="str">
        <f>IFERROR(E58/E18,"")</f>
        <v/>
      </c>
      <c r="F59" s="183" t="str">
        <f t="shared" ref="F59:Q59" si="21">IFERROR(F58/F18,"")</f>
        <v/>
      </c>
      <c r="G59" s="183" t="str">
        <f t="shared" si="21"/>
        <v/>
      </c>
      <c r="H59" s="183" t="str">
        <f t="shared" si="21"/>
        <v/>
      </c>
      <c r="I59" s="183" t="str">
        <f t="shared" si="21"/>
        <v/>
      </c>
      <c r="J59" s="183" t="str">
        <f t="shared" si="21"/>
        <v/>
      </c>
      <c r="K59" s="183" t="str">
        <f t="shared" si="21"/>
        <v/>
      </c>
      <c r="L59" s="183" t="str">
        <f t="shared" si="21"/>
        <v/>
      </c>
      <c r="M59" s="183" t="str">
        <f t="shared" si="21"/>
        <v/>
      </c>
      <c r="N59" s="183" t="str">
        <f t="shared" si="21"/>
        <v/>
      </c>
      <c r="O59" s="183" t="str">
        <f t="shared" si="21"/>
        <v/>
      </c>
      <c r="P59" s="183" t="str">
        <f t="shared" si="21"/>
        <v/>
      </c>
      <c r="Q59" s="183" t="str">
        <f t="shared" si="21"/>
        <v/>
      </c>
      <c r="R59" s="38"/>
      <c r="S59" s="38"/>
    </row>
    <row r="60" spans="1:19">
      <c r="A60" s="255"/>
      <c r="B60" s="255"/>
      <c r="C60" s="255"/>
      <c r="D60" s="255" t="s">
        <v>599</v>
      </c>
      <c r="E60" s="255">
        <f>IFERROR(Input_unit*(E$4&lt;$D$1)*SUMIF('Historical BU1'!$A$88:$A$417,"SAL",INDEX('Historical BU1'!$D$88:$EE$417,0,MATCH(E$4,'Historical BU1'!$D$84:$EE$84,0))),0)</f>
        <v>0</v>
      </c>
      <c r="F60" s="255">
        <f>IFERROR(Input_unit*(F$4&lt;$D$1)*SUMIF('Historical BU1'!$A$88:$A$417,"SAL",INDEX('Historical BU1'!$D$88:$EE$417,0,MATCH(F$4,'Historical BU1'!$D$84:$EE$84,0))),0)</f>
        <v>0</v>
      </c>
      <c r="G60" s="255">
        <f>IFERROR(Input_unit*(G$4&lt;$D$1)*SUMIF('Historical BU1'!$A$88:$A$417,"SAL",INDEX('Historical BU1'!$D$88:$EE$417,0,MATCH(G$4,'Historical BU1'!$D$84:$EE$84,0))),0)</f>
        <v>0</v>
      </c>
      <c r="H60" s="255">
        <f>IFERROR(Input_unit*(H$4&lt;$D$1)*SUMIF('Historical BU1'!$A$88:$A$417,"SAL",INDEX('Historical BU1'!$D$88:$EE$417,0,MATCH(H$4,'Historical BU1'!$D$84:$EE$84,0))),0)</f>
        <v>0</v>
      </c>
      <c r="I60" s="255">
        <f>IFERROR(Input_unit*(I$4&lt;$D$1)*SUMIF('Historical BU1'!$A$88:$A$417,"SAL",INDEX('Historical BU1'!$D$88:$EE$417,0,MATCH(I$4,'Historical BU1'!$D$84:$EE$84,0))),0)</f>
        <v>0</v>
      </c>
      <c r="J60" s="255">
        <f>IFERROR(Input_unit*(J$4&lt;$D$1)*SUMIF('Historical BU1'!$A$88:$A$417,"SAL",INDEX('Historical BU1'!$D$88:$EE$417,0,MATCH(J$4,'Historical BU1'!$D$84:$EE$84,0))),0)</f>
        <v>0</v>
      </c>
      <c r="K60" s="255">
        <f>IFERROR(Input_unit*(K$4&lt;$D$1)*SUMIF('Historical BU1'!$A$88:$A$417,"SAL",INDEX('Historical BU1'!$D$88:$EE$417,0,MATCH(K$4,'Historical BU1'!$D$84:$EE$84,0))),0)</f>
        <v>0</v>
      </c>
      <c r="L60" s="255">
        <f>IFERROR(Input_unit*(L$4&lt;$D$1)*SUMIF('Historical BU1'!$A$88:$A$417,"SAL",INDEX('Historical BU1'!$D$88:$EE$417,0,MATCH(L$4,'Historical BU1'!$D$84:$EE$84,0))),0)</f>
        <v>0</v>
      </c>
      <c r="M60" s="255">
        <f>IFERROR(Input_unit*(M$4&lt;$D$1)*SUMIF('Historical BU1'!$A$88:$A$417,"SAL",INDEX('Historical BU1'!$D$88:$EE$417,0,MATCH(M$4,'Historical BU1'!$D$84:$EE$84,0))),0)</f>
        <v>0</v>
      </c>
      <c r="N60" s="255">
        <f>IFERROR(Input_unit*(N$4&lt;$D$1)*SUMIF('Historical BU1'!$A$88:$A$417,"SAL",INDEX('Historical BU1'!$D$88:$EE$417,0,MATCH(N$4,'Historical BU1'!$D$84:$EE$84,0))),0)</f>
        <v>0</v>
      </c>
      <c r="O60" s="255">
        <f>IFERROR(Input_unit*(O$4&lt;$D$1)*SUMIF('Historical BU1'!$A$88:$A$417,"SAL",INDEX('Historical BU1'!$D$88:$EE$417,0,MATCH(O$4,'Historical BU1'!$D$84:$EE$84,0))),0)</f>
        <v>0</v>
      </c>
      <c r="P60" s="255">
        <f>IFERROR(Input_unit*(P$4&lt;$D$1)*SUMIF('Historical BU1'!$A$88:$A$417,"SAL",INDEX('Historical BU1'!$D$88:$EE$417,0,MATCH(P$4,'Historical BU1'!$D$84:$EE$84,0))),0)</f>
        <v>0</v>
      </c>
      <c r="Q60" s="255" t="str">
        <f>IFERROR(Input_unit*(Q$4&lt;$D$1)*SUMIF('Historical BU1'!$A$88:$A$417,"SAL",INDEX('Historical BU1'!$D$88:$EE$417,0,MATCH(Q$4,'Historical BU1'!$D$84:$EE$84,0))),"")</f>
        <v/>
      </c>
      <c r="R60" s="316" t="str">
        <f>IFERROR((INDEX(60:60,MATCH(DATE('Control Panel'!$B$4+'Control Panel'!$B$5-1,'Control Panel'!$B$6,'Control Panel'!$B$7),'Scenarios offshore'!$10:$10,0))/INDEX(60:60,MATCH(DATE('Control Panel'!$B$4,'Control Panel'!$B$6,'Control Panel'!$B$7),'Scenarios offshore'!$10:$10,0)))^(1/('Control Panel'!$B$5-1))-1,"n.a.")</f>
        <v>n.a.</v>
      </c>
      <c r="S60" s="292"/>
    </row>
    <row r="61" spans="1:19" ht="14.4">
      <c r="A61" s="1"/>
      <c r="B61" s="1"/>
      <c r="C61" s="1"/>
      <c r="D61" s="255" t="str">
        <f>$D$21</f>
        <v>Sponsor base</v>
      </c>
      <c r="E61" s="197"/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289"/>
      <c r="S61" s="316" t="str">
        <f>IFERROR((INDEX(61:61,MATCH(DATE('Control Panel'!$B$13,'Control Panel'!$B$6,'Control Panel'!$B$7),'Scenarios offshore'!$10:$10,0))/INDEX(60:60,MATCH(DATE('Control Panel'!$B$4+'Control Panel'!$B$5-1,'Control Panel'!$B$6,'Control Panel'!$B$7),'Scenarios offshore'!$10:$10,0)))^(1/('Control Panel'!$B$13-'Control Panel'!$B$12+1))-1,"n.a.")</f>
        <v>n.a.</v>
      </c>
    </row>
    <row r="62" spans="1:19" ht="14.4">
      <c r="A62" s="1"/>
      <c r="B62" s="1"/>
      <c r="C62" s="1"/>
      <c r="D62" s="255" t="str">
        <f>$D$22</f>
        <v>Flat</v>
      </c>
      <c r="E62" s="197"/>
      <c r="F62" s="197"/>
      <c r="G62" s="197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289"/>
      <c r="S62" s="316" t="str">
        <f>IFERROR((INDEX(62:62,MATCH(DATE('Control Panel'!$B$13,'Control Panel'!$B$6,'Control Panel'!$B$7),'Scenarios offshore'!$10:$10,0))/INDEX(60:60,MATCH(DATE('Control Panel'!$B$4+'Control Panel'!$B$5-1,'Control Panel'!$B$6,'Control Panel'!$B$7),'Scenarios offshore'!$10:$10,0)))^(1/('Control Panel'!$B$13-'Control Panel'!$B$12+1))-1,"n.a.")</f>
        <v>n.a.</v>
      </c>
    </row>
    <row r="63" spans="1:19" ht="14.4">
      <c r="A63" s="1"/>
      <c r="B63" s="1"/>
      <c r="C63" s="1"/>
      <c r="D63" s="255" t="str">
        <f>$D$23</f>
        <v>Bank case</v>
      </c>
      <c r="E63" s="197"/>
      <c r="F63" s="197"/>
      <c r="G63" s="197"/>
      <c r="H63" s="197"/>
      <c r="I63" s="197"/>
      <c r="J63" s="197"/>
      <c r="K63" s="197"/>
      <c r="L63" s="197"/>
      <c r="M63" s="197"/>
      <c r="N63" s="197"/>
      <c r="O63" s="197"/>
      <c r="P63" s="197"/>
      <c r="Q63" s="197"/>
      <c r="R63" s="289"/>
      <c r="S63" s="316" t="str">
        <f>IFERROR((INDEX(63:63,MATCH(DATE('Control Panel'!$B$13,'Control Panel'!$B$6,'Control Panel'!$B$7),'Scenarios offshore'!$10:$10,0))/INDEX(60:60,MATCH(DATE('Control Panel'!$B$4+'Control Panel'!$B$5-1,'Control Panel'!$B$6,'Control Panel'!$B$7),'Scenarios offshore'!$10:$10,0)))^(1/('Control Panel'!$B$13-'Control Panel'!$B$12+1))-1,"n.a.")</f>
        <v>n.a.</v>
      </c>
    </row>
    <row r="64" spans="1:19" ht="14.4">
      <c r="A64" s="1"/>
      <c r="B64" s="1"/>
      <c r="C64" s="1"/>
      <c r="D64" s="255" t="str">
        <f>$D$24</f>
        <v>Bank worse</v>
      </c>
      <c r="E64" s="197"/>
      <c r="F64" s="197"/>
      <c r="G64" s="197"/>
      <c r="H64" s="197"/>
      <c r="I64" s="197"/>
      <c r="J64" s="197"/>
      <c r="K64" s="197"/>
      <c r="L64" s="197"/>
      <c r="M64" s="197"/>
      <c r="N64" s="197"/>
      <c r="O64" s="197"/>
      <c r="P64" s="197"/>
      <c r="Q64" s="197"/>
      <c r="R64" s="289"/>
      <c r="S64" s="316" t="str">
        <f>IFERROR((INDEX(64:64,MATCH(DATE('Control Panel'!$B$13,'Control Panel'!$B$6,'Control Panel'!$B$7),'Scenarios offshore'!$10:$10,0))/INDEX(60:60,MATCH(DATE('Control Panel'!$B$4+'Control Panel'!$B$5-1,'Control Panel'!$B$6,'Control Panel'!$B$7),'Scenarios offshore'!$10:$10,0)))^(1/('Control Panel'!$B$13-'Control Panel'!$B$12+1))-1,"n.a.")</f>
        <v>n.a.</v>
      </c>
    </row>
    <row r="65" spans="1:19" ht="14.4">
      <c r="A65" s="1"/>
      <c r="B65" s="1"/>
      <c r="C65" s="1"/>
      <c r="D65" s="1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</row>
    <row r="66" spans="1:19" ht="14.4">
      <c r="A66" s="34"/>
      <c r="B66" s="180"/>
      <c r="C66" s="180" t="s">
        <v>927</v>
      </c>
      <c r="D66" s="180" t="s">
        <v>604</v>
      </c>
      <c r="E66" s="180">
        <f t="shared" ref="E66:Q66" si="22">IF(E$5,INDEX(E69:E72,$D$2),E68)</f>
        <v>0</v>
      </c>
      <c r="F66" s="180">
        <f t="shared" si="22"/>
        <v>0</v>
      </c>
      <c r="G66" s="180">
        <f t="shared" si="22"/>
        <v>0</v>
      </c>
      <c r="H66" s="180">
        <f>IF(H$5,INDEX(H69:H72,$D$2),H68)</f>
        <v>0</v>
      </c>
      <c r="I66" s="180">
        <f t="shared" si="22"/>
        <v>0</v>
      </c>
      <c r="J66" s="180">
        <f t="shared" si="22"/>
        <v>0</v>
      </c>
      <c r="K66" s="180">
        <f t="shared" si="22"/>
        <v>0</v>
      </c>
      <c r="L66" s="180">
        <f t="shared" si="22"/>
        <v>0</v>
      </c>
      <c r="M66" s="180">
        <f t="shared" si="22"/>
        <v>0</v>
      </c>
      <c r="N66" s="180">
        <f t="shared" si="22"/>
        <v>0</v>
      </c>
      <c r="O66" s="180">
        <f t="shared" si="22"/>
        <v>0</v>
      </c>
      <c r="P66" s="180">
        <f t="shared" si="22"/>
        <v>0</v>
      </c>
      <c r="Q66" s="180" t="str">
        <f t="shared" si="22"/>
        <v/>
      </c>
      <c r="R66" s="315" t="str">
        <f>IFERROR((INDEX(66:66,MATCH(DATE('Control Panel'!$B$4+'Control Panel'!$B$5-1,'Control Panel'!$B$6,'Control Panel'!$B$7),'Scenarios offshore'!$10:$10,0))/INDEX(66:66,MATCH(DATE('Control Panel'!$B$4,'Control Panel'!$B$6,'Control Panel'!$B$7),'Scenarios offshore'!$10:$10,0)))^(1/('Control Panel'!$B$5-1))-1,"n.a.")</f>
        <v>n.a.</v>
      </c>
      <c r="S66" s="315" t="str">
        <f>IFERROR((INDEX(66:66,MATCH(DATE('Control Panel'!$B$13,'Control Panel'!$B$6,'Control Panel'!$B$7),'Scenarios offshore'!$10:$10,0))/INDEX(66:66,MATCH(DATE('Control Panel'!$B$4+'Control Panel'!$B$5-1,'Control Panel'!$B$6,'Control Panel'!$B$7),'Scenarios offshore'!$10:$10,0)))^(1/('Control Panel'!$B$13-'Control Panel'!$B$12+1))-1,"n.a.")</f>
        <v>n.a.</v>
      </c>
    </row>
    <row r="67" spans="1:19" ht="14.4">
      <c r="A67" s="38"/>
      <c r="B67" s="38"/>
      <c r="C67" s="38"/>
      <c r="D67" s="286" t="s">
        <v>605</v>
      </c>
      <c r="E67" s="183" t="str">
        <f>IFERROR(E66/E18,"")</f>
        <v/>
      </c>
      <c r="F67" s="183" t="str">
        <f t="shared" ref="F67:Q67" si="23">IFERROR(F66/F18,"")</f>
        <v/>
      </c>
      <c r="G67" s="183" t="str">
        <f t="shared" si="23"/>
        <v/>
      </c>
      <c r="H67" s="183" t="str">
        <f t="shared" si="23"/>
        <v/>
      </c>
      <c r="I67" s="183" t="str">
        <f t="shared" si="23"/>
        <v/>
      </c>
      <c r="J67" s="183" t="str">
        <f t="shared" si="23"/>
        <v/>
      </c>
      <c r="K67" s="183" t="str">
        <f t="shared" si="23"/>
        <v/>
      </c>
      <c r="L67" s="183" t="str">
        <f t="shared" si="23"/>
        <v/>
      </c>
      <c r="M67" s="183" t="str">
        <f t="shared" si="23"/>
        <v/>
      </c>
      <c r="N67" s="183" t="str">
        <f t="shared" si="23"/>
        <v/>
      </c>
      <c r="O67" s="183" t="str">
        <f t="shared" si="23"/>
        <v/>
      </c>
      <c r="P67" s="183" t="str">
        <f t="shared" si="23"/>
        <v/>
      </c>
      <c r="Q67" s="183" t="str">
        <f t="shared" si="23"/>
        <v/>
      </c>
      <c r="R67" s="38"/>
      <c r="S67" s="38"/>
    </row>
    <row r="68" spans="1:19">
      <c r="A68" s="255"/>
      <c r="B68" s="255"/>
      <c r="C68" s="255"/>
      <c r="D68" s="255" t="s">
        <v>599</v>
      </c>
      <c r="E68" s="255">
        <f>IFERROR(Input_unit*(E$4&lt;$D$1)*SUMIF('Historical BU1'!$A$88:$A$417,"RND",INDEX('Historical BU1'!$D$88:$EE$417,0,MATCH(E$4,'Historical BU1'!$D$84:$EE$84,0))),0)</f>
        <v>0</v>
      </c>
      <c r="F68" s="255">
        <f>IFERROR(Input_unit*(F$4&lt;$D$1)*SUMIF('Historical BU1'!$A$88:$A$417,"RND",INDEX('Historical BU1'!$D$88:$EE$417,0,MATCH(F$4,'Historical BU1'!$D$84:$EE$84,0))),0)</f>
        <v>0</v>
      </c>
      <c r="G68" s="255">
        <f>IFERROR(Input_unit*(G$4&lt;$D$1)*SUMIF('Historical BU1'!$A$88:$A$417,"RND",INDEX('Historical BU1'!$D$88:$EE$417,0,MATCH(G$4,'Historical BU1'!$D$84:$EE$84,0))),0)</f>
        <v>0</v>
      </c>
      <c r="H68" s="255">
        <f>IFERROR(Input_unit*(H$4&lt;$D$1)*SUMIF('Historical BU1'!$A$88:$A$417,"RND",INDEX('Historical BU1'!$D$88:$EE$417,0,MATCH(H$4,'Historical BU1'!$D$84:$EE$84,0))),0)</f>
        <v>0</v>
      </c>
      <c r="I68" s="255">
        <f>IFERROR(Input_unit*(I$4&lt;$D$1)*SUMIF('Historical BU1'!$A$88:$A$417,"RND",INDEX('Historical BU1'!$D$88:$EE$417,0,MATCH(I$4,'Historical BU1'!$D$84:$EE$84,0))),0)</f>
        <v>0</v>
      </c>
      <c r="J68" s="255">
        <f>IFERROR(Input_unit*(J$4&lt;$D$1)*SUMIF('Historical BU1'!$A$88:$A$417,"RND",INDEX('Historical BU1'!$D$88:$EE$417,0,MATCH(J$4,'Historical BU1'!$D$84:$EE$84,0))),0)</f>
        <v>0</v>
      </c>
      <c r="K68" s="255">
        <f>IFERROR(Input_unit*(K$4&lt;$D$1)*SUMIF('Historical BU1'!$A$88:$A$417,"RND",INDEX('Historical BU1'!$D$88:$EE$417,0,MATCH(K$4,'Historical BU1'!$D$84:$EE$84,0))),0)</f>
        <v>0</v>
      </c>
      <c r="L68" s="255">
        <f>IFERROR(Input_unit*(L$4&lt;$D$1)*SUMIF('Historical BU1'!$A$88:$A$417,"RND",INDEX('Historical BU1'!$D$88:$EE$417,0,MATCH(L$4,'Historical BU1'!$D$84:$EE$84,0))),0)</f>
        <v>0</v>
      </c>
      <c r="M68" s="255">
        <f>IFERROR(Input_unit*(M$4&lt;$D$1)*SUMIF('Historical BU1'!$A$88:$A$417,"RND",INDEX('Historical BU1'!$D$88:$EE$417,0,MATCH(M$4,'Historical BU1'!$D$84:$EE$84,0))),0)</f>
        <v>0</v>
      </c>
      <c r="N68" s="255">
        <f>IFERROR(Input_unit*(N$4&lt;$D$1)*SUMIF('Historical BU1'!$A$88:$A$417,"RND",INDEX('Historical BU1'!$D$88:$EE$417,0,MATCH(N$4,'Historical BU1'!$D$84:$EE$84,0))),0)</f>
        <v>0</v>
      </c>
      <c r="O68" s="255">
        <f>IFERROR(Input_unit*(O$4&lt;$D$1)*SUMIF('Historical BU1'!$A$88:$A$417,"RND",INDEX('Historical BU1'!$D$88:$EE$417,0,MATCH(O$4,'Historical BU1'!$D$84:$EE$84,0))),0)</f>
        <v>0</v>
      </c>
      <c r="P68" s="255">
        <f>IFERROR(Input_unit*(P$4&lt;$D$1)*SUMIF('Historical BU1'!$A$88:$A$417,"RND",INDEX('Historical BU1'!$D$88:$EE$417,0,MATCH(P$4,'Historical BU1'!$D$84:$EE$84,0))),0)</f>
        <v>0</v>
      </c>
      <c r="Q68" s="255" t="str">
        <f>IFERROR(Input_unit*(Q$4&lt;$D$1)*SUMIF('Historical BU1'!$A$88:$A$417,"RND",INDEX('Historical BU1'!$D$88:$EE$417,0,MATCH(Q$4,'Historical BU1'!$D$84:$EE$84,0))),"")</f>
        <v/>
      </c>
      <c r="R68" s="316" t="str">
        <f>IFERROR((INDEX(68:68,MATCH(DATE('Control Panel'!$B$4+'Control Panel'!$B$5-1,'Control Panel'!$B$6,'Control Panel'!$B$7),'Scenarios offshore'!$10:$10,0))/INDEX(68:68,MATCH(DATE('Control Panel'!$B$4,'Control Panel'!$B$6,'Control Panel'!$B$7),'Scenarios offshore'!$10:$10,0)))^(1/('Control Panel'!$B$5-1))-1,"n.a.")</f>
        <v>n.a.</v>
      </c>
      <c r="S68" s="292"/>
    </row>
    <row r="69" spans="1:19" ht="14.4">
      <c r="A69" s="1"/>
      <c r="B69" s="1"/>
      <c r="C69" s="1"/>
      <c r="D69" s="255" t="str">
        <f>$D$21</f>
        <v>Sponsor base</v>
      </c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  <c r="R69" s="289"/>
      <c r="S69" s="316" t="str">
        <f>IFERROR((INDEX(69:69,MATCH(DATE('Control Panel'!$B$13,'Control Panel'!$B$6,'Control Panel'!$B$7),'Scenarios offshore'!$10:$10,0))/INDEX(68:68,MATCH(DATE('Control Panel'!$B$4+'Control Panel'!$B$5-1,'Control Panel'!$B$6,'Control Panel'!$B$7),'Scenarios offshore'!$10:$10,0)))^(1/('Control Panel'!$B$13-'Control Panel'!$B$12+1))-1,"n.a.")</f>
        <v>n.a.</v>
      </c>
    </row>
    <row r="70" spans="1:19" ht="14.4">
      <c r="A70" s="1"/>
      <c r="B70" s="1"/>
      <c r="C70" s="1"/>
      <c r="D70" s="255" t="str">
        <f>$D$22</f>
        <v>Flat</v>
      </c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  <c r="R70" s="289"/>
      <c r="S70" s="316" t="str">
        <f>IFERROR((INDEX(70:70,MATCH(DATE('Control Panel'!$B$13,'Control Panel'!$B$6,'Control Panel'!$B$7),'Scenarios offshore'!$10:$10,0))/INDEX(68:68,MATCH(DATE('Control Panel'!$B$4+'Control Panel'!$B$5-1,'Control Panel'!$B$6,'Control Panel'!$B$7),'Scenarios offshore'!$10:$10,0)))^(1/('Control Panel'!$B$13-'Control Panel'!$B$12+1))-1,"n.a.")</f>
        <v>n.a.</v>
      </c>
    </row>
    <row r="71" spans="1:19" ht="14.4">
      <c r="A71" s="1"/>
      <c r="B71" s="1"/>
      <c r="C71" s="1"/>
      <c r="D71" s="255" t="str">
        <f>$D$23</f>
        <v>Bank case</v>
      </c>
      <c r="E71" s="197"/>
      <c r="F71" s="197"/>
      <c r="G71" s="197"/>
      <c r="H71" s="197"/>
      <c r="I71" s="197"/>
      <c r="J71" s="197"/>
      <c r="K71" s="197"/>
      <c r="L71" s="197"/>
      <c r="M71" s="197"/>
      <c r="N71" s="197"/>
      <c r="O71" s="197"/>
      <c r="P71" s="197"/>
      <c r="Q71" s="197"/>
      <c r="R71" s="289"/>
      <c r="S71" s="316" t="str">
        <f>IFERROR((INDEX(71:71,MATCH(DATE('Control Panel'!$B$13,'Control Panel'!$B$6,'Control Panel'!$B$7),'Scenarios offshore'!$10:$10,0))/INDEX(68:68,MATCH(DATE('Control Panel'!$B$4+'Control Panel'!$B$5-1,'Control Panel'!$B$6,'Control Panel'!$B$7),'Scenarios offshore'!$10:$10,0)))^(1/('Control Panel'!$B$13-'Control Panel'!$B$12+1))-1,"n.a.")</f>
        <v>n.a.</v>
      </c>
    </row>
    <row r="72" spans="1:19" ht="14.4">
      <c r="A72" s="1"/>
      <c r="B72" s="1"/>
      <c r="C72" s="1"/>
      <c r="D72" s="255" t="str">
        <f>$D$24</f>
        <v>Bank worse</v>
      </c>
      <c r="E72" s="197"/>
      <c r="F72" s="197"/>
      <c r="G72" s="197"/>
      <c r="H72" s="197"/>
      <c r="I72" s="197"/>
      <c r="J72" s="197"/>
      <c r="K72" s="197"/>
      <c r="L72" s="197"/>
      <c r="M72" s="197"/>
      <c r="N72" s="197"/>
      <c r="O72" s="197"/>
      <c r="P72" s="197"/>
      <c r="Q72" s="197"/>
      <c r="R72" s="289"/>
      <c r="S72" s="316" t="str">
        <f>IFERROR((INDEX(72:72,MATCH(DATE('Control Panel'!$B$13,'Control Panel'!$B$6,'Control Panel'!$B$7),'Scenarios offshore'!$10:$10,0))/INDEX(68:68,MATCH(DATE('Control Panel'!$B$4+'Control Panel'!$B$5-1,'Control Panel'!$B$6,'Control Panel'!$B$7),'Scenarios offshore'!$10:$10,0)))^(1/('Control Panel'!$B$13-'Control Panel'!$B$12+1))-1,"n.a.")</f>
        <v>n.a.</v>
      </c>
    </row>
    <row r="73" spans="1:19" ht="14.4">
      <c r="A73" s="1"/>
      <c r="B73" s="1"/>
      <c r="C73" s="88"/>
      <c r="D73" s="1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</row>
    <row r="74" spans="1:19" ht="14.4">
      <c r="A74" s="34"/>
      <c r="B74" s="180"/>
      <c r="C74" s="180" t="s">
        <v>928</v>
      </c>
      <c r="D74" s="180" t="s">
        <v>604</v>
      </c>
      <c r="E74" s="180">
        <f t="shared" ref="E74:Q74" si="24">IF(E$5,INDEX(E77:E80,$D$2),E76)</f>
        <v>0</v>
      </c>
      <c r="F74" s="180">
        <f t="shared" si="24"/>
        <v>0</v>
      </c>
      <c r="G74" s="180">
        <f t="shared" si="24"/>
        <v>0</v>
      </c>
      <c r="H74" s="180">
        <f>IF(H$5,INDEX(H77:H80,$D$2),H76)</f>
        <v>0</v>
      </c>
      <c r="I74" s="180">
        <f t="shared" si="24"/>
        <v>0</v>
      </c>
      <c r="J74" s="180">
        <f t="shared" si="24"/>
        <v>0</v>
      </c>
      <c r="K74" s="180">
        <f t="shared" si="24"/>
        <v>0</v>
      </c>
      <c r="L74" s="180">
        <f t="shared" si="24"/>
        <v>0</v>
      </c>
      <c r="M74" s="180">
        <f t="shared" si="24"/>
        <v>0</v>
      </c>
      <c r="N74" s="180">
        <f t="shared" si="24"/>
        <v>0</v>
      </c>
      <c r="O74" s="180">
        <f t="shared" si="24"/>
        <v>0</v>
      </c>
      <c r="P74" s="180">
        <f t="shared" si="24"/>
        <v>0</v>
      </c>
      <c r="Q74" s="180" t="str">
        <f t="shared" si="24"/>
        <v/>
      </c>
      <c r="R74" s="315" t="str">
        <f>IFERROR((INDEX(74:74,MATCH(DATE('Control Panel'!$B$4+'Control Panel'!$B$5-1,'Control Panel'!$B$6,'Control Panel'!$B$7),'Scenarios offshore'!$10:$10,0))/INDEX(74:74,MATCH(DATE('Control Panel'!$B$4,'Control Panel'!$B$6,'Control Panel'!$B$7),'Scenarios offshore'!$10:$10,0)))^(1/('Control Panel'!$B$5-1))-1,"n.a.")</f>
        <v>n.a.</v>
      </c>
      <c r="S74" s="315" t="str">
        <f>IFERROR((INDEX(74:74,MATCH(DATE('Control Panel'!$B$13,'Control Panel'!$B$6,'Control Panel'!$B$7),'Scenarios offshore'!$10:$10,0))/INDEX(74:74,MATCH(DATE('Control Panel'!$B$4+'Control Panel'!$B$5-1,'Control Panel'!$B$6,'Control Panel'!$B$7),'Scenarios offshore'!$10:$10,0)))^(1/('Control Panel'!$B$13-'Control Panel'!$B$12+1))-1,"n.a.")</f>
        <v>n.a.</v>
      </c>
    </row>
    <row r="75" spans="1:19" ht="14.4">
      <c r="A75" s="38"/>
      <c r="B75" s="38"/>
      <c r="C75" s="38"/>
      <c r="D75" s="286" t="s">
        <v>920</v>
      </c>
      <c r="E75" s="185" t="str">
        <f t="shared" ref="E75:Q75" si="25">IFERROR(E74/INDEX(74:74,MATCH(DATE(YEAR(E$10)-1,MONTH(E$10),DAY(E$10)),$10:$10,0))-1,"n.a.")</f>
        <v>n.a.</v>
      </c>
      <c r="F75" s="185" t="str">
        <f t="shared" si="25"/>
        <v>n.a.</v>
      </c>
      <c r="G75" s="185" t="str">
        <f t="shared" si="25"/>
        <v>n.a.</v>
      </c>
      <c r="H75" s="185" t="str">
        <f t="shared" si="25"/>
        <v>n.a.</v>
      </c>
      <c r="I75" s="185" t="str">
        <f t="shared" si="25"/>
        <v>n.a.</v>
      </c>
      <c r="J75" s="185" t="str">
        <f t="shared" si="25"/>
        <v>n.a.</v>
      </c>
      <c r="K75" s="185" t="str">
        <f t="shared" si="25"/>
        <v>n.a.</v>
      </c>
      <c r="L75" s="185" t="str">
        <f t="shared" si="25"/>
        <v>n.a.</v>
      </c>
      <c r="M75" s="185" t="str">
        <f t="shared" si="25"/>
        <v>n.a.</v>
      </c>
      <c r="N75" s="185" t="str">
        <f t="shared" si="25"/>
        <v>n.a.</v>
      </c>
      <c r="O75" s="185" t="str">
        <f t="shared" si="25"/>
        <v>n.a.</v>
      </c>
      <c r="P75" s="185" t="str">
        <f t="shared" si="25"/>
        <v>n.a.</v>
      </c>
      <c r="Q75" s="185" t="str">
        <f t="shared" si="25"/>
        <v>n.a.</v>
      </c>
      <c r="R75" s="38"/>
      <c r="S75" s="38"/>
    </row>
    <row r="76" spans="1:19">
      <c r="A76" s="255"/>
      <c r="B76" s="255"/>
      <c r="C76" s="255"/>
      <c r="D76" s="255" t="s">
        <v>599</v>
      </c>
      <c r="E76" s="255">
        <f>IFERROR(Input_unit*(E$4&lt;$D$1)*SUMIF('Historical BU1'!$A$88:$A$417,"OIN",INDEX('Historical BU1'!$D$88:$EE$417,0,MATCH(E$4,'Historical BU1'!$D$84:$EE$84,0))),0)</f>
        <v>0</v>
      </c>
      <c r="F76" s="255">
        <f>IFERROR(Input_unit*(F$4&lt;$D$1)*SUMIF('Historical BU1'!$A$88:$A$417,"OIN",INDEX('Historical BU1'!$D$88:$EE$417,0,MATCH(F$4,'Historical BU1'!$D$84:$EE$84,0))),0)</f>
        <v>0</v>
      </c>
      <c r="G76" s="255">
        <f>IFERROR(Input_unit*(G$4&lt;$D$1)*SUMIF('Historical BU1'!$A$88:$A$417,"OIN",INDEX('Historical BU1'!$D$88:$EE$417,0,MATCH(G$4,'Historical BU1'!$D$84:$EE$84,0))),0)</f>
        <v>0</v>
      </c>
      <c r="H76" s="255">
        <f>IFERROR(Input_unit*(H$4&lt;$D$1)*SUMIF('Historical BU1'!$A$88:$A$417,"OIN",INDEX('Historical BU1'!$D$88:$EE$417,0,MATCH(H$4,'Historical BU1'!$D$84:$EE$84,0))),0)</f>
        <v>0</v>
      </c>
      <c r="I76" s="255">
        <f>IFERROR(Input_unit*(I$4&lt;$D$1)*SUMIF('Historical BU1'!$A$88:$A$417,"OIN",INDEX('Historical BU1'!$D$88:$EE$417,0,MATCH(I$4,'Historical BU1'!$D$84:$EE$84,0))),0)</f>
        <v>0</v>
      </c>
      <c r="J76" s="255">
        <f>IFERROR(Input_unit*(J$4&lt;$D$1)*SUMIF('Historical BU1'!$A$88:$A$417,"OIN",INDEX('Historical BU1'!$D$88:$EE$417,0,MATCH(J$4,'Historical BU1'!$D$84:$EE$84,0))),0)</f>
        <v>0</v>
      </c>
      <c r="K76" s="255">
        <f>IFERROR(Input_unit*(K$4&lt;$D$1)*SUMIF('Historical BU1'!$A$88:$A$417,"OIN",INDEX('Historical BU1'!$D$88:$EE$417,0,MATCH(K$4,'Historical BU1'!$D$84:$EE$84,0))),0)</f>
        <v>0</v>
      </c>
      <c r="L76" s="255">
        <f>IFERROR(Input_unit*(L$4&lt;$D$1)*SUMIF('Historical BU1'!$A$88:$A$417,"OIN",INDEX('Historical BU1'!$D$88:$EE$417,0,MATCH(L$4,'Historical BU1'!$D$84:$EE$84,0))),0)</f>
        <v>0</v>
      </c>
      <c r="M76" s="255">
        <f>IFERROR(Input_unit*(M$4&lt;$D$1)*SUMIF('Historical BU1'!$A$88:$A$417,"OIN",INDEX('Historical BU1'!$D$88:$EE$417,0,MATCH(M$4,'Historical BU1'!$D$84:$EE$84,0))),0)</f>
        <v>0</v>
      </c>
      <c r="N76" s="255">
        <f>IFERROR(Input_unit*(N$4&lt;$D$1)*SUMIF('Historical BU1'!$A$88:$A$417,"OIN",INDEX('Historical BU1'!$D$88:$EE$417,0,MATCH(N$4,'Historical BU1'!$D$84:$EE$84,0))),0)</f>
        <v>0</v>
      </c>
      <c r="O76" s="255">
        <f>IFERROR(Input_unit*(O$4&lt;$D$1)*SUMIF('Historical BU1'!$A$88:$A$417,"OIN",INDEX('Historical BU1'!$D$88:$EE$417,0,MATCH(O$4,'Historical BU1'!$D$84:$EE$84,0))),0)</f>
        <v>0</v>
      </c>
      <c r="P76" s="255">
        <f>IFERROR(Input_unit*(P$4&lt;$D$1)*SUMIF('Historical BU1'!$A$88:$A$417,"OIN",INDEX('Historical BU1'!$D$88:$EE$417,0,MATCH(P$4,'Historical BU1'!$D$84:$EE$84,0))),0)</f>
        <v>0</v>
      </c>
      <c r="Q76" s="255" t="str">
        <f>IFERROR(Input_unit*(Q$4&lt;$D$1)*SUMIF('Historical BU1'!$A$88:$A$417,"OIN",INDEX('Historical BU1'!$D$88:$EE$417,0,MATCH(Q$4,'Historical BU1'!$D$84:$EE$84,0))),"")</f>
        <v/>
      </c>
      <c r="R76" s="316" t="str">
        <f>IFERROR((INDEX(76:76,MATCH(DATE('Control Panel'!$B$4+'Control Panel'!$B$5-1,'Control Panel'!$B$6,'Control Panel'!$B$7),'Scenarios offshore'!$10:$10,0))/INDEX(76:76,MATCH(DATE('Control Panel'!$B$4,'Control Panel'!$B$6,'Control Panel'!$B$7),'Scenarios offshore'!$10:$10,0)))^(1/('Control Panel'!$B$5-1))-1,"n.a.")</f>
        <v>n.a.</v>
      </c>
      <c r="S76" s="292"/>
    </row>
    <row r="77" spans="1:19" ht="14.4">
      <c r="A77" s="1"/>
      <c r="B77" s="1"/>
      <c r="C77" s="1"/>
      <c r="D77" s="255" t="str">
        <f>$D$21</f>
        <v>Sponsor base</v>
      </c>
      <c r="E77" s="197"/>
      <c r="F77" s="197"/>
      <c r="G77" s="197"/>
      <c r="H77" s="197"/>
      <c r="I77" s="197"/>
      <c r="J77" s="197"/>
      <c r="K77" s="197"/>
      <c r="L77" s="197"/>
      <c r="M77" s="197"/>
      <c r="N77" s="197"/>
      <c r="O77" s="197"/>
      <c r="P77" s="197"/>
      <c r="Q77" s="197"/>
      <c r="R77" s="289"/>
      <c r="S77" s="316" t="str">
        <f>IFERROR((INDEX(77:77,MATCH(DATE('Control Panel'!$B$13,'Control Panel'!$B$6,'Control Panel'!$B$7),'Scenarios offshore'!$10:$10,0))/INDEX(76:76,MATCH(DATE('Control Panel'!$B$4+'Control Panel'!$B$5-1,'Control Panel'!$B$6,'Control Panel'!$B$7),'Scenarios offshore'!$10:$10,0)))^(1/('Control Panel'!$B$13-'Control Panel'!$B$12+1))-1,"n.a.")</f>
        <v>n.a.</v>
      </c>
    </row>
    <row r="78" spans="1:19" ht="14.4">
      <c r="A78" s="1"/>
      <c r="B78" s="1"/>
      <c r="C78" s="1"/>
      <c r="D78" s="255" t="str">
        <f>$D$22</f>
        <v>Flat</v>
      </c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289"/>
      <c r="S78" s="316" t="str">
        <f>IFERROR((INDEX(78:78,MATCH(DATE('Control Panel'!$B$13,'Control Panel'!$B$6,'Control Panel'!$B$7),'Scenarios offshore'!$10:$10,0))/INDEX(76:76,MATCH(DATE('Control Panel'!$B$4+'Control Panel'!$B$5-1,'Control Panel'!$B$6,'Control Panel'!$B$7),'Scenarios offshore'!$10:$10,0)))^(1/('Control Panel'!$B$13-'Control Panel'!$B$12+1))-1,"n.a.")</f>
        <v>n.a.</v>
      </c>
    </row>
    <row r="79" spans="1:19" ht="14.4">
      <c r="A79" s="1"/>
      <c r="B79" s="1"/>
      <c r="C79" s="1"/>
      <c r="D79" s="255" t="str">
        <f>$D$23</f>
        <v>Bank case</v>
      </c>
      <c r="E79" s="197"/>
      <c r="F79" s="197"/>
      <c r="G79" s="197"/>
      <c r="H79" s="197"/>
      <c r="I79" s="197"/>
      <c r="J79" s="197"/>
      <c r="K79" s="197"/>
      <c r="L79" s="197"/>
      <c r="M79" s="197"/>
      <c r="N79" s="197"/>
      <c r="O79" s="197"/>
      <c r="P79" s="197"/>
      <c r="Q79" s="197"/>
      <c r="R79" s="289"/>
      <c r="S79" s="316" t="str">
        <f>IFERROR((INDEX(79:79,MATCH(DATE('Control Panel'!$B$13,'Control Panel'!$B$6,'Control Panel'!$B$7),'Scenarios offshore'!$10:$10,0))/INDEX(76:76,MATCH(DATE('Control Panel'!$B$4+'Control Panel'!$B$5-1,'Control Panel'!$B$6,'Control Panel'!$B$7),'Scenarios offshore'!$10:$10,0)))^(1/('Control Panel'!$B$13-'Control Panel'!$B$12+1))-1,"n.a.")</f>
        <v>n.a.</v>
      </c>
    </row>
    <row r="80" spans="1:19" ht="14.4">
      <c r="A80" s="1"/>
      <c r="B80" s="1"/>
      <c r="C80" s="1"/>
      <c r="D80" s="255" t="str">
        <f>$D$24</f>
        <v>Bank worse</v>
      </c>
      <c r="E80" s="197"/>
      <c r="F80" s="197"/>
      <c r="G80" s="197"/>
      <c r="H80" s="197"/>
      <c r="I80" s="197"/>
      <c r="J80" s="197"/>
      <c r="K80" s="197"/>
      <c r="L80" s="197"/>
      <c r="M80" s="197"/>
      <c r="N80" s="197"/>
      <c r="O80" s="197"/>
      <c r="P80" s="197"/>
      <c r="Q80" s="197"/>
      <c r="R80" s="289"/>
      <c r="S80" s="316" t="str">
        <f>IFERROR((INDEX(80:80,MATCH(DATE('Control Panel'!$B$13,'Control Panel'!$B$6,'Control Panel'!$B$7),'Scenarios offshore'!$10:$10,0))/INDEX(76:76,MATCH(DATE('Control Panel'!$B$4+'Control Panel'!$B$5-1,'Control Panel'!$B$6,'Control Panel'!$B$7),'Scenarios offshore'!$10:$10,0)))^(1/('Control Panel'!$B$13-'Control Panel'!$B$12+1))-1,"n.a.")</f>
        <v>n.a.</v>
      </c>
    </row>
    <row r="81" spans="1:19" ht="14.4">
      <c r="A81" s="1"/>
      <c r="B81" s="1"/>
      <c r="C81" s="88"/>
      <c r="D81" s="1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</row>
    <row r="82" spans="1:19" ht="14.4">
      <c r="A82" s="34"/>
      <c r="B82" s="180" t="s">
        <v>841</v>
      </c>
      <c r="C82" s="180"/>
      <c r="D82" s="180" t="s">
        <v>604</v>
      </c>
      <c r="E82" s="180">
        <f>E18-E42-E50-E58-E66+E74</f>
        <v>0</v>
      </c>
      <c r="F82" s="180">
        <f t="shared" ref="F82:Q82" si="26">F18-F42-F50-F58-F66+F74</f>
        <v>0</v>
      </c>
      <c r="G82" s="180">
        <f t="shared" si="26"/>
        <v>0</v>
      </c>
      <c r="H82" s="180">
        <f t="shared" si="26"/>
        <v>0</v>
      </c>
      <c r="I82" s="180">
        <f t="shared" si="26"/>
        <v>0</v>
      </c>
      <c r="J82" s="180">
        <f t="shared" si="26"/>
        <v>0</v>
      </c>
      <c r="K82" s="180">
        <f>K18-K42-K50-K58-K66+K74</f>
        <v>0</v>
      </c>
      <c r="L82" s="180">
        <f t="shared" si="26"/>
        <v>0</v>
      </c>
      <c r="M82" s="180">
        <f t="shared" si="26"/>
        <v>0</v>
      </c>
      <c r="N82" s="180">
        <f t="shared" si="26"/>
        <v>0</v>
      </c>
      <c r="O82" s="180">
        <f t="shared" si="26"/>
        <v>0</v>
      </c>
      <c r="P82" s="180">
        <f t="shared" si="26"/>
        <v>0</v>
      </c>
      <c r="Q82" s="180" t="e">
        <f t="shared" si="26"/>
        <v>#VALUE!</v>
      </c>
      <c r="R82" s="315" t="str">
        <f>IFERROR((INDEX(82:82,MATCH(DATE('Control Panel'!$B$4+'Control Panel'!$B$5-1,'Control Panel'!$B$6,'Control Panel'!$B$7),'Scenarios offshore'!$10:$10,0))/INDEX(82:82,MATCH(DATE('Control Panel'!$B$4,'Control Panel'!$B$6,'Control Panel'!$B$7),'Scenarios offshore'!$10:$10,0)))^(1/('Control Panel'!$B$5-1))-1,"n.a.")</f>
        <v>n.a.</v>
      </c>
      <c r="S82" s="315" t="str">
        <f>IFERROR((INDEX(82:82,MATCH(DATE('Control Panel'!$B$13,'Control Panel'!$B$6,'Control Panel'!$B$7),'Scenarios offshore'!$10:$10,0))/INDEX(82:82,MATCH(DATE('Control Panel'!$B$4+'Control Panel'!$B$5-1,'Control Panel'!$B$6,'Control Panel'!$B$7),'Scenarios offshore'!$10:$10,0)))^(1/('Control Panel'!$B$13-'Control Panel'!$B$12+1))-1,"n.a.")</f>
        <v>n.a.</v>
      </c>
    </row>
    <row r="83" spans="1:19" ht="14.4">
      <c r="A83" s="38"/>
      <c r="B83" s="38"/>
      <c r="C83" s="38"/>
      <c r="D83" s="286" t="s">
        <v>605</v>
      </c>
      <c r="E83" s="183" t="str">
        <f>IFERROR(E82/E18,"")</f>
        <v/>
      </c>
      <c r="F83" s="183" t="str">
        <f t="shared" ref="F83:Q83" si="27">IFERROR(F82/F18,"")</f>
        <v/>
      </c>
      <c r="G83" s="183" t="str">
        <f t="shared" si="27"/>
        <v/>
      </c>
      <c r="H83" s="183" t="str">
        <f t="shared" si="27"/>
        <v/>
      </c>
      <c r="I83" s="183" t="str">
        <f t="shared" si="27"/>
        <v/>
      </c>
      <c r="J83" s="183" t="str">
        <f t="shared" si="27"/>
        <v/>
      </c>
      <c r="K83" s="183" t="str">
        <f t="shared" si="27"/>
        <v/>
      </c>
      <c r="L83" s="183" t="str">
        <f t="shared" si="27"/>
        <v/>
      </c>
      <c r="M83" s="183" t="str">
        <f t="shared" si="27"/>
        <v/>
      </c>
      <c r="N83" s="183" t="str">
        <f t="shared" si="27"/>
        <v/>
      </c>
      <c r="O83" s="183" t="str">
        <f t="shared" si="27"/>
        <v/>
      </c>
      <c r="P83" s="183" t="str">
        <f t="shared" si="27"/>
        <v/>
      </c>
      <c r="Q83" s="183" t="str">
        <f t="shared" si="27"/>
        <v/>
      </c>
      <c r="R83" s="38"/>
      <c r="S83" s="38"/>
    </row>
    <row r="84" spans="1:19">
      <c r="A84" s="255"/>
      <c r="B84" s="255"/>
      <c r="C84" s="255"/>
      <c r="D84" s="255" t="s">
        <v>599</v>
      </c>
      <c r="E84" s="255">
        <f>IFERROR(E20-E44-E52-E60-E68+E76,0)</f>
        <v>0</v>
      </c>
      <c r="F84" s="255">
        <f t="shared" ref="F84:Q84" si="28">IFERROR(F20-F44-F52-F60-F68+F76,0)</f>
        <v>0</v>
      </c>
      <c r="G84" s="255">
        <f t="shared" si="28"/>
        <v>0</v>
      </c>
      <c r="H84" s="255">
        <f t="shared" si="28"/>
        <v>0</v>
      </c>
      <c r="I84" s="255">
        <f t="shared" si="28"/>
        <v>0</v>
      </c>
      <c r="J84" s="255">
        <f t="shared" si="28"/>
        <v>0</v>
      </c>
      <c r="K84" s="255">
        <f t="shared" si="28"/>
        <v>0</v>
      </c>
      <c r="L84" s="255">
        <f t="shared" si="28"/>
        <v>0</v>
      </c>
      <c r="M84" s="255">
        <f t="shared" si="28"/>
        <v>0</v>
      </c>
      <c r="N84" s="255">
        <f t="shared" si="28"/>
        <v>0</v>
      </c>
      <c r="O84" s="255">
        <f t="shared" si="28"/>
        <v>0</v>
      </c>
      <c r="P84" s="255">
        <f t="shared" si="28"/>
        <v>0</v>
      </c>
      <c r="Q84" s="255">
        <f t="shared" si="28"/>
        <v>0</v>
      </c>
      <c r="R84" s="316" t="str">
        <f>IFERROR((INDEX(84:84,MATCH(DATE('Control Panel'!$B$4+'Control Panel'!$B$5-1,'Control Panel'!$B$6,'Control Panel'!$B$7),'Scenarios offshore'!$10:$10,0))/INDEX(84:84,MATCH(DATE('Control Panel'!$B$4,'Control Panel'!$B$6,'Control Panel'!$B$7),'Scenarios offshore'!$10:$10,0)))^(1/('Control Panel'!$B$5-1))-1,"n.a.")</f>
        <v>n.a.</v>
      </c>
      <c r="S84" s="292"/>
    </row>
    <row r="85" spans="1:19" ht="14.4">
      <c r="A85" s="1"/>
      <c r="B85" s="1"/>
      <c r="C85" s="1"/>
      <c r="D85" s="255" t="str">
        <f>$D$21</f>
        <v>Sponsor base</v>
      </c>
      <c r="E85" s="291">
        <f t="shared" ref="E85:Q88" si="29">IFERROR(E21-E45-E53-E61-E69+E77,0)</f>
        <v>0</v>
      </c>
      <c r="F85" s="291">
        <f t="shared" si="29"/>
        <v>0</v>
      </c>
      <c r="G85" s="291">
        <f t="shared" si="29"/>
        <v>0</v>
      </c>
      <c r="H85" s="291">
        <f t="shared" ref="H85:L87" si="30">IFERROR(H21-H45-H53-H61-H69+H77,0)</f>
        <v>0</v>
      </c>
      <c r="I85" s="291">
        <f t="shared" si="30"/>
        <v>0</v>
      </c>
      <c r="J85" s="291">
        <f t="shared" si="30"/>
        <v>0</v>
      </c>
      <c r="K85" s="291">
        <f t="shared" si="30"/>
        <v>0</v>
      </c>
      <c r="L85" s="291">
        <f t="shared" si="30"/>
        <v>0</v>
      </c>
      <c r="M85" s="291">
        <f t="shared" si="29"/>
        <v>0</v>
      </c>
      <c r="N85" s="291">
        <f t="shared" si="29"/>
        <v>0</v>
      </c>
      <c r="O85" s="291">
        <f t="shared" si="29"/>
        <v>0</v>
      </c>
      <c r="P85" s="291">
        <f t="shared" si="29"/>
        <v>0</v>
      </c>
      <c r="Q85" s="291">
        <f t="shared" si="29"/>
        <v>0</v>
      </c>
      <c r="R85" s="289"/>
      <c r="S85" s="316" t="str">
        <f>IFERROR((INDEX(85:85,MATCH(DATE('Control Panel'!$B$13,'Control Panel'!$B$6,'Control Panel'!$B$7),'Scenarios offshore'!$10:$10,0))/INDEX(84:84,MATCH(DATE('Control Panel'!$B$4+'Control Panel'!$B$5-1,'Control Panel'!$B$6,'Control Panel'!$B$7),'Scenarios offshore'!$10:$10,0)))^(1/('Control Panel'!$B$13-'Control Panel'!$B$12+1))-1,"n.a.")</f>
        <v>n.a.</v>
      </c>
    </row>
    <row r="86" spans="1:19" ht="14.4">
      <c r="A86" s="1"/>
      <c r="B86" s="1"/>
      <c r="C86" s="1"/>
      <c r="D86" s="255" t="str">
        <f>$D$22</f>
        <v>Flat</v>
      </c>
      <c r="E86" s="291">
        <f t="shared" si="29"/>
        <v>0</v>
      </c>
      <c r="F86" s="291">
        <f t="shared" si="29"/>
        <v>0</v>
      </c>
      <c r="G86" s="291">
        <f t="shared" si="29"/>
        <v>0</v>
      </c>
      <c r="H86" s="291">
        <f t="shared" si="30"/>
        <v>0</v>
      </c>
      <c r="I86" s="291">
        <f t="shared" si="30"/>
        <v>0</v>
      </c>
      <c r="J86" s="291">
        <f t="shared" si="30"/>
        <v>0</v>
      </c>
      <c r="K86" s="291">
        <f t="shared" si="30"/>
        <v>0</v>
      </c>
      <c r="L86" s="291">
        <f t="shared" si="30"/>
        <v>0</v>
      </c>
      <c r="M86" s="291">
        <f t="shared" si="29"/>
        <v>0</v>
      </c>
      <c r="N86" s="291">
        <f t="shared" si="29"/>
        <v>0</v>
      </c>
      <c r="O86" s="291">
        <f t="shared" si="29"/>
        <v>0</v>
      </c>
      <c r="P86" s="291">
        <f t="shared" si="29"/>
        <v>0</v>
      </c>
      <c r="Q86" s="291">
        <f t="shared" si="29"/>
        <v>0</v>
      </c>
      <c r="R86" s="289"/>
      <c r="S86" s="316" t="str">
        <f>IFERROR((INDEX(86:86,MATCH(DATE('Control Panel'!$B$13,'Control Panel'!$B$6,'Control Panel'!$B$7),'Scenarios offshore'!$10:$10,0))/INDEX(84:84,MATCH(DATE('Control Panel'!$B$4+'Control Panel'!$B$5-1,'Control Panel'!$B$6,'Control Panel'!$B$7),'Scenarios offshore'!$10:$10,0)))^(1/('Control Panel'!$B$13-'Control Panel'!$B$12+1))-1,"n.a.")</f>
        <v>n.a.</v>
      </c>
    </row>
    <row r="87" spans="1:19" ht="14.4">
      <c r="A87" s="1"/>
      <c r="B87" s="1"/>
      <c r="C87" s="1"/>
      <c r="D87" s="255" t="str">
        <f>$D$23</f>
        <v>Bank case</v>
      </c>
      <c r="E87" s="291">
        <f t="shared" si="29"/>
        <v>0</v>
      </c>
      <c r="F87" s="291">
        <f t="shared" si="29"/>
        <v>0</v>
      </c>
      <c r="G87" s="291">
        <f t="shared" si="29"/>
        <v>0</v>
      </c>
      <c r="H87" s="291">
        <f t="shared" si="30"/>
        <v>0</v>
      </c>
      <c r="I87" s="291">
        <f t="shared" si="30"/>
        <v>0</v>
      </c>
      <c r="J87" s="291">
        <f t="shared" si="30"/>
        <v>0</v>
      </c>
      <c r="K87" s="291">
        <f t="shared" si="30"/>
        <v>0</v>
      </c>
      <c r="L87" s="291">
        <f t="shared" si="30"/>
        <v>0</v>
      </c>
      <c r="M87" s="291">
        <f t="shared" si="29"/>
        <v>0</v>
      </c>
      <c r="N87" s="291">
        <f t="shared" si="29"/>
        <v>0</v>
      </c>
      <c r="O87" s="291">
        <f t="shared" si="29"/>
        <v>0</v>
      </c>
      <c r="P87" s="291">
        <f t="shared" si="29"/>
        <v>0</v>
      </c>
      <c r="Q87" s="291">
        <f t="shared" si="29"/>
        <v>0</v>
      </c>
      <c r="R87" s="289"/>
      <c r="S87" s="316" t="str">
        <f>IFERROR((INDEX(87:87,MATCH(DATE('Control Panel'!$B$13,'Control Panel'!$B$6,'Control Panel'!$B$7),'Scenarios offshore'!$10:$10,0))/INDEX(84:84,MATCH(DATE('Control Panel'!$B$4+'Control Panel'!$B$5-1,'Control Panel'!$B$6,'Control Panel'!$B$7),'Scenarios offshore'!$10:$10,0)))^(1/('Control Panel'!$B$13-'Control Panel'!$B$12+1))-1,"n.a.")</f>
        <v>n.a.</v>
      </c>
    </row>
    <row r="88" spans="1:19" ht="14.4">
      <c r="A88" s="1"/>
      <c r="B88" s="1"/>
      <c r="C88" s="1"/>
      <c r="D88" s="255" t="str">
        <f>$D$24</f>
        <v>Bank worse</v>
      </c>
      <c r="E88" s="291">
        <f t="shared" si="29"/>
        <v>0</v>
      </c>
      <c r="F88" s="291">
        <f t="shared" si="29"/>
        <v>0</v>
      </c>
      <c r="G88" s="291">
        <f t="shared" si="29"/>
        <v>0</v>
      </c>
      <c r="H88" s="291">
        <f t="shared" si="29"/>
        <v>0</v>
      </c>
      <c r="I88" s="291">
        <f t="shared" si="29"/>
        <v>0</v>
      </c>
      <c r="J88" s="291">
        <f t="shared" si="29"/>
        <v>0</v>
      </c>
      <c r="K88" s="291">
        <f t="shared" si="29"/>
        <v>0</v>
      </c>
      <c r="L88" s="291">
        <f t="shared" si="29"/>
        <v>0</v>
      </c>
      <c r="M88" s="291">
        <f t="shared" si="29"/>
        <v>0</v>
      </c>
      <c r="N88" s="291">
        <f t="shared" si="29"/>
        <v>0</v>
      </c>
      <c r="O88" s="291">
        <f t="shared" si="29"/>
        <v>0</v>
      </c>
      <c r="P88" s="291">
        <f t="shared" si="29"/>
        <v>0</v>
      </c>
      <c r="Q88" s="291">
        <f t="shared" si="29"/>
        <v>0</v>
      </c>
      <c r="R88" s="289"/>
      <c r="S88" s="316" t="str">
        <f>IFERROR((INDEX(88:88,MATCH(DATE('Control Panel'!$B$13,'Control Panel'!$B$6,'Control Panel'!$B$7),'Scenarios offshore'!$10:$10,0))/INDEX(84:84,MATCH(DATE('Control Panel'!$B$4+'Control Panel'!$B$5-1,'Control Panel'!$B$6,'Control Panel'!$B$7),'Scenarios offshore'!$10:$10,0)))^(1/('Control Panel'!$B$13-'Control Panel'!$B$12+1))-1,"n.a.")</f>
        <v>n.a.</v>
      </c>
    </row>
    <row r="89" spans="1:19" ht="14.4">
      <c r="A89" s="1"/>
      <c r="B89" s="1"/>
      <c r="C89" s="88"/>
      <c r="D89" s="94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9"/>
      <c r="S89" s="290"/>
    </row>
    <row r="90" spans="1:19" ht="14.4">
      <c r="A90" s="34"/>
      <c r="B90" s="180" t="s">
        <v>929</v>
      </c>
      <c r="C90" s="180"/>
      <c r="D90" s="180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</row>
    <row r="91" spans="1:19" ht="14.4">
      <c r="A91" s="34"/>
      <c r="B91" s="180"/>
      <c r="C91" s="180" t="s">
        <v>930</v>
      </c>
      <c r="D91" s="180" t="s">
        <v>604</v>
      </c>
      <c r="E91" s="180">
        <f t="shared" ref="E91:Q91" si="31">IF(E$5,INDEX(E93:E96,$D$2),E92)</f>
        <v>0</v>
      </c>
      <c r="F91" s="180">
        <f t="shared" si="31"/>
        <v>0</v>
      </c>
      <c r="G91" s="180">
        <f t="shared" si="31"/>
        <v>0</v>
      </c>
      <c r="H91" s="180">
        <f t="shared" si="31"/>
        <v>0</v>
      </c>
      <c r="I91" s="180">
        <f t="shared" si="31"/>
        <v>0</v>
      </c>
      <c r="J91" s="180">
        <f t="shared" si="31"/>
        <v>0</v>
      </c>
      <c r="K91" s="180">
        <f t="shared" si="31"/>
        <v>0</v>
      </c>
      <c r="L91" s="180">
        <f t="shared" si="31"/>
        <v>0</v>
      </c>
      <c r="M91" s="180">
        <f t="shared" si="31"/>
        <v>0</v>
      </c>
      <c r="N91" s="180">
        <f t="shared" si="31"/>
        <v>0</v>
      </c>
      <c r="O91" s="180">
        <f t="shared" si="31"/>
        <v>0</v>
      </c>
      <c r="P91" s="180">
        <f t="shared" si="31"/>
        <v>0</v>
      </c>
      <c r="Q91" s="180" t="str">
        <f t="shared" si="31"/>
        <v/>
      </c>
      <c r="R91" s="315" t="str">
        <f>IFERROR((INDEX(91:91,MATCH(DATE('Control Panel'!$B$4+'Control Panel'!$B$5-1,'Control Panel'!$B$6,'Control Panel'!$B$7),'Scenarios offshore'!$10:$10,0))/INDEX(91:91,MATCH(DATE('Control Panel'!$B$4,'Control Panel'!$B$6,'Control Panel'!$B$7),'Scenarios offshore'!$10:$10,0)))^(1/('Control Panel'!$B$5-1))-1,"n.a.")</f>
        <v>n.a.</v>
      </c>
      <c r="S91" s="315" t="str">
        <f>IFERROR((INDEX(91:91,MATCH(DATE('Control Panel'!$B$13,'Control Panel'!$B$6,'Control Panel'!$B$7),'Scenarios offshore'!$10:$10,0))/INDEX(91:91,MATCH(DATE('Control Panel'!$B$4+'Control Panel'!$B$5-1,'Control Panel'!$B$6,'Control Panel'!$B$7),'Scenarios offshore'!$10:$10,0)))^(1/('Control Panel'!$B$13-'Control Panel'!$B$12+1))-1,"n.a.")</f>
        <v>n.a.</v>
      </c>
    </row>
    <row r="92" spans="1:19" ht="14.4">
      <c r="A92" s="255"/>
      <c r="B92" s="255"/>
      <c r="C92" s="255"/>
      <c r="D92" s="255" t="s">
        <v>599</v>
      </c>
      <c r="E92" s="255">
        <f>IFERROR(Input_unit*(E$4&lt;$D$1)*(SUMIF('Historical BU1'!$A$88:$A$417,"PPE",INDEX('Historical BU1'!$D$88:$EE$417,0,MATCH(E$4,'Historical BU1'!$D$84:$EE$84,0)))+SUMIF('Historical BU1'!$A$88:$A$417,"OLA",INDEX('Historical BU1'!$D$88:$EE$417,0,MATCH(E$4,'Historical BU1'!$D$84:$EE$84,0)))),"")</f>
        <v>0</v>
      </c>
      <c r="F92" s="255">
        <f>IFERROR(Input_unit*(F$4&lt;$D$1)*(SUMIF('Historical BU1'!$A$88:$A$417,"PPE",INDEX('Historical BU1'!$D$88:$EE$417,0,MATCH(F$4,'Historical BU1'!$D$84:$EE$84,0)))+SUMIF('Historical BU1'!$A$88:$A$417,"OLA",INDEX('Historical BU1'!$D$88:$EE$417,0,MATCH(F$4,'Historical BU1'!$D$84:$EE$84,0)))),0)</f>
        <v>0</v>
      </c>
      <c r="G92" s="255">
        <f>IFERROR(Input_unit*(G$4&lt;$D$1)*(SUMIF('Historical BU1'!$A$88:$A$417,"PPE",INDEX('Historical BU1'!$D$88:$EE$417,0,MATCH(G$4,'Historical BU1'!$D$84:$EE$84,0)))+SUMIF('Historical BU1'!$A$88:$A$417,"OLA",INDEX('Historical BU1'!$D$88:$EE$417,0,MATCH(G$4,'Historical BU1'!$D$84:$EE$84,0)))),0)</f>
        <v>0</v>
      </c>
      <c r="H92" s="255">
        <f>IFERROR(Input_unit*(H$4&lt;$D$1)*(SUMIF('Historical BU1'!$A$88:$A$417,"PPE",INDEX('Historical BU1'!$D$88:$EE$417,0,MATCH(H$4,'Historical BU1'!$D$84:$EE$84,0)))+SUMIF('Historical BU1'!$A$88:$A$417,"OLA",INDEX('Historical BU1'!$D$88:$EE$417,0,MATCH(H$4,'Historical BU1'!$D$84:$EE$84,0)))),0)</f>
        <v>0</v>
      </c>
      <c r="I92" s="255">
        <f>IFERROR(Input_unit*(I$4&lt;$D$1)*(SUMIF('Historical BU1'!$A$88:$A$417,"PPE",INDEX('Historical BU1'!$D$88:$EE$417,0,MATCH(I$4,'Historical BU1'!$D$84:$EE$84,0)))+SUMIF('Historical BU1'!$A$88:$A$417,"OLA",INDEX('Historical BU1'!$D$88:$EE$417,0,MATCH(I$4,'Historical BU1'!$D$84:$EE$84,0)))),0)</f>
        <v>0</v>
      </c>
      <c r="J92" s="255">
        <f>IFERROR(Input_unit*(J$4&lt;$D$1)*(SUMIF('Historical BU1'!$A$88:$A$417,"PPE",INDEX('Historical BU1'!$D$88:$EE$417,0,MATCH(J$4,'Historical BU1'!$D$84:$EE$84,0)))+SUMIF('Historical BU1'!$A$88:$A$417,"OLA",INDEX('Historical BU1'!$D$88:$EE$417,0,MATCH(J$4,'Historical BU1'!$D$84:$EE$84,0)))),0)</f>
        <v>0</v>
      </c>
      <c r="K92" s="255">
        <f>IFERROR(Input_unit*(K$4&lt;$D$1)*(SUMIF('Historical BU1'!$A$88:$A$417,"PPE",INDEX('Historical BU1'!$D$88:$EE$417,0,MATCH(K$4,'Historical BU1'!$D$84:$EE$84,0)))+SUMIF('Historical BU1'!$A$88:$A$417,"OLA",INDEX('Historical BU1'!$D$88:$EE$417,0,MATCH(K$4,'Historical BU1'!$D$84:$EE$84,0)))),0)</f>
        <v>0</v>
      </c>
      <c r="L92" s="255">
        <f>IFERROR(Input_unit*(L$4&lt;$D$1)*(SUMIF('Historical BU1'!$A$88:$A$417,"PPE",INDEX('Historical BU1'!$D$88:$EE$417,0,MATCH(L$4,'Historical BU1'!$D$84:$EE$84,0)))+SUMIF('Historical BU1'!$A$88:$A$417,"OLA",INDEX('Historical BU1'!$D$88:$EE$417,0,MATCH(L$4,'Historical BU1'!$D$84:$EE$84,0)))),0)</f>
        <v>0</v>
      </c>
      <c r="M92" s="255">
        <f>IFERROR(Input_unit*(M$4&lt;$D$1)*(SUMIF('Historical BU1'!$A$88:$A$417,"PPE",INDEX('Historical BU1'!$D$88:$EE$417,0,MATCH(M$4,'Historical BU1'!$D$84:$EE$84,0)))+SUMIF('Historical BU1'!$A$88:$A$417,"OLA",INDEX('Historical BU1'!$D$88:$EE$417,0,MATCH(M$4,'Historical BU1'!$D$84:$EE$84,0)))),0)</f>
        <v>0</v>
      </c>
      <c r="N92" s="255">
        <f>IFERROR(Input_unit*(N$4&lt;$D$1)*(SUMIF('Historical BU1'!$A$88:$A$417,"PPE",INDEX('Historical BU1'!$D$88:$EE$417,0,MATCH(N$4,'Historical BU1'!$D$84:$EE$84,0)))+SUMIF('Historical BU1'!$A$88:$A$417,"OLA",INDEX('Historical BU1'!$D$88:$EE$417,0,MATCH(N$4,'Historical BU1'!$D$84:$EE$84,0)))),0)</f>
        <v>0</v>
      </c>
      <c r="O92" s="255">
        <f>IFERROR(Input_unit*(O$4&lt;$D$1)*(SUMIF('Historical BU1'!$A$88:$A$417,"PPE",INDEX('Historical BU1'!$D$88:$EE$417,0,MATCH(O$4,'Historical BU1'!$D$84:$EE$84,0)))+SUMIF('Historical BU1'!$A$88:$A$417,"OLA",INDEX('Historical BU1'!$D$88:$EE$417,0,MATCH(O$4,'Historical BU1'!$D$84:$EE$84,0)))),0)</f>
        <v>0</v>
      </c>
      <c r="P92" s="255">
        <f>IFERROR(Input_unit*(P$4&lt;$D$1)*(SUMIF('Historical BU1'!$A$88:$A$417,"PPE",INDEX('Historical BU1'!$D$88:$EE$417,0,MATCH(P$4,'Historical BU1'!$D$84:$EE$84,0)))+SUMIF('Historical BU1'!$A$88:$A$417,"OLA",INDEX('Historical BU1'!$D$88:$EE$417,0,MATCH(P$4,'Historical BU1'!$D$84:$EE$84,0)))),0)</f>
        <v>0</v>
      </c>
      <c r="Q92" s="255" t="str">
        <f>IFERROR(Input_unit*(Q$4&lt;$D$1)*(SUMIF('Historical BU1'!$A$88:$A$417,"PPE",INDEX('Historical BU1'!$D$88:$EE$417,0,MATCH(Q$4,'Historical BU1'!$D$84:$EE$84,0)))+SUMIF('Historical BU1'!$A$88:$A$417,"OLA",INDEX('Historical BU1'!$D$88:$EE$417,0,MATCH(Q$4,'Historical BU1'!$D$84:$EE$84,0)))),"")</f>
        <v/>
      </c>
      <c r="R92" s="38"/>
      <c r="S92" s="38"/>
    </row>
    <row r="93" spans="1:19" ht="14.4">
      <c r="A93" s="1"/>
      <c r="B93" s="1"/>
      <c r="C93" s="1"/>
      <c r="D93" s="255" t="str">
        <f>$D$21</f>
        <v>Sponsor base</v>
      </c>
      <c r="E93" s="291">
        <f t="shared" ref="E93:Q93" si="32">IF(E$5,IF(D93&gt;0,D93+E109-E101,D$92+E109-E101),0)</f>
        <v>0</v>
      </c>
      <c r="F93" s="291">
        <f t="shared" si="32"/>
        <v>0</v>
      </c>
      <c r="G93" s="291">
        <f t="shared" si="32"/>
        <v>0</v>
      </c>
      <c r="H93" s="291">
        <f t="shared" si="32"/>
        <v>0</v>
      </c>
      <c r="I93" s="291">
        <f t="shared" si="32"/>
        <v>0</v>
      </c>
      <c r="J93" s="291">
        <f t="shared" si="32"/>
        <v>0</v>
      </c>
      <c r="K93" s="291">
        <f t="shared" si="32"/>
        <v>0</v>
      </c>
      <c r="L93" s="291">
        <f t="shared" si="32"/>
        <v>0</v>
      </c>
      <c r="M93" s="291">
        <f t="shared" si="32"/>
        <v>0</v>
      </c>
      <c r="N93" s="291">
        <f t="shared" si="32"/>
        <v>0</v>
      </c>
      <c r="O93" s="291">
        <f t="shared" si="32"/>
        <v>0</v>
      </c>
      <c r="P93" s="291">
        <f t="shared" si="32"/>
        <v>0</v>
      </c>
      <c r="Q93" s="291">
        <f t="shared" si="32"/>
        <v>0</v>
      </c>
      <c r="R93" s="316" t="str">
        <f>IFERROR((INDEX(93:93,MATCH(DATE('Control Panel'!$B$4+'Control Panel'!$B$5-1,'Control Panel'!$B$6,'Control Panel'!$B$7),'Scenarios offshore'!$10:$10,0))/INDEX(93:93,MATCH(DATE('Control Panel'!$B$4,'Control Panel'!$B$6,'Control Panel'!$B$7),'Scenarios offshore'!$10:$10,0)))^(1/('Control Panel'!$B$5-1))-1,"n.a.")</f>
        <v>n.a.</v>
      </c>
      <c r="S93" s="292"/>
    </row>
    <row r="94" spans="1:19" ht="14.4">
      <c r="A94" s="1"/>
      <c r="B94" s="1"/>
      <c r="C94" s="1"/>
      <c r="D94" s="255" t="str">
        <f>$D$22</f>
        <v>Flat</v>
      </c>
      <c r="E94" s="291">
        <f t="shared" ref="E94:Q94" si="33">IF(E$5,IF(D94&gt;0,D94+E110-E102,D$92+E110-E102),0)</f>
        <v>0</v>
      </c>
      <c r="F94" s="291">
        <f t="shared" si="33"/>
        <v>0</v>
      </c>
      <c r="G94" s="291">
        <f t="shared" si="33"/>
        <v>0</v>
      </c>
      <c r="H94" s="291">
        <f t="shared" si="33"/>
        <v>0</v>
      </c>
      <c r="I94" s="291">
        <f t="shared" si="33"/>
        <v>0</v>
      </c>
      <c r="J94" s="291">
        <f t="shared" si="33"/>
        <v>0</v>
      </c>
      <c r="K94" s="291">
        <f t="shared" si="33"/>
        <v>0</v>
      </c>
      <c r="L94" s="291">
        <f t="shared" si="33"/>
        <v>0</v>
      </c>
      <c r="M94" s="291">
        <f t="shared" si="33"/>
        <v>0</v>
      </c>
      <c r="N94" s="291">
        <f t="shared" si="33"/>
        <v>0</v>
      </c>
      <c r="O94" s="291">
        <f t="shared" si="33"/>
        <v>0</v>
      </c>
      <c r="P94" s="291">
        <f t="shared" si="33"/>
        <v>0</v>
      </c>
      <c r="Q94" s="291">
        <f t="shared" si="33"/>
        <v>0</v>
      </c>
      <c r="R94" s="289"/>
      <c r="S94" s="316" t="str">
        <f>IFERROR((INDEX(94:94,MATCH(DATE('Control Panel'!$B$13,'Control Panel'!$B$6,'Control Panel'!$B$7),'Scenarios offshore'!$10:$10,0))/INDEX(93:93,MATCH(DATE('Control Panel'!$B$4+'Control Panel'!$B$5-1,'Control Panel'!$B$6,'Control Panel'!$B$7),'Scenarios offshore'!$10:$10,0)))^(1/('Control Panel'!$B$13-'Control Panel'!$B$12+1))-1,"n.a.")</f>
        <v>n.a.</v>
      </c>
    </row>
    <row r="95" spans="1:19" ht="14.4">
      <c r="A95" s="1"/>
      <c r="B95" s="1"/>
      <c r="C95" s="1"/>
      <c r="D95" s="255" t="str">
        <f>$D$23</f>
        <v>Bank case</v>
      </c>
      <c r="E95" s="291">
        <f t="shared" ref="E95:Q95" si="34">IF(E$5,IF(D95&gt;0,D95+E111-E103,D$92+E111-E103),0)</f>
        <v>0</v>
      </c>
      <c r="F95" s="291">
        <f t="shared" si="34"/>
        <v>0</v>
      </c>
      <c r="G95" s="291">
        <f t="shared" si="34"/>
        <v>0</v>
      </c>
      <c r="H95" s="291">
        <f t="shared" si="34"/>
        <v>0</v>
      </c>
      <c r="I95" s="291">
        <f t="shared" si="34"/>
        <v>0</v>
      </c>
      <c r="J95" s="291">
        <f t="shared" si="34"/>
        <v>0</v>
      </c>
      <c r="K95" s="291">
        <f t="shared" si="34"/>
        <v>0</v>
      </c>
      <c r="L95" s="291">
        <f t="shared" si="34"/>
        <v>0</v>
      </c>
      <c r="M95" s="291">
        <f t="shared" si="34"/>
        <v>0</v>
      </c>
      <c r="N95" s="291">
        <f t="shared" si="34"/>
        <v>0</v>
      </c>
      <c r="O95" s="291">
        <f t="shared" si="34"/>
        <v>0</v>
      </c>
      <c r="P95" s="291">
        <f t="shared" si="34"/>
        <v>0</v>
      </c>
      <c r="Q95" s="291">
        <f t="shared" si="34"/>
        <v>0</v>
      </c>
      <c r="R95" s="289"/>
      <c r="S95" s="316" t="str">
        <f>IFERROR((INDEX(95:95,MATCH(DATE('Control Panel'!$B$13,'Control Panel'!$B$6,'Control Panel'!$B$7),'Scenarios offshore'!$10:$10,0))/INDEX(93:93,MATCH(DATE('Control Panel'!$B$4+'Control Panel'!$B$5-1,'Control Panel'!$B$6,'Control Panel'!$B$7),'Scenarios offshore'!$10:$10,0)))^(1/('Control Panel'!$B$13-'Control Panel'!$B$12+1))-1,"n.a.")</f>
        <v>n.a.</v>
      </c>
    </row>
    <row r="96" spans="1:19" ht="14.4">
      <c r="A96" s="1"/>
      <c r="B96" s="1"/>
      <c r="C96" s="1"/>
      <c r="D96" s="255" t="str">
        <f>$D$24</f>
        <v>Bank worse</v>
      </c>
      <c r="E96" s="291">
        <f t="shared" ref="E96:Q96" si="35">IF(E$5,IF(D96&gt;0,D96+E112-E104,D$92+E112-E104),0)</f>
        <v>0</v>
      </c>
      <c r="F96" s="291">
        <f t="shared" si="35"/>
        <v>0</v>
      </c>
      <c r="G96" s="291">
        <f t="shared" si="35"/>
        <v>0</v>
      </c>
      <c r="H96" s="291">
        <f t="shared" si="35"/>
        <v>0</v>
      </c>
      <c r="I96" s="291">
        <f t="shared" si="35"/>
        <v>0</v>
      </c>
      <c r="J96" s="291">
        <f t="shared" si="35"/>
        <v>0</v>
      </c>
      <c r="K96" s="291">
        <f t="shared" si="35"/>
        <v>0</v>
      </c>
      <c r="L96" s="291">
        <f t="shared" si="35"/>
        <v>0</v>
      </c>
      <c r="M96" s="291">
        <f t="shared" si="35"/>
        <v>0</v>
      </c>
      <c r="N96" s="291">
        <f t="shared" si="35"/>
        <v>0</v>
      </c>
      <c r="O96" s="291">
        <f t="shared" si="35"/>
        <v>0</v>
      </c>
      <c r="P96" s="291">
        <f t="shared" si="35"/>
        <v>0</v>
      </c>
      <c r="Q96" s="291">
        <f t="shared" si="35"/>
        <v>0</v>
      </c>
      <c r="R96" s="289"/>
      <c r="S96" s="316" t="str">
        <f>IFERROR((INDEX(96:96,MATCH(DATE('Control Panel'!$B$13,'Control Panel'!$B$6,'Control Panel'!$B$7),'Scenarios offshore'!$10:$10,0))/INDEX(93:93,MATCH(DATE('Control Panel'!$B$4+'Control Panel'!$B$5-1,'Control Panel'!$B$6,'Control Panel'!$B$7),'Scenarios offshore'!$10:$10,0)))^(1/('Control Panel'!$B$13-'Control Panel'!$B$12+1))-1,"n.a.")</f>
        <v>n.a.</v>
      </c>
    </row>
    <row r="97" spans="1:19" ht="14.4">
      <c r="A97" s="1"/>
      <c r="B97" s="1"/>
      <c r="C97" s="88"/>
      <c r="D97" s="94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</row>
    <row r="98" spans="1:19" ht="14.4">
      <c r="A98" s="34"/>
      <c r="B98" s="180"/>
      <c r="C98" s="180" t="s">
        <v>931</v>
      </c>
      <c r="D98" s="180" t="s">
        <v>604</v>
      </c>
      <c r="E98" s="180">
        <f t="shared" ref="E98:Q98" si="36">IF(E$5,INDEX(E101:E104,$D$2),E100)</f>
        <v>0</v>
      </c>
      <c r="F98" s="180">
        <f t="shared" si="36"/>
        <v>0</v>
      </c>
      <c r="G98" s="180">
        <f t="shared" si="36"/>
        <v>0</v>
      </c>
      <c r="H98" s="180">
        <f>IF(H$5,INDEX(H101:H104,$D$2),H100)</f>
        <v>0</v>
      </c>
      <c r="I98" s="180">
        <f t="shared" si="36"/>
        <v>0</v>
      </c>
      <c r="J98" s="180">
        <f t="shared" si="36"/>
        <v>0</v>
      </c>
      <c r="K98" s="180">
        <f t="shared" si="36"/>
        <v>0</v>
      </c>
      <c r="L98" s="180">
        <f t="shared" si="36"/>
        <v>0</v>
      </c>
      <c r="M98" s="180">
        <f t="shared" si="36"/>
        <v>0</v>
      </c>
      <c r="N98" s="180">
        <f t="shared" si="36"/>
        <v>0</v>
      </c>
      <c r="O98" s="180">
        <f t="shared" si="36"/>
        <v>0</v>
      </c>
      <c r="P98" s="180">
        <f t="shared" si="36"/>
        <v>0</v>
      </c>
      <c r="Q98" s="180" t="str">
        <f t="shared" si="36"/>
        <v/>
      </c>
      <c r="R98" s="315" t="str">
        <f>IFERROR((INDEX(98:98,MATCH(DATE('Control Panel'!$B$4+'Control Panel'!$B$5-1,'Control Panel'!$B$6,'Control Panel'!$B$7),'Scenarios offshore'!$10:$10,0))/INDEX(98:98,MATCH(DATE('Control Panel'!$B$4,'Control Panel'!$B$6,'Control Panel'!$B$7),'Scenarios offshore'!$10:$10,0)))^(1/('Control Panel'!$B$5-1))-1,"n.a.")</f>
        <v>n.a.</v>
      </c>
      <c r="S98" s="315" t="str">
        <f>IFERROR((INDEX(98:98,MATCH(DATE('Control Panel'!$B$13,'Control Panel'!$B$6,'Control Panel'!$B$7),'Scenarios offshore'!$10:$10,0))/INDEX(98:98,MATCH(DATE('Control Panel'!$B$4+'Control Panel'!$B$5-1,'Control Panel'!$B$6,'Control Panel'!$B$7),'Scenarios offshore'!$10:$10,0)))^(1/('Control Panel'!$B$13-'Control Panel'!$B$12+1))-1,"n.a.")</f>
        <v>n.a.</v>
      </c>
    </row>
    <row r="99" spans="1:19" ht="14.4">
      <c r="A99" s="183"/>
      <c r="B99" s="183"/>
      <c r="C99" s="183"/>
      <c r="D99" s="183" t="s">
        <v>932</v>
      </c>
      <c r="E99" s="183" t="str">
        <f>IFERROR(E98/E91,"")</f>
        <v/>
      </c>
      <c r="F99" s="183" t="str">
        <f t="shared" ref="F99:Q99" si="37">IFERROR(F98/F91,"")</f>
        <v/>
      </c>
      <c r="G99" s="183" t="str">
        <f t="shared" si="37"/>
        <v/>
      </c>
      <c r="H99" s="183" t="str">
        <f t="shared" si="37"/>
        <v/>
      </c>
      <c r="I99" s="183" t="str">
        <f t="shared" si="37"/>
        <v/>
      </c>
      <c r="J99" s="183" t="str">
        <f t="shared" si="37"/>
        <v/>
      </c>
      <c r="K99" s="183" t="str">
        <f t="shared" si="37"/>
        <v/>
      </c>
      <c r="L99" s="183" t="str">
        <f t="shared" si="37"/>
        <v/>
      </c>
      <c r="M99" s="183" t="str">
        <f t="shared" si="37"/>
        <v/>
      </c>
      <c r="N99" s="183" t="str">
        <f t="shared" si="37"/>
        <v/>
      </c>
      <c r="O99" s="183" t="str">
        <f t="shared" si="37"/>
        <v/>
      </c>
      <c r="P99" s="183" t="str">
        <f t="shared" si="37"/>
        <v/>
      </c>
      <c r="Q99" s="183" t="str">
        <f t="shared" si="37"/>
        <v/>
      </c>
      <c r="R99" s="38"/>
      <c r="S99" s="38"/>
    </row>
    <row r="100" spans="1:19">
      <c r="A100" s="255"/>
      <c r="B100" s="255"/>
      <c r="C100" s="255"/>
      <c r="D100" s="255" t="s">
        <v>599</v>
      </c>
      <c r="E100" s="255">
        <f>IFERROR(Input_unit*(E$4&lt;$D$1)*SUMIF('Historical BU1'!$A$88:$A$417,"DEP",INDEX('Historical BU1'!$D$88:$EE$417,0,MATCH(E$4,'Historical BU1'!$D$84:$EE$84,0))),0)</f>
        <v>0</v>
      </c>
      <c r="F100" s="255">
        <f>IFERROR(Input_unit*(F$4&lt;$D$1)*SUMIF('Historical BU1'!$A$88:$A$417,"DEP",INDEX('Historical BU1'!$D$88:$EE$417,0,MATCH(F$4,'Historical BU1'!$D$84:$EE$84,0))),0)</f>
        <v>0</v>
      </c>
      <c r="G100" s="255">
        <f>IFERROR(Input_unit*(G$4&lt;$D$1)*SUMIF('Historical BU1'!$A$88:$A$417,"DEP",INDEX('Historical BU1'!$D$88:$EE$417,0,MATCH(G$4,'Historical BU1'!$D$84:$EE$84,0))),0)</f>
        <v>0</v>
      </c>
      <c r="H100" s="255">
        <f>IFERROR(Input_unit*(H$4&lt;$D$1)*SUMIF('Historical BU1'!$A$88:$A$417,"DEP",INDEX('Historical BU1'!$D$88:$EE$417,0,MATCH(H$4,'Historical BU1'!$D$84:$EE$84,0))),0)</f>
        <v>0</v>
      </c>
      <c r="I100" s="255">
        <f>IFERROR(Input_unit*(I$4&lt;$D$1)*SUMIF('Historical BU1'!$A$88:$A$417,"DEP",INDEX('Historical BU1'!$D$88:$EE$417,0,MATCH(I$4,'Historical BU1'!$D$84:$EE$84,0))),0)</f>
        <v>0</v>
      </c>
      <c r="J100" s="255">
        <f>IFERROR(Input_unit*(J$4&lt;$D$1)*SUMIF('Historical BU1'!$A$88:$A$417,"DEP",INDEX('Historical BU1'!$D$88:$EE$417,0,MATCH(J$4,'Historical BU1'!$D$84:$EE$84,0))),0)</f>
        <v>0</v>
      </c>
      <c r="K100" s="255">
        <f>IFERROR(Input_unit*(K$4&lt;$D$1)*SUMIF('Historical BU1'!$A$88:$A$417,"DEP",INDEX('Historical BU1'!$D$88:$EE$417,0,MATCH(K$4,'Historical BU1'!$D$84:$EE$84,0))),0)</f>
        <v>0</v>
      </c>
      <c r="L100" s="255">
        <f>IFERROR(Input_unit*(L$4&lt;$D$1)*SUMIF('Historical BU1'!$A$88:$A$417,"DEP",INDEX('Historical BU1'!$D$88:$EE$417,0,MATCH(L$4,'Historical BU1'!$D$84:$EE$84,0))),0)</f>
        <v>0</v>
      </c>
      <c r="M100" s="255">
        <f>IFERROR(Input_unit*(M$4&lt;$D$1)*SUMIF('Historical BU1'!$A$88:$A$417,"DEP",INDEX('Historical BU1'!$D$88:$EE$417,0,MATCH(M$4,'Historical BU1'!$D$84:$EE$84,0))),0)</f>
        <v>0</v>
      </c>
      <c r="N100" s="255">
        <f>IFERROR(Input_unit*(N$4&lt;$D$1)*SUMIF('Historical BU1'!$A$88:$A$417,"DEP",INDEX('Historical BU1'!$D$88:$EE$417,0,MATCH(N$4,'Historical BU1'!$D$84:$EE$84,0))),0)</f>
        <v>0</v>
      </c>
      <c r="O100" s="255">
        <f>IFERROR(Input_unit*(O$4&lt;$D$1)*SUMIF('Historical BU1'!$A$88:$A$417,"DEP",INDEX('Historical BU1'!$D$88:$EE$417,0,MATCH(O$4,'Historical BU1'!$D$84:$EE$84,0))),0)</f>
        <v>0</v>
      </c>
      <c r="P100" s="255">
        <f>IFERROR(Input_unit*(P$4&lt;$D$1)*SUMIF('Historical BU1'!$A$88:$A$417,"DEP",INDEX('Historical BU1'!$D$88:$EE$417,0,MATCH(P$4,'Historical BU1'!$D$84:$EE$84,0))),0)</f>
        <v>0</v>
      </c>
      <c r="Q100" s="255" t="str">
        <f>IFERROR(Input_unit*(Q$4&lt;$D$1)*SUMIF('Historical BU1'!$A$88:$A$417,"DEP",INDEX('Historical BU1'!$D$88:$EE$417,0,MATCH(Q$4,'Historical BU1'!$D$84:$EE$84,0))),"")</f>
        <v/>
      </c>
      <c r="R100" s="316" t="str">
        <f>IFERROR((INDEX(100:100,MATCH(DATE('Control Panel'!$B$4+'Control Panel'!$B$5-1,'Control Panel'!$B$6,'Control Panel'!$B$7),'Scenarios offshore'!$10:$10,0))/INDEX(100:100,MATCH(DATE('Control Panel'!$B$4,'Control Panel'!$B$6,'Control Panel'!$B$7),'Scenarios offshore'!$10:$10,0)))^(1/('Control Panel'!$B$5-1))-1,"n.a.")</f>
        <v>n.a.</v>
      </c>
      <c r="S100" s="292"/>
    </row>
    <row r="101" spans="1:19" ht="14.4">
      <c r="A101" s="1"/>
      <c r="B101" s="1"/>
      <c r="C101" s="1"/>
      <c r="D101" s="255" t="str">
        <f>$D$21</f>
        <v>Sponsor base</v>
      </c>
      <c r="E101" s="197"/>
      <c r="F101" s="197"/>
      <c r="G101" s="197"/>
      <c r="H101" s="197"/>
      <c r="I101" s="197"/>
      <c r="J101" s="197"/>
      <c r="K101" s="197"/>
      <c r="L101" s="197"/>
      <c r="M101" s="197"/>
      <c r="N101" s="197"/>
      <c r="O101" s="197"/>
      <c r="P101" s="197"/>
      <c r="Q101" s="197"/>
      <c r="R101" s="289"/>
      <c r="S101" s="316" t="str">
        <f>IFERROR((INDEX(101:101,MATCH(DATE('Control Panel'!$B$13,'Control Panel'!$B$6,'Control Panel'!$B$7),'Scenarios offshore'!$10:$10,0))/INDEX(100:100,MATCH(DATE('Control Panel'!$B$4+'Control Panel'!$B$5-1,'Control Panel'!$B$6,'Control Panel'!$B$7),'Scenarios offshore'!$10:$10,0)))^(1/('Control Panel'!$B$13-'Control Panel'!$B$12+1))-1,"n.a.")</f>
        <v>n.a.</v>
      </c>
    </row>
    <row r="102" spans="1:19" ht="14.4">
      <c r="A102" s="1"/>
      <c r="B102" s="1"/>
      <c r="C102" s="1"/>
      <c r="D102" s="255" t="str">
        <f>$D$22</f>
        <v>Flat</v>
      </c>
      <c r="E102" s="197"/>
      <c r="F102" s="197"/>
      <c r="G102" s="197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289"/>
      <c r="S102" s="316" t="str">
        <f>IFERROR((INDEX(102:102,MATCH(DATE('Control Panel'!$B$13,'Control Panel'!$B$6,'Control Panel'!$B$7),'Scenarios offshore'!$10:$10,0))/INDEX(100:100,MATCH(DATE('Control Panel'!$B$4+'Control Panel'!$B$5-1,'Control Panel'!$B$6,'Control Panel'!$B$7),'Scenarios offshore'!$10:$10,0)))^(1/('Control Panel'!$B$13-'Control Panel'!$B$12+1))-1,"n.a.")</f>
        <v>n.a.</v>
      </c>
    </row>
    <row r="103" spans="1:19" ht="14.4">
      <c r="A103" s="1"/>
      <c r="B103" s="1"/>
      <c r="C103" s="1"/>
      <c r="D103" s="255" t="str">
        <f>$D$23</f>
        <v>Bank case</v>
      </c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289"/>
      <c r="S103" s="316" t="str">
        <f>IFERROR((INDEX(103:103,MATCH(DATE('Control Panel'!$B$13,'Control Panel'!$B$6,'Control Panel'!$B$7),'Scenarios offshore'!$10:$10,0))/INDEX(100:100,MATCH(DATE('Control Panel'!$B$4+'Control Panel'!$B$5-1,'Control Panel'!$B$6,'Control Panel'!$B$7),'Scenarios offshore'!$10:$10,0)))^(1/('Control Panel'!$B$13-'Control Panel'!$B$12+1))-1,"n.a.")</f>
        <v>n.a.</v>
      </c>
    </row>
    <row r="104" spans="1:19" ht="14.4">
      <c r="A104" s="1"/>
      <c r="B104" s="1"/>
      <c r="C104" s="1"/>
      <c r="D104" s="255" t="str">
        <f>$D$24</f>
        <v>Bank worse</v>
      </c>
      <c r="E104" s="197"/>
      <c r="F104" s="197"/>
      <c r="G104" s="197"/>
      <c r="H104" s="197"/>
      <c r="I104" s="197"/>
      <c r="J104" s="197"/>
      <c r="K104" s="197"/>
      <c r="L104" s="197"/>
      <c r="M104" s="197"/>
      <c r="N104" s="197"/>
      <c r="O104" s="197"/>
      <c r="P104" s="197"/>
      <c r="Q104" s="197"/>
      <c r="R104" s="289"/>
      <c r="S104" s="316" t="str">
        <f>IFERROR((INDEX(104:104,MATCH(DATE('Control Panel'!$B$13,'Control Panel'!$B$6,'Control Panel'!$B$7),'Scenarios offshore'!$10:$10,0))/INDEX(100:100,MATCH(DATE('Control Panel'!$B$4+'Control Panel'!$B$5-1,'Control Panel'!$B$6,'Control Panel'!$B$7),'Scenarios offshore'!$10:$10,0)))^(1/('Control Panel'!$B$13-'Control Panel'!$B$12+1))-1,"n.a.")</f>
        <v>n.a.</v>
      </c>
    </row>
    <row r="105" spans="1:19" ht="14.4">
      <c r="A105" s="1"/>
      <c r="B105" s="1"/>
      <c r="C105" s="88"/>
      <c r="D105" s="1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</row>
    <row r="106" spans="1:19" ht="14.4">
      <c r="A106" s="34"/>
      <c r="B106" s="180"/>
      <c r="C106" s="180" t="s">
        <v>933</v>
      </c>
      <c r="D106" s="180" t="s">
        <v>604</v>
      </c>
      <c r="E106" s="180">
        <f t="shared" ref="E106:Q106" si="38">IF(E$5,INDEX(E109:E112,$D$2),E108)</f>
        <v>0</v>
      </c>
      <c r="F106" s="180">
        <f t="shared" si="38"/>
        <v>0</v>
      </c>
      <c r="G106" s="180">
        <f t="shared" si="38"/>
        <v>0</v>
      </c>
      <c r="H106" s="180">
        <f>IF(H$5,INDEX(H109:H112,$D$2),H108)</f>
        <v>0</v>
      </c>
      <c r="I106" s="180">
        <f t="shared" si="38"/>
        <v>0</v>
      </c>
      <c r="J106" s="180">
        <f t="shared" si="38"/>
        <v>0</v>
      </c>
      <c r="K106" s="180">
        <f t="shared" si="38"/>
        <v>0</v>
      </c>
      <c r="L106" s="180">
        <f t="shared" si="38"/>
        <v>0</v>
      </c>
      <c r="M106" s="180">
        <f t="shared" si="38"/>
        <v>0</v>
      </c>
      <c r="N106" s="180">
        <f t="shared" si="38"/>
        <v>0</v>
      </c>
      <c r="O106" s="180">
        <f t="shared" si="38"/>
        <v>0</v>
      </c>
      <c r="P106" s="180">
        <f t="shared" si="38"/>
        <v>0</v>
      </c>
      <c r="Q106" s="180">
        <f t="shared" si="38"/>
        <v>0</v>
      </c>
      <c r="R106" s="315" t="str">
        <f>IFERROR((INDEX(106:106,MATCH(DATE('Control Panel'!$B$4+'Control Panel'!$B$5-1,'Control Panel'!$B$6,'Control Panel'!$B$7),'Scenarios offshore'!$10:$10,0))/INDEX(106:106,MATCH(DATE('Control Panel'!$B$4,'Control Panel'!$B$6,'Control Panel'!$B$7),'Scenarios offshore'!$10:$10,0)))^(1/('Control Panel'!$B$5-1))-1,"n.a.")</f>
        <v>n.a.</v>
      </c>
      <c r="S106" s="315" t="str">
        <f>IFERROR((INDEX(106:106,MATCH(DATE('Control Panel'!$B$13,'Control Panel'!$B$6,'Control Panel'!$B$7),'Scenarios offshore'!$10:$10,0))/INDEX(106:106,MATCH(DATE('Control Panel'!$B$4+'Control Panel'!$B$5-1,'Control Panel'!$B$6,'Control Panel'!$B$7),'Scenarios offshore'!$10:$10,0)))^(1/('Control Panel'!$B$13-'Control Panel'!$B$12+1))-1,"n.a.")</f>
        <v>n.a.</v>
      </c>
    </row>
    <row r="107" spans="1:19" ht="14.4">
      <c r="A107" s="183"/>
      <c r="B107" s="183"/>
      <c r="C107" s="183"/>
      <c r="D107" s="183" t="s">
        <v>605</v>
      </c>
      <c r="E107" s="183" t="str">
        <f>IFERROR(E106/E18,"")</f>
        <v/>
      </c>
      <c r="F107" s="183" t="str">
        <f t="shared" ref="F107:Q107" si="39">IFERROR(F106/F18,"")</f>
        <v/>
      </c>
      <c r="G107" s="183" t="str">
        <f t="shared" si="39"/>
        <v/>
      </c>
      <c r="H107" s="183" t="str">
        <f t="shared" si="39"/>
        <v/>
      </c>
      <c r="I107" s="183" t="str">
        <f t="shared" si="39"/>
        <v/>
      </c>
      <c r="J107" s="183" t="str">
        <f t="shared" si="39"/>
        <v/>
      </c>
      <c r="K107" s="183" t="str">
        <f t="shared" si="39"/>
        <v/>
      </c>
      <c r="L107" s="183" t="str">
        <f t="shared" si="39"/>
        <v/>
      </c>
      <c r="M107" s="183" t="str">
        <f t="shared" si="39"/>
        <v/>
      </c>
      <c r="N107" s="183" t="str">
        <f t="shared" si="39"/>
        <v/>
      </c>
      <c r="O107" s="183" t="str">
        <f t="shared" si="39"/>
        <v/>
      </c>
      <c r="P107" s="183" t="str">
        <f t="shared" si="39"/>
        <v/>
      </c>
      <c r="Q107" s="183" t="str">
        <f t="shared" si="39"/>
        <v/>
      </c>
      <c r="R107" s="38"/>
      <c r="S107" s="38"/>
    </row>
    <row r="108" spans="1:19">
      <c r="A108" s="255"/>
      <c r="B108" s="255"/>
      <c r="C108" s="255"/>
      <c r="D108" s="255" t="s">
        <v>599</v>
      </c>
      <c r="E108" s="255">
        <f>IFERROR(E92-D92+E100,0)</f>
        <v>0</v>
      </c>
      <c r="F108" s="255">
        <f t="shared" ref="F108:Q108" si="40">IFERROR(F92-E92+F100,0)</f>
        <v>0</v>
      </c>
      <c r="G108" s="255">
        <f t="shared" si="40"/>
        <v>0</v>
      </c>
      <c r="H108" s="255">
        <f t="shared" si="40"/>
        <v>0</v>
      </c>
      <c r="I108" s="255">
        <f t="shared" si="40"/>
        <v>0</v>
      </c>
      <c r="J108" s="255">
        <f t="shared" si="40"/>
        <v>0</v>
      </c>
      <c r="K108" s="255">
        <f t="shared" si="40"/>
        <v>0</v>
      </c>
      <c r="L108" s="255">
        <f t="shared" si="40"/>
        <v>0</v>
      </c>
      <c r="M108" s="255">
        <f t="shared" si="40"/>
        <v>0</v>
      </c>
      <c r="N108" s="255">
        <f t="shared" si="40"/>
        <v>0</v>
      </c>
      <c r="O108" s="255">
        <f t="shared" si="40"/>
        <v>0</v>
      </c>
      <c r="P108" s="255">
        <f t="shared" si="40"/>
        <v>0</v>
      </c>
      <c r="Q108" s="255">
        <f t="shared" si="40"/>
        <v>0</v>
      </c>
      <c r="R108" s="316" t="str">
        <f>IFERROR((INDEX(108:108,MATCH(DATE('Control Panel'!$B$4+'Control Panel'!$B$5-1,'Control Panel'!$B$6,'Control Panel'!$B$7),'Scenarios offshore'!$10:$10,0))/INDEX(108:108,MATCH(DATE('Control Panel'!$B$4,'Control Panel'!$B$6,'Control Panel'!$B$7),'Scenarios offshore'!$10:$10,0)))^(1/('Control Panel'!$B$5-1))-1,"n.a.")</f>
        <v>n.a.</v>
      </c>
      <c r="S108" s="292"/>
    </row>
    <row r="109" spans="1:19" ht="14.4">
      <c r="A109" s="1"/>
      <c r="B109" s="1"/>
      <c r="C109" s="1"/>
      <c r="D109" s="255" t="str">
        <f>$D$21</f>
        <v>Sponsor base</v>
      </c>
      <c r="E109" s="197"/>
      <c r="F109" s="197"/>
      <c r="G109" s="197"/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289"/>
      <c r="S109" s="316" t="str">
        <f>IFERROR((INDEX(109:109,MATCH(DATE('Control Panel'!$B$13,'Control Panel'!$B$6,'Control Panel'!$B$7),'Scenarios offshore'!$10:$10,0))/INDEX(108:108,MATCH(DATE('Control Panel'!$B$4+'Control Panel'!$B$5-1,'Control Panel'!$B$6,'Control Panel'!$B$7),'Scenarios offshore'!$10:$10,0)))^(1/('Control Panel'!$B$13-'Control Panel'!$B$12+1))-1,"n.a.")</f>
        <v>n.a.</v>
      </c>
    </row>
    <row r="110" spans="1:19" ht="14.4">
      <c r="A110" s="1"/>
      <c r="B110" s="1"/>
      <c r="C110" s="1"/>
      <c r="D110" s="255" t="str">
        <f>$D$22</f>
        <v>Flat</v>
      </c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>
        <f t="shared" ref="Q110" si="41">Q109</f>
        <v>0</v>
      </c>
      <c r="R110" s="289"/>
      <c r="S110" s="316" t="str">
        <f>IFERROR((INDEX(110:110,MATCH(DATE('Control Panel'!$B$13,'Control Panel'!$B$6,'Control Panel'!$B$7),'Scenarios offshore'!$10:$10,0))/INDEX(108:108,MATCH(DATE('Control Panel'!$B$4+'Control Panel'!$B$5-1,'Control Panel'!$B$6,'Control Panel'!$B$7),'Scenarios offshore'!$10:$10,0)))^(1/('Control Panel'!$B$13-'Control Panel'!$B$12+1))-1,"n.a.")</f>
        <v>n.a.</v>
      </c>
    </row>
    <row r="111" spans="1:19" ht="14.4">
      <c r="A111" s="1"/>
      <c r="B111" s="1"/>
      <c r="C111" s="1"/>
      <c r="D111" s="255" t="str">
        <f>$D$23</f>
        <v>Bank case</v>
      </c>
      <c r="E111" s="197"/>
      <c r="F111" s="197"/>
      <c r="G111" s="197"/>
      <c r="H111" s="197"/>
      <c r="I111" s="197"/>
      <c r="J111" s="197"/>
      <c r="K111" s="197"/>
      <c r="L111" s="197"/>
      <c r="M111" s="197"/>
      <c r="N111" s="197"/>
      <c r="O111" s="197"/>
      <c r="P111" s="197"/>
      <c r="Q111" s="197">
        <f>Q109</f>
        <v>0</v>
      </c>
      <c r="R111" s="289"/>
      <c r="S111" s="316" t="str">
        <f>IFERROR((INDEX(111:111,MATCH(DATE('Control Panel'!$B$13,'Control Panel'!$B$6,'Control Panel'!$B$7),'Scenarios offshore'!$10:$10,0))/INDEX(108:108,MATCH(DATE('Control Panel'!$B$4+'Control Panel'!$B$5-1,'Control Panel'!$B$6,'Control Panel'!$B$7),'Scenarios offshore'!$10:$10,0)))^(1/('Control Panel'!$B$13-'Control Panel'!$B$12+1))-1,"n.a.")</f>
        <v>n.a.</v>
      </c>
    </row>
    <row r="112" spans="1:19" ht="14.4">
      <c r="A112" s="1"/>
      <c r="B112" s="1"/>
      <c r="C112" s="1"/>
      <c r="D112" s="255" t="str">
        <f>$D$24</f>
        <v>Bank worse</v>
      </c>
      <c r="E112" s="197"/>
      <c r="F112" s="197"/>
      <c r="G112" s="197"/>
      <c r="H112" s="197"/>
      <c r="I112" s="197"/>
      <c r="J112" s="197"/>
      <c r="K112" s="197"/>
      <c r="L112" s="197"/>
      <c r="M112" s="197"/>
      <c r="N112" s="197"/>
      <c r="O112" s="197"/>
      <c r="P112" s="197"/>
      <c r="Q112" s="197"/>
      <c r="R112" s="289"/>
      <c r="S112" s="316" t="str">
        <f>IFERROR((INDEX(112:112,MATCH(DATE('Control Panel'!$B$13,'Control Panel'!$B$6,'Control Panel'!$B$7),'Scenarios offshore'!$10:$10,0))/INDEX(108:108,MATCH(DATE('Control Panel'!$B$4+'Control Panel'!$B$5-1,'Control Panel'!$B$6,'Control Panel'!$B$7),'Scenarios offshore'!$10:$10,0)))^(1/('Control Panel'!$B$13-'Control Panel'!$B$12+1))-1,"n.a.")</f>
        <v>n.a.</v>
      </c>
    </row>
    <row r="113" spans="1:19" ht="14.4">
      <c r="A113" s="1"/>
      <c r="B113" s="1"/>
      <c r="C113" s="88"/>
      <c r="D113" s="94"/>
      <c r="E113" s="287"/>
      <c r="F113" s="287"/>
      <c r="G113" s="287"/>
      <c r="H113" s="287"/>
      <c r="I113" s="287"/>
      <c r="J113" s="287"/>
      <c r="K113" s="287"/>
      <c r="L113" s="287"/>
      <c r="M113" s="287"/>
      <c r="N113" s="287"/>
      <c r="O113" s="287"/>
      <c r="P113" s="287"/>
      <c r="Q113" s="287"/>
    </row>
    <row r="114" spans="1:19" ht="14.4">
      <c r="A114" s="34"/>
      <c r="B114" s="180"/>
      <c r="C114" s="180" t="s">
        <v>934</v>
      </c>
      <c r="D114" s="180" t="s">
        <v>604</v>
      </c>
      <c r="E114" s="180">
        <f t="shared" ref="E114:Q114" si="42">IF(E$5,INDEX(E116:E119,$D$2),E115)</f>
        <v>0</v>
      </c>
      <c r="F114" s="180">
        <f t="shared" si="42"/>
        <v>0</v>
      </c>
      <c r="G114" s="180">
        <f t="shared" si="42"/>
        <v>0</v>
      </c>
      <c r="H114" s="180">
        <f t="shared" si="42"/>
        <v>0</v>
      </c>
      <c r="I114" s="180">
        <f t="shared" si="42"/>
        <v>0</v>
      </c>
      <c r="J114" s="180">
        <f t="shared" si="42"/>
        <v>0</v>
      </c>
      <c r="K114" s="180">
        <f t="shared" si="42"/>
        <v>0</v>
      </c>
      <c r="L114" s="180">
        <f t="shared" si="42"/>
        <v>0</v>
      </c>
      <c r="M114" s="180">
        <f t="shared" si="42"/>
        <v>0</v>
      </c>
      <c r="N114" s="180">
        <f t="shared" si="42"/>
        <v>0</v>
      </c>
      <c r="O114" s="180">
        <f t="shared" si="42"/>
        <v>0</v>
      </c>
      <c r="P114" s="180">
        <f t="shared" si="42"/>
        <v>0</v>
      </c>
      <c r="Q114" s="180" t="str">
        <f t="shared" si="42"/>
        <v/>
      </c>
      <c r="R114" s="315" t="str">
        <f>IFERROR((INDEX(114:114,MATCH(DATE('Control Panel'!$B$4+'Control Panel'!$B$5-1,'Control Panel'!$B$6,'Control Panel'!$B$7),'Scenarios offshore'!$10:$10,0))/INDEX(114:114,MATCH(DATE('Control Panel'!$B$4,'Control Panel'!$B$6,'Control Panel'!$B$7),'Scenarios offshore'!$10:$10,0)))^(1/('Control Panel'!$B$5-1))-1,"n.a.")</f>
        <v>n.a.</v>
      </c>
      <c r="S114" s="315" t="str">
        <f>IFERROR((INDEX(114:114,MATCH(DATE('Control Panel'!$B$13,'Control Panel'!$B$6,'Control Panel'!$B$7),'Scenarios offshore'!$10:$10,0))/INDEX(114:114,MATCH(DATE('Control Panel'!$B$4+'Control Panel'!$B$5-1,'Control Panel'!$B$6,'Control Panel'!$B$7),'Scenarios offshore'!$10:$10,0)))^(1/('Control Panel'!$B$13-'Control Panel'!$B$12+1))-1,"n.a.")</f>
        <v>n.a.</v>
      </c>
    </row>
    <row r="115" spans="1:19">
      <c r="A115" s="255"/>
      <c r="B115" s="255"/>
      <c r="C115" s="255"/>
      <c r="D115" s="255" t="s">
        <v>599</v>
      </c>
      <c r="E115" s="255">
        <f>IFERROR(Input_unit*(E$4&lt;$D$1)*SUMIF('Historical BU1'!$A$88:$A$417,"ITG",INDEX('Historical BU1'!$D$88:$EE$417,0,MATCH(E$4,'Historical BU1'!$D$84:$EE$84,0))),0)</f>
        <v>0</v>
      </c>
      <c r="F115" s="255">
        <f>IFERROR(Input_unit*(F$4&lt;$D$1)*SUMIF('Historical BU1'!$A$88:$A$417,"ITG",INDEX('Historical BU1'!$D$88:$EE$417,0,MATCH(F$4,'Historical BU1'!$D$84:$EE$84,0))),0)</f>
        <v>0</v>
      </c>
      <c r="G115" s="255">
        <f>IFERROR(Input_unit*(G$4&lt;$D$1)*SUMIF('Historical BU1'!$A$88:$A$417,"ITG",INDEX('Historical BU1'!$D$88:$EE$417,0,MATCH(G$4,'Historical BU1'!$D$84:$EE$84,0))),0)</f>
        <v>0</v>
      </c>
      <c r="H115" s="255">
        <f>IFERROR(Input_unit*(H$4&lt;$D$1)*SUMIF('Historical BU1'!$A$88:$A$417,"ITG",INDEX('Historical BU1'!$D$88:$EE$417,0,MATCH(H$4,'Historical BU1'!$D$84:$EE$84,0))),0)</f>
        <v>0</v>
      </c>
      <c r="I115" s="255">
        <f>IFERROR(Input_unit*(I$4&lt;$D$1)*SUMIF('Historical BU1'!$A$88:$A$417,"ITG",INDEX('Historical BU1'!$D$88:$EE$417,0,MATCH(I$4,'Historical BU1'!$D$84:$EE$84,0))),0)</f>
        <v>0</v>
      </c>
      <c r="J115" s="255">
        <f>IFERROR(Input_unit*(J$4&lt;$D$1)*SUMIF('Historical BU1'!$A$88:$A$417,"ITG",INDEX('Historical BU1'!$D$88:$EE$417,0,MATCH(J$4,'Historical BU1'!$D$84:$EE$84,0))),0)</f>
        <v>0</v>
      </c>
      <c r="K115" s="255">
        <f>IFERROR(Input_unit*(K$4&lt;$D$1)*SUMIF('Historical BU1'!$A$88:$A$417,"ITG",INDEX('Historical BU1'!$D$88:$EE$417,0,MATCH(K$4,'Historical BU1'!$D$84:$EE$84,0))),0)</f>
        <v>0</v>
      </c>
      <c r="L115" s="255">
        <f>IFERROR(Input_unit*(L$4&lt;$D$1)*SUMIF('Historical BU1'!$A$88:$A$417,"ITG",INDEX('Historical BU1'!$D$88:$EE$417,0,MATCH(L$4,'Historical BU1'!$D$84:$EE$84,0))),0)</f>
        <v>0</v>
      </c>
      <c r="M115" s="255">
        <f>IFERROR(Input_unit*(M$4&lt;$D$1)*SUMIF('Historical BU1'!$A$88:$A$417,"ITG",INDEX('Historical BU1'!$D$88:$EE$417,0,MATCH(M$4,'Historical BU1'!$D$84:$EE$84,0))),0)</f>
        <v>0</v>
      </c>
      <c r="N115" s="255">
        <f>IFERROR(Input_unit*(N$4&lt;$D$1)*SUMIF('Historical BU1'!$A$88:$A$417,"ITG",INDEX('Historical BU1'!$D$88:$EE$417,0,MATCH(N$4,'Historical BU1'!$D$84:$EE$84,0))),0)</f>
        <v>0</v>
      </c>
      <c r="O115" s="255">
        <f>IFERROR(Input_unit*(O$4&lt;$D$1)*SUMIF('Historical BU1'!$A$88:$A$417,"ITG",INDEX('Historical BU1'!$D$88:$EE$417,0,MATCH(O$4,'Historical BU1'!$D$84:$EE$84,0))),0)</f>
        <v>0</v>
      </c>
      <c r="P115" s="255">
        <f>IFERROR(Input_unit*(P$4&lt;$D$1)*SUMIF('Historical BU1'!$A$88:$A$417,"ITG",INDEX('Historical BU1'!$D$88:$EE$417,0,MATCH(P$4,'Historical BU1'!$D$84:$EE$84,0))),0)</f>
        <v>0</v>
      </c>
      <c r="Q115" s="255" t="str">
        <f>IFERROR(Input_unit*(Q$4&lt;$D$1)*SUMIF('Historical BU1'!$A$88:$A$417,"ITG",INDEX('Historical BU1'!$D$88:$EE$417,0,MATCH(Q$4,'Historical BU1'!$D$84:$EE$84,0))),"")</f>
        <v/>
      </c>
      <c r="R115" s="316" t="str">
        <f>IFERROR((INDEX(115:115,MATCH(DATE('Control Panel'!$B$4+'Control Panel'!$B$5-1,'Control Panel'!$B$6,'Control Panel'!$B$7),'Scenarios offshore'!$10:$10,0))/INDEX(115:115,MATCH(DATE('Control Panel'!$B$4,'Control Panel'!$B$6,'Control Panel'!$B$7),'Scenarios offshore'!$10:$10,0)))^(1/('Control Panel'!$B$5-1))-1,"n.a.")</f>
        <v>n.a.</v>
      </c>
      <c r="S115" s="292"/>
    </row>
    <row r="116" spans="1:19" ht="14.4">
      <c r="A116" s="1"/>
      <c r="B116" s="1"/>
      <c r="C116" s="1"/>
      <c r="D116" s="255" t="str">
        <f>$D$21</f>
        <v>Sponsor base</v>
      </c>
      <c r="E116" s="291">
        <f t="shared" ref="E116:Q116" si="43">IF(E$5,IF(D116&gt;0,D116+E132-E124,D$115+E132-E124),0)</f>
        <v>0</v>
      </c>
      <c r="F116" s="291">
        <f t="shared" si="43"/>
        <v>0</v>
      </c>
      <c r="G116" s="291">
        <f t="shared" si="43"/>
        <v>0</v>
      </c>
      <c r="H116" s="291">
        <f t="shared" si="43"/>
        <v>0</v>
      </c>
      <c r="I116" s="291">
        <f t="shared" si="43"/>
        <v>0</v>
      </c>
      <c r="J116" s="291">
        <f t="shared" si="43"/>
        <v>0</v>
      </c>
      <c r="K116" s="291">
        <f t="shared" si="43"/>
        <v>0</v>
      </c>
      <c r="L116" s="291">
        <f t="shared" si="43"/>
        <v>0</v>
      </c>
      <c r="M116" s="291">
        <f t="shared" si="43"/>
        <v>0</v>
      </c>
      <c r="N116" s="291">
        <f t="shared" si="43"/>
        <v>0</v>
      </c>
      <c r="O116" s="291">
        <f t="shared" si="43"/>
        <v>0</v>
      </c>
      <c r="P116" s="291">
        <f t="shared" si="43"/>
        <v>0</v>
      </c>
      <c r="Q116" s="291">
        <f t="shared" si="43"/>
        <v>0</v>
      </c>
      <c r="R116" s="289"/>
      <c r="S116" s="316" t="str">
        <f>IFERROR((INDEX(116:116,MATCH(DATE('Control Panel'!$B$13,'Control Panel'!$B$6,'Control Panel'!$B$7),'Scenarios offshore'!$10:$10,0))/INDEX(115:115,MATCH(DATE('Control Panel'!$B$4+'Control Panel'!$B$5-1,'Control Panel'!$B$6,'Control Panel'!$B$7),'Scenarios offshore'!$10:$10,0)))^(1/('Control Panel'!$B$13-'Control Panel'!$B$12+1))-1,"n.a.")</f>
        <v>n.a.</v>
      </c>
    </row>
    <row r="117" spans="1:19" ht="14.4">
      <c r="A117" s="1"/>
      <c r="B117" s="1"/>
      <c r="C117" s="1"/>
      <c r="D117" s="255" t="str">
        <f>$D$22</f>
        <v>Flat</v>
      </c>
      <c r="E117" s="291">
        <f t="shared" ref="E117:Q117" si="44">IF(E$5,IF(D117&gt;0,D117+E133-E125,D$115+E133-E125),0)</f>
        <v>0</v>
      </c>
      <c r="F117" s="291">
        <f t="shared" si="44"/>
        <v>0</v>
      </c>
      <c r="G117" s="291">
        <f t="shared" si="44"/>
        <v>0</v>
      </c>
      <c r="H117" s="291">
        <f t="shared" si="44"/>
        <v>0</v>
      </c>
      <c r="I117" s="291">
        <f t="shared" si="44"/>
        <v>0</v>
      </c>
      <c r="J117" s="291">
        <f t="shared" si="44"/>
        <v>0</v>
      </c>
      <c r="K117" s="291">
        <f t="shared" si="44"/>
        <v>0</v>
      </c>
      <c r="L117" s="291">
        <f t="shared" si="44"/>
        <v>0</v>
      </c>
      <c r="M117" s="291">
        <f t="shared" si="44"/>
        <v>0</v>
      </c>
      <c r="N117" s="291">
        <f t="shared" si="44"/>
        <v>0</v>
      </c>
      <c r="O117" s="291">
        <f t="shared" si="44"/>
        <v>0</v>
      </c>
      <c r="P117" s="291">
        <f t="shared" si="44"/>
        <v>0</v>
      </c>
      <c r="Q117" s="291">
        <f t="shared" si="44"/>
        <v>0</v>
      </c>
      <c r="R117" s="289"/>
      <c r="S117" s="316" t="str">
        <f>IFERROR((INDEX(117:117,MATCH(DATE('Control Panel'!$B$13,'Control Panel'!$B$6,'Control Panel'!$B$7),'Scenarios offshore'!$10:$10,0))/INDEX(115:115,MATCH(DATE('Control Panel'!$B$4+'Control Panel'!$B$5-1,'Control Panel'!$B$6,'Control Panel'!$B$7),'Scenarios offshore'!$10:$10,0)))^(1/('Control Panel'!$B$13-'Control Panel'!$B$12+1))-1,"n.a.")</f>
        <v>n.a.</v>
      </c>
    </row>
    <row r="118" spans="1:19" ht="14.4">
      <c r="A118" s="1"/>
      <c r="B118" s="1"/>
      <c r="C118" s="1"/>
      <c r="D118" s="255" t="str">
        <f>$D$23</f>
        <v>Bank case</v>
      </c>
      <c r="E118" s="291">
        <f t="shared" ref="E118:Q118" si="45">IF(E$5,IF(D118&gt;0,D118+E134-E126,D$115+E134-E126),0)</f>
        <v>0</v>
      </c>
      <c r="F118" s="291">
        <f t="shared" si="45"/>
        <v>0</v>
      </c>
      <c r="G118" s="291">
        <f t="shared" si="45"/>
        <v>0</v>
      </c>
      <c r="H118" s="291">
        <f t="shared" si="45"/>
        <v>0</v>
      </c>
      <c r="I118" s="291">
        <f t="shared" si="45"/>
        <v>0</v>
      </c>
      <c r="J118" s="291">
        <f t="shared" si="45"/>
        <v>0</v>
      </c>
      <c r="K118" s="291">
        <f t="shared" si="45"/>
        <v>0</v>
      </c>
      <c r="L118" s="291">
        <f t="shared" si="45"/>
        <v>0</v>
      </c>
      <c r="M118" s="291">
        <f t="shared" si="45"/>
        <v>0</v>
      </c>
      <c r="N118" s="291">
        <f t="shared" si="45"/>
        <v>0</v>
      </c>
      <c r="O118" s="291">
        <f t="shared" si="45"/>
        <v>0</v>
      </c>
      <c r="P118" s="291">
        <f t="shared" si="45"/>
        <v>0</v>
      </c>
      <c r="Q118" s="291">
        <f t="shared" si="45"/>
        <v>0</v>
      </c>
      <c r="R118" s="289"/>
      <c r="S118" s="316" t="str">
        <f>IFERROR((INDEX(118:118,MATCH(DATE('Control Panel'!$B$13,'Control Panel'!$B$6,'Control Panel'!$B$7),'Scenarios offshore'!$10:$10,0))/INDEX(115:115,MATCH(DATE('Control Panel'!$B$4+'Control Panel'!$B$5-1,'Control Panel'!$B$6,'Control Panel'!$B$7),'Scenarios offshore'!$10:$10,0)))^(1/('Control Panel'!$B$13-'Control Panel'!$B$12+1))-1,"n.a.")</f>
        <v>n.a.</v>
      </c>
    </row>
    <row r="119" spans="1:19" ht="14.4">
      <c r="A119" s="1"/>
      <c r="B119" s="1"/>
      <c r="C119" s="1"/>
      <c r="D119" s="255" t="str">
        <f>$D$24</f>
        <v>Bank worse</v>
      </c>
      <c r="E119" s="291">
        <f t="shared" ref="E119:Q119" si="46">IF(E$5,IF(D119&gt;0,D119+E135-E127,D$115+E135-E127),0)</f>
        <v>0</v>
      </c>
      <c r="F119" s="291">
        <f t="shared" si="46"/>
        <v>0</v>
      </c>
      <c r="G119" s="291">
        <f t="shared" si="46"/>
        <v>0</v>
      </c>
      <c r="H119" s="291">
        <f t="shared" si="46"/>
        <v>0</v>
      </c>
      <c r="I119" s="291">
        <f t="shared" si="46"/>
        <v>0</v>
      </c>
      <c r="J119" s="291">
        <f t="shared" si="46"/>
        <v>0</v>
      </c>
      <c r="K119" s="291">
        <f t="shared" si="46"/>
        <v>0</v>
      </c>
      <c r="L119" s="291">
        <f t="shared" si="46"/>
        <v>0</v>
      </c>
      <c r="M119" s="291">
        <f t="shared" si="46"/>
        <v>0</v>
      </c>
      <c r="N119" s="291">
        <f t="shared" si="46"/>
        <v>0</v>
      </c>
      <c r="O119" s="291">
        <f t="shared" si="46"/>
        <v>0</v>
      </c>
      <c r="P119" s="291">
        <f t="shared" si="46"/>
        <v>0</v>
      </c>
      <c r="Q119" s="291">
        <f t="shared" si="46"/>
        <v>0</v>
      </c>
      <c r="R119" s="289"/>
      <c r="S119" s="316" t="str">
        <f>IFERROR((INDEX(119:119,MATCH(DATE('Control Panel'!$B$13,'Control Panel'!$B$6,'Control Panel'!$B$7),'Scenarios offshore'!$10:$10,0))/INDEX(115:115,MATCH(DATE('Control Panel'!$B$4+'Control Panel'!$B$5-1,'Control Panel'!$B$6,'Control Panel'!$B$7),'Scenarios offshore'!$10:$10,0)))^(1/('Control Panel'!$B$13-'Control Panel'!$B$12+1))-1,"n.a.")</f>
        <v>n.a.</v>
      </c>
    </row>
    <row r="120" spans="1:19" ht="14.4">
      <c r="A120" s="1"/>
      <c r="B120" s="1"/>
      <c r="C120" s="88"/>
      <c r="D120" s="1"/>
      <c r="E120" s="287"/>
      <c r="F120" s="287"/>
      <c r="G120" s="287"/>
      <c r="H120" s="287"/>
      <c r="I120" s="287"/>
      <c r="J120" s="287"/>
      <c r="K120" s="287"/>
      <c r="L120" s="287"/>
      <c r="M120" s="287"/>
      <c r="N120" s="287"/>
      <c r="O120" s="287"/>
      <c r="P120" s="287"/>
      <c r="Q120" s="287"/>
    </row>
    <row r="121" spans="1:19" ht="14.4">
      <c r="A121" s="34"/>
      <c r="B121" s="180"/>
      <c r="C121" s="180" t="s">
        <v>936</v>
      </c>
      <c r="D121" s="180" t="s">
        <v>604</v>
      </c>
      <c r="E121" s="180">
        <f t="shared" ref="E121:Q121" si="47">IF(E$5,INDEX(E124:E127,$D$2),E123)</f>
        <v>0</v>
      </c>
      <c r="F121" s="180">
        <f t="shared" si="47"/>
        <v>0</v>
      </c>
      <c r="G121" s="180">
        <f t="shared" si="47"/>
        <v>0</v>
      </c>
      <c r="H121" s="180">
        <f t="shared" si="47"/>
        <v>0</v>
      </c>
      <c r="I121" s="180">
        <f t="shared" si="47"/>
        <v>0</v>
      </c>
      <c r="J121" s="180">
        <f t="shared" si="47"/>
        <v>0</v>
      </c>
      <c r="K121" s="180">
        <f t="shared" si="47"/>
        <v>0</v>
      </c>
      <c r="L121" s="180">
        <f t="shared" si="47"/>
        <v>0</v>
      </c>
      <c r="M121" s="180">
        <f t="shared" si="47"/>
        <v>0</v>
      </c>
      <c r="N121" s="180">
        <f t="shared" si="47"/>
        <v>0</v>
      </c>
      <c r="O121" s="180">
        <f t="shared" si="47"/>
        <v>0</v>
      </c>
      <c r="P121" s="180">
        <f t="shared" si="47"/>
        <v>0</v>
      </c>
      <c r="Q121" s="180" t="str">
        <f t="shared" si="47"/>
        <v/>
      </c>
      <c r="R121" s="315" t="str">
        <f>IFERROR((INDEX(121:121,MATCH(DATE('Control Panel'!$B$4+'Control Panel'!$B$5-1,'Control Panel'!$B$6,'Control Panel'!$B$7),'Scenarios offshore'!$10:$10,0))/INDEX(121:121,MATCH(DATE('Control Panel'!$B$4,'Control Panel'!$B$6,'Control Panel'!$B$7),'Scenarios offshore'!$10:$10,0)))^(1/('Control Panel'!$B$5-1))-1,"n.a.")</f>
        <v>n.a.</v>
      </c>
      <c r="S121" s="315" t="str">
        <f>IFERROR((INDEX(121:121,MATCH(DATE('Control Panel'!$B$13,'Control Panel'!$B$6,'Control Panel'!$B$7),'Scenarios offshore'!$10:$10,0))/INDEX(121:121,MATCH(DATE('Control Panel'!$B$4+'Control Panel'!$B$5-1,'Control Panel'!$B$6,'Control Panel'!$B$7),'Scenarios offshore'!$10:$10,0)))^(1/('Control Panel'!$B$13-'Control Panel'!$B$12+1))-1,"n.a.")</f>
        <v>n.a.</v>
      </c>
    </row>
    <row r="122" spans="1:19" ht="14.4">
      <c r="A122" s="183"/>
      <c r="B122" s="183"/>
      <c r="C122" s="183"/>
      <c r="D122" s="183" t="s">
        <v>937</v>
      </c>
      <c r="E122" s="183" t="str">
        <f>IFERROR(E121/E114,"")</f>
        <v/>
      </c>
      <c r="F122" s="183" t="str">
        <f t="shared" ref="F122:Q122" si="48">IFERROR(F121/F114,"")</f>
        <v/>
      </c>
      <c r="G122" s="183" t="str">
        <f t="shared" si="48"/>
        <v/>
      </c>
      <c r="H122" s="183" t="str">
        <f t="shared" si="48"/>
        <v/>
      </c>
      <c r="I122" s="183" t="str">
        <f t="shared" si="48"/>
        <v/>
      </c>
      <c r="J122" s="183" t="str">
        <f t="shared" si="48"/>
        <v/>
      </c>
      <c r="K122" s="183" t="str">
        <f t="shared" si="48"/>
        <v/>
      </c>
      <c r="L122" s="183" t="str">
        <f t="shared" si="48"/>
        <v/>
      </c>
      <c r="M122" s="183" t="str">
        <f t="shared" si="48"/>
        <v/>
      </c>
      <c r="N122" s="183" t="str">
        <f t="shared" si="48"/>
        <v/>
      </c>
      <c r="O122" s="183" t="str">
        <f t="shared" si="48"/>
        <v/>
      </c>
      <c r="P122" s="183" t="str">
        <f t="shared" si="48"/>
        <v/>
      </c>
      <c r="Q122" s="183" t="str">
        <f t="shared" si="48"/>
        <v/>
      </c>
      <c r="R122" s="38"/>
      <c r="S122" s="38"/>
    </row>
    <row r="123" spans="1:19">
      <c r="A123" s="255"/>
      <c r="B123" s="255"/>
      <c r="C123" s="255"/>
      <c r="D123" s="255" t="s">
        <v>599</v>
      </c>
      <c r="E123" s="255">
        <f>IFERROR(Input_unit*(E$4&lt;$D$1)*SUMIF('Historical BU1'!$A$88:$A$417,"AMO",INDEX('Historical BU1'!$D$88:$EE$417,0,MATCH(E$4,'Historical BU1'!$D$84:$EE$84,0))),0)</f>
        <v>0</v>
      </c>
      <c r="F123" s="255">
        <f>IFERROR(Input_unit*(F$4&lt;$D$1)*SUMIF('Historical BU1'!$A$88:$A$417,"AMO",INDEX('Historical BU1'!$D$88:$EE$417,0,MATCH(F$4,'Historical BU1'!$D$84:$EE$84,0))),0)</f>
        <v>0</v>
      </c>
      <c r="G123" s="255">
        <f>IFERROR(Input_unit*(G$4&lt;$D$1)*SUMIF('Historical BU1'!$A$88:$A$417,"AMO",INDEX('Historical BU1'!$D$88:$EE$417,0,MATCH(G$4,'Historical BU1'!$D$84:$EE$84,0))),0)</f>
        <v>0</v>
      </c>
      <c r="H123" s="255">
        <f>IFERROR(Input_unit*(H$4&lt;$D$1)*SUMIF('Historical BU1'!$A$88:$A$417,"AMO",INDEX('Historical BU1'!$D$88:$EE$417,0,MATCH(H$4,'Historical BU1'!$D$84:$EE$84,0))),0)</f>
        <v>0</v>
      </c>
      <c r="I123" s="255">
        <f>IFERROR(Input_unit*(I$4&lt;$D$1)*SUMIF('Historical BU1'!$A$88:$A$417,"AMO",INDEX('Historical BU1'!$D$88:$EE$417,0,MATCH(I$4,'Historical BU1'!$D$84:$EE$84,0))),0)</f>
        <v>0</v>
      </c>
      <c r="J123" s="255">
        <f>IFERROR(Input_unit*(J$4&lt;$D$1)*SUMIF('Historical BU1'!$A$88:$A$417,"AMO",INDEX('Historical BU1'!$D$88:$EE$417,0,MATCH(J$4,'Historical BU1'!$D$84:$EE$84,0))),0)</f>
        <v>0</v>
      </c>
      <c r="K123" s="255">
        <f>IFERROR(Input_unit*(K$4&lt;$D$1)*SUMIF('Historical BU1'!$A$88:$A$417,"AMO",INDEX('Historical BU1'!$D$88:$EE$417,0,MATCH(K$4,'Historical BU1'!$D$84:$EE$84,0))),0)</f>
        <v>0</v>
      </c>
      <c r="L123" s="255">
        <f>IFERROR(Input_unit*(L$4&lt;$D$1)*SUMIF('Historical BU1'!$A$88:$A$417,"AMO",INDEX('Historical BU1'!$D$88:$EE$417,0,MATCH(L$4,'Historical BU1'!$D$84:$EE$84,0))),0)</f>
        <v>0</v>
      </c>
      <c r="M123" s="255">
        <f>IFERROR(Input_unit*(M$4&lt;$D$1)*SUMIF('Historical BU1'!$A$88:$A$417,"AMO",INDEX('Historical BU1'!$D$88:$EE$417,0,MATCH(M$4,'Historical BU1'!$D$84:$EE$84,0))),0)</f>
        <v>0</v>
      </c>
      <c r="N123" s="255">
        <f>IFERROR(Input_unit*(N$4&lt;$D$1)*SUMIF('Historical BU1'!$A$88:$A$417,"AMO",INDEX('Historical BU1'!$D$88:$EE$417,0,MATCH(N$4,'Historical BU1'!$D$84:$EE$84,0))),0)</f>
        <v>0</v>
      </c>
      <c r="O123" s="255">
        <f>IFERROR(Input_unit*(O$4&lt;$D$1)*SUMIF('Historical BU1'!$A$88:$A$417,"AMO",INDEX('Historical BU1'!$D$88:$EE$417,0,MATCH(O$4,'Historical BU1'!$D$84:$EE$84,0))),0)</f>
        <v>0</v>
      </c>
      <c r="P123" s="255">
        <f>IFERROR(Input_unit*(P$4&lt;$D$1)*SUMIF('Historical BU1'!$A$88:$A$417,"AMO",INDEX('Historical BU1'!$D$88:$EE$417,0,MATCH(P$4,'Historical BU1'!$D$84:$EE$84,0))),0)</f>
        <v>0</v>
      </c>
      <c r="Q123" s="255" t="str">
        <f>IFERROR(Input_unit*(Q$4&lt;$D$1)*SUMIF('Historical BU1'!$A$88:$A$417,"AMO",INDEX('Historical BU1'!$D$88:$EE$417,0,MATCH(Q$4,'Historical BU1'!$D$84:$EE$84,0))),"")</f>
        <v/>
      </c>
      <c r="R123" s="316" t="str">
        <f>IFERROR((INDEX(123:123,MATCH(DATE('Control Panel'!$B$4+'Control Panel'!$B$5-1,'Control Panel'!$B$6,'Control Panel'!$B$7),'Scenarios offshore'!$10:$10,0))/INDEX(123:123,MATCH(DATE('Control Panel'!$B$4,'Control Panel'!$B$6,'Control Panel'!$B$7),'Scenarios offshore'!$10:$10,0)))^(1/('Control Panel'!$B$5-1))-1,"n.a.")</f>
        <v>n.a.</v>
      </c>
      <c r="S123" s="292"/>
    </row>
    <row r="124" spans="1:19" ht="14.4">
      <c r="A124" s="1"/>
      <c r="B124" s="1"/>
      <c r="C124" s="1"/>
      <c r="D124" s="255" t="str">
        <f>$D$21</f>
        <v>Sponsor base</v>
      </c>
      <c r="E124" s="197"/>
      <c r="F124" s="197"/>
      <c r="G124" s="197"/>
      <c r="H124" s="197"/>
      <c r="I124" s="197"/>
      <c r="J124" s="197"/>
      <c r="K124" s="197"/>
      <c r="L124" s="197"/>
      <c r="M124" s="197"/>
      <c r="N124" s="197"/>
      <c r="O124" s="197"/>
      <c r="P124" s="197"/>
      <c r="Q124" s="197"/>
      <c r="R124" s="289"/>
      <c r="S124" s="316" t="str">
        <f>IFERROR((INDEX(124:124,MATCH(DATE('Control Panel'!$B$13,'Control Panel'!$B$6,'Control Panel'!$B$7),'Scenarios offshore'!$10:$10,0))/INDEX(123:123,MATCH(DATE('Control Panel'!$B$4+'Control Panel'!$B$5-1,'Control Panel'!$B$6,'Control Panel'!$B$7),'Scenarios offshore'!$10:$10,0)))^(1/('Control Panel'!$B$13-'Control Panel'!$B$12+1))-1,"n.a.")</f>
        <v>n.a.</v>
      </c>
    </row>
    <row r="125" spans="1:19" ht="14.4">
      <c r="A125" s="1"/>
      <c r="B125" s="1"/>
      <c r="C125" s="1"/>
      <c r="D125" s="255" t="str">
        <f>$D$22</f>
        <v>Flat</v>
      </c>
      <c r="E125" s="197"/>
      <c r="F125" s="197"/>
      <c r="G125" s="197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289"/>
      <c r="S125" s="316" t="str">
        <f>IFERROR((INDEX(125:125,MATCH(DATE('Control Panel'!$B$13,'Control Panel'!$B$6,'Control Panel'!$B$7),'Scenarios offshore'!$10:$10,0))/INDEX(123:123,MATCH(DATE('Control Panel'!$B$4+'Control Panel'!$B$5-1,'Control Panel'!$B$6,'Control Panel'!$B$7),'Scenarios offshore'!$10:$10,0)))^(1/('Control Panel'!$B$13-'Control Panel'!$B$12+1))-1,"n.a.")</f>
        <v>n.a.</v>
      </c>
    </row>
    <row r="126" spans="1:19" ht="14.4">
      <c r="A126" s="1"/>
      <c r="B126" s="1"/>
      <c r="C126" s="1"/>
      <c r="D126" s="255" t="str">
        <f>$D$23</f>
        <v>Bank case</v>
      </c>
      <c r="E126" s="197"/>
      <c r="F126" s="197"/>
      <c r="G126" s="197"/>
      <c r="H126" s="197"/>
      <c r="I126" s="197"/>
      <c r="J126" s="197"/>
      <c r="K126" s="197"/>
      <c r="L126" s="197"/>
      <c r="M126" s="197"/>
      <c r="N126" s="197"/>
      <c r="O126" s="197"/>
      <c r="P126" s="197"/>
      <c r="Q126" s="197"/>
      <c r="R126" s="289"/>
      <c r="S126" s="316" t="str">
        <f>IFERROR((INDEX(126:126,MATCH(DATE('Control Panel'!$B$13,'Control Panel'!$B$6,'Control Panel'!$B$7),'Scenarios offshore'!$10:$10,0))/INDEX(123:123,MATCH(DATE('Control Panel'!$B$4+'Control Panel'!$B$5-1,'Control Panel'!$B$6,'Control Panel'!$B$7),'Scenarios offshore'!$10:$10,0)))^(1/('Control Panel'!$B$13-'Control Panel'!$B$12+1))-1,"n.a.")</f>
        <v>n.a.</v>
      </c>
    </row>
    <row r="127" spans="1:19" ht="14.4">
      <c r="A127" s="1"/>
      <c r="B127" s="1"/>
      <c r="C127" s="1"/>
      <c r="D127" s="255" t="str">
        <f>$D$24</f>
        <v>Bank worse</v>
      </c>
      <c r="E127" s="197"/>
      <c r="F127" s="197"/>
      <c r="G127" s="197"/>
      <c r="H127" s="197"/>
      <c r="I127" s="197"/>
      <c r="J127" s="197"/>
      <c r="K127" s="197"/>
      <c r="L127" s="197"/>
      <c r="M127" s="197"/>
      <c r="N127" s="197"/>
      <c r="O127" s="197"/>
      <c r="P127" s="197"/>
      <c r="Q127" s="197"/>
      <c r="R127" s="289"/>
      <c r="S127" s="316" t="str">
        <f>IFERROR((INDEX(127:127,MATCH(DATE('Control Panel'!$B$13,'Control Panel'!$B$6,'Control Panel'!$B$7),'Scenarios offshore'!$10:$10,0))/INDEX(123:123,MATCH(DATE('Control Panel'!$B$4+'Control Panel'!$B$5-1,'Control Panel'!$B$6,'Control Panel'!$B$7),'Scenarios offshore'!$10:$10,0)))^(1/('Control Panel'!$B$13-'Control Panel'!$B$12+1))-1,"n.a.")</f>
        <v>n.a.</v>
      </c>
    </row>
    <row r="128" spans="1:19" ht="14.4">
      <c r="A128" s="1"/>
      <c r="B128" s="1"/>
      <c r="C128" s="88"/>
      <c r="D128" s="1"/>
      <c r="E128" s="287"/>
      <c r="F128" s="287"/>
      <c r="G128" s="287"/>
      <c r="H128" s="287"/>
      <c r="I128" s="287"/>
      <c r="J128" s="287"/>
      <c r="K128" s="287"/>
      <c r="L128" s="287"/>
      <c r="M128" s="287"/>
      <c r="N128" s="287"/>
      <c r="O128" s="287"/>
      <c r="P128" s="287"/>
      <c r="Q128" s="287"/>
    </row>
    <row r="129" spans="1:19" ht="14.4">
      <c r="A129" s="34"/>
      <c r="B129" s="180"/>
      <c r="C129" s="180" t="s">
        <v>938</v>
      </c>
      <c r="D129" s="180" t="s">
        <v>604</v>
      </c>
      <c r="E129" s="180">
        <f t="shared" ref="E129:Q129" si="49">IF(E$5,INDEX(E132:E135,$D$2),E131)</f>
        <v>0</v>
      </c>
      <c r="F129" s="180">
        <f t="shared" si="49"/>
        <v>0</v>
      </c>
      <c r="G129" s="180">
        <f t="shared" si="49"/>
        <v>0</v>
      </c>
      <c r="H129" s="180">
        <f t="shared" si="49"/>
        <v>0</v>
      </c>
      <c r="I129" s="180">
        <f t="shared" si="49"/>
        <v>0</v>
      </c>
      <c r="J129" s="180">
        <f t="shared" si="49"/>
        <v>0</v>
      </c>
      <c r="K129" s="180">
        <f t="shared" si="49"/>
        <v>0</v>
      </c>
      <c r="L129" s="180">
        <f t="shared" si="49"/>
        <v>0</v>
      </c>
      <c r="M129" s="180">
        <f t="shared" si="49"/>
        <v>0</v>
      </c>
      <c r="N129" s="180">
        <f t="shared" si="49"/>
        <v>0</v>
      </c>
      <c r="O129" s="180">
        <f t="shared" si="49"/>
        <v>0</v>
      </c>
      <c r="P129" s="180">
        <f t="shared" si="49"/>
        <v>0</v>
      </c>
      <c r="Q129" s="180">
        <f t="shared" si="49"/>
        <v>0</v>
      </c>
      <c r="R129" s="315" t="str">
        <f>IFERROR((INDEX(129:129,MATCH(DATE('Control Panel'!$B$4+'Control Panel'!$B$5-1,'Control Panel'!$B$6,'Control Panel'!$B$7),'Scenarios offshore'!$10:$10,0))/INDEX(129:129,MATCH(DATE('Control Panel'!$B$4,'Control Panel'!$B$6,'Control Panel'!$B$7),'Scenarios offshore'!$10:$10,0)))^(1/('Control Panel'!$B$5-1))-1,"n.a.")</f>
        <v>n.a.</v>
      </c>
      <c r="S129" s="315" t="str">
        <f>IFERROR((INDEX(129:129,MATCH(DATE('Control Panel'!$B$13,'Control Panel'!$B$6,'Control Panel'!$B$7),'Scenarios offshore'!$10:$10,0))/INDEX(129:129,MATCH(DATE('Control Panel'!$B$4+'Control Panel'!$B$5-1,'Control Panel'!$B$6,'Control Panel'!$B$7),'Scenarios offshore'!$10:$10,0)))^(1/('Control Panel'!$B$13-'Control Panel'!$B$12+1))-1,"n.a.")</f>
        <v>n.a.</v>
      </c>
    </row>
    <row r="130" spans="1:19" ht="14.4">
      <c r="A130" s="183"/>
      <c r="B130" s="183"/>
      <c r="C130" s="183"/>
      <c r="D130" s="183" t="s">
        <v>605</v>
      </c>
      <c r="E130" s="183" t="str">
        <f>IFERROR(E129/E18,"")</f>
        <v/>
      </c>
      <c r="F130" s="183" t="str">
        <f t="shared" ref="F130:Q130" si="50">IFERROR(F129/F18,"")</f>
        <v/>
      </c>
      <c r="G130" s="183" t="str">
        <f t="shared" si="50"/>
        <v/>
      </c>
      <c r="H130" s="183" t="str">
        <f t="shared" si="50"/>
        <v/>
      </c>
      <c r="I130" s="183" t="str">
        <f t="shared" si="50"/>
        <v/>
      </c>
      <c r="J130" s="183" t="str">
        <f t="shared" si="50"/>
        <v/>
      </c>
      <c r="K130" s="183" t="str">
        <f t="shared" si="50"/>
        <v/>
      </c>
      <c r="L130" s="183" t="str">
        <f t="shared" si="50"/>
        <v/>
      </c>
      <c r="M130" s="183" t="str">
        <f t="shared" si="50"/>
        <v/>
      </c>
      <c r="N130" s="183" t="str">
        <f t="shared" si="50"/>
        <v/>
      </c>
      <c r="O130" s="183" t="str">
        <f t="shared" si="50"/>
        <v/>
      </c>
      <c r="P130" s="183" t="str">
        <f t="shared" si="50"/>
        <v/>
      </c>
      <c r="Q130" s="183" t="str">
        <f t="shared" si="50"/>
        <v/>
      </c>
      <c r="R130" s="38"/>
      <c r="S130" s="38"/>
    </row>
    <row r="131" spans="1:19">
      <c r="A131" s="255"/>
      <c r="B131" s="255"/>
      <c r="C131" s="255"/>
      <c r="D131" s="255" t="s">
        <v>599</v>
      </c>
      <c r="E131" s="255">
        <f>IFERROR(E115-D115+E123,0)</f>
        <v>0</v>
      </c>
      <c r="F131" s="255">
        <f>IFERROR(F115-E115+F123,0)</f>
        <v>0</v>
      </c>
      <c r="G131" s="255">
        <f t="shared" ref="G131:Q131" si="51">IFERROR(G115-F115+G123,0)</f>
        <v>0</v>
      </c>
      <c r="H131" s="255">
        <f t="shared" si="51"/>
        <v>0</v>
      </c>
      <c r="I131" s="255">
        <f t="shared" si="51"/>
        <v>0</v>
      </c>
      <c r="J131" s="255">
        <f t="shared" si="51"/>
        <v>0</v>
      </c>
      <c r="K131" s="255">
        <f t="shared" si="51"/>
        <v>0</v>
      </c>
      <c r="L131" s="255">
        <f t="shared" si="51"/>
        <v>0</v>
      </c>
      <c r="M131" s="255">
        <f t="shared" si="51"/>
        <v>0</v>
      </c>
      <c r="N131" s="255">
        <f t="shared" si="51"/>
        <v>0</v>
      </c>
      <c r="O131" s="255">
        <f t="shared" si="51"/>
        <v>0</v>
      </c>
      <c r="P131" s="255">
        <f t="shared" si="51"/>
        <v>0</v>
      </c>
      <c r="Q131" s="255">
        <f t="shared" si="51"/>
        <v>0</v>
      </c>
      <c r="R131" s="316" t="str">
        <f>IFERROR((INDEX(131:131,MATCH(DATE('Control Panel'!$B$4+'Control Panel'!$B$5-1,'Control Panel'!$B$6,'Control Panel'!$B$7),'Scenarios offshore'!$10:$10,0))/INDEX(131:131,MATCH(DATE('Control Panel'!$B$4,'Control Panel'!$B$6,'Control Panel'!$B$7),'Scenarios offshore'!$10:$10,0)))^(1/('Control Panel'!$B$5-1))-1,"n.a.")</f>
        <v>n.a.</v>
      </c>
      <c r="S131" s="292"/>
    </row>
    <row r="132" spans="1:19" ht="14.4">
      <c r="A132" s="1"/>
      <c r="B132" s="1"/>
      <c r="C132" s="1"/>
      <c r="D132" s="255" t="str">
        <f>$D$21</f>
        <v>Sponsor base</v>
      </c>
      <c r="E132" s="197"/>
      <c r="F132" s="197"/>
      <c r="G132" s="197"/>
      <c r="H132" s="197"/>
      <c r="I132" s="197"/>
      <c r="J132" s="197"/>
      <c r="K132" s="197"/>
      <c r="L132" s="197"/>
      <c r="M132" s="197"/>
      <c r="N132" s="197"/>
      <c r="O132" s="197"/>
      <c r="P132" s="197"/>
      <c r="Q132" s="197"/>
      <c r="R132" s="289"/>
      <c r="S132" s="316" t="str">
        <f>IFERROR((INDEX(132:132,MATCH(DATE('Control Panel'!$B$13,'Control Panel'!$B$6,'Control Panel'!$B$7),'Scenarios offshore'!$10:$10,0))/INDEX(131:131,MATCH(DATE('Control Panel'!$B$4+'Control Panel'!$B$5-1,'Control Panel'!$B$6,'Control Panel'!$B$7),'Scenarios offshore'!$10:$10,0)))^(1/('Control Panel'!$B$13-'Control Panel'!$B$12+1))-1,"n.a.")</f>
        <v>n.a.</v>
      </c>
    </row>
    <row r="133" spans="1:19" ht="14.4">
      <c r="A133" s="1"/>
      <c r="B133" s="1"/>
      <c r="C133" s="1"/>
      <c r="D133" s="255" t="str">
        <f>$D$22</f>
        <v>Flat</v>
      </c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289"/>
      <c r="S133" s="316" t="str">
        <f>IFERROR((INDEX(133:133,MATCH(DATE('Control Panel'!$B$13,'Control Panel'!$B$6,'Control Panel'!$B$7),'Scenarios offshore'!$10:$10,0))/INDEX(131:131,MATCH(DATE('Control Panel'!$B$4+'Control Panel'!$B$5-1,'Control Panel'!$B$6,'Control Panel'!$B$7),'Scenarios offshore'!$10:$10,0)))^(1/('Control Panel'!$B$13-'Control Panel'!$B$12+1))-1,"n.a.")</f>
        <v>n.a.</v>
      </c>
    </row>
    <row r="134" spans="1:19" ht="14.4">
      <c r="A134" s="1"/>
      <c r="B134" s="1"/>
      <c r="C134" s="1"/>
      <c r="D134" s="255" t="str">
        <f>$D$23</f>
        <v>Bank case</v>
      </c>
      <c r="E134" s="197"/>
      <c r="F134" s="197"/>
      <c r="G134" s="197"/>
      <c r="H134" s="197"/>
      <c r="I134" s="197"/>
      <c r="J134" s="197"/>
      <c r="K134" s="197"/>
      <c r="L134" s="197"/>
      <c r="M134" s="197"/>
      <c r="N134" s="197"/>
      <c r="O134" s="197"/>
      <c r="P134" s="197"/>
      <c r="Q134" s="197"/>
      <c r="R134" s="289"/>
      <c r="S134" s="316" t="str">
        <f>IFERROR((INDEX(134:134,MATCH(DATE('Control Panel'!$B$13,'Control Panel'!$B$6,'Control Panel'!$B$7),'Scenarios offshore'!$10:$10,0))/INDEX(131:131,MATCH(DATE('Control Panel'!$B$4+'Control Panel'!$B$5-1,'Control Panel'!$B$6,'Control Panel'!$B$7),'Scenarios offshore'!$10:$10,0)))^(1/('Control Panel'!$B$13-'Control Panel'!$B$12+1))-1,"n.a.")</f>
        <v>n.a.</v>
      </c>
    </row>
    <row r="135" spans="1:19" ht="14.4">
      <c r="A135" s="1"/>
      <c r="B135" s="1"/>
      <c r="C135" s="1"/>
      <c r="D135" s="255" t="str">
        <f>$D$24</f>
        <v>Bank worse</v>
      </c>
      <c r="E135" s="197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289"/>
      <c r="S135" s="316" t="str">
        <f>IFERROR((INDEX(135:135,MATCH(DATE('Control Panel'!$B$13,'Control Panel'!$B$6,'Control Panel'!$B$7),'Scenarios offshore'!$10:$10,0))/INDEX(131:131,MATCH(DATE('Control Panel'!$B$4+'Control Panel'!$B$5-1,'Control Panel'!$B$6,'Control Panel'!$B$7),'Scenarios offshore'!$10:$10,0)))^(1/('Control Panel'!$B$13-'Control Panel'!$B$12+1))-1,"n.a.")</f>
        <v>n.a.</v>
      </c>
    </row>
    <row r="136" spans="1:19" ht="14.4">
      <c r="A136" s="1"/>
      <c r="B136" s="1"/>
      <c r="C136" s="88"/>
      <c r="D136" s="1"/>
      <c r="E136" s="287"/>
      <c r="F136" s="287"/>
      <c r="G136" s="287"/>
      <c r="H136" s="287"/>
      <c r="I136" s="287"/>
      <c r="J136" s="287"/>
      <c r="K136" s="287"/>
      <c r="L136" s="287"/>
      <c r="M136" s="287"/>
      <c r="N136" s="287"/>
      <c r="O136" s="287"/>
      <c r="P136" s="287"/>
      <c r="Q136" s="287"/>
      <c r="R136" s="289"/>
      <c r="S136" s="289"/>
    </row>
    <row r="137" spans="1:19" ht="14.4">
      <c r="A137" s="34"/>
      <c r="B137" s="180" t="s">
        <v>939</v>
      </c>
      <c r="C137" s="180"/>
      <c r="D137" s="180"/>
      <c r="E137" s="180"/>
      <c r="F137" s="180"/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  <c r="Q137" s="180"/>
      <c r="R137" s="311"/>
      <c r="S137" s="311"/>
    </row>
    <row r="138" spans="1:19" ht="14.4">
      <c r="A138" s="34"/>
      <c r="B138" s="180"/>
      <c r="C138" s="180" t="s">
        <v>940</v>
      </c>
      <c r="D138" s="180" t="s">
        <v>604</v>
      </c>
      <c r="E138" s="180">
        <f t="shared" ref="E138:Q138" si="52">E82+IF(depr_inc,0,(-E98-E121))</f>
        <v>0</v>
      </c>
      <c r="F138" s="180">
        <f t="shared" si="52"/>
        <v>0</v>
      </c>
      <c r="G138" s="180">
        <f t="shared" si="52"/>
        <v>0</v>
      </c>
      <c r="H138" s="180">
        <f t="shared" si="52"/>
        <v>0</v>
      </c>
      <c r="I138" s="180">
        <f t="shared" si="52"/>
        <v>0</v>
      </c>
      <c r="J138" s="180">
        <f t="shared" si="52"/>
        <v>0</v>
      </c>
      <c r="K138" s="180">
        <f t="shared" si="52"/>
        <v>0</v>
      </c>
      <c r="L138" s="180">
        <f t="shared" si="52"/>
        <v>0</v>
      </c>
      <c r="M138" s="180">
        <f t="shared" si="52"/>
        <v>0</v>
      </c>
      <c r="N138" s="180">
        <f t="shared" si="52"/>
        <v>0</v>
      </c>
      <c r="O138" s="180">
        <f t="shared" si="52"/>
        <v>0</v>
      </c>
      <c r="P138" s="180">
        <f t="shared" si="52"/>
        <v>0</v>
      </c>
      <c r="Q138" s="180" t="e">
        <f t="shared" si="52"/>
        <v>#VALUE!</v>
      </c>
      <c r="R138" s="315" t="str">
        <f>IFERROR((INDEX(138:138,MATCH(DATE('Control Panel'!$B$4+'Control Panel'!$B$5-1,'Control Panel'!$B$6,'Control Panel'!$B$7),'Scenarios offshore'!$10:$10,0))/INDEX(138:138,MATCH(DATE('Control Panel'!$B$4,'Control Panel'!$B$6,'Control Panel'!$B$7),'Scenarios offshore'!$10:$10,0)))^(1/('Control Panel'!$B$5-1))-1,"n.a.")</f>
        <v>n.a.</v>
      </c>
      <c r="S138" s="315" t="str">
        <f>IFERROR((INDEX(138:138,MATCH(DATE('Control Panel'!$B$13,'Control Panel'!$B$6,'Control Panel'!$B$7),'Scenarios offshore'!$10:$10,0))/INDEX(138:138,MATCH(DATE('Control Panel'!$B$4+'Control Panel'!$B$5-1,'Control Panel'!$B$6,'Control Panel'!$B$7),'Scenarios offshore'!$10:$10,0)))^(1/('Control Panel'!$B$13-'Control Panel'!$B$12+1))-1,"n.a.")</f>
        <v>n.a.</v>
      </c>
    </row>
    <row r="139" spans="1:19">
      <c r="A139" s="183"/>
      <c r="B139" s="183"/>
      <c r="C139" s="183"/>
      <c r="D139" s="183" t="s">
        <v>605</v>
      </c>
      <c r="E139" s="183" t="str">
        <f>IFERROR(E138/E34,"")</f>
        <v/>
      </c>
      <c r="F139" s="183" t="str">
        <f t="shared" ref="F139:Q139" si="53">IFERROR(F138/F50,"")</f>
        <v/>
      </c>
      <c r="G139" s="183" t="str">
        <f t="shared" si="53"/>
        <v/>
      </c>
      <c r="H139" s="183" t="str">
        <f t="shared" si="53"/>
        <v/>
      </c>
      <c r="I139" s="183" t="str">
        <f t="shared" si="53"/>
        <v/>
      </c>
      <c r="J139" s="183" t="str">
        <f t="shared" si="53"/>
        <v/>
      </c>
      <c r="K139" s="183" t="str">
        <f t="shared" si="53"/>
        <v/>
      </c>
      <c r="L139" s="183" t="str">
        <f t="shared" si="53"/>
        <v/>
      </c>
      <c r="M139" s="183" t="str">
        <f t="shared" si="53"/>
        <v/>
      </c>
      <c r="N139" s="183" t="str">
        <f t="shared" si="53"/>
        <v/>
      </c>
      <c r="O139" s="183" t="str">
        <f t="shared" si="53"/>
        <v/>
      </c>
      <c r="P139" s="183" t="str">
        <f t="shared" si="53"/>
        <v/>
      </c>
      <c r="Q139" s="183" t="str">
        <f t="shared" si="53"/>
        <v/>
      </c>
      <c r="R139" s="183"/>
      <c r="S139" s="183"/>
    </row>
    <row r="140" spans="1:19" ht="14.4">
      <c r="A140" s="38"/>
      <c r="B140" s="38"/>
      <c r="C140" s="38"/>
      <c r="D140" s="54"/>
      <c r="E140" s="287"/>
      <c r="F140" s="287"/>
      <c r="G140" s="287"/>
      <c r="H140" s="287"/>
      <c r="I140" s="287"/>
      <c r="J140" s="287"/>
      <c r="K140" s="287"/>
      <c r="L140" s="287"/>
      <c r="M140" s="287"/>
      <c r="N140" s="287"/>
      <c r="O140" s="287"/>
      <c r="P140" s="287"/>
      <c r="Q140" s="287"/>
      <c r="R140" s="289"/>
      <c r="S140" s="290"/>
    </row>
    <row r="141" spans="1:19">
      <c r="A141" s="285"/>
      <c r="B141" s="285"/>
      <c r="C141" s="285" t="s">
        <v>246</v>
      </c>
      <c r="D141" s="285" t="s">
        <v>599</v>
      </c>
      <c r="E141" s="285">
        <f>IFERROR(Input_unit*(E$4&lt;$D$1)*SUMIF('Historical BU1'!$A$88:$A$417,"OGA",INDEX('Historical BU1'!$D$88:$EE$417,0,MATCH(E$4,'Historical BU1'!$D$84:$EE$84,0))),0)</f>
        <v>0</v>
      </c>
      <c r="F141" s="285">
        <f>IFERROR(Input_unit*(F$4&lt;$D$1)*SUMIF('Historical BU1'!$A$88:$A$417,"OGA",INDEX('Historical BU1'!$D$88:$EE$417,0,MATCH(F$4,'Historical BU1'!$D$84:$EE$84,0))),0)</f>
        <v>0</v>
      </c>
      <c r="G141" s="285">
        <f>IFERROR(Input_unit*(G$4&lt;$D$1)*SUMIF('Historical BU1'!$A$88:$A$417,"OGA",INDEX('Historical BU1'!$D$88:$EE$417,0,MATCH(G$4,'Historical BU1'!$D$84:$EE$84,0))),0)</f>
        <v>0</v>
      </c>
      <c r="H141" s="285">
        <f>IFERROR(Input_unit*(H$4&lt;$D$1)*SUMIF('Historical BU1'!$A$88:$A$417,"OGA",INDEX('Historical BU1'!$D$88:$EE$417,0,MATCH(H$4,'Historical BU1'!$D$84:$EE$84,0))),0)</f>
        <v>0</v>
      </c>
      <c r="I141" s="285">
        <f>IFERROR(Input_unit*(I$4&lt;$D$1)*SUMIF('Historical BU1'!$A$88:$A$417,"OGA",INDEX('Historical BU1'!$D$88:$EE$417,0,MATCH(I$4,'Historical BU1'!$D$84:$EE$84,0))),0)</f>
        <v>0</v>
      </c>
      <c r="J141" s="285">
        <f>IFERROR(Input_unit*(J$4&lt;$D$1)*SUMIF('Historical BU1'!$A$88:$A$417,"OGA",INDEX('Historical BU1'!$D$88:$EE$417,0,MATCH(J$4,'Historical BU1'!$D$84:$EE$84,0))),0)</f>
        <v>0</v>
      </c>
      <c r="K141" s="285">
        <f>IFERROR(Input_unit*(K$4&lt;$D$1)*SUMIF('Historical BU1'!$A$88:$A$417,"OGA",INDEX('Historical BU1'!$D$88:$EE$417,0,MATCH(K$4,'Historical BU1'!$D$84:$EE$84,0))),0)</f>
        <v>0</v>
      </c>
      <c r="L141" s="285">
        <f>IFERROR(Input_unit*(L$4&lt;$D$1)*SUMIF('Historical BU1'!$A$88:$A$417,"OGA",INDEX('Historical BU1'!$D$88:$EE$417,0,MATCH(L$4,'Historical BU1'!$D$84:$EE$84,0))),0)</f>
        <v>0</v>
      </c>
      <c r="M141" s="285">
        <f>IFERROR(Input_unit*(M$4&lt;$D$1)*SUMIF('Historical BU1'!$A$88:$A$417,"OGA",INDEX('Historical BU1'!$D$88:$EE$417,0,MATCH(M$4,'Historical BU1'!$D$84:$EE$84,0))),0)</f>
        <v>0</v>
      </c>
      <c r="N141" s="285">
        <f>IFERROR(Input_unit*(N$4&lt;$D$1)*SUMIF('Historical BU1'!$A$88:$A$417,"OGA",INDEX('Historical BU1'!$D$88:$EE$417,0,MATCH(N$4,'Historical BU1'!$D$84:$EE$84,0))),0)</f>
        <v>0</v>
      </c>
      <c r="O141" s="285">
        <f>IFERROR(Input_unit*(O$4&lt;$D$1)*SUMIF('Historical BU1'!$A$88:$A$417,"OGA",INDEX('Historical BU1'!$D$88:$EE$417,0,MATCH(O$4,'Historical BU1'!$D$84:$EE$84,0))),0)</f>
        <v>0</v>
      </c>
      <c r="P141" s="285">
        <f>IFERROR(Input_unit*(P$4&lt;$D$1)*SUMIF('Historical BU1'!$A$88:$A$417,"OGA",INDEX('Historical BU1'!$D$88:$EE$417,0,MATCH(P$4,'Historical BU1'!$D$84:$EE$84,0))),0)</f>
        <v>0</v>
      </c>
      <c r="Q141" s="285">
        <f>IFERROR(Input_unit*(Q$4&lt;$D$1)*SUMIF('Historical BU1'!$A$88:$A$417,"OGA",INDEX('Historical BU1'!$D$88:$EE$417,0,MATCH(Q$4,'Historical BU1'!$D$84:$EE$84,0))),0)</f>
        <v>0</v>
      </c>
      <c r="R141" s="316"/>
      <c r="S141" s="285"/>
    </row>
    <row r="142" spans="1:19">
      <c r="A142" s="285"/>
      <c r="B142" s="285"/>
      <c r="C142" s="285" t="s">
        <v>247</v>
      </c>
      <c r="D142" s="285" t="s">
        <v>599</v>
      </c>
      <c r="E142" s="285">
        <f>IFERROR(Input_unit*-(E$4&lt;$D$1)*SUMIF('Historical BU1'!$A$88:$A$417,"OLO",INDEX('Historical BU1'!$D$88:$EE$417,0,MATCH(E$4,'Historical BU1'!$D$84:$EE$84,0))),0)</f>
        <v>0</v>
      </c>
      <c r="F142" s="285">
        <f>IFERROR(Input_unit*-(F$4&lt;$D$1)*SUMIF('Historical BU1'!$A$88:$A$417,"OLO",INDEX('Historical BU1'!$D$88:$EE$417,0,MATCH(F$4,'Historical BU1'!$D$84:$EE$84,0))),0)</f>
        <v>0</v>
      </c>
      <c r="G142" s="285">
        <f>IFERROR(Input_unit*-(G$4&lt;$D$1)*SUMIF('Historical BU1'!$A$88:$A$417,"OLO",INDEX('Historical BU1'!$D$88:$EE$417,0,MATCH(G$4,'Historical BU1'!$D$84:$EE$84,0))),0)</f>
        <v>0</v>
      </c>
      <c r="H142" s="285">
        <f>IFERROR(Input_unit*-(H$4&lt;$D$1)*SUMIF('Historical BU1'!$A$88:$A$417,"OLO",INDEX('Historical BU1'!$D$88:$EE$417,0,MATCH(H$4,'Historical BU1'!$D$84:$EE$84,0))),0)</f>
        <v>0</v>
      </c>
      <c r="I142" s="285">
        <f>IFERROR(Input_unit*-(I$4&lt;$D$1)*SUMIF('Historical BU1'!$A$88:$A$417,"OLO",INDEX('Historical BU1'!$D$88:$EE$417,0,MATCH(I$4,'Historical BU1'!$D$84:$EE$84,0))),0)</f>
        <v>0</v>
      </c>
      <c r="J142" s="285">
        <f>IFERROR(Input_unit*-(J$4&lt;$D$1)*SUMIF('Historical BU1'!$A$88:$A$417,"OLO",INDEX('Historical BU1'!$D$88:$EE$417,0,MATCH(J$4,'Historical BU1'!$D$84:$EE$84,0))),0)</f>
        <v>0</v>
      </c>
      <c r="K142" s="285">
        <f>IFERROR(Input_unit*-(K$4&lt;$D$1)*SUMIF('Historical BU1'!$A$88:$A$417,"OLO",INDEX('Historical BU1'!$D$88:$EE$417,0,MATCH(K$4,'Historical BU1'!$D$84:$EE$84,0))),0)</f>
        <v>0</v>
      </c>
      <c r="L142" s="285">
        <f>IFERROR(Input_unit*-(L$4&lt;$D$1)*SUMIF('Historical BU1'!$A$88:$A$417,"OLO",INDEX('Historical BU1'!$D$88:$EE$417,0,MATCH(L$4,'Historical BU1'!$D$84:$EE$84,0))),0)</f>
        <v>0</v>
      </c>
      <c r="M142" s="285">
        <f>IFERROR(Input_unit*-(M$4&lt;$D$1)*SUMIF('Historical BU1'!$A$88:$A$417,"OLO",INDEX('Historical BU1'!$D$88:$EE$417,0,MATCH(M$4,'Historical BU1'!$D$84:$EE$84,0))),0)</f>
        <v>0</v>
      </c>
      <c r="N142" s="285">
        <f>IFERROR(Input_unit*-(N$4&lt;$D$1)*SUMIF('Historical BU1'!$A$88:$A$417,"OLO",INDEX('Historical BU1'!$D$88:$EE$417,0,MATCH(N$4,'Historical BU1'!$D$84:$EE$84,0))),0)</f>
        <v>0</v>
      </c>
      <c r="O142" s="285">
        <f>IFERROR(Input_unit*-(O$4&lt;$D$1)*SUMIF('Historical BU1'!$A$88:$A$417,"OLO",INDEX('Historical BU1'!$D$88:$EE$417,0,MATCH(O$4,'Historical BU1'!$D$84:$EE$84,0))),0)</f>
        <v>0</v>
      </c>
      <c r="P142" s="285">
        <f>IFERROR(Input_unit*-(P$4&lt;$D$1)*SUMIF('Historical BU1'!$A$88:$A$417,"OLO",INDEX('Historical BU1'!$D$88:$EE$417,0,MATCH(P$4,'Historical BU1'!$D$84:$EE$84,0))),0)</f>
        <v>0</v>
      </c>
      <c r="Q142" s="285">
        <f>IFERROR(Input_unit*-(Q$4&lt;$D$1)*SUMIF('Historical BU1'!$A$88:$A$417,"OLO",INDEX('Historical BU1'!$D$88:$EE$417,0,MATCH(Q$4,'Historical BU1'!$D$84:$EE$84,0))),0)</f>
        <v>0</v>
      </c>
      <c r="R142" s="316"/>
      <c r="S142" s="285"/>
    </row>
    <row r="143" spans="1:19">
      <c r="A143" s="285"/>
      <c r="B143" s="285"/>
      <c r="C143" s="285" t="s">
        <v>205</v>
      </c>
      <c r="D143" s="285" t="s">
        <v>599</v>
      </c>
      <c r="E143" s="285">
        <f>IFERROR(Input_unit*-(E$4&lt;$D$1)*SUMIF('Historical BU1'!$A$88:$A$417,"INT",INDEX('Historical BU1'!$D$88:$EE$417,0,MATCH(E$4,'Historical BU1'!$D$84:$EE$84,0))),"")</f>
        <v>0</v>
      </c>
      <c r="F143" s="285">
        <f>IFERROR(Input_unit*-(F$4&lt;$D$1)*SUMIF('Historical BU1'!$A$88:$A$417,"INT",INDEX('Historical BU1'!$D$88:$EE$417,0,MATCH(F$4,'Historical BU1'!$D$84:$EE$84,0))),"")</f>
        <v>0</v>
      </c>
      <c r="G143" s="285">
        <f>IFERROR(Input_unit*-(G$4&lt;$D$1)*SUMIF('Historical BU1'!$A$88:$A$417,"INT",INDEX('Historical BU1'!$D$88:$EE$417,0,MATCH(G$4,'Historical BU1'!$D$84:$EE$84,0))),"")</f>
        <v>0</v>
      </c>
      <c r="H143" s="285" t="str">
        <f>IFERROR(Input_unit*-(H$4&lt;$D$1)*SUMIF('Historical BU1'!$A$88:$A$417,"INT",INDEX('Historical BU1'!$D$88:$EE$417,0,MATCH(H$4,'Historical BU1'!$D$84:$EE$84,0))),"")</f>
        <v/>
      </c>
      <c r="I143" s="285" t="str">
        <f>IFERROR(Input_unit*-(I$4&lt;$D$1)*SUMIF('Historical BU1'!$A$88:$A$417,"INT",INDEX('Historical BU1'!$D$88:$EE$417,0,MATCH(I$4,'Historical BU1'!$D$84:$EE$84,0))),"")</f>
        <v/>
      </c>
      <c r="J143" s="285" t="str">
        <f>IFERROR(Input_unit*-(J$4&lt;$D$1)*SUMIF('Historical BU1'!$A$88:$A$417,"INT",INDEX('Historical BU1'!$D$88:$EE$417,0,MATCH(J$4,'Historical BU1'!$D$84:$EE$84,0))),"")</f>
        <v/>
      </c>
      <c r="K143" s="285" t="str">
        <f>IFERROR(Input_unit*-(K$4&lt;$D$1)*SUMIF('Historical BU1'!$A$88:$A$417,"INT",INDEX('Historical BU1'!$D$88:$EE$417,0,MATCH(K$4,'Historical BU1'!$D$84:$EE$84,0))),"")</f>
        <v/>
      </c>
      <c r="L143" s="285" t="str">
        <f>IFERROR(Input_unit*-(L$4&lt;$D$1)*SUMIF('Historical BU1'!$A$88:$A$417,"INT",INDEX('Historical BU1'!$D$88:$EE$417,0,MATCH(L$4,'Historical BU1'!$D$84:$EE$84,0))),"")</f>
        <v/>
      </c>
      <c r="M143" s="285" t="str">
        <f>IFERROR(Input_unit*-(M$4&lt;$D$1)*SUMIF('Historical BU1'!$A$88:$A$417,"INT",INDEX('Historical BU1'!$D$88:$EE$417,0,MATCH(M$4,'Historical BU1'!$D$84:$EE$84,0))),"")</f>
        <v/>
      </c>
      <c r="N143" s="285" t="str">
        <f>IFERROR(Input_unit*-(N$4&lt;$D$1)*SUMIF('Historical BU1'!$A$88:$A$417,"INT",INDEX('Historical BU1'!$D$88:$EE$417,0,MATCH(N$4,'Historical BU1'!$D$84:$EE$84,0))),"")</f>
        <v/>
      </c>
      <c r="O143" s="285" t="str">
        <f>IFERROR(Input_unit*-(O$4&lt;$D$1)*SUMIF('Historical BU1'!$A$88:$A$417,"INT",INDEX('Historical BU1'!$D$88:$EE$417,0,MATCH(O$4,'Historical BU1'!$D$84:$EE$84,0))),"")</f>
        <v/>
      </c>
      <c r="P143" s="285" t="str">
        <f>IFERROR(Input_unit*-(P$4&lt;$D$1)*SUMIF('Historical BU1'!$A$88:$A$417,"INT",INDEX('Historical BU1'!$D$88:$EE$417,0,MATCH(P$4,'Historical BU1'!$D$84:$EE$84,0))),"")</f>
        <v/>
      </c>
      <c r="Q143" s="285" t="str">
        <f>IFERROR(Input_unit*-(Q$4&lt;$D$1)*SUMIF('Historical BU1'!$A$88:$A$417,"INT",INDEX('Historical BU1'!$D$88:$EE$417,0,MATCH(Q$4,'Historical BU1'!$D$84:$EE$84,0))),"")</f>
        <v/>
      </c>
      <c r="R143" s="316"/>
      <c r="S143" s="285"/>
    </row>
    <row r="144" spans="1:19">
      <c r="A144" s="285"/>
      <c r="B144" s="285"/>
      <c r="C144" s="285" t="s">
        <v>206</v>
      </c>
      <c r="D144" s="285" t="s">
        <v>599</v>
      </c>
      <c r="E144" s="285">
        <f>IFERROR(Input_unit*(E$4&lt;$D$1)*SUMIF('Historical BU1'!$A$88:$A$417,"INR",INDEX('Historical BU1'!$D$88:$EE$417,0,MATCH(E$4,'Historical BU1'!$D$84:$EE$84,0))),"")</f>
        <v>0</v>
      </c>
      <c r="F144" s="285">
        <f>IFERROR(Input_unit*(F$4&lt;$D$1)*SUMIF('Historical BU1'!$A$88:$A$417,"INR",INDEX('Historical BU1'!$D$88:$EE$417,0,MATCH(F$4,'Historical BU1'!$D$84:$EE$84,0))),"")</f>
        <v>0</v>
      </c>
      <c r="G144" s="285">
        <f>IFERROR(Input_unit*(G$4&lt;$D$1)*SUMIF('Historical BU1'!$A$88:$A$417,"INR",INDEX('Historical BU1'!$D$88:$EE$417,0,MATCH(G$4,'Historical BU1'!$D$84:$EE$84,0))),"")</f>
        <v>0</v>
      </c>
      <c r="H144" s="285" t="str">
        <f>IFERROR(Input_unit*(H$4&lt;$D$1)*SUMIF('Historical BU1'!$A$88:$A$417,"INR",INDEX('Historical BU1'!$D$88:$EE$417,0,MATCH(H$4,'Historical BU1'!$D$84:$EE$84,0))),"")</f>
        <v/>
      </c>
      <c r="I144" s="285" t="str">
        <f>IFERROR(Input_unit*(I$4&lt;$D$1)*SUMIF('Historical BU1'!$A$88:$A$417,"INR",INDEX('Historical BU1'!$D$88:$EE$417,0,MATCH(I$4,'Historical BU1'!$D$84:$EE$84,0))),"")</f>
        <v/>
      </c>
      <c r="J144" s="285" t="str">
        <f>IFERROR(Input_unit*(J$4&lt;$D$1)*SUMIF('Historical BU1'!$A$88:$A$417,"INR",INDEX('Historical BU1'!$D$88:$EE$417,0,MATCH(J$4,'Historical BU1'!$D$84:$EE$84,0))),"")</f>
        <v/>
      </c>
      <c r="K144" s="285" t="str">
        <f>IFERROR(Input_unit*(K$4&lt;$D$1)*SUMIF('Historical BU1'!$A$88:$A$417,"INR",INDEX('Historical BU1'!$D$88:$EE$417,0,MATCH(K$4,'Historical BU1'!$D$84:$EE$84,0))),"")</f>
        <v/>
      </c>
      <c r="L144" s="285" t="str">
        <f>IFERROR(Input_unit*(L$4&lt;$D$1)*SUMIF('Historical BU1'!$A$88:$A$417,"INR",INDEX('Historical BU1'!$D$88:$EE$417,0,MATCH(L$4,'Historical BU1'!$D$84:$EE$84,0))),"")</f>
        <v/>
      </c>
      <c r="M144" s="285" t="str">
        <f>IFERROR(Input_unit*(M$4&lt;$D$1)*SUMIF('Historical BU1'!$A$88:$A$417,"INR",INDEX('Historical BU1'!$D$88:$EE$417,0,MATCH(M$4,'Historical BU1'!$D$84:$EE$84,0))),"")</f>
        <v/>
      </c>
      <c r="N144" s="285" t="str">
        <f>IFERROR(Input_unit*(N$4&lt;$D$1)*SUMIF('Historical BU1'!$A$88:$A$417,"INR",INDEX('Historical BU1'!$D$88:$EE$417,0,MATCH(N$4,'Historical BU1'!$D$84:$EE$84,0))),"")</f>
        <v/>
      </c>
      <c r="O144" s="285" t="str">
        <f>IFERROR(Input_unit*(O$4&lt;$D$1)*SUMIF('Historical BU1'!$A$88:$A$417,"INR",INDEX('Historical BU1'!$D$88:$EE$417,0,MATCH(O$4,'Historical BU1'!$D$84:$EE$84,0))),"")</f>
        <v/>
      </c>
      <c r="P144" s="285" t="str">
        <f>IFERROR(Input_unit*(P$4&lt;$D$1)*SUMIF('Historical BU1'!$A$88:$A$417,"INR",INDEX('Historical BU1'!$D$88:$EE$417,0,MATCH(P$4,'Historical BU1'!$D$84:$EE$84,0))),"")</f>
        <v/>
      </c>
      <c r="Q144" s="285" t="str">
        <f>IFERROR(Input_unit*(Q$4&lt;$D$1)*SUMIF('Historical BU1'!$A$88:$A$417,"INR",INDEX('Historical BU1'!$D$88:$EE$417,0,MATCH(Q$4,'Historical BU1'!$D$84:$EE$84,0))),"")</f>
        <v/>
      </c>
      <c r="R144" s="316"/>
      <c r="S144" s="285"/>
    </row>
    <row r="145" spans="1:19">
      <c r="A145" s="285"/>
      <c r="B145" s="285"/>
      <c r="C145" s="285" t="s">
        <v>245</v>
      </c>
      <c r="D145" s="285" t="s">
        <v>599</v>
      </c>
      <c r="E145" s="285">
        <f>IFERROR(Input_unit*(E$4&lt;$D$1)*SUMIF('Historical BU1'!$A$88:$A$417,"DIR",INDEX('Historical BU1'!$D$88:$EE$417,0,MATCH(E$4,'Historical BU1'!$D$84:$EE$84,0))),0)</f>
        <v>0</v>
      </c>
      <c r="F145" s="285">
        <f>IFERROR(Input_unit*(F$4&lt;$D$1)*SUMIF('Historical BU1'!$A$88:$A$417,"DIR",INDEX('Historical BU1'!$D$88:$EE$417,0,MATCH(F$4,'Historical BU1'!$D$84:$EE$84,0))),0)</f>
        <v>0</v>
      </c>
      <c r="G145" s="285">
        <f>IFERROR(Input_unit*(G$4&lt;$D$1)*SUMIF('Historical BU1'!$A$88:$A$417,"DIR",INDEX('Historical BU1'!$D$88:$EE$417,0,MATCH(G$4,'Historical BU1'!$D$84:$EE$84,0))),0)</f>
        <v>0</v>
      </c>
      <c r="H145" s="285">
        <f>IFERROR(Input_unit*(H$4&lt;$D$1)*SUMIF('Historical BU1'!$A$88:$A$417,"DIR",INDEX('Historical BU1'!$D$88:$EE$417,0,MATCH(H$4,'Historical BU1'!$D$84:$EE$84,0))),0)</f>
        <v>0</v>
      </c>
      <c r="I145" s="285">
        <f>IFERROR(Input_unit*(I$4&lt;$D$1)*SUMIF('Historical BU1'!$A$88:$A$417,"DIR",INDEX('Historical BU1'!$D$88:$EE$417,0,MATCH(I$4,'Historical BU1'!$D$84:$EE$84,0))),0)</f>
        <v>0</v>
      </c>
      <c r="J145" s="285">
        <f>IFERROR(Input_unit*(J$4&lt;$D$1)*SUMIF('Historical BU1'!$A$88:$A$417,"DIR",INDEX('Historical BU1'!$D$88:$EE$417,0,MATCH(J$4,'Historical BU1'!$D$84:$EE$84,0))),0)</f>
        <v>0</v>
      </c>
      <c r="K145" s="285">
        <f>IFERROR(Input_unit*(K$4&lt;$D$1)*SUMIF('Historical BU1'!$A$88:$A$417,"DIR",INDEX('Historical BU1'!$D$88:$EE$417,0,MATCH(K$4,'Historical BU1'!$D$84:$EE$84,0))),0)</f>
        <v>0</v>
      </c>
      <c r="L145" s="285">
        <f>IFERROR(Input_unit*(L$4&lt;$D$1)*SUMIF('Historical BU1'!$A$88:$A$417,"DIR",INDEX('Historical BU1'!$D$88:$EE$417,0,MATCH(L$4,'Historical BU1'!$D$84:$EE$84,0))),0)</f>
        <v>0</v>
      </c>
      <c r="M145" s="285">
        <f>IFERROR(Input_unit*(M$4&lt;$D$1)*SUMIF('Historical BU1'!$A$88:$A$417,"DIR",INDEX('Historical BU1'!$D$88:$EE$417,0,MATCH(M$4,'Historical BU1'!$D$84:$EE$84,0))),0)</f>
        <v>0</v>
      </c>
      <c r="N145" s="285">
        <f>IFERROR(Input_unit*(N$4&lt;$D$1)*SUMIF('Historical BU1'!$A$88:$A$417,"DIR",INDEX('Historical BU1'!$D$88:$EE$417,0,MATCH(N$4,'Historical BU1'!$D$84:$EE$84,0))),0)</f>
        <v>0</v>
      </c>
      <c r="O145" s="285">
        <f>IFERROR(Input_unit*(O$4&lt;$D$1)*SUMIF('Historical BU1'!$A$88:$A$417,"DIR",INDEX('Historical BU1'!$D$88:$EE$417,0,MATCH(O$4,'Historical BU1'!$D$84:$EE$84,0))),0)</f>
        <v>0</v>
      </c>
      <c r="P145" s="285">
        <f>IFERROR(Input_unit*(P$4&lt;$D$1)*SUMIF('Historical BU1'!$A$88:$A$417,"DIR",INDEX('Historical BU1'!$D$88:$EE$417,0,MATCH(P$4,'Historical BU1'!$D$84:$EE$84,0))),0)</f>
        <v>0</v>
      </c>
      <c r="Q145" s="285">
        <f>IFERROR(Input_unit*(Q$4&lt;$D$1)*SUMIF('Historical BU1'!$A$88:$A$417,"DIR",INDEX('Historical BU1'!$D$88:$EE$417,0,MATCH(Q$4,'Historical BU1'!$D$84:$EE$84,0))),0)</f>
        <v>0</v>
      </c>
      <c r="R145" s="316"/>
      <c r="S145" s="285"/>
    </row>
    <row r="146" spans="1:19" ht="14.4">
      <c r="A146" s="34"/>
      <c r="B146" s="180"/>
      <c r="C146" s="180" t="s">
        <v>941</v>
      </c>
      <c r="D146" s="180" t="s">
        <v>604</v>
      </c>
      <c r="E146" s="180">
        <f>IFERROR(E138+SUM(E141:E145),0)</f>
        <v>0</v>
      </c>
      <c r="F146" s="180">
        <f t="shared" ref="F146:Q146" si="54">IFERROR(F138+SUM(F141:F145),0)</f>
        <v>0</v>
      </c>
      <c r="G146" s="180">
        <f t="shared" si="54"/>
        <v>0</v>
      </c>
      <c r="H146" s="180">
        <f t="shared" si="54"/>
        <v>0</v>
      </c>
      <c r="I146" s="180">
        <f t="shared" si="54"/>
        <v>0</v>
      </c>
      <c r="J146" s="180">
        <f t="shared" si="54"/>
        <v>0</v>
      </c>
      <c r="K146" s="180">
        <f t="shared" si="54"/>
        <v>0</v>
      </c>
      <c r="L146" s="180">
        <f t="shared" si="54"/>
        <v>0</v>
      </c>
      <c r="M146" s="180">
        <f t="shared" si="54"/>
        <v>0</v>
      </c>
      <c r="N146" s="180">
        <f t="shared" si="54"/>
        <v>0</v>
      </c>
      <c r="O146" s="180">
        <f t="shared" si="54"/>
        <v>0</v>
      </c>
      <c r="P146" s="180">
        <f t="shared" si="54"/>
        <v>0</v>
      </c>
      <c r="Q146" s="180">
        <f t="shared" si="54"/>
        <v>0</v>
      </c>
      <c r="R146" s="315" t="str">
        <f>IFERROR((INDEX(146:146,MATCH(DATE('Control Panel'!$B$4+'Control Panel'!$B$5-1,'Control Panel'!$B$6,'Control Panel'!$B$7),'Scenarios offshore'!$10:$10,0))/INDEX(146:146,MATCH(DATE('Control Panel'!$B$4,'Control Panel'!$B$6,'Control Panel'!$B$7),'Scenarios offshore'!$10:$10,0)))^(1/('Control Panel'!$B$5-1))-1,"n.a.")</f>
        <v>n.a.</v>
      </c>
      <c r="S146" s="315" t="str">
        <f>IFERROR((INDEX(146:146,MATCH(DATE('Control Panel'!$B$13,'Control Panel'!$B$6,'Control Panel'!$B$7),'Scenarios offshore'!$10:$10,0))/INDEX(146:146,MATCH(DATE('Control Panel'!$B$4+'Control Panel'!$B$5-1,'Control Panel'!$B$6,'Control Panel'!$B$7),'Scenarios offshore'!$10:$10,0)))^(1/('Control Panel'!$B$13-'Control Panel'!$B$12+1))-1,"n.a.")</f>
        <v>n.a.</v>
      </c>
    </row>
    <row r="147" spans="1:19" ht="14.4">
      <c r="A147" s="1"/>
      <c r="B147" s="1"/>
      <c r="C147" s="88"/>
      <c r="D147" s="1"/>
      <c r="E147" s="287"/>
      <c r="F147" s="287"/>
      <c r="G147" s="287"/>
      <c r="H147" s="287"/>
      <c r="I147" s="287"/>
      <c r="J147" s="287"/>
      <c r="K147" s="287"/>
      <c r="L147" s="287"/>
      <c r="M147" s="287"/>
      <c r="N147" s="287"/>
      <c r="O147" s="287"/>
      <c r="P147" s="287"/>
      <c r="Q147" s="287"/>
      <c r="R147" s="289"/>
      <c r="S147" s="289"/>
    </row>
    <row r="148" spans="1:19" ht="14.4">
      <c r="A148" s="34"/>
      <c r="B148" s="180"/>
      <c r="C148" s="180" t="s">
        <v>942</v>
      </c>
      <c r="D148" s="180" t="s">
        <v>935</v>
      </c>
      <c r="E148" s="313">
        <f t="shared" ref="E148:Q148" si="55">IF(E$5,INDEX(E150:E153,$D$2),E149)</f>
        <v>0</v>
      </c>
      <c r="F148" s="313">
        <f t="shared" si="55"/>
        <v>0</v>
      </c>
      <c r="G148" s="313">
        <f t="shared" si="55"/>
        <v>0</v>
      </c>
      <c r="H148" s="313">
        <f t="shared" si="55"/>
        <v>0</v>
      </c>
      <c r="I148" s="313">
        <f t="shared" si="55"/>
        <v>0</v>
      </c>
      <c r="J148" s="313">
        <f t="shared" si="55"/>
        <v>0.16500000000000001</v>
      </c>
      <c r="K148" s="313">
        <f t="shared" si="55"/>
        <v>0.16500000000000001</v>
      </c>
      <c r="L148" s="313">
        <f t="shared" si="55"/>
        <v>0.16500000000000001</v>
      </c>
      <c r="M148" s="313">
        <f t="shared" si="55"/>
        <v>0.16500000000000001</v>
      </c>
      <c r="N148" s="313">
        <f t="shared" si="55"/>
        <v>0.16500000000000001</v>
      </c>
      <c r="O148" s="313">
        <f t="shared" si="55"/>
        <v>0.16500000000000001</v>
      </c>
      <c r="P148" s="313">
        <f t="shared" si="55"/>
        <v>0</v>
      </c>
      <c r="Q148" s="313">
        <f t="shared" si="55"/>
        <v>0</v>
      </c>
      <c r="R148" s="311"/>
      <c r="S148" s="311"/>
    </row>
    <row r="149" spans="1:19">
      <c r="A149" s="183"/>
      <c r="B149" s="183"/>
      <c r="C149" s="183"/>
      <c r="D149" s="183" t="s">
        <v>599</v>
      </c>
      <c r="E149" s="183">
        <f>IFERROR(Input_unit*(E$4&lt;$D$1)*SUMIF('Historical BU1'!$A$88:$A$417,"TAX",INDEX('Historical BU1'!$D$88:$EE$417,0,MATCH(E$4,'Historical BU1'!$D$84:$EE$84,0)))/E146,0)</f>
        <v>0</v>
      </c>
      <c r="F149" s="183">
        <f>IFERROR(Input_unit*(F$4&lt;$D$1)*SUMIF('Historical BU1'!$A$88:$A$417,"TAX",INDEX('Historical BU1'!$D$88:$EE$417,0,MATCH(F$4,'Historical BU1'!$D$84:$EE$84,0)))/F146,0)</f>
        <v>0</v>
      </c>
      <c r="G149" s="183">
        <f>IFERROR(Input_unit*(G$4&lt;$D$1)*SUMIF('Historical BU1'!$A$88:$A$417,"TAX",INDEX('Historical BU1'!$D$88:$EE$417,0,MATCH(G$4,'Historical BU1'!$D$84:$EE$84,0)))/G146,0)</f>
        <v>0</v>
      </c>
      <c r="H149" s="183">
        <f>IFERROR(Input_unit*(H$4&lt;$D$1)*SUMIF('Historical BU1'!$A$88:$A$417,"TAX",INDEX('Historical BU1'!$D$88:$EE$417,0,MATCH(H$4,'Historical BU1'!$D$84:$EE$84,0)))/H146,0)</f>
        <v>0</v>
      </c>
      <c r="I149" s="183">
        <f>IFERROR(Input_unit*(I$4&lt;$D$1)*SUMIF('Historical BU1'!$A$88:$A$417,"TAX",INDEX('Historical BU1'!$D$88:$EE$417,0,MATCH(I$4,'Historical BU1'!$D$84:$EE$84,0)))/I146,0)</f>
        <v>0</v>
      </c>
      <c r="J149" s="183">
        <f>IFERROR(Input_unit*(J$4&lt;$D$1)*SUMIF('Historical BU1'!$A$88:$A$417,"TAX",INDEX('Historical BU1'!$D$88:$EE$417,0,MATCH(J$4,'Historical BU1'!$D$84:$EE$84,0)))/J146,0)</f>
        <v>0</v>
      </c>
      <c r="K149" s="183">
        <f>IFERROR(Input_unit*(K$4&lt;$D$1)*SUMIF('Historical BU1'!$A$88:$A$417,"TAX",INDEX('Historical BU1'!$D$88:$EE$417,0,MATCH(K$4,'Historical BU1'!$D$84:$EE$84,0)))/K146,0)</f>
        <v>0</v>
      </c>
      <c r="L149" s="183">
        <f>IFERROR(Input_unit*(L$4&lt;$D$1)*SUMIF('Historical BU1'!$A$88:$A$417,"TAX",INDEX('Historical BU1'!$D$88:$EE$417,0,MATCH(L$4,'Historical BU1'!$D$84:$EE$84,0)))/L146,0)</f>
        <v>0</v>
      </c>
      <c r="M149" s="183">
        <f>IFERROR(Input_unit*(M$4&lt;$D$1)*SUMIF('Historical BU1'!$A$88:$A$417,"TAX",INDEX('Historical BU1'!$D$88:$EE$417,0,MATCH(M$4,'Historical BU1'!$D$84:$EE$84,0)))/M146,0)</f>
        <v>0</v>
      </c>
      <c r="N149" s="183">
        <f>IFERROR(Input_unit*(N$4&lt;$D$1)*SUMIF('Historical BU1'!$A$88:$A$417,"TAX",INDEX('Historical BU1'!$D$88:$EE$417,0,MATCH(N$4,'Historical BU1'!$D$84:$EE$84,0)))/N146,0)</f>
        <v>0</v>
      </c>
      <c r="O149" s="183">
        <f>IFERROR(Input_unit*(O$4&lt;$D$1)*SUMIF('Historical BU1'!$A$88:$A$417,"TAX",INDEX('Historical BU1'!$D$88:$EE$417,0,MATCH(O$4,'Historical BU1'!$D$84:$EE$84,0)))/O146,0)</f>
        <v>0</v>
      </c>
      <c r="P149" s="183">
        <f>IFERROR(Input_unit*(P$4&lt;$D$1)*SUMIF('Historical BU1'!$A$88:$A$417,"TAX",INDEX('Historical BU1'!$D$88:$EE$417,0,MATCH(P$4,'Historical BU1'!$D$84:$EE$84,0)))/P146,0)</f>
        <v>0</v>
      </c>
      <c r="Q149" s="183">
        <f>IFERROR(Input_unit*(Q$4&lt;$D$1)*SUMIF('Historical BU1'!$A$88:$A$417,"TAX",INDEX('Historical BU1'!$D$88:$EE$417,0,MATCH(Q$4,'Historical BU1'!$D$84:$EE$84,0)))/Q146,0)</f>
        <v>0</v>
      </c>
      <c r="R149" s="286"/>
      <c r="S149" s="317"/>
    </row>
    <row r="150" spans="1:19" ht="14.4">
      <c r="A150" s="1"/>
      <c r="B150" s="1"/>
      <c r="C150" s="1"/>
      <c r="D150" s="255" t="str">
        <f>$D$21</f>
        <v>Sponsor base</v>
      </c>
      <c r="E150" s="274"/>
      <c r="F150" s="274"/>
      <c r="G150" s="274"/>
      <c r="H150" s="274"/>
      <c r="I150" s="274">
        <v>0.16500000000000001</v>
      </c>
      <c r="J150" s="274">
        <v>0.16500000000000001</v>
      </c>
      <c r="K150" s="274">
        <v>0.16500000000000001</v>
      </c>
      <c r="L150" s="274">
        <v>0.16500000000000001</v>
      </c>
      <c r="M150" s="274">
        <v>0.16500000000000001</v>
      </c>
      <c r="N150" s="274">
        <v>0.16500000000000001</v>
      </c>
      <c r="O150" s="274">
        <v>0.16500000000000001</v>
      </c>
      <c r="P150" s="274">
        <v>0.16500000000000001</v>
      </c>
      <c r="Q150" s="274"/>
      <c r="R150" s="289"/>
      <c r="S150" s="290"/>
    </row>
    <row r="151" spans="1:19" ht="14.4">
      <c r="A151" s="1"/>
      <c r="B151" s="1"/>
      <c r="C151" s="1"/>
      <c r="D151" s="255" t="str">
        <f>$D$22</f>
        <v>Flat</v>
      </c>
      <c r="E151" s="274"/>
      <c r="F151" s="274"/>
      <c r="G151" s="274"/>
      <c r="H151" s="274"/>
      <c r="I151" s="274">
        <v>0.16500000000000001</v>
      </c>
      <c r="J151" s="274">
        <v>0.16500000000000001</v>
      </c>
      <c r="K151" s="274">
        <v>0.16500000000000001</v>
      </c>
      <c r="L151" s="274">
        <v>0.16500000000000001</v>
      </c>
      <c r="M151" s="274">
        <v>0.16500000000000001</v>
      </c>
      <c r="N151" s="274">
        <v>0.16500000000000001</v>
      </c>
      <c r="O151" s="274">
        <v>0.16500000000000001</v>
      </c>
      <c r="P151" s="274">
        <v>0.16500000000000001</v>
      </c>
      <c r="Q151" s="274"/>
      <c r="R151" s="289"/>
      <c r="S151" s="290"/>
    </row>
    <row r="152" spans="1:19" ht="14.4">
      <c r="A152" s="1"/>
      <c r="B152" s="1"/>
      <c r="C152" s="1"/>
      <c r="D152" s="255" t="str">
        <f>$D$23</f>
        <v>Bank case</v>
      </c>
      <c r="E152" s="274"/>
      <c r="F152" s="274"/>
      <c r="G152" s="274"/>
      <c r="H152" s="274"/>
      <c r="I152" s="274">
        <v>0.16500000000000001</v>
      </c>
      <c r="J152" s="274">
        <v>0.16500000000000001</v>
      </c>
      <c r="K152" s="274">
        <v>0.16500000000000001</v>
      </c>
      <c r="L152" s="274">
        <v>0.16500000000000001</v>
      </c>
      <c r="M152" s="274">
        <v>0.16500000000000001</v>
      </c>
      <c r="N152" s="274">
        <v>0.16500000000000001</v>
      </c>
      <c r="O152" s="274">
        <v>0.16500000000000001</v>
      </c>
      <c r="P152" s="274">
        <v>0.16500000000000001</v>
      </c>
      <c r="Q152" s="274"/>
      <c r="R152" s="289"/>
      <c r="S152" s="290"/>
    </row>
    <row r="153" spans="1:19" ht="14.4">
      <c r="A153" s="1"/>
      <c r="B153" s="1"/>
      <c r="C153" s="1"/>
      <c r="D153" s="255" t="str">
        <f>$D$24</f>
        <v>Bank worse</v>
      </c>
      <c r="E153" s="274"/>
      <c r="F153" s="274"/>
      <c r="G153" s="274"/>
      <c r="H153" s="274"/>
      <c r="I153" s="274">
        <v>0.16500000000000001</v>
      </c>
      <c r="J153" s="274">
        <v>0.16500000000000001</v>
      </c>
      <c r="K153" s="274">
        <v>0.16500000000000001</v>
      </c>
      <c r="L153" s="274">
        <v>0.16500000000000001</v>
      </c>
      <c r="M153" s="274">
        <v>0.16500000000000001</v>
      </c>
      <c r="N153" s="274">
        <v>0.16500000000000001</v>
      </c>
      <c r="O153" s="274">
        <v>0.16500000000000001</v>
      </c>
      <c r="P153" s="274">
        <v>0.16500000000000001</v>
      </c>
      <c r="Q153" s="274"/>
      <c r="R153" s="289"/>
      <c r="S153" s="290"/>
    </row>
    <row r="154" spans="1:19" ht="14.4">
      <c r="A154" s="1"/>
      <c r="B154" s="1"/>
      <c r="C154" s="88"/>
      <c r="D154" s="1"/>
      <c r="E154" s="287"/>
      <c r="F154" s="287"/>
      <c r="G154" s="287"/>
      <c r="H154" s="287"/>
      <c r="I154" s="287"/>
      <c r="J154" s="287"/>
      <c r="K154" s="287"/>
      <c r="L154" s="287"/>
      <c r="M154" s="287"/>
      <c r="N154" s="287"/>
      <c r="O154" s="287"/>
      <c r="P154" s="287"/>
      <c r="Q154" s="287"/>
      <c r="R154" s="289"/>
      <c r="S154" s="289"/>
    </row>
    <row r="155" spans="1:19" ht="14.4">
      <c r="A155" s="1"/>
      <c r="B155" s="1"/>
      <c r="C155" s="180" t="s">
        <v>1456</v>
      </c>
      <c r="D155" s="1"/>
      <c r="E155" s="180">
        <f>-E148*E146</f>
        <v>0</v>
      </c>
      <c r="F155" s="180">
        <f t="shared" ref="F155:Q155" si="56">-F148*F146</f>
        <v>0</v>
      </c>
      <c r="G155" s="180">
        <f t="shared" si="56"/>
        <v>0</v>
      </c>
      <c r="H155" s="180">
        <f t="shared" si="56"/>
        <v>0</v>
      </c>
      <c r="I155" s="180">
        <f t="shared" si="56"/>
        <v>0</v>
      </c>
      <c r="J155" s="180">
        <f t="shared" si="56"/>
        <v>0</v>
      </c>
      <c r="K155" s="180">
        <f t="shared" si="56"/>
        <v>0</v>
      </c>
      <c r="L155" s="180">
        <f t="shared" si="56"/>
        <v>0</v>
      </c>
      <c r="M155" s="180">
        <f t="shared" si="56"/>
        <v>0</v>
      </c>
      <c r="N155" s="180">
        <f t="shared" si="56"/>
        <v>0</v>
      </c>
      <c r="O155" s="180">
        <f t="shared" si="56"/>
        <v>0</v>
      </c>
      <c r="P155" s="180">
        <f t="shared" si="56"/>
        <v>0</v>
      </c>
      <c r="Q155" s="180">
        <f t="shared" si="56"/>
        <v>0</v>
      </c>
      <c r="R155" s="289"/>
      <c r="S155" s="289"/>
    </row>
    <row r="156" spans="1:19" ht="14.4">
      <c r="A156" s="1"/>
      <c r="B156" s="1"/>
      <c r="C156" s="88"/>
      <c r="D156" s="1"/>
      <c r="E156" s="287"/>
      <c r="F156" s="287"/>
      <c r="G156" s="287"/>
      <c r="H156" s="287"/>
      <c r="I156" s="287"/>
      <c r="J156" s="287"/>
      <c r="K156" s="287"/>
      <c r="L156" s="287"/>
      <c r="M156" s="287"/>
      <c r="N156" s="287"/>
      <c r="O156" s="287"/>
      <c r="P156" s="287"/>
      <c r="Q156" s="287"/>
      <c r="R156" s="289"/>
      <c r="S156" s="289"/>
    </row>
    <row r="157" spans="1:19">
      <c r="A157" s="180"/>
      <c r="B157" s="180" t="s">
        <v>943</v>
      </c>
      <c r="C157" s="180"/>
      <c r="D157" s="180"/>
      <c r="E157" s="180"/>
      <c r="F157" s="180"/>
      <c r="G157" s="180"/>
      <c r="H157" s="180"/>
      <c r="I157" s="180"/>
      <c r="J157" s="180"/>
      <c r="K157" s="180"/>
      <c r="L157" s="180"/>
      <c r="M157" s="180"/>
      <c r="N157" s="180"/>
      <c r="O157" s="180"/>
      <c r="P157" s="180"/>
      <c r="Q157" s="180"/>
    </row>
    <row r="158" spans="1:19">
      <c r="A158" s="180"/>
      <c r="B158" s="180"/>
      <c r="C158" s="180" t="s">
        <v>944</v>
      </c>
      <c r="D158" s="180" t="s">
        <v>604</v>
      </c>
      <c r="E158" s="180">
        <f t="shared" ref="E158:Q158" si="57">IF(E$5,INDEX(E161:E164,$D$2),E160)</f>
        <v>0</v>
      </c>
      <c r="F158" s="180">
        <f t="shared" si="57"/>
        <v>0</v>
      </c>
      <c r="G158" s="180">
        <f t="shared" si="57"/>
        <v>0</v>
      </c>
      <c r="H158" s="180">
        <f t="shared" si="57"/>
        <v>0</v>
      </c>
      <c r="I158" s="180">
        <f t="shared" si="57"/>
        <v>0</v>
      </c>
      <c r="J158" s="180">
        <f t="shared" si="57"/>
        <v>0</v>
      </c>
      <c r="K158" s="180">
        <f t="shared" si="57"/>
        <v>0</v>
      </c>
      <c r="L158" s="180">
        <f t="shared" si="57"/>
        <v>0</v>
      </c>
      <c r="M158" s="180">
        <f t="shared" si="57"/>
        <v>0</v>
      </c>
      <c r="N158" s="180">
        <f t="shared" si="57"/>
        <v>0</v>
      </c>
      <c r="O158" s="180">
        <f t="shared" si="57"/>
        <v>0</v>
      </c>
      <c r="P158" s="180">
        <f t="shared" si="57"/>
        <v>0</v>
      </c>
      <c r="Q158" s="180">
        <f t="shared" si="57"/>
        <v>0</v>
      </c>
      <c r="R158" s="315" t="str">
        <f>IFERROR((INDEX(158:158,MATCH(DATE('Control Panel'!$B$4+'Control Panel'!$B$5-1,'Control Panel'!$B$6,'Control Panel'!$B$7),'Scenarios offshore'!$10:$10,0))/INDEX(158:158,MATCH(DATE('Control Panel'!$B$4,'Control Panel'!$B$6,'Control Panel'!$B$7),'Scenarios offshore'!$10:$10,0)))^(1/('Control Panel'!$B$5-1))-1,"n.a.")</f>
        <v>n.a.</v>
      </c>
      <c r="S158" s="315" t="str">
        <f>IFERROR((INDEX(158:158,MATCH(DATE('Control Panel'!$B$13,'Control Panel'!$B$6,'Control Panel'!$B$7),'Scenarios offshore'!$10:$10,0))/INDEX(158:158,MATCH(DATE('Control Panel'!$B$4+'Control Panel'!$B$5-1,'Control Panel'!$B$6,'Control Panel'!$B$7),'Scenarios offshore'!$10:$10,0)))^(1/('Control Panel'!$B$13-'Control Panel'!$B$12+1))-1,"n.a.")</f>
        <v>n.a.</v>
      </c>
    </row>
    <row r="159" spans="1:19" ht="14.4">
      <c r="A159" s="255"/>
      <c r="B159" s="255"/>
      <c r="C159" s="255"/>
      <c r="D159" s="187" t="s">
        <v>945</v>
      </c>
      <c r="E159" s="187" t="str">
        <f t="shared" ref="E159:Q159" si="58">IFERROR(E158/E18*365,"")</f>
        <v/>
      </c>
      <c r="F159" s="187" t="str">
        <f t="shared" si="58"/>
        <v/>
      </c>
      <c r="G159" s="187" t="str">
        <f t="shared" si="58"/>
        <v/>
      </c>
      <c r="H159" s="187" t="str">
        <f t="shared" si="58"/>
        <v/>
      </c>
      <c r="I159" s="187" t="str">
        <f t="shared" si="58"/>
        <v/>
      </c>
      <c r="J159" s="187" t="str">
        <f t="shared" si="58"/>
        <v/>
      </c>
      <c r="K159" s="187" t="str">
        <f t="shared" si="58"/>
        <v/>
      </c>
      <c r="L159" s="187" t="str">
        <f t="shared" si="58"/>
        <v/>
      </c>
      <c r="M159" s="187" t="str">
        <f t="shared" si="58"/>
        <v/>
      </c>
      <c r="N159" s="187" t="str">
        <f t="shared" si="58"/>
        <v/>
      </c>
      <c r="O159" s="187" t="str">
        <f t="shared" si="58"/>
        <v/>
      </c>
      <c r="P159" s="187" t="str">
        <f t="shared" si="58"/>
        <v/>
      </c>
      <c r="Q159" s="187" t="str">
        <f t="shared" si="58"/>
        <v/>
      </c>
      <c r="R159" s="38"/>
      <c r="S159" s="38"/>
    </row>
    <row r="160" spans="1:19">
      <c r="A160" s="255"/>
      <c r="B160" s="255"/>
      <c r="C160" s="255"/>
      <c r="D160" s="255" t="s">
        <v>599</v>
      </c>
      <c r="E160" s="255">
        <f>IFERROR(Input_unit*(E$4&lt;$D$1)*SUMIF('Historical BU1'!$A$88:$A$417,"ACR",INDEX('Historical BU1'!$D$88:$EE$417,0,MATCH(E$4,'Historical BU1'!$D$84:$EE$84,0))),0)</f>
        <v>0</v>
      </c>
      <c r="F160" s="255">
        <f>IFERROR(Input_unit*(F$4&lt;$D$1)*SUMIF('Historical BU1'!$A$88:$A$417,"ACR",INDEX('Historical BU1'!$D$88:$EE$417,0,MATCH(F$4,'Historical BU1'!$D$84:$EE$84,0))),0)</f>
        <v>0</v>
      </c>
      <c r="G160" s="255">
        <f>IFERROR(Input_unit*(G$4&lt;$D$1)*SUMIF('Historical BU1'!$A$88:$A$417,"ACR",INDEX('Historical BU1'!$D$88:$EE$417,0,MATCH(G$4,'Historical BU1'!$D$84:$EE$84,0))),0)</f>
        <v>0</v>
      </c>
      <c r="H160" s="255">
        <f>IFERROR(Input_unit*(H$4&lt;$D$1)*SUMIF('Historical BU1'!$A$88:$A$417,"ACR",INDEX('Historical BU1'!$D$88:$EE$417,0,MATCH(H$4,'Historical BU1'!$D$84:$EE$84,0))),0)</f>
        <v>0</v>
      </c>
      <c r="I160" s="255">
        <f>IFERROR(Input_unit*(I$4&lt;$D$1)*SUMIF('Historical BU1'!$A$88:$A$417,"ACR",INDEX('Historical BU1'!$D$88:$EE$417,0,MATCH(I$4,'Historical BU1'!$D$84:$EE$84,0))),0)</f>
        <v>0</v>
      </c>
      <c r="J160" s="255">
        <f>IFERROR(Input_unit*(J$4&lt;$D$1)*SUMIF('Historical BU1'!$A$88:$A$417,"ACR",INDEX('Historical BU1'!$D$88:$EE$417,0,MATCH(J$4,'Historical BU1'!$D$84:$EE$84,0))),0)</f>
        <v>0</v>
      </c>
      <c r="K160" s="255">
        <f>IFERROR(Input_unit*(K$4&lt;$D$1)*SUMIF('Historical BU1'!$A$88:$A$417,"ACR",INDEX('Historical BU1'!$D$88:$EE$417,0,MATCH(K$4,'Historical BU1'!$D$84:$EE$84,0))),0)</f>
        <v>0</v>
      </c>
      <c r="L160" s="255">
        <f>IFERROR(Input_unit*(L$4&lt;$D$1)*SUMIF('Historical BU1'!$A$88:$A$417,"ACR",INDEX('Historical BU1'!$D$88:$EE$417,0,MATCH(L$4,'Historical BU1'!$D$84:$EE$84,0))),0)</f>
        <v>0</v>
      </c>
      <c r="M160" s="255">
        <f>IFERROR(Input_unit*(M$4&lt;$D$1)*SUMIF('Historical BU1'!$A$88:$A$417,"ACR",INDEX('Historical BU1'!$D$88:$EE$417,0,MATCH(M$4,'Historical BU1'!$D$84:$EE$84,0))),0)</f>
        <v>0</v>
      </c>
      <c r="N160" s="255">
        <f>IFERROR(Input_unit*(N$4&lt;$D$1)*SUMIF('Historical BU1'!$A$88:$A$417,"ACR",INDEX('Historical BU1'!$D$88:$EE$417,0,MATCH(N$4,'Historical BU1'!$D$84:$EE$84,0))),0)</f>
        <v>0</v>
      </c>
      <c r="O160" s="255">
        <f>IFERROR(Input_unit*(O$4&lt;$D$1)*SUMIF('Historical BU1'!$A$88:$A$417,"ACR",INDEX('Historical BU1'!$D$88:$EE$417,0,MATCH(O$4,'Historical BU1'!$D$84:$EE$84,0))),0)</f>
        <v>0</v>
      </c>
      <c r="P160" s="255">
        <f>IFERROR(Input_unit*(P$4&lt;$D$1)*SUMIF('Historical BU1'!$A$88:$A$417,"ACR",INDEX('Historical BU1'!$D$88:$EE$417,0,MATCH(P$4,'Historical BU1'!$D$84:$EE$84,0))),0)</f>
        <v>0</v>
      </c>
      <c r="Q160" s="255">
        <f>IFERROR(Input_unit*(Q$4&lt;$D$1)*SUMIF('Historical BU1'!$A$88:$A$417,"ACR",INDEX('Historical BU1'!$D$88:$EE$417,0,MATCH(Q$4,'Historical BU1'!$D$84:$EE$84,0))),0)</f>
        <v>0</v>
      </c>
      <c r="R160" s="316" t="str">
        <f>IFERROR((INDEX(160:160,MATCH(DATE('Control Panel'!$B$4+'Control Panel'!$B$5-1,'Control Panel'!$B$6,'Control Panel'!$B$7),'Scenarios offshore'!$10:$10,0))/INDEX(160:160,MATCH(DATE('Control Panel'!$B$4,'Control Panel'!$B$6,'Control Panel'!$B$7),'Scenarios offshore'!$10:$10,0)))^(1/('Control Panel'!$B$5-1))-1,"n.a.")</f>
        <v>n.a.</v>
      </c>
      <c r="S160" s="292"/>
    </row>
    <row r="161" spans="1:19" ht="14.4">
      <c r="A161" s="1"/>
      <c r="B161" s="1"/>
      <c r="C161" s="1"/>
      <c r="D161" s="255" t="str">
        <f>$D$21</f>
        <v>Sponsor base</v>
      </c>
      <c r="E161" s="197"/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289"/>
      <c r="S161" s="316" t="str">
        <f>IFERROR((INDEX(161:161,MATCH(DATE('Control Panel'!$B$13,'Control Panel'!$B$6,'Control Panel'!$B$7),'Scenarios offshore'!$10:$10,0))/INDEX(160:160,MATCH(DATE('Control Panel'!$B$4+'Control Panel'!$B$5-1,'Control Panel'!$B$6,'Control Panel'!$B$7),'Scenarios offshore'!$10:$10,0)))^(1/('Control Panel'!$B$13-'Control Panel'!$B$12+1))-1,"n.a.")</f>
        <v>n.a.</v>
      </c>
    </row>
    <row r="162" spans="1:19" ht="14.4">
      <c r="A162" s="1"/>
      <c r="B162" s="1"/>
      <c r="C162" s="1"/>
      <c r="D162" s="255" t="str">
        <f>$D$22</f>
        <v>Flat</v>
      </c>
      <c r="E162" s="197"/>
      <c r="F162" s="197"/>
      <c r="G162" s="197"/>
      <c r="H162" s="197"/>
      <c r="I162" s="197"/>
      <c r="J162" s="197"/>
      <c r="K162" s="197"/>
      <c r="L162" s="197"/>
      <c r="M162" s="197"/>
      <c r="N162" s="197"/>
      <c r="O162" s="197"/>
      <c r="P162" s="197"/>
      <c r="Q162" s="197"/>
      <c r="R162" s="289"/>
      <c r="S162" s="316" t="str">
        <f>IFERROR((INDEX(162:162,MATCH(DATE('Control Panel'!$B$13,'Control Panel'!$B$6,'Control Panel'!$B$7),'Scenarios offshore'!$10:$10,0))/INDEX(160:160,MATCH(DATE('Control Panel'!$B$4+'Control Panel'!$B$5-1,'Control Panel'!$B$6,'Control Panel'!$B$7),'Scenarios offshore'!$10:$10,0)))^(1/('Control Panel'!$B$13-'Control Panel'!$B$12+1))-1,"n.a.")</f>
        <v>n.a.</v>
      </c>
    </row>
    <row r="163" spans="1:19" ht="14.4">
      <c r="A163" s="1"/>
      <c r="B163" s="1"/>
      <c r="C163" s="1"/>
      <c r="D163" s="255" t="str">
        <f>$D$23</f>
        <v>Bank case</v>
      </c>
      <c r="E163" s="197"/>
      <c r="F163" s="197"/>
      <c r="G163" s="197"/>
      <c r="H163" s="197"/>
      <c r="I163" s="197"/>
      <c r="J163" s="197"/>
      <c r="K163" s="197"/>
      <c r="L163" s="197"/>
      <c r="M163" s="197"/>
      <c r="N163" s="197"/>
      <c r="O163" s="197"/>
      <c r="P163" s="197"/>
      <c r="Q163" s="197"/>
      <c r="R163" s="289"/>
      <c r="S163" s="316" t="str">
        <f>IFERROR((INDEX(163:163,MATCH(DATE('Control Panel'!$B$13,'Control Panel'!$B$6,'Control Panel'!$B$7),'Scenarios offshore'!$10:$10,0))/INDEX(160:160,MATCH(DATE('Control Panel'!$B$4+'Control Panel'!$B$5-1,'Control Panel'!$B$6,'Control Panel'!$B$7),'Scenarios offshore'!$10:$10,0)))^(1/('Control Panel'!$B$13-'Control Panel'!$B$12+1))-1,"n.a.")</f>
        <v>n.a.</v>
      </c>
    </row>
    <row r="164" spans="1:19" ht="14.4">
      <c r="A164" s="1"/>
      <c r="B164" s="1"/>
      <c r="C164" s="1"/>
      <c r="D164" s="255" t="str">
        <f>$D$24</f>
        <v>Bank worse</v>
      </c>
      <c r="E164" s="197"/>
      <c r="F164" s="197"/>
      <c r="G164" s="197"/>
      <c r="H164" s="197"/>
      <c r="I164" s="197"/>
      <c r="J164" s="197"/>
      <c r="K164" s="197"/>
      <c r="L164" s="197"/>
      <c r="M164" s="197"/>
      <c r="N164" s="197"/>
      <c r="O164" s="197"/>
      <c r="P164" s="197"/>
      <c r="Q164" s="197"/>
      <c r="R164" s="289"/>
      <c r="S164" s="316" t="str">
        <f>IFERROR((INDEX(164:164,MATCH(DATE('Control Panel'!$B$13,'Control Panel'!$B$6,'Control Panel'!$B$7),'Scenarios offshore'!$10:$10,0))/INDEX(160:160,MATCH(DATE('Control Panel'!$B$4+'Control Panel'!$B$5-1,'Control Panel'!$B$6,'Control Panel'!$B$7),'Scenarios offshore'!$10:$10,0)))^(1/('Control Panel'!$B$13-'Control Panel'!$B$12+1))-1,"n.a.")</f>
        <v>n.a.</v>
      </c>
    </row>
    <row r="165" spans="1:19" ht="14.4">
      <c r="A165" s="38"/>
      <c r="B165" s="38"/>
      <c r="C165" s="38"/>
      <c r="D165" s="54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</row>
    <row r="166" spans="1:19">
      <c r="A166" s="180"/>
      <c r="B166" s="180"/>
      <c r="C166" s="180" t="s">
        <v>946</v>
      </c>
      <c r="D166" s="180" t="s">
        <v>604</v>
      </c>
      <c r="E166" s="180">
        <f t="shared" ref="E166:Q166" si="59">IF(E$5,INDEX(E169:E172,$D$2),E168)</f>
        <v>0</v>
      </c>
      <c r="F166" s="180">
        <f t="shared" si="59"/>
        <v>0</v>
      </c>
      <c r="G166" s="180">
        <f t="shared" si="59"/>
        <v>0</v>
      </c>
      <c r="H166" s="180">
        <f t="shared" si="59"/>
        <v>0</v>
      </c>
      <c r="I166" s="180">
        <f t="shared" si="59"/>
        <v>0</v>
      </c>
      <c r="J166" s="180">
        <f t="shared" si="59"/>
        <v>0</v>
      </c>
      <c r="K166" s="180">
        <f t="shared" si="59"/>
        <v>0</v>
      </c>
      <c r="L166" s="180">
        <f t="shared" si="59"/>
        <v>0</v>
      </c>
      <c r="M166" s="180">
        <f t="shared" si="59"/>
        <v>0</v>
      </c>
      <c r="N166" s="180">
        <f t="shared" si="59"/>
        <v>0</v>
      </c>
      <c r="O166" s="180">
        <f t="shared" si="59"/>
        <v>0</v>
      </c>
      <c r="P166" s="180">
        <f t="shared" si="59"/>
        <v>0</v>
      </c>
      <c r="Q166" s="180">
        <f t="shared" si="59"/>
        <v>0</v>
      </c>
      <c r="R166" s="315" t="str">
        <f>IFERROR((INDEX(166:166,MATCH(DATE('Control Panel'!$B$4+'Control Panel'!$B$5-1,'Control Panel'!$B$6,'Control Panel'!$B$7),'Scenarios offshore'!$10:$10,0))/INDEX(166:166,MATCH(DATE('Control Panel'!$B$4,'Control Panel'!$B$6,'Control Panel'!$B$7),'Scenarios offshore'!$10:$10,0)))^(1/('Control Panel'!$B$5-1))-1,"n.a.")</f>
        <v>n.a.</v>
      </c>
      <c r="S166" s="315" t="str">
        <f>IFERROR((INDEX(166:166,MATCH(DATE('Control Panel'!$B$13,'Control Panel'!$B$6,'Control Panel'!$B$7),'Scenarios offshore'!$10:$10,0))/INDEX(166:166,MATCH(DATE('Control Panel'!$B$4+'Control Panel'!$B$5-1,'Control Panel'!$B$6,'Control Panel'!$B$7),'Scenarios offshore'!$10:$10,0)))^(1/('Control Panel'!$B$13-'Control Panel'!$B$12+1))-1,"n.a.")</f>
        <v>n.a.</v>
      </c>
    </row>
    <row r="167" spans="1:19" ht="14.4">
      <c r="A167" s="255"/>
      <c r="B167" s="255"/>
      <c r="C167" s="255"/>
      <c r="D167" s="187" t="s">
        <v>945</v>
      </c>
      <c r="E167" s="187" t="str">
        <f t="shared" ref="E167:F167" si="60">IFERROR(E166/E42*365,"")</f>
        <v/>
      </c>
      <c r="F167" s="187" t="str">
        <f t="shared" si="60"/>
        <v/>
      </c>
      <c r="G167" s="187" t="str">
        <f>IFERROR(G166/G42*365,"")</f>
        <v/>
      </c>
      <c r="H167" s="187" t="str">
        <f t="shared" ref="H167:Q167" si="61">IFERROR(H166/H42*365,"")</f>
        <v/>
      </c>
      <c r="I167" s="187" t="str">
        <f t="shared" si="61"/>
        <v/>
      </c>
      <c r="J167" s="187" t="str">
        <f t="shared" si="61"/>
        <v/>
      </c>
      <c r="K167" s="187" t="str">
        <f t="shared" si="61"/>
        <v/>
      </c>
      <c r="L167" s="187" t="str">
        <f t="shared" si="61"/>
        <v/>
      </c>
      <c r="M167" s="187" t="str">
        <f t="shared" si="61"/>
        <v/>
      </c>
      <c r="N167" s="187" t="str">
        <f t="shared" si="61"/>
        <v/>
      </c>
      <c r="O167" s="187" t="str">
        <f t="shared" si="61"/>
        <v/>
      </c>
      <c r="P167" s="187" t="str">
        <f t="shared" si="61"/>
        <v/>
      </c>
      <c r="Q167" s="187" t="str">
        <f t="shared" si="61"/>
        <v/>
      </c>
      <c r="R167" s="38"/>
      <c r="S167" s="38"/>
    </row>
    <row r="168" spans="1:19">
      <c r="A168" s="255"/>
      <c r="B168" s="255"/>
      <c r="C168" s="255"/>
      <c r="D168" s="255" t="s">
        <v>599</v>
      </c>
      <c r="E168" s="255">
        <f>IFERROR(Input_unit*(E$4&lt;$D$1)*SUMIF('Historical BU1'!$A$88:$A$417,"ACP",INDEX('Historical BU1'!$D$88:$EE$417,0,MATCH(E$4,'Historical BU1'!$D$84:$EE$84,0))),0)</f>
        <v>0</v>
      </c>
      <c r="F168" s="255">
        <f>IFERROR(Input_unit*(F$4&lt;$D$1)*SUMIF('Historical BU1'!$A$88:$A$417,"ACP",INDEX('Historical BU1'!$D$88:$EE$417,0,MATCH(F$4,'Historical BU1'!$D$84:$EE$84,0))),0)</f>
        <v>0</v>
      </c>
      <c r="G168" s="255">
        <f>IFERROR(Input_unit*(G$4&lt;$D$1)*SUMIF('Historical BU1'!$A$88:$A$417,"ACP",INDEX('Historical BU1'!$D$88:$EE$417,0,MATCH(G$4,'Historical BU1'!$D$84:$EE$84,0))),0)</f>
        <v>0</v>
      </c>
      <c r="H168" s="255">
        <f>IFERROR(Input_unit*(H$4&lt;$D$1)*SUMIF('Historical BU1'!$A$88:$A$417,"ACP",INDEX('Historical BU1'!$D$88:$EE$417,0,MATCH(H$4,'Historical BU1'!$D$84:$EE$84,0))),0)</f>
        <v>0</v>
      </c>
      <c r="I168" s="255">
        <f>IFERROR(Input_unit*(I$4&lt;$D$1)*SUMIF('Historical BU1'!$A$88:$A$417,"ACP",INDEX('Historical BU1'!$D$88:$EE$417,0,MATCH(I$4,'Historical BU1'!$D$84:$EE$84,0))),0)</f>
        <v>0</v>
      </c>
      <c r="J168" s="255">
        <f>IFERROR(Input_unit*(J$4&lt;$D$1)*SUMIF('Historical BU1'!$A$88:$A$417,"ACP",INDEX('Historical BU1'!$D$88:$EE$417,0,MATCH(J$4,'Historical BU1'!$D$84:$EE$84,0))),0)</f>
        <v>0</v>
      </c>
      <c r="K168" s="255">
        <f>IFERROR(Input_unit*(K$4&lt;$D$1)*SUMIF('Historical BU1'!$A$88:$A$417,"ACP",INDEX('Historical BU1'!$D$88:$EE$417,0,MATCH(K$4,'Historical BU1'!$D$84:$EE$84,0))),0)</f>
        <v>0</v>
      </c>
      <c r="L168" s="255">
        <f>IFERROR(Input_unit*(L$4&lt;$D$1)*SUMIF('Historical BU1'!$A$88:$A$417,"ACP",INDEX('Historical BU1'!$D$88:$EE$417,0,MATCH(L$4,'Historical BU1'!$D$84:$EE$84,0))),0)</f>
        <v>0</v>
      </c>
      <c r="M168" s="255">
        <f>IFERROR(Input_unit*(M$4&lt;$D$1)*SUMIF('Historical BU1'!$A$88:$A$417,"ACP",INDEX('Historical BU1'!$D$88:$EE$417,0,MATCH(M$4,'Historical BU1'!$D$84:$EE$84,0))),0)</f>
        <v>0</v>
      </c>
      <c r="N168" s="255">
        <f>IFERROR(Input_unit*(N$4&lt;$D$1)*SUMIF('Historical BU1'!$A$88:$A$417,"ACP",INDEX('Historical BU1'!$D$88:$EE$417,0,MATCH(N$4,'Historical BU1'!$D$84:$EE$84,0))),0)</f>
        <v>0</v>
      </c>
      <c r="O168" s="255">
        <f>IFERROR(Input_unit*(O$4&lt;$D$1)*SUMIF('Historical BU1'!$A$88:$A$417,"ACP",INDEX('Historical BU1'!$D$88:$EE$417,0,MATCH(O$4,'Historical BU1'!$D$84:$EE$84,0))),0)</f>
        <v>0</v>
      </c>
      <c r="P168" s="255">
        <f>IFERROR(Input_unit*(P$4&lt;$D$1)*SUMIF('Historical BU1'!$A$88:$A$417,"ACP",INDEX('Historical BU1'!$D$88:$EE$417,0,MATCH(P$4,'Historical BU1'!$D$84:$EE$84,0))),0)</f>
        <v>0</v>
      </c>
      <c r="Q168" s="255">
        <f>IFERROR(Input_unit*(Q$4&lt;$D$1)*SUMIF('Historical BU1'!$A$88:$A$417,"ACP",INDEX('Historical BU1'!$D$88:$EE$417,0,MATCH(Q$4,'Historical BU1'!$D$84:$EE$84,0))),0)</f>
        <v>0</v>
      </c>
      <c r="R168" s="316" t="str">
        <f>IFERROR((INDEX(168:168,MATCH(DATE('Control Panel'!$B$4+'Control Panel'!$B$5-1,'Control Panel'!$B$6,'Control Panel'!$B$7),'Scenarios offshore'!$10:$10,0))/INDEX(168:168,MATCH(DATE('Control Panel'!$B$4,'Control Panel'!$B$6,'Control Panel'!$B$7),'Scenarios offshore'!$10:$10,0)))^(1/('Control Panel'!$B$5-1))-1,"n.a.")</f>
        <v>n.a.</v>
      </c>
      <c r="S168" s="292"/>
    </row>
    <row r="169" spans="1:19" ht="14.4">
      <c r="A169" s="1"/>
      <c r="B169" s="1"/>
      <c r="C169" s="1"/>
      <c r="D169" s="255" t="str">
        <f>$D$21</f>
        <v>Sponsor base</v>
      </c>
      <c r="E169" s="197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289"/>
      <c r="S169" s="316" t="str">
        <f>IFERROR((INDEX(169:169,MATCH(DATE('Control Panel'!$B$13,'Control Panel'!$B$6,'Control Panel'!$B$7),'Scenarios offshore'!$10:$10,0))/INDEX(168:168,MATCH(DATE('Control Panel'!$B$4+'Control Panel'!$B$5-1,'Control Panel'!$B$6,'Control Panel'!$B$7),'Scenarios offshore'!$10:$10,0)))^(1/('Control Panel'!$B$13-'Control Panel'!$B$12+1))-1,"n.a.")</f>
        <v>n.a.</v>
      </c>
    </row>
    <row r="170" spans="1:19" ht="14.4">
      <c r="A170" s="1"/>
      <c r="B170" s="1"/>
      <c r="C170" s="1"/>
      <c r="D170" s="255" t="str">
        <f>$D$22</f>
        <v>Flat</v>
      </c>
      <c r="E170" s="197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289"/>
      <c r="S170" s="316" t="str">
        <f>IFERROR((INDEX(170:170,MATCH(DATE('Control Panel'!$B$13,'Control Panel'!$B$6,'Control Panel'!$B$7),'Scenarios offshore'!$10:$10,0))/INDEX(168:168,MATCH(DATE('Control Panel'!$B$4+'Control Panel'!$B$5-1,'Control Panel'!$B$6,'Control Panel'!$B$7),'Scenarios offshore'!$10:$10,0)))^(1/('Control Panel'!$B$13-'Control Panel'!$B$12+1))-1,"n.a.")</f>
        <v>n.a.</v>
      </c>
    </row>
    <row r="171" spans="1:19" ht="14.4">
      <c r="A171" s="1"/>
      <c r="B171" s="1"/>
      <c r="C171" s="1"/>
      <c r="D171" s="255" t="str">
        <f>$D$23</f>
        <v>Bank case</v>
      </c>
      <c r="E171" s="197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289"/>
      <c r="S171" s="316" t="str">
        <f>IFERROR((INDEX(171:171,MATCH(DATE('Control Panel'!$B$13,'Control Panel'!$B$6,'Control Panel'!$B$7),'Scenarios offshore'!$10:$10,0))/INDEX(168:168,MATCH(DATE('Control Panel'!$B$4+'Control Panel'!$B$5-1,'Control Panel'!$B$6,'Control Panel'!$B$7),'Scenarios offshore'!$10:$10,0)))^(1/('Control Panel'!$B$13-'Control Panel'!$B$12+1))-1,"n.a.")</f>
        <v>n.a.</v>
      </c>
    </row>
    <row r="172" spans="1:19" ht="14.4">
      <c r="A172" s="1"/>
      <c r="B172" s="1"/>
      <c r="C172" s="1"/>
      <c r="D172" s="255" t="str">
        <f>$D$24</f>
        <v>Bank worse</v>
      </c>
      <c r="E172" s="197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289"/>
      <c r="S172" s="316" t="str">
        <f>IFERROR((INDEX(172:172,MATCH(DATE('Control Panel'!$B$13,'Control Panel'!$B$6,'Control Panel'!$B$7),'Scenarios offshore'!$10:$10,0))/INDEX(168:168,MATCH(DATE('Control Panel'!$B$4+'Control Panel'!$B$5-1,'Control Panel'!$B$6,'Control Panel'!$B$7),'Scenarios offshore'!$10:$10,0)))^(1/('Control Panel'!$B$13-'Control Panel'!$B$12+1))-1,"n.a.")</f>
        <v>n.a.</v>
      </c>
    </row>
    <row r="173" spans="1:19" ht="14.4">
      <c r="A173" s="38"/>
      <c r="B173" s="38"/>
      <c r="C173" s="38"/>
      <c r="D173" s="38"/>
      <c r="E173" s="287"/>
      <c r="F173" s="287"/>
      <c r="G173" s="287"/>
      <c r="H173" s="287"/>
      <c r="I173" s="287"/>
      <c r="J173" s="287"/>
      <c r="K173" s="287"/>
      <c r="L173" s="287"/>
      <c r="M173" s="287"/>
      <c r="N173" s="287"/>
      <c r="O173" s="287"/>
      <c r="P173" s="287"/>
      <c r="Q173" s="287"/>
    </row>
    <row r="174" spans="1:19">
      <c r="A174" s="180"/>
      <c r="B174" s="180"/>
      <c r="C174" s="180" t="s">
        <v>947</v>
      </c>
      <c r="D174" s="180" t="s">
        <v>604</v>
      </c>
      <c r="E174" s="180">
        <f t="shared" ref="E174:Q174" si="62">IF(E$5,INDEX(E177:E180,$D$2),E176)</f>
        <v>0</v>
      </c>
      <c r="F174" s="180">
        <f t="shared" si="62"/>
        <v>0</v>
      </c>
      <c r="G174" s="180">
        <f t="shared" si="62"/>
        <v>0</v>
      </c>
      <c r="H174" s="180">
        <f t="shared" si="62"/>
        <v>0</v>
      </c>
      <c r="I174" s="180">
        <f t="shared" si="62"/>
        <v>0</v>
      </c>
      <c r="J174" s="180">
        <f t="shared" si="62"/>
        <v>0</v>
      </c>
      <c r="K174" s="180">
        <f t="shared" si="62"/>
        <v>0</v>
      </c>
      <c r="L174" s="180">
        <f t="shared" si="62"/>
        <v>0</v>
      </c>
      <c r="M174" s="180">
        <f t="shared" si="62"/>
        <v>0</v>
      </c>
      <c r="N174" s="180">
        <f t="shared" si="62"/>
        <v>0</v>
      </c>
      <c r="O174" s="180">
        <f t="shared" si="62"/>
        <v>0</v>
      </c>
      <c r="P174" s="180">
        <f t="shared" si="62"/>
        <v>0</v>
      </c>
      <c r="Q174" s="180">
        <f t="shared" si="62"/>
        <v>0</v>
      </c>
      <c r="R174" s="315" t="str">
        <f>IFERROR((INDEX(174:174,MATCH(DATE('Control Panel'!$B$4+'Control Panel'!$B$5-1,'Control Panel'!$B$6,'Control Panel'!$B$7),'Scenarios offshore'!$10:$10,0))/INDEX(174:174,MATCH(DATE('Control Panel'!$B$4,'Control Panel'!$B$6,'Control Panel'!$B$7),'Scenarios offshore'!$10:$10,0)))^(1/('Control Panel'!$B$5-1))-1,"n.a.")</f>
        <v>n.a.</v>
      </c>
      <c r="S174" s="315" t="str">
        <f>IFERROR((INDEX(174:174,MATCH(DATE('Control Panel'!$B$13,'Control Panel'!$B$6,'Control Panel'!$B$7),'Scenarios offshore'!$10:$10,0))/INDEX(174:174,MATCH(DATE('Control Panel'!$B$4+'Control Panel'!$B$5-1,'Control Panel'!$B$6,'Control Panel'!$B$7),'Scenarios offshore'!$10:$10,0)))^(1/('Control Panel'!$B$13-'Control Panel'!$B$12+1))-1,"n.a.")</f>
        <v>n.a.</v>
      </c>
    </row>
    <row r="175" spans="1:19" ht="14.4">
      <c r="A175" s="255"/>
      <c r="B175" s="255"/>
      <c r="C175" s="255"/>
      <c r="D175" s="187" t="s">
        <v>945</v>
      </c>
      <c r="E175" s="187" t="str">
        <f>IFERROR(E174/E42*365,"")</f>
        <v/>
      </c>
      <c r="F175" s="187" t="str">
        <f t="shared" ref="F175:Q175" si="63">IFERROR(F174/F42*365,"")</f>
        <v/>
      </c>
      <c r="G175" s="187" t="str">
        <f t="shared" si="63"/>
        <v/>
      </c>
      <c r="H175" s="187" t="str">
        <f t="shared" si="63"/>
        <v/>
      </c>
      <c r="I175" s="187" t="str">
        <f t="shared" si="63"/>
        <v/>
      </c>
      <c r="J175" s="187" t="str">
        <f t="shared" si="63"/>
        <v/>
      </c>
      <c r="K175" s="187" t="str">
        <f t="shared" si="63"/>
        <v/>
      </c>
      <c r="L175" s="187" t="str">
        <f t="shared" si="63"/>
        <v/>
      </c>
      <c r="M175" s="187" t="str">
        <f t="shared" si="63"/>
        <v/>
      </c>
      <c r="N175" s="187" t="str">
        <f t="shared" si="63"/>
        <v/>
      </c>
      <c r="O175" s="187" t="str">
        <f t="shared" si="63"/>
        <v/>
      </c>
      <c r="P175" s="187" t="str">
        <f t="shared" si="63"/>
        <v/>
      </c>
      <c r="Q175" s="187" t="str">
        <f t="shared" si="63"/>
        <v/>
      </c>
      <c r="R175" s="38"/>
      <c r="S175" s="38"/>
    </row>
    <row r="176" spans="1:19">
      <c r="A176" s="255"/>
      <c r="B176" s="255"/>
      <c r="C176" s="255"/>
      <c r="D176" s="255" t="s">
        <v>599</v>
      </c>
      <c r="E176" s="255">
        <f>IFERROR(Input_unit*(E$4&lt;$D$1)*SUMIF('Historical BU1'!$A$88:$A$417,"INV",INDEX('Historical BU1'!$D$88:$EE$417,0,MATCH(E$4,'Historical BU1'!$D$84:$EE$84,0))),0)</f>
        <v>0</v>
      </c>
      <c r="F176" s="255">
        <f>IFERROR(Input_unit*(F$4&lt;$D$1)*SUMIF('Historical BU1'!$A$88:$A$417,"INV",INDEX('Historical BU1'!$D$88:$EE$417,0,MATCH(F$4,'Historical BU1'!$D$84:$EE$84,0))),0)</f>
        <v>0</v>
      </c>
      <c r="G176" s="255">
        <f>IFERROR(Input_unit*(G$4&lt;$D$1)*SUMIF('Historical BU1'!$A$88:$A$417,"INV",INDEX('Historical BU1'!$D$88:$EE$417,0,MATCH(G$4,'Historical BU1'!$D$84:$EE$84,0))),0)</f>
        <v>0</v>
      </c>
      <c r="H176" s="255">
        <f>IFERROR(Input_unit*(H$4&lt;$D$1)*SUMIF('Historical BU1'!$A$88:$A$417,"INV",INDEX('Historical BU1'!$D$88:$EE$417,0,MATCH(H$4,'Historical BU1'!$D$84:$EE$84,0))),0)</f>
        <v>0</v>
      </c>
      <c r="I176" s="255">
        <f>IFERROR(Input_unit*(I$4&lt;$D$1)*SUMIF('Historical BU1'!$A$88:$A$417,"INV",INDEX('Historical BU1'!$D$88:$EE$417,0,MATCH(I$4,'Historical BU1'!$D$84:$EE$84,0))),0)</f>
        <v>0</v>
      </c>
      <c r="J176" s="255">
        <f>IFERROR(Input_unit*(J$4&lt;$D$1)*SUMIF('Historical BU1'!$A$88:$A$417,"INV",INDEX('Historical BU1'!$D$88:$EE$417,0,MATCH(J$4,'Historical BU1'!$D$84:$EE$84,0))),0)</f>
        <v>0</v>
      </c>
      <c r="K176" s="255">
        <f>IFERROR(Input_unit*(K$4&lt;$D$1)*SUMIF('Historical BU1'!$A$88:$A$417,"INV",INDEX('Historical BU1'!$D$88:$EE$417,0,MATCH(K$4,'Historical BU1'!$D$84:$EE$84,0))),0)</f>
        <v>0</v>
      </c>
      <c r="L176" s="255">
        <f>IFERROR(Input_unit*(L$4&lt;$D$1)*SUMIF('Historical BU1'!$A$88:$A$417,"INV",INDEX('Historical BU1'!$D$88:$EE$417,0,MATCH(L$4,'Historical BU1'!$D$84:$EE$84,0))),0)</f>
        <v>0</v>
      </c>
      <c r="M176" s="255">
        <f>IFERROR(Input_unit*(M$4&lt;$D$1)*SUMIF('Historical BU1'!$A$88:$A$417,"INV",INDEX('Historical BU1'!$D$88:$EE$417,0,MATCH(M$4,'Historical BU1'!$D$84:$EE$84,0))),0)</f>
        <v>0</v>
      </c>
      <c r="N176" s="255">
        <f>IFERROR(Input_unit*(N$4&lt;$D$1)*SUMIF('Historical BU1'!$A$88:$A$417,"INV",INDEX('Historical BU1'!$D$88:$EE$417,0,MATCH(N$4,'Historical BU1'!$D$84:$EE$84,0))),0)</f>
        <v>0</v>
      </c>
      <c r="O176" s="255">
        <f>IFERROR(Input_unit*(O$4&lt;$D$1)*SUMIF('Historical BU1'!$A$88:$A$417,"INV",INDEX('Historical BU1'!$D$88:$EE$417,0,MATCH(O$4,'Historical BU1'!$D$84:$EE$84,0))),0)</f>
        <v>0</v>
      </c>
      <c r="P176" s="255">
        <f>IFERROR(Input_unit*(P$4&lt;$D$1)*SUMIF('Historical BU1'!$A$88:$A$417,"INV",INDEX('Historical BU1'!$D$88:$EE$417,0,MATCH(P$4,'Historical BU1'!$D$84:$EE$84,0))),0)</f>
        <v>0</v>
      </c>
      <c r="Q176" s="255">
        <f>IFERROR(Input_unit*(Q$4&lt;$D$1)*SUMIF('Historical BU1'!$A$88:$A$417,"INV",INDEX('Historical BU1'!$D$88:$EE$417,0,MATCH(Q$4,'Historical BU1'!$D$84:$EE$84,0))),0)</f>
        <v>0</v>
      </c>
      <c r="R176" s="316" t="str">
        <f>IFERROR((INDEX(176:176,MATCH(DATE('Control Panel'!$B$4+'Control Panel'!$B$5-1,'Control Panel'!$B$6,'Control Panel'!$B$7),'Scenarios offshore'!$10:$10,0))/INDEX(176:176,MATCH(DATE('Control Panel'!$B$4,'Control Panel'!$B$6,'Control Panel'!$B$7),'Scenarios offshore'!$10:$10,0)))^(1/('Control Panel'!$B$5-1))-1,"n.a.")</f>
        <v>n.a.</v>
      </c>
      <c r="S176" s="292"/>
    </row>
    <row r="177" spans="1:19" ht="14.4">
      <c r="A177" s="1"/>
      <c r="B177" s="1"/>
      <c r="C177" s="1"/>
      <c r="D177" s="255" t="str">
        <f>$D$21</f>
        <v>Sponsor base</v>
      </c>
      <c r="E177" s="197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289"/>
      <c r="S177" s="316" t="str">
        <f>IFERROR((INDEX(177:177,MATCH(DATE('Control Panel'!$B$13,'Control Panel'!$B$6,'Control Panel'!$B$7),'Scenarios offshore'!$10:$10,0))/INDEX(176:176,MATCH(DATE('Control Panel'!$B$4+'Control Panel'!$B$5-1,'Control Panel'!$B$6,'Control Panel'!$B$7),'Scenarios offshore'!$10:$10,0)))^(1/('Control Panel'!$B$13-'Control Panel'!$B$12+1))-1,"n.a.")</f>
        <v>n.a.</v>
      </c>
    </row>
    <row r="178" spans="1:19" ht="14.4">
      <c r="A178" s="1"/>
      <c r="B178" s="1"/>
      <c r="C178" s="1"/>
      <c r="D178" s="255" t="str">
        <f>$D$22</f>
        <v>Flat</v>
      </c>
      <c r="E178" s="197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289"/>
      <c r="S178" s="316" t="str">
        <f>IFERROR((INDEX(178:178,MATCH(DATE('Control Panel'!$B$13,'Control Panel'!$B$6,'Control Panel'!$B$7),'Scenarios offshore'!$10:$10,0))/INDEX(176:176,MATCH(DATE('Control Panel'!$B$4+'Control Panel'!$B$5-1,'Control Panel'!$B$6,'Control Panel'!$B$7),'Scenarios offshore'!$10:$10,0)))^(1/('Control Panel'!$B$13-'Control Panel'!$B$12+1))-1,"n.a.")</f>
        <v>n.a.</v>
      </c>
    </row>
    <row r="179" spans="1:19" ht="14.4">
      <c r="A179" s="1"/>
      <c r="B179" s="1"/>
      <c r="C179" s="1"/>
      <c r="D179" s="255" t="str">
        <f>$D$23</f>
        <v>Bank case</v>
      </c>
      <c r="E179" s="197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289"/>
      <c r="S179" s="316" t="str">
        <f>IFERROR((INDEX(179:179,MATCH(DATE('Control Panel'!$B$13,'Control Panel'!$B$6,'Control Panel'!$B$7),'Scenarios offshore'!$10:$10,0))/INDEX(176:176,MATCH(DATE('Control Panel'!$B$4+'Control Panel'!$B$5-1,'Control Panel'!$B$6,'Control Panel'!$B$7),'Scenarios offshore'!$10:$10,0)))^(1/('Control Panel'!$B$13-'Control Panel'!$B$12+1))-1,"n.a.")</f>
        <v>n.a.</v>
      </c>
    </row>
    <row r="180" spans="1:19" ht="14.4">
      <c r="A180" s="1"/>
      <c r="B180" s="1"/>
      <c r="C180" s="1"/>
      <c r="D180" s="255" t="str">
        <f>$D$24</f>
        <v>Bank worse</v>
      </c>
      <c r="E180" s="197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289"/>
      <c r="S180" s="316" t="str">
        <f>IFERROR((INDEX(180:180,MATCH(DATE('Control Panel'!$B$13,'Control Panel'!$B$6,'Control Panel'!$B$7),'Scenarios offshore'!$10:$10,0))/INDEX(176:176,MATCH(DATE('Control Panel'!$B$4+'Control Panel'!$B$5-1,'Control Panel'!$B$6,'Control Panel'!$B$7),'Scenarios offshore'!$10:$10,0)))^(1/('Control Panel'!$B$13-'Control Panel'!$B$12+1))-1,"n.a.")</f>
        <v>n.a.</v>
      </c>
    </row>
    <row r="183" spans="1:19">
      <c r="A183" s="180"/>
      <c r="B183" s="180"/>
      <c r="C183" s="180" t="s">
        <v>948</v>
      </c>
      <c r="D183" s="180" t="s">
        <v>604</v>
      </c>
      <c r="E183" s="180">
        <f t="shared" ref="E183:Q183" si="64">IF(E$5,INDEX(E186:E189,$D$2),E185)</f>
        <v>0</v>
      </c>
      <c r="F183" s="180">
        <f t="shared" si="64"/>
        <v>0</v>
      </c>
      <c r="G183" s="180">
        <f t="shared" si="64"/>
        <v>0</v>
      </c>
      <c r="H183" s="180">
        <f t="shared" si="64"/>
        <v>0</v>
      </c>
      <c r="I183" s="180">
        <f t="shared" si="64"/>
        <v>0</v>
      </c>
      <c r="J183" s="180">
        <f t="shared" si="64"/>
        <v>0</v>
      </c>
      <c r="K183" s="180">
        <f t="shared" si="64"/>
        <v>0</v>
      </c>
      <c r="L183" s="180">
        <f t="shared" si="64"/>
        <v>0</v>
      </c>
      <c r="M183" s="180">
        <f t="shared" si="64"/>
        <v>0</v>
      </c>
      <c r="N183" s="180">
        <f t="shared" si="64"/>
        <v>0</v>
      </c>
      <c r="O183" s="180">
        <f t="shared" si="64"/>
        <v>0</v>
      </c>
      <c r="P183" s="180">
        <f t="shared" si="64"/>
        <v>0</v>
      </c>
      <c r="Q183" s="180">
        <f t="shared" si="64"/>
        <v>0</v>
      </c>
      <c r="R183" s="315" t="str">
        <f>IFERROR((INDEX(183:183,MATCH(DATE('Control Panel'!$B$4+'Control Panel'!$B$5-1,'Control Panel'!$B$6,'Control Panel'!$B$7),'Scenarios offshore'!$10:$10,0))/INDEX(183:183,MATCH(DATE('Control Panel'!$B$4,'Control Panel'!$B$6,'Control Panel'!$B$7),'Scenarios offshore'!$10:$10,0)))^(1/('Control Panel'!$B$5-1))-1,"n.a.")</f>
        <v>n.a.</v>
      </c>
      <c r="S183" s="315" t="str">
        <f>IFERROR((INDEX(183:183,MATCH(DATE('Control Panel'!$B$13,'Control Panel'!$B$6,'Control Panel'!$B$7),'Scenarios offshore'!$10:$10,0))/INDEX(183:183,MATCH(DATE('Control Panel'!$B$4+'Control Panel'!$B$5-1,'Control Panel'!$B$6,'Control Panel'!$B$7),'Scenarios offshore'!$10:$10,0)))^(1/('Control Panel'!$B$13-'Control Panel'!$B$12+1))-1,"n.a.")</f>
        <v>n.a.</v>
      </c>
    </row>
    <row r="184" spans="1:19" ht="14.4">
      <c r="A184" s="255"/>
      <c r="B184" s="255"/>
      <c r="C184" s="255"/>
      <c r="D184" s="187" t="s">
        <v>605</v>
      </c>
      <c r="E184" s="183" t="str">
        <f t="shared" ref="E184:Q184" si="65">IFERROR(E183/E18,"")</f>
        <v/>
      </c>
      <c r="F184" s="183" t="str">
        <f t="shared" si="65"/>
        <v/>
      </c>
      <c r="G184" s="183" t="str">
        <f t="shared" si="65"/>
        <v/>
      </c>
      <c r="H184" s="183" t="str">
        <f t="shared" si="65"/>
        <v/>
      </c>
      <c r="I184" s="183" t="str">
        <f t="shared" si="65"/>
        <v/>
      </c>
      <c r="J184" s="183" t="str">
        <f t="shared" si="65"/>
        <v/>
      </c>
      <c r="K184" s="183" t="str">
        <f t="shared" si="65"/>
        <v/>
      </c>
      <c r="L184" s="183" t="str">
        <f t="shared" si="65"/>
        <v/>
      </c>
      <c r="M184" s="183" t="str">
        <f t="shared" si="65"/>
        <v/>
      </c>
      <c r="N184" s="183" t="str">
        <f t="shared" si="65"/>
        <v/>
      </c>
      <c r="O184" s="183" t="str">
        <f t="shared" si="65"/>
        <v/>
      </c>
      <c r="P184" s="183" t="str">
        <f t="shared" si="65"/>
        <v/>
      </c>
      <c r="Q184" s="183" t="str">
        <f t="shared" si="65"/>
        <v/>
      </c>
      <c r="R184" s="38"/>
      <c r="S184" s="38"/>
    </row>
    <row r="185" spans="1:19">
      <c r="A185" s="255"/>
      <c r="B185" s="255"/>
      <c r="C185" s="255"/>
      <c r="D185" s="255" t="s">
        <v>599</v>
      </c>
      <c r="E185" s="255">
        <f>IFERROR(Input_unit*(E$4&lt;$D$1)*SUMIF('Historical BU1'!$A$88:$A$417,"ORE",INDEX('Historical BU1'!$D$88:$EE$417,0,MATCH(E$4,'Historical BU1'!$D$84:$EE$84,0))),0)+IFERROR(Input_unit*(E$4&lt;$D$1)*SUMIF('Historical BU1'!$A$88:$A$417,"OCA",INDEX('Historical BU1'!$D$88:$EE$417,0,MATCH(E$4,'Historical BU1'!$D$84:$EE$84,0))),0)</f>
        <v>0</v>
      </c>
      <c r="F185" s="255">
        <f>IFERROR(Input_unit*(F$4&lt;$D$1)*SUMIF('Historical BU1'!$A$88:$A$417,"ORE",INDEX('Historical BU1'!$D$88:$EE$417,0,MATCH(F$4,'Historical BU1'!$D$84:$EE$84,0))),0)+IFERROR(Input_unit*(F$4&lt;$D$1)*SUMIF('Historical BU1'!$A$88:$A$417,"OCA",INDEX('Historical BU1'!$D$88:$EE$417,0,MATCH(F$4,'Historical BU1'!$D$84:$EE$84,0))),0)</f>
        <v>0</v>
      </c>
      <c r="G185" s="255">
        <f>IFERROR(Input_unit*(G$4&lt;$D$1)*SUMIF('Historical BU1'!$A$88:$A$417,"ORE",INDEX('Historical BU1'!$D$88:$EE$417,0,MATCH(G$4,'Historical BU1'!$D$84:$EE$84,0))),0)+IFERROR(Input_unit*(G$4&lt;$D$1)*SUMIF('Historical BU1'!$A$88:$A$417,"OCA",INDEX('Historical BU1'!$D$88:$EE$417,0,MATCH(G$4,'Historical BU1'!$D$84:$EE$84,0))),0)</f>
        <v>0</v>
      </c>
      <c r="H185" s="255">
        <f>IFERROR(Input_unit*(H$4&lt;$D$1)*SUMIF('Historical BU1'!$A$88:$A$417,"ORE",INDEX('Historical BU1'!$D$88:$EE$417,0,MATCH(H$4,'Historical BU1'!$D$84:$EE$84,0))),0)+IFERROR(Input_unit*(H$4&lt;$D$1)*SUMIF('Historical BU1'!$A$88:$A$417,"OCA",INDEX('Historical BU1'!$D$88:$EE$417,0,MATCH(H$4,'Historical BU1'!$D$84:$EE$84,0))),0)</f>
        <v>0</v>
      </c>
      <c r="I185" s="255">
        <f>IFERROR(Input_unit*(I$4&lt;$D$1)*SUMIF('Historical BU1'!$A$88:$A$417,"ORE",INDEX('Historical BU1'!$D$88:$EE$417,0,MATCH(I$4,'Historical BU1'!$D$84:$EE$84,0))),0)+IFERROR(Input_unit*(I$4&lt;$D$1)*SUMIF('Historical BU1'!$A$88:$A$417,"OCA",INDEX('Historical BU1'!$D$88:$EE$417,0,MATCH(I$4,'Historical BU1'!$D$84:$EE$84,0))),0)</f>
        <v>0</v>
      </c>
      <c r="J185" s="255">
        <f>IFERROR(Input_unit*(J$4&lt;$D$1)*SUMIF('Historical BU1'!$A$88:$A$417,"ORE",INDEX('Historical BU1'!$D$88:$EE$417,0,MATCH(J$4,'Historical BU1'!$D$84:$EE$84,0))),0)+IFERROR(Input_unit*(J$4&lt;$D$1)*SUMIF('Historical BU1'!$A$88:$A$417,"OCA",INDEX('Historical BU1'!$D$88:$EE$417,0,MATCH(J$4,'Historical BU1'!$D$84:$EE$84,0))),0)</f>
        <v>0</v>
      </c>
      <c r="K185" s="255">
        <f>IFERROR(Input_unit*(K$4&lt;$D$1)*SUMIF('Historical BU1'!$A$88:$A$417,"ORE",INDEX('Historical BU1'!$D$88:$EE$417,0,MATCH(K$4,'Historical BU1'!$D$84:$EE$84,0))),0)+IFERROR(Input_unit*(K$4&lt;$D$1)*SUMIF('Historical BU1'!$A$88:$A$417,"OCA",INDEX('Historical BU1'!$D$88:$EE$417,0,MATCH(K$4,'Historical BU1'!$D$84:$EE$84,0))),0)</f>
        <v>0</v>
      </c>
      <c r="L185" s="255">
        <f>IFERROR(Input_unit*(L$4&lt;$D$1)*SUMIF('Historical BU1'!$A$88:$A$417,"ORE",INDEX('Historical BU1'!$D$88:$EE$417,0,MATCH(L$4,'Historical BU1'!$D$84:$EE$84,0))),0)+IFERROR(Input_unit*(L$4&lt;$D$1)*SUMIF('Historical BU1'!$A$88:$A$417,"OCA",INDEX('Historical BU1'!$D$88:$EE$417,0,MATCH(L$4,'Historical BU1'!$D$84:$EE$84,0))),0)</f>
        <v>0</v>
      </c>
      <c r="M185" s="255">
        <f>IFERROR(Input_unit*(M$4&lt;$D$1)*SUMIF('Historical BU1'!$A$88:$A$417,"ORE",INDEX('Historical BU1'!$D$88:$EE$417,0,MATCH(M$4,'Historical BU1'!$D$84:$EE$84,0))),0)+IFERROR(Input_unit*(M$4&lt;$D$1)*SUMIF('Historical BU1'!$A$88:$A$417,"OCA",INDEX('Historical BU1'!$D$88:$EE$417,0,MATCH(M$4,'Historical BU1'!$D$84:$EE$84,0))),0)</f>
        <v>0</v>
      </c>
      <c r="N185" s="255">
        <f>IFERROR(Input_unit*(N$4&lt;$D$1)*SUMIF('Historical BU1'!$A$88:$A$417,"ORE",INDEX('Historical BU1'!$D$88:$EE$417,0,MATCH(N$4,'Historical BU1'!$D$84:$EE$84,0))),0)+IFERROR(Input_unit*(N$4&lt;$D$1)*SUMIF('Historical BU1'!$A$88:$A$417,"OCA",INDEX('Historical BU1'!$D$88:$EE$417,0,MATCH(N$4,'Historical BU1'!$D$84:$EE$84,0))),0)</f>
        <v>0</v>
      </c>
      <c r="O185" s="255">
        <f>IFERROR(Input_unit*(O$4&lt;$D$1)*SUMIF('Historical BU1'!$A$88:$A$417,"ORE",INDEX('Historical BU1'!$D$88:$EE$417,0,MATCH(O$4,'Historical BU1'!$D$84:$EE$84,0))),0)+IFERROR(Input_unit*(O$4&lt;$D$1)*SUMIF('Historical BU1'!$A$88:$A$417,"OCA",INDEX('Historical BU1'!$D$88:$EE$417,0,MATCH(O$4,'Historical BU1'!$D$84:$EE$84,0))),0)</f>
        <v>0</v>
      </c>
      <c r="P185" s="255">
        <f>IFERROR(Input_unit*(P$4&lt;$D$1)*SUMIF('Historical BU1'!$A$88:$A$417,"ORE",INDEX('Historical BU1'!$D$88:$EE$417,0,MATCH(P$4,'Historical BU1'!$D$84:$EE$84,0))),0)+IFERROR(Input_unit*(P$4&lt;$D$1)*SUMIF('Historical BU1'!$A$88:$A$417,"OCA",INDEX('Historical BU1'!$D$88:$EE$417,0,MATCH(P$4,'Historical BU1'!$D$84:$EE$84,0))),0)</f>
        <v>0</v>
      </c>
      <c r="Q185" s="255">
        <f>IFERROR(Input_unit*(Q$4&lt;$D$1)*SUMIF('Historical BU1'!$A$88:$A$417,"ORE",INDEX('Historical BU1'!$D$88:$EE$417,0,MATCH(Q$4,'Historical BU1'!$D$84:$EE$84,0))),0)+IFERROR(Input_unit*(Q$4&lt;$D$1)*SUMIF('Historical BU1'!$A$88:$A$417,"OCA",INDEX('Historical BU1'!$D$88:$EE$417,0,MATCH(Q$4,'Historical BU1'!$D$84:$EE$84,0))),0)</f>
        <v>0</v>
      </c>
      <c r="R185" s="316" t="str">
        <f>IFERROR((INDEX(185:185,MATCH(DATE('Control Panel'!$B$4+'Control Panel'!$B$5-1,'Control Panel'!$B$6,'Control Panel'!$B$7),'Scenarios offshore'!$10:$10,0))/INDEX(185:185,MATCH(DATE('Control Panel'!$B$4,'Control Panel'!$B$6,'Control Panel'!$B$7),'Scenarios offshore'!$10:$10,0)))^(1/('Control Panel'!$B$5-1))-1,"n.a.")</f>
        <v>n.a.</v>
      </c>
      <c r="S185" s="292"/>
    </row>
    <row r="186" spans="1:19" ht="14.4">
      <c r="A186" s="1"/>
      <c r="B186" s="1"/>
      <c r="C186" s="1"/>
      <c r="D186" s="255" t="str">
        <f>$D$21</f>
        <v>Sponsor base</v>
      </c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289"/>
      <c r="S186" s="316" t="str">
        <f>IFERROR((INDEX(186:186,MATCH(DATE('Control Panel'!$B$13,'Control Panel'!$B$6,'Control Panel'!$B$7),'Scenarios offshore'!$10:$10,0))/INDEX(185:185,MATCH(DATE('Control Panel'!$B$4+'Control Panel'!$B$5-1,'Control Panel'!$B$6,'Control Panel'!$B$7),'Scenarios offshore'!$10:$10,0)))^(1/('Control Panel'!$B$13-'Control Panel'!$B$12+1))-1,"n.a.")</f>
        <v>n.a.</v>
      </c>
    </row>
    <row r="187" spans="1:19" ht="14.4">
      <c r="A187" s="1"/>
      <c r="B187" s="1"/>
      <c r="C187" s="1"/>
      <c r="D187" s="255" t="str">
        <f>$D$22</f>
        <v>Flat</v>
      </c>
      <c r="E187" s="197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289"/>
      <c r="S187" s="316" t="str">
        <f>IFERROR((INDEX(187:187,MATCH(DATE('Control Panel'!$B$13,'Control Panel'!$B$6,'Control Panel'!$B$7),'Scenarios offshore'!$10:$10,0))/INDEX(185:185,MATCH(DATE('Control Panel'!$B$4+'Control Panel'!$B$5-1,'Control Panel'!$B$6,'Control Panel'!$B$7),'Scenarios offshore'!$10:$10,0)))^(1/('Control Panel'!$B$13-'Control Panel'!$B$12+1))-1,"n.a.")</f>
        <v>n.a.</v>
      </c>
    </row>
    <row r="188" spans="1:19" ht="14.4">
      <c r="A188" s="1"/>
      <c r="B188" s="1"/>
      <c r="C188" s="1"/>
      <c r="D188" s="255" t="str">
        <f>$D$23</f>
        <v>Bank case</v>
      </c>
      <c r="E188" s="197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289"/>
      <c r="S188" s="316" t="str">
        <f>IFERROR((INDEX(188:188,MATCH(DATE('Control Panel'!$B$13,'Control Panel'!$B$6,'Control Panel'!$B$7),'Scenarios offshore'!$10:$10,0))/INDEX(185:185,MATCH(DATE('Control Panel'!$B$4+'Control Panel'!$B$5-1,'Control Panel'!$B$6,'Control Panel'!$B$7),'Scenarios offshore'!$10:$10,0)))^(1/('Control Panel'!$B$13-'Control Panel'!$B$12+1))-1,"n.a.")</f>
        <v>n.a.</v>
      </c>
    </row>
    <row r="189" spans="1:19" ht="14.4">
      <c r="A189" s="1"/>
      <c r="B189" s="1"/>
      <c r="C189" s="1"/>
      <c r="D189" s="255" t="str">
        <f>$D$24</f>
        <v>Bank worse</v>
      </c>
      <c r="E189" s="197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289"/>
      <c r="S189" s="316" t="str">
        <f>IFERROR((INDEX(189:189,MATCH(DATE('Control Panel'!$B$13,'Control Panel'!$B$6,'Control Panel'!$B$7),'Scenarios offshore'!$10:$10,0))/INDEX(185:185,MATCH(DATE('Control Panel'!$B$4+'Control Panel'!$B$5-1,'Control Panel'!$B$6,'Control Panel'!$B$7),'Scenarios offshore'!$10:$10,0)))^(1/('Control Panel'!$B$13-'Control Panel'!$B$12+1))-1,"n.a.")</f>
        <v>n.a.</v>
      </c>
    </row>
    <row r="192" spans="1:19">
      <c r="A192" s="180"/>
      <c r="B192" s="180"/>
      <c r="C192" s="180" t="s">
        <v>949</v>
      </c>
      <c r="D192" s="180" t="s">
        <v>604</v>
      </c>
      <c r="E192" s="180">
        <f t="shared" ref="E192:Q192" si="66">IF(E$5,INDEX(E195:E198,$D$2),E194)</f>
        <v>0</v>
      </c>
      <c r="F192" s="180">
        <f t="shared" si="66"/>
        <v>0</v>
      </c>
      <c r="G192" s="180">
        <f t="shared" si="66"/>
        <v>0</v>
      </c>
      <c r="H192" s="180">
        <f t="shared" si="66"/>
        <v>0</v>
      </c>
      <c r="I192" s="180">
        <f t="shared" si="66"/>
        <v>0</v>
      </c>
      <c r="J192" s="180">
        <f t="shared" si="66"/>
        <v>0</v>
      </c>
      <c r="K192" s="180">
        <f t="shared" si="66"/>
        <v>0</v>
      </c>
      <c r="L192" s="180">
        <f t="shared" si="66"/>
        <v>0</v>
      </c>
      <c r="M192" s="180">
        <f t="shared" si="66"/>
        <v>0</v>
      </c>
      <c r="N192" s="180">
        <f t="shared" si="66"/>
        <v>0</v>
      </c>
      <c r="O192" s="180">
        <f t="shared" si="66"/>
        <v>0</v>
      </c>
      <c r="P192" s="180">
        <f t="shared" si="66"/>
        <v>0</v>
      </c>
      <c r="Q192" s="180">
        <f t="shared" si="66"/>
        <v>0</v>
      </c>
      <c r="R192" s="315" t="str">
        <f>IFERROR((INDEX(192:192,MATCH(DATE('Control Panel'!$B$4+'Control Panel'!$B$5-1,'Control Panel'!$B$6,'Control Panel'!$B$7),'Scenarios offshore'!$10:$10,0))/INDEX(192:192,MATCH(DATE('Control Panel'!$B$4,'Control Panel'!$B$6,'Control Panel'!$B$7),'Scenarios offshore'!$10:$10,0)))^(1/('Control Panel'!$B$5-1))-1,"n.a.")</f>
        <v>n.a.</v>
      </c>
      <c r="S192" s="315" t="str">
        <f>IFERROR((INDEX(192:192,MATCH(DATE('Control Panel'!$B$13,'Control Panel'!$B$6,'Control Panel'!$B$7),'Scenarios offshore'!$10:$10,0))/INDEX(192:192,MATCH(DATE('Control Panel'!$B$4+'Control Panel'!$B$5-1,'Control Panel'!$B$6,'Control Panel'!$B$7),'Scenarios offshore'!$10:$10,0)))^(1/('Control Panel'!$B$13-'Control Panel'!$B$12+1))-1,"n.a.")</f>
        <v>n.a.</v>
      </c>
    </row>
    <row r="193" spans="1:19" ht="14.4">
      <c r="A193" s="255"/>
      <c r="B193" s="255"/>
      <c r="C193" s="255"/>
      <c r="D193" s="187" t="s">
        <v>605</v>
      </c>
      <c r="E193" s="183" t="str">
        <f t="shared" ref="E193:Q193" si="67">IFERROR(E192/E18,"")</f>
        <v/>
      </c>
      <c r="F193" s="183" t="str">
        <f t="shared" si="67"/>
        <v/>
      </c>
      <c r="G193" s="183" t="str">
        <f t="shared" si="67"/>
        <v/>
      </c>
      <c r="H193" s="183" t="str">
        <f t="shared" si="67"/>
        <v/>
      </c>
      <c r="I193" s="183" t="str">
        <f t="shared" si="67"/>
        <v/>
      </c>
      <c r="J193" s="183" t="str">
        <f t="shared" si="67"/>
        <v/>
      </c>
      <c r="K193" s="183" t="str">
        <f t="shared" si="67"/>
        <v/>
      </c>
      <c r="L193" s="183" t="str">
        <f t="shared" si="67"/>
        <v/>
      </c>
      <c r="M193" s="183" t="str">
        <f t="shared" si="67"/>
        <v/>
      </c>
      <c r="N193" s="183" t="str">
        <f t="shared" si="67"/>
        <v/>
      </c>
      <c r="O193" s="183" t="str">
        <f t="shared" si="67"/>
        <v/>
      </c>
      <c r="P193" s="183" t="str">
        <f t="shared" si="67"/>
        <v/>
      </c>
      <c r="Q193" s="183" t="str">
        <f t="shared" si="67"/>
        <v/>
      </c>
      <c r="R193" s="38"/>
      <c r="S193" s="38"/>
    </row>
    <row r="194" spans="1:19">
      <c r="A194" s="255"/>
      <c r="B194" s="255"/>
      <c r="D194" s="255" t="s">
        <v>599</v>
      </c>
      <c r="E194" s="255">
        <f>IFERROR(Input_unit*(E$4&lt;$D$1)*SUMIF('Historical BU1'!$A$88:$A$417,"ACC",INDEX('Historical BU1'!$D$88:$EE$417,0,MATCH(E$4,'Historical BU1'!$D$84:$EE$84,0))),0)+IFERROR(Input_unit*(E$4&lt;$D$1)*SUMIF('Historical BU1'!$A$88:$A$417,"CTL",INDEX('Historical BU1'!$D$88:$EE$417,0,MATCH(E$4,'Historical BU1'!$D$84:$EE$84,0))),0)+IFERROR(Input_unit*(E$4&lt;$D$1)*SUMIF('Historical BU1'!$A$88:$A$417,"ADV",INDEX('Historical BU1'!$D$88:$EE$417,0,MATCH(E$4,'Historical BU1'!$D$84:$EE$84,0))),0)+IFERROR(Input_unit*(E$4&lt;$D$1)*SUMIF('Historical BU1'!$A$88:$A$417,"OSL",INDEX('Historical BU1'!$D$88:$EE$417,0,MATCH(E$4,'Historical BU1'!$D$84:$EE$84,0))),0)</f>
        <v>0</v>
      </c>
      <c r="F194" s="255">
        <f>IFERROR(Input_unit*(F$4&lt;$D$1)*SUMIF('Historical BU1'!$A$88:$A$417,"ACC",INDEX('Historical BU1'!$D$88:$EE$417,0,MATCH(F$4,'Historical BU1'!$D$84:$EE$84,0))),0)+IFERROR(Input_unit*(F$4&lt;$D$1)*SUMIF('Historical BU1'!$A$88:$A$417,"CTL",INDEX('Historical BU1'!$D$88:$EE$417,0,MATCH(F$4,'Historical BU1'!$D$84:$EE$84,0))),0)+IFERROR(Input_unit*(F$4&lt;$D$1)*SUMIF('Historical BU1'!$A$88:$A$417,"ADV",INDEX('Historical BU1'!$D$88:$EE$417,0,MATCH(F$4,'Historical BU1'!$D$84:$EE$84,0))),0)+IFERROR(Input_unit*(F$4&lt;$D$1)*SUMIF('Historical BU1'!$A$88:$A$417,"OSL",INDEX('Historical BU1'!$D$88:$EE$417,0,MATCH(F$4,'Historical BU1'!$D$84:$EE$84,0))),0)</f>
        <v>0</v>
      </c>
      <c r="G194" s="255">
        <f>IFERROR(Input_unit*(G$4&lt;$D$1)*SUMIF('Historical BU1'!$A$88:$A$417,"ACC",INDEX('Historical BU1'!$D$88:$EE$417,0,MATCH(G$4,'Historical BU1'!$D$84:$EE$84,0))),0)+IFERROR(Input_unit*(G$4&lt;$D$1)*SUMIF('Historical BU1'!$A$88:$A$417,"CTL",INDEX('Historical BU1'!$D$88:$EE$417,0,MATCH(G$4,'Historical BU1'!$D$84:$EE$84,0))),0)+IFERROR(Input_unit*(G$4&lt;$D$1)*SUMIF('Historical BU1'!$A$88:$A$417,"ADV",INDEX('Historical BU1'!$D$88:$EE$417,0,MATCH(G$4,'Historical BU1'!$D$84:$EE$84,0))),0)+IFERROR(Input_unit*(G$4&lt;$D$1)*SUMIF('Historical BU1'!$A$88:$A$417,"OSL",INDEX('Historical BU1'!$D$88:$EE$417,0,MATCH(G$4,'Historical BU1'!$D$84:$EE$84,0))),0)</f>
        <v>0</v>
      </c>
      <c r="H194" s="255">
        <f>IFERROR(Input_unit*(H$4&lt;$D$1)*SUMIF('Historical BU1'!$A$88:$A$417,"ACC",INDEX('Historical BU1'!$D$88:$EE$417,0,MATCH(H$4,'Historical BU1'!$D$84:$EE$84,0))),0)+IFERROR(Input_unit*(H$4&lt;$D$1)*SUMIF('Historical BU1'!$A$88:$A$417,"CTL",INDEX('Historical BU1'!$D$88:$EE$417,0,MATCH(H$4,'Historical BU1'!$D$84:$EE$84,0))),0)+IFERROR(Input_unit*(H$4&lt;$D$1)*SUMIF('Historical BU1'!$A$88:$A$417,"ADV",INDEX('Historical BU1'!$D$88:$EE$417,0,MATCH(H$4,'Historical BU1'!$D$84:$EE$84,0))),0)+IFERROR(Input_unit*(H$4&lt;$D$1)*SUMIF('Historical BU1'!$A$88:$A$417,"OSL",INDEX('Historical BU1'!$D$88:$EE$417,0,MATCH(H$4,'Historical BU1'!$D$84:$EE$84,0))),0)</f>
        <v>0</v>
      </c>
      <c r="I194" s="255">
        <f>IFERROR(Input_unit*(I$4&lt;$D$1)*SUMIF('Historical BU1'!$A$88:$A$417,"ACC",INDEX('Historical BU1'!$D$88:$EE$417,0,MATCH(I$4,'Historical BU1'!$D$84:$EE$84,0))),0)+IFERROR(Input_unit*(I$4&lt;$D$1)*SUMIF('Historical BU1'!$A$88:$A$417,"CTL",INDEX('Historical BU1'!$D$88:$EE$417,0,MATCH(I$4,'Historical BU1'!$D$84:$EE$84,0))),0)+IFERROR(Input_unit*(I$4&lt;$D$1)*SUMIF('Historical BU1'!$A$88:$A$417,"ADV",INDEX('Historical BU1'!$D$88:$EE$417,0,MATCH(I$4,'Historical BU1'!$D$84:$EE$84,0))),0)+IFERROR(Input_unit*(I$4&lt;$D$1)*SUMIF('Historical BU1'!$A$88:$A$417,"OSL",INDEX('Historical BU1'!$D$88:$EE$417,0,MATCH(I$4,'Historical BU1'!$D$84:$EE$84,0))),0)</f>
        <v>0</v>
      </c>
      <c r="J194" s="255">
        <f>IFERROR(Input_unit*(J$4&lt;$D$1)*SUMIF('Historical BU1'!$A$88:$A$417,"ACC",INDEX('Historical BU1'!$D$88:$EE$417,0,MATCH(J$4,'Historical BU1'!$D$84:$EE$84,0))),0)+IFERROR(Input_unit*(J$4&lt;$D$1)*SUMIF('Historical BU1'!$A$88:$A$417,"CTL",INDEX('Historical BU1'!$D$88:$EE$417,0,MATCH(J$4,'Historical BU1'!$D$84:$EE$84,0))),0)+IFERROR(Input_unit*(J$4&lt;$D$1)*SUMIF('Historical BU1'!$A$88:$A$417,"ADV",INDEX('Historical BU1'!$D$88:$EE$417,0,MATCH(J$4,'Historical BU1'!$D$84:$EE$84,0))),0)+IFERROR(Input_unit*(J$4&lt;$D$1)*SUMIF('Historical BU1'!$A$88:$A$417,"OSL",INDEX('Historical BU1'!$D$88:$EE$417,0,MATCH(J$4,'Historical BU1'!$D$84:$EE$84,0))),0)</f>
        <v>0</v>
      </c>
      <c r="K194" s="255">
        <f>IFERROR(Input_unit*(K$4&lt;$D$1)*SUMIF('Historical BU1'!$A$88:$A$417,"ACC",INDEX('Historical BU1'!$D$88:$EE$417,0,MATCH(K$4,'Historical BU1'!$D$84:$EE$84,0))),0)+IFERROR(Input_unit*(K$4&lt;$D$1)*SUMIF('Historical BU1'!$A$88:$A$417,"CTL",INDEX('Historical BU1'!$D$88:$EE$417,0,MATCH(K$4,'Historical BU1'!$D$84:$EE$84,0))),0)+IFERROR(Input_unit*(K$4&lt;$D$1)*SUMIF('Historical BU1'!$A$88:$A$417,"ADV",INDEX('Historical BU1'!$D$88:$EE$417,0,MATCH(K$4,'Historical BU1'!$D$84:$EE$84,0))),0)+IFERROR(Input_unit*(K$4&lt;$D$1)*SUMIF('Historical BU1'!$A$88:$A$417,"OSL",INDEX('Historical BU1'!$D$88:$EE$417,0,MATCH(K$4,'Historical BU1'!$D$84:$EE$84,0))),0)</f>
        <v>0</v>
      </c>
      <c r="L194" s="255">
        <f>IFERROR(Input_unit*(L$4&lt;$D$1)*SUMIF('Historical BU1'!$A$88:$A$417,"ACC",INDEX('Historical BU1'!$D$88:$EE$417,0,MATCH(L$4,'Historical BU1'!$D$84:$EE$84,0))),0)+IFERROR(Input_unit*(L$4&lt;$D$1)*SUMIF('Historical BU1'!$A$88:$A$417,"CTL",INDEX('Historical BU1'!$D$88:$EE$417,0,MATCH(L$4,'Historical BU1'!$D$84:$EE$84,0))),0)+IFERROR(Input_unit*(L$4&lt;$D$1)*SUMIF('Historical BU1'!$A$88:$A$417,"ADV",INDEX('Historical BU1'!$D$88:$EE$417,0,MATCH(L$4,'Historical BU1'!$D$84:$EE$84,0))),0)+IFERROR(Input_unit*(L$4&lt;$D$1)*SUMIF('Historical BU1'!$A$88:$A$417,"OSL",INDEX('Historical BU1'!$D$88:$EE$417,0,MATCH(L$4,'Historical BU1'!$D$84:$EE$84,0))),0)</f>
        <v>0</v>
      </c>
      <c r="M194" s="255">
        <f>IFERROR(Input_unit*(M$4&lt;$D$1)*SUMIF('Historical BU1'!$A$88:$A$417,"ACC",INDEX('Historical BU1'!$D$88:$EE$417,0,MATCH(M$4,'Historical BU1'!$D$84:$EE$84,0))),0)+IFERROR(Input_unit*(M$4&lt;$D$1)*SUMIF('Historical BU1'!$A$88:$A$417,"CTL",INDEX('Historical BU1'!$D$88:$EE$417,0,MATCH(M$4,'Historical BU1'!$D$84:$EE$84,0))),0)+IFERROR(Input_unit*(M$4&lt;$D$1)*SUMIF('Historical BU1'!$A$88:$A$417,"ADV",INDEX('Historical BU1'!$D$88:$EE$417,0,MATCH(M$4,'Historical BU1'!$D$84:$EE$84,0))),0)+IFERROR(Input_unit*(M$4&lt;$D$1)*SUMIF('Historical BU1'!$A$88:$A$417,"OSL",INDEX('Historical BU1'!$D$88:$EE$417,0,MATCH(M$4,'Historical BU1'!$D$84:$EE$84,0))),0)</f>
        <v>0</v>
      </c>
      <c r="N194" s="255">
        <f>IFERROR(Input_unit*(N$4&lt;$D$1)*SUMIF('Historical BU1'!$A$88:$A$417,"ACC",INDEX('Historical BU1'!$D$88:$EE$417,0,MATCH(N$4,'Historical BU1'!$D$84:$EE$84,0))),0)+IFERROR(Input_unit*(N$4&lt;$D$1)*SUMIF('Historical BU1'!$A$88:$A$417,"CTL",INDEX('Historical BU1'!$D$88:$EE$417,0,MATCH(N$4,'Historical BU1'!$D$84:$EE$84,0))),0)+IFERROR(Input_unit*(N$4&lt;$D$1)*SUMIF('Historical BU1'!$A$88:$A$417,"ADV",INDEX('Historical BU1'!$D$88:$EE$417,0,MATCH(N$4,'Historical BU1'!$D$84:$EE$84,0))),0)+IFERROR(Input_unit*(N$4&lt;$D$1)*SUMIF('Historical BU1'!$A$88:$A$417,"OSL",INDEX('Historical BU1'!$D$88:$EE$417,0,MATCH(N$4,'Historical BU1'!$D$84:$EE$84,0))),0)</f>
        <v>0</v>
      </c>
      <c r="O194" s="255">
        <f>IFERROR(Input_unit*(O$4&lt;$D$1)*SUMIF('Historical BU1'!$A$88:$A$417,"ACC",INDEX('Historical BU1'!$D$88:$EE$417,0,MATCH(O$4,'Historical BU1'!$D$84:$EE$84,0))),0)+IFERROR(Input_unit*(O$4&lt;$D$1)*SUMIF('Historical BU1'!$A$88:$A$417,"CTL",INDEX('Historical BU1'!$D$88:$EE$417,0,MATCH(O$4,'Historical BU1'!$D$84:$EE$84,0))),0)+IFERROR(Input_unit*(O$4&lt;$D$1)*SUMIF('Historical BU1'!$A$88:$A$417,"ADV",INDEX('Historical BU1'!$D$88:$EE$417,0,MATCH(O$4,'Historical BU1'!$D$84:$EE$84,0))),0)+IFERROR(Input_unit*(O$4&lt;$D$1)*SUMIF('Historical BU1'!$A$88:$A$417,"OSL",INDEX('Historical BU1'!$D$88:$EE$417,0,MATCH(O$4,'Historical BU1'!$D$84:$EE$84,0))),0)</f>
        <v>0</v>
      </c>
      <c r="P194" s="255">
        <f>IFERROR(Input_unit*(P$4&lt;$D$1)*SUMIF('Historical BU1'!$A$88:$A$417,"ACC",INDEX('Historical BU1'!$D$88:$EE$417,0,MATCH(P$4,'Historical BU1'!$D$84:$EE$84,0))),0)+IFERROR(Input_unit*(P$4&lt;$D$1)*SUMIF('Historical BU1'!$A$88:$A$417,"CTL",INDEX('Historical BU1'!$D$88:$EE$417,0,MATCH(P$4,'Historical BU1'!$D$84:$EE$84,0))),0)+IFERROR(Input_unit*(P$4&lt;$D$1)*SUMIF('Historical BU1'!$A$88:$A$417,"ADV",INDEX('Historical BU1'!$D$88:$EE$417,0,MATCH(P$4,'Historical BU1'!$D$84:$EE$84,0))),0)+IFERROR(Input_unit*(P$4&lt;$D$1)*SUMIF('Historical BU1'!$A$88:$A$417,"OSL",INDEX('Historical BU1'!$D$88:$EE$417,0,MATCH(P$4,'Historical BU1'!$D$84:$EE$84,0))),0)</f>
        <v>0</v>
      </c>
      <c r="Q194" s="255">
        <f>IFERROR(Input_unit*(Q$4&lt;$D$1)*SUMIF('Historical BU1'!$A$88:$A$417,"ACC",INDEX('Historical BU1'!$D$88:$EE$417,0,MATCH(Q$4,'Historical BU1'!$D$84:$EE$84,0))),0)+IFERROR(Input_unit*(Q$4&lt;$D$1)*SUMIF('Historical BU1'!$A$88:$A$417,"CTL",INDEX('Historical BU1'!$D$88:$EE$417,0,MATCH(Q$4,'Historical BU1'!$D$84:$EE$84,0))),0)+IFERROR(Input_unit*(Q$4&lt;$D$1)*SUMIF('Historical BU1'!$A$88:$A$417,"ADV",INDEX('Historical BU1'!$D$88:$EE$417,0,MATCH(Q$4,'Historical BU1'!$D$84:$EE$84,0))),0)+IFERROR(Input_unit*(Q$4&lt;$D$1)*SUMIF('Historical BU1'!$A$88:$A$417,"OSL",INDEX('Historical BU1'!$D$88:$EE$417,0,MATCH(Q$4,'Historical BU1'!$D$84:$EE$84,0))),0)</f>
        <v>0</v>
      </c>
      <c r="R194" s="316" t="str">
        <f>IFERROR((INDEX(194:194,MATCH(DATE('Control Panel'!$B$4+'Control Panel'!$B$5-1,'Control Panel'!$B$6,'Control Panel'!$B$7),'Scenarios offshore'!$10:$10,0))/INDEX(194:194,MATCH(DATE('Control Panel'!$B$4,'Control Panel'!$B$6,'Control Panel'!$B$7),'Scenarios offshore'!$10:$10,0)))^(1/('Control Panel'!$B$5-1))-1,"n.a.")</f>
        <v>n.a.</v>
      </c>
      <c r="S194" s="292"/>
    </row>
    <row r="195" spans="1:19" ht="14.4">
      <c r="A195" s="1"/>
      <c r="B195" s="1"/>
      <c r="D195" s="255" t="str">
        <f>$D$21</f>
        <v>Sponsor base</v>
      </c>
      <c r="E195" s="197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289"/>
      <c r="S195" s="316" t="str">
        <f>IFERROR((INDEX(195:195,MATCH(DATE('Control Panel'!$B$13,'Control Panel'!$B$6,'Control Panel'!$B$7),'Scenarios offshore'!$10:$10,0))/INDEX(194:194,MATCH(DATE('Control Panel'!$B$4+'Control Panel'!$B$5-1,'Control Panel'!$B$6,'Control Panel'!$B$7),'Scenarios offshore'!$10:$10,0)))^(1/('Control Panel'!$B$13-'Control Panel'!$B$12+1))-1,"n.a.")</f>
        <v>n.a.</v>
      </c>
    </row>
    <row r="196" spans="1:19" ht="14.4">
      <c r="A196" s="1"/>
      <c r="B196" s="1"/>
      <c r="D196" s="255" t="str">
        <f>$D$22</f>
        <v>Flat</v>
      </c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289"/>
      <c r="S196" s="316" t="str">
        <f>IFERROR((INDEX(196:196,MATCH(DATE('Control Panel'!$B$13,'Control Panel'!$B$6,'Control Panel'!$B$7),'Scenarios offshore'!$10:$10,0))/INDEX(194:194,MATCH(DATE('Control Panel'!$B$4+'Control Panel'!$B$5-1,'Control Panel'!$B$6,'Control Panel'!$B$7),'Scenarios offshore'!$10:$10,0)))^(1/('Control Panel'!$B$13-'Control Panel'!$B$12+1))-1,"n.a.")</f>
        <v>n.a.</v>
      </c>
    </row>
    <row r="197" spans="1:19" ht="14.4">
      <c r="A197" s="1"/>
      <c r="B197" s="1"/>
      <c r="D197" s="255" t="str">
        <f>$D$23</f>
        <v>Bank case</v>
      </c>
      <c r="E197" s="197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289"/>
      <c r="S197" s="316" t="str">
        <f>IFERROR((INDEX(197:197,MATCH(DATE('Control Panel'!$B$13,'Control Panel'!$B$6,'Control Panel'!$B$7),'Scenarios offshore'!$10:$10,0))/INDEX(194:194,MATCH(DATE('Control Panel'!$B$4+'Control Panel'!$B$5-1,'Control Panel'!$B$6,'Control Panel'!$B$7),'Scenarios offshore'!$10:$10,0)))^(1/('Control Panel'!$B$13-'Control Panel'!$B$12+1))-1,"n.a.")</f>
        <v>n.a.</v>
      </c>
    </row>
    <row r="198" spans="1:19" ht="14.4">
      <c r="A198" s="1"/>
      <c r="B198" s="1"/>
      <c r="C198" s="1"/>
      <c r="D198" s="255" t="str">
        <f>$D$24</f>
        <v>Bank worse</v>
      </c>
      <c r="E198" s="197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289"/>
      <c r="S198" s="316" t="str">
        <f>IFERROR((INDEX(198:198,MATCH(DATE('Control Panel'!$B$13,'Control Panel'!$B$6,'Control Panel'!$B$7),'Scenarios offshore'!$10:$10,0))/INDEX(194:194,MATCH(DATE('Control Panel'!$B$4+'Control Panel'!$B$5-1,'Control Panel'!$B$6,'Control Panel'!$B$7),'Scenarios offshore'!$10:$10,0)))^(1/('Control Panel'!$B$13-'Control Panel'!$B$12+1))-1,"n.a.")</f>
        <v>n.a.</v>
      </c>
    </row>
    <row r="199" spans="1:19" ht="14.4">
      <c r="A199" s="38"/>
      <c r="B199" s="38"/>
      <c r="C199" s="38"/>
      <c r="D199" s="38"/>
      <c r="E199" s="287"/>
      <c r="F199" s="287"/>
      <c r="G199" s="287"/>
      <c r="H199" s="287"/>
      <c r="I199" s="287"/>
      <c r="J199" s="287"/>
      <c r="K199" s="287"/>
      <c r="L199" s="287"/>
      <c r="M199" s="287"/>
      <c r="N199" s="287"/>
      <c r="O199" s="287"/>
      <c r="P199" s="287"/>
      <c r="Q199" s="287"/>
    </row>
    <row r="200" spans="1:19">
      <c r="A200" s="180"/>
      <c r="B200" s="180"/>
      <c r="C200" s="180" t="s">
        <v>950</v>
      </c>
      <c r="D200" s="180" t="s">
        <v>604</v>
      </c>
      <c r="E200" s="180">
        <f t="shared" ref="E200:Q200" si="68">IF(E$5,INDEX(E203:E206,$D$2),E202)</f>
        <v>0</v>
      </c>
      <c r="F200" s="180">
        <f t="shared" si="68"/>
        <v>0</v>
      </c>
      <c r="G200" s="180">
        <f t="shared" si="68"/>
        <v>0</v>
      </c>
      <c r="H200" s="180">
        <f t="shared" si="68"/>
        <v>0</v>
      </c>
      <c r="I200" s="180">
        <f t="shared" si="68"/>
        <v>0</v>
      </c>
      <c r="J200" s="180">
        <f t="shared" si="68"/>
        <v>0</v>
      </c>
      <c r="K200" s="180">
        <f t="shared" si="68"/>
        <v>0</v>
      </c>
      <c r="L200" s="180">
        <f t="shared" si="68"/>
        <v>0</v>
      </c>
      <c r="M200" s="180">
        <f t="shared" si="68"/>
        <v>0</v>
      </c>
      <c r="N200" s="180">
        <f t="shared" si="68"/>
        <v>0</v>
      </c>
      <c r="O200" s="180">
        <f t="shared" si="68"/>
        <v>0</v>
      </c>
      <c r="P200" s="180">
        <f t="shared" si="68"/>
        <v>0</v>
      </c>
      <c r="Q200" s="180">
        <f t="shared" si="68"/>
        <v>0</v>
      </c>
      <c r="R200" s="315" t="str">
        <f>IFERROR((INDEX(200:200,MATCH(DATE('Control Panel'!$B$4+'Control Panel'!$B$5-1,'Control Panel'!$B$6,'Control Panel'!$B$7),'Scenarios offshore'!$10:$10,0))/INDEX(200:200,MATCH(DATE('Control Panel'!$B$4,'Control Panel'!$B$6,'Control Panel'!$B$7),'Scenarios offshore'!$10:$10,0)))^(1/('Control Panel'!$B$5-1))-1,"n.a.")</f>
        <v>n.a.</v>
      </c>
      <c r="S200" s="315" t="str">
        <f>IFERROR((INDEX(200:200,MATCH(DATE('Control Panel'!$B$13,'Control Panel'!$B$6,'Control Panel'!$B$7),'Scenarios offshore'!$10:$10,0))/INDEX(200:200,MATCH(DATE('Control Panel'!$B$4+'Control Panel'!$B$5-1,'Control Panel'!$B$6,'Control Panel'!$B$7),'Scenarios offshore'!$10:$10,0)))^(1/('Control Panel'!$B$13-'Control Panel'!$B$12+1))-1,"n.a.")</f>
        <v>n.a.</v>
      </c>
    </row>
    <row r="201" spans="1:19" ht="14.4">
      <c r="A201" s="255"/>
      <c r="B201" s="255"/>
      <c r="C201" s="255"/>
      <c r="D201" s="187" t="s">
        <v>605</v>
      </c>
      <c r="E201" s="183" t="str">
        <f t="shared" ref="E201:Q201" si="69">IFERROR(E200/E18,"")</f>
        <v/>
      </c>
      <c r="F201" s="183" t="str">
        <f t="shared" si="69"/>
        <v/>
      </c>
      <c r="G201" s="183" t="str">
        <f t="shared" si="69"/>
        <v/>
      </c>
      <c r="H201" s="183" t="str">
        <f t="shared" si="69"/>
        <v/>
      </c>
      <c r="I201" s="183" t="str">
        <f t="shared" si="69"/>
        <v/>
      </c>
      <c r="J201" s="183" t="str">
        <f t="shared" si="69"/>
        <v/>
      </c>
      <c r="K201" s="183" t="str">
        <f t="shared" si="69"/>
        <v/>
      </c>
      <c r="L201" s="183" t="str">
        <f t="shared" si="69"/>
        <v/>
      </c>
      <c r="M201" s="183" t="str">
        <f t="shared" si="69"/>
        <v/>
      </c>
      <c r="N201" s="183" t="str">
        <f t="shared" si="69"/>
        <v/>
      </c>
      <c r="O201" s="183" t="str">
        <f t="shared" si="69"/>
        <v/>
      </c>
      <c r="P201" s="183" t="str">
        <f t="shared" si="69"/>
        <v/>
      </c>
      <c r="Q201" s="183" t="str">
        <f t="shared" si="69"/>
        <v/>
      </c>
      <c r="R201" s="38"/>
      <c r="S201" s="38"/>
    </row>
    <row r="202" spans="1:19">
      <c r="A202" s="255"/>
      <c r="B202" s="255"/>
      <c r="D202" s="255" t="s">
        <v>599</v>
      </c>
      <c r="E202" s="255">
        <f>E160-E168+E176+E185-E194</f>
        <v>0</v>
      </c>
      <c r="F202" s="255">
        <f t="shared" ref="F202:Q202" si="70">F160-F168+F176+F185-F194</f>
        <v>0</v>
      </c>
      <c r="G202" s="255">
        <f t="shared" si="70"/>
        <v>0</v>
      </c>
      <c r="H202" s="255">
        <f t="shared" si="70"/>
        <v>0</v>
      </c>
      <c r="I202" s="255">
        <f t="shared" si="70"/>
        <v>0</v>
      </c>
      <c r="J202" s="255">
        <f t="shared" si="70"/>
        <v>0</v>
      </c>
      <c r="K202" s="255">
        <f t="shared" si="70"/>
        <v>0</v>
      </c>
      <c r="L202" s="255">
        <f t="shared" si="70"/>
        <v>0</v>
      </c>
      <c r="M202" s="255">
        <f t="shared" si="70"/>
        <v>0</v>
      </c>
      <c r="N202" s="255">
        <f t="shared" si="70"/>
        <v>0</v>
      </c>
      <c r="O202" s="255">
        <f t="shared" si="70"/>
        <v>0</v>
      </c>
      <c r="P202" s="255">
        <f t="shared" si="70"/>
        <v>0</v>
      </c>
      <c r="Q202" s="255">
        <f t="shared" si="70"/>
        <v>0</v>
      </c>
      <c r="R202" s="316" t="str">
        <f>IFERROR((INDEX(202:202,MATCH(DATE('Control Panel'!$B$4+'Control Panel'!$B$5-1,'Control Panel'!$B$6,'Control Panel'!$B$7),'Scenarios offshore'!$10:$10,0))/INDEX(202:202,MATCH(DATE('Control Panel'!$B$4,'Control Panel'!$B$6,'Control Panel'!$B$7),'Scenarios offshore'!$10:$10,0)))^(1/('Control Panel'!$B$5-1))-1,"n.a.")</f>
        <v>n.a.</v>
      </c>
      <c r="S202" s="292"/>
    </row>
    <row r="203" spans="1:19" ht="14.4">
      <c r="A203" s="1"/>
      <c r="B203" s="1"/>
      <c r="D203" s="255" t="str">
        <f>$D$21</f>
        <v>Sponsor base</v>
      </c>
      <c r="E203" s="291">
        <f t="shared" ref="E203:Q206" si="71">E161-E169+E177+E186-E195</f>
        <v>0</v>
      </c>
      <c r="F203" s="291">
        <f t="shared" si="71"/>
        <v>0</v>
      </c>
      <c r="G203" s="291">
        <f t="shared" si="71"/>
        <v>0</v>
      </c>
      <c r="H203" s="291">
        <f t="shared" si="71"/>
        <v>0</v>
      </c>
      <c r="I203" s="291">
        <f t="shared" si="71"/>
        <v>0</v>
      </c>
      <c r="J203" s="291">
        <f t="shared" si="71"/>
        <v>0</v>
      </c>
      <c r="K203" s="291">
        <f t="shared" si="71"/>
        <v>0</v>
      </c>
      <c r="L203" s="291">
        <f t="shared" si="71"/>
        <v>0</v>
      </c>
      <c r="M203" s="291">
        <f t="shared" si="71"/>
        <v>0</v>
      </c>
      <c r="N203" s="291">
        <f t="shared" si="71"/>
        <v>0</v>
      </c>
      <c r="O203" s="291">
        <f t="shared" si="71"/>
        <v>0</v>
      </c>
      <c r="P203" s="291">
        <f t="shared" si="71"/>
        <v>0</v>
      </c>
      <c r="Q203" s="291">
        <f t="shared" si="71"/>
        <v>0</v>
      </c>
      <c r="R203" s="289"/>
      <c r="S203" s="316" t="str">
        <f>IFERROR((INDEX(203:203,MATCH(DATE('Control Panel'!$B$13,'Control Panel'!$B$6,'Control Panel'!$B$7),'Scenarios offshore'!$10:$10,0))/INDEX(202:202,MATCH(DATE('Control Panel'!$B$4+'Control Panel'!$B$5-1,'Control Panel'!$B$6,'Control Panel'!$B$7),'Scenarios offshore'!$10:$10,0)))^(1/('Control Panel'!$B$13-'Control Panel'!$B$12+1))-1,"n.a.")</f>
        <v>n.a.</v>
      </c>
    </row>
    <row r="204" spans="1:19" ht="14.4">
      <c r="A204" s="1"/>
      <c r="B204" s="1"/>
      <c r="D204" s="255" t="str">
        <f>$D$22</f>
        <v>Flat</v>
      </c>
      <c r="E204" s="291">
        <f t="shared" si="71"/>
        <v>0</v>
      </c>
      <c r="F204" s="291">
        <f t="shared" si="71"/>
        <v>0</v>
      </c>
      <c r="G204" s="291">
        <f t="shared" si="71"/>
        <v>0</v>
      </c>
      <c r="H204" s="291">
        <f t="shared" si="71"/>
        <v>0</v>
      </c>
      <c r="I204" s="291">
        <f t="shared" si="71"/>
        <v>0</v>
      </c>
      <c r="J204" s="291">
        <f t="shared" si="71"/>
        <v>0</v>
      </c>
      <c r="K204" s="291">
        <f t="shared" si="71"/>
        <v>0</v>
      </c>
      <c r="L204" s="291">
        <f t="shared" si="71"/>
        <v>0</v>
      </c>
      <c r="M204" s="291">
        <f t="shared" si="71"/>
        <v>0</v>
      </c>
      <c r="N204" s="291">
        <f t="shared" si="71"/>
        <v>0</v>
      </c>
      <c r="O204" s="291">
        <f t="shared" si="71"/>
        <v>0</v>
      </c>
      <c r="P204" s="291">
        <f t="shared" si="71"/>
        <v>0</v>
      </c>
      <c r="Q204" s="291">
        <f t="shared" si="71"/>
        <v>0</v>
      </c>
      <c r="R204" s="289"/>
      <c r="S204" s="316" t="str">
        <f>IFERROR((INDEX(204:204,MATCH(DATE('Control Panel'!$B$13,'Control Panel'!$B$6,'Control Panel'!$B$7),'Scenarios offshore'!$10:$10,0))/INDEX(202:202,MATCH(DATE('Control Panel'!$B$4+'Control Panel'!$B$5-1,'Control Panel'!$B$6,'Control Panel'!$B$7),'Scenarios offshore'!$10:$10,0)))^(1/('Control Panel'!$B$13-'Control Panel'!$B$12+1))-1,"n.a.")</f>
        <v>n.a.</v>
      </c>
    </row>
    <row r="205" spans="1:19" ht="14.4">
      <c r="A205" s="1"/>
      <c r="B205" s="1"/>
      <c r="D205" s="255" t="str">
        <f>$D$23</f>
        <v>Bank case</v>
      </c>
      <c r="E205" s="291">
        <f t="shared" si="71"/>
        <v>0</v>
      </c>
      <c r="F205" s="291">
        <f t="shared" si="71"/>
        <v>0</v>
      </c>
      <c r="G205" s="291">
        <f t="shared" si="71"/>
        <v>0</v>
      </c>
      <c r="H205" s="291">
        <f t="shared" si="71"/>
        <v>0</v>
      </c>
      <c r="I205" s="291">
        <f t="shared" si="71"/>
        <v>0</v>
      </c>
      <c r="J205" s="291">
        <f t="shared" si="71"/>
        <v>0</v>
      </c>
      <c r="K205" s="291">
        <f t="shared" si="71"/>
        <v>0</v>
      </c>
      <c r="L205" s="291">
        <f t="shared" si="71"/>
        <v>0</v>
      </c>
      <c r="M205" s="291">
        <f t="shared" si="71"/>
        <v>0</v>
      </c>
      <c r="N205" s="291">
        <f t="shared" si="71"/>
        <v>0</v>
      </c>
      <c r="O205" s="291">
        <f t="shared" si="71"/>
        <v>0</v>
      </c>
      <c r="P205" s="291">
        <f t="shared" si="71"/>
        <v>0</v>
      </c>
      <c r="Q205" s="291">
        <f t="shared" si="71"/>
        <v>0</v>
      </c>
      <c r="R205" s="289"/>
      <c r="S205" s="316" t="str">
        <f>IFERROR((INDEX(205:205,MATCH(DATE('Control Panel'!$B$13,'Control Panel'!$B$6,'Control Panel'!$B$7),'Scenarios offshore'!$10:$10,0))/INDEX(202:202,MATCH(DATE('Control Panel'!$B$4+'Control Panel'!$B$5-1,'Control Panel'!$B$6,'Control Panel'!$B$7),'Scenarios offshore'!$10:$10,0)))^(1/('Control Panel'!$B$13-'Control Panel'!$B$12+1))-1,"n.a.")</f>
        <v>n.a.</v>
      </c>
    </row>
    <row r="206" spans="1:19" ht="14.4">
      <c r="A206" s="1"/>
      <c r="B206" s="1"/>
      <c r="C206" s="1"/>
      <c r="D206" s="255" t="str">
        <f>$D$24</f>
        <v>Bank worse</v>
      </c>
      <c r="E206" s="291">
        <f t="shared" si="71"/>
        <v>0</v>
      </c>
      <c r="F206" s="291">
        <f t="shared" si="71"/>
        <v>0</v>
      </c>
      <c r="G206" s="291">
        <f t="shared" si="71"/>
        <v>0</v>
      </c>
      <c r="H206" s="291">
        <f t="shared" si="71"/>
        <v>0</v>
      </c>
      <c r="I206" s="291">
        <f t="shared" si="71"/>
        <v>0</v>
      </c>
      <c r="J206" s="291">
        <f t="shared" si="71"/>
        <v>0</v>
      </c>
      <c r="K206" s="291">
        <f t="shared" si="71"/>
        <v>0</v>
      </c>
      <c r="L206" s="291">
        <f t="shared" si="71"/>
        <v>0</v>
      </c>
      <c r="M206" s="291">
        <f t="shared" si="71"/>
        <v>0</v>
      </c>
      <c r="N206" s="291">
        <f t="shared" si="71"/>
        <v>0</v>
      </c>
      <c r="O206" s="291">
        <f t="shared" si="71"/>
        <v>0</v>
      </c>
      <c r="P206" s="291">
        <f t="shared" si="71"/>
        <v>0</v>
      </c>
      <c r="Q206" s="291">
        <f t="shared" si="71"/>
        <v>0</v>
      </c>
      <c r="R206" s="289"/>
      <c r="S206" s="316" t="str">
        <f>IFERROR((INDEX(206:206,MATCH(DATE('Control Panel'!$B$13,'Control Panel'!$B$6,'Control Panel'!$B$7),'Scenarios offshore'!$10:$10,0))/INDEX(202:202,MATCH(DATE('Control Panel'!$B$4+'Control Panel'!$B$5-1,'Control Panel'!$B$6,'Control Panel'!$B$7),'Scenarios offshore'!$10:$10,0)))^(1/('Control Panel'!$B$13-'Control Panel'!$B$12+1))-1,"n.a.")</f>
        <v>n.a.</v>
      </c>
    </row>
    <row r="208" spans="1:19">
      <c r="A208" s="180"/>
      <c r="B208" s="180"/>
      <c r="C208" s="180" t="s">
        <v>951</v>
      </c>
      <c r="D208" s="180"/>
      <c r="E208" s="180"/>
      <c r="F208" s="180">
        <f>AND(ABS(F200)&gt;0,ABS(E200)&gt;0)*(F200-E200)</f>
        <v>0</v>
      </c>
      <c r="G208" s="180">
        <f t="shared" ref="G208:Q208" si="72">AND(ABS(G200)&gt;0,ABS(F200)&gt;0)*(G200-F200)</f>
        <v>0</v>
      </c>
      <c r="H208" s="180">
        <f t="shared" si="72"/>
        <v>0</v>
      </c>
      <c r="I208" s="180">
        <f t="shared" si="72"/>
        <v>0</v>
      </c>
      <c r="J208" s="180">
        <f t="shared" si="72"/>
        <v>0</v>
      </c>
      <c r="K208" s="180">
        <f t="shared" si="72"/>
        <v>0</v>
      </c>
      <c r="L208" s="180">
        <f t="shared" si="72"/>
        <v>0</v>
      </c>
      <c r="M208" s="180">
        <f t="shared" si="72"/>
        <v>0</v>
      </c>
      <c r="N208" s="180">
        <f t="shared" si="72"/>
        <v>0</v>
      </c>
      <c r="O208" s="180">
        <f t="shared" si="72"/>
        <v>0</v>
      </c>
      <c r="P208" s="180">
        <f t="shared" si="72"/>
        <v>0</v>
      </c>
      <c r="Q208" s="180">
        <f t="shared" si="72"/>
        <v>0</v>
      </c>
      <c r="R208" s="180"/>
      <c r="S208" s="180"/>
    </row>
    <row r="211" spans="1:19">
      <c r="A211" s="334"/>
      <c r="B211" s="334"/>
      <c r="C211" s="334"/>
      <c r="D211" s="334"/>
    </row>
    <row r="212" spans="1:19">
      <c r="A212" s="288" t="s">
        <v>1525</v>
      </c>
      <c r="B212" s="288"/>
      <c r="C212" s="288"/>
      <c r="D212" s="288"/>
      <c r="E212" s="180"/>
      <c r="F212" s="180"/>
      <c r="G212" s="180"/>
      <c r="H212" s="180"/>
      <c r="I212" s="180"/>
      <c r="J212" s="180"/>
      <c r="K212" s="180"/>
      <c r="L212" s="180"/>
      <c r="M212" s="180"/>
      <c r="N212" s="180"/>
      <c r="O212" s="180"/>
      <c r="P212" s="180"/>
      <c r="Q212" s="180"/>
      <c r="R212" s="227"/>
      <c r="S212" s="227"/>
    </row>
    <row r="213" spans="1:19">
      <c r="A213" s="180"/>
      <c r="B213" s="180" t="s">
        <v>952</v>
      </c>
      <c r="C213" s="180"/>
      <c r="D213" s="180"/>
      <c r="E213" s="180"/>
      <c r="F213" s="180"/>
      <c r="G213" s="180"/>
      <c r="H213" s="180"/>
      <c r="I213" s="180"/>
      <c r="J213" s="180"/>
      <c r="K213" s="180"/>
      <c r="L213" s="180"/>
      <c r="M213" s="180"/>
      <c r="N213" s="180"/>
      <c r="O213" s="180"/>
      <c r="P213" s="180"/>
      <c r="Q213" s="180"/>
      <c r="R213" s="227"/>
      <c r="S213" s="227"/>
    </row>
    <row r="214" spans="1:19">
      <c r="A214" s="255"/>
      <c r="B214" s="255"/>
      <c r="C214" s="255" t="s">
        <v>953</v>
      </c>
      <c r="D214" s="255"/>
      <c r="E214" s="255">
        <f>+E91</f>
        <v>0</v>
      </c>
      <c r="F214" s="255">
        <f t="shared" ref="F214:Q214" si="73">+F91</f>
        <v>0</v>
      </c>
      <c r="G214" s="255">
        <f t="shared" si="73"/>
        <v>0</v>
      </c>
      <c r="H214" s="255">
        <f t="shared" si="73"/>
        <v>0</v>
      </c>
      <c r="I214" s="255">
        <f t="shared" si="73"/>
        <v>0</v>
      </c>
      <c r="J214" s="255">
        <f t="shared" si="73"/>
        <v>0</v>
      </c>
      <c r="K214" s="255">
        <f t="shared" si="73"/>
        <v>0</v>
      </c>
      <c r="L214" s="255">
        <f t="shared" si="73"/>
        <v>0</v>
      </c>
      <c r="M214" s="255">
        <f t="shared" si="73"/>
        <v>0</v>
      </c>
      <c r="N214" s="255">
        <f t="shared" si="73"/>
        <v>0</v>
      </c>
      <c r="O214" s="255">
        <f t="shared" si="73"/>
        <v>0</v>
      </c>
      <c r="P214" s="255">
        <f t="shared" si="73"/>
        <v>0</v>
      </c>
      <c r="Q214" s="255" t="str">
        <f t="shared" si="73"/>
        <v/>
      </c>
      <c r="R214" s="292"/>
      <c r="S214" s="292"/>
    </row>
    <row r="215" spans="1:19">
      <c r="A215" s="255"/>
      <c r="B215" s="255"/>
      <c r="C215" s="255" t="s">
        <v>954</v>
      </c>
      <c r="D215" s="255"/>
      <c r="E215" s="255">
        <f>+E98</f>
        <v>0</v>
      </c>
      <c r="F215" s="255">
        <f t="shared" ref="F215:Q215" si="74">+F98</f>
        <v>0</v>
      </c>
      <c r="G215" s="255">
        <f t="shared" si="74"/>
        <v>0</v>
      </c>
      <c r="H215" s="255">
        <f t="shared" si="74"/>
        <v>0</v>
      </c>
      <c r="I215" s="255">
        <f t="shared" si="74"/>
        <v>0</v>
      </c>
      <c r="J215" s="255">
        <f t="shared" si="74"/>
        <v>0</v>
      </c>
      <c r="K215" s="255">
        <f t="shared" si="74"/>
        <v>0</v>
      </c>
      <c r="L215" s="255">
        <f t="shared" si="74"/>
        <v>0</v>
      </c>
      <c r="M215" s="255">
        <f t="shared" si="74"/>
        <v>0</v>
      </c>
      <c r="N215" s="255">
        <f t="shared" si="74"/>
        <v>0</v>
      </c>
      <c r="O215" s="255">
        <f t="shared" si="74"/>
        <v>0</v>
      </c>
      <c r="P215" s="255">
        <f t="shared" si="74"/>
        <v>0</v>
      </c>
      <c r="Q215" s="255" t="str">
        <f t="shared" si="74"/>
        <v/>
      </c>
      <c r="R215" s="292"/>
      <c r="S215" s="292"/>
    </row>
    <row r="216" spans="1:19">
      <c r="A216" s="255"/>
      <c r="B216" s="255"/>
      <c r="C216" s="255" t="s">
        <v>955</v>
      </c>
      <c r="D216" s="255"/>
      <c r="E216" s="255">
        <f>+E106</f>
        <v>0</v>
      </c>
      <c r="F216" s="255">
        <f t="shared" ref="F216:Q216" si="75">+F106</f>
        <v>0</v>
      </c>
      <c r="G216" s="255">
        <f t="shared" si="75"/>
        <v>0</v>
      </c>
      <c r="H216" s="255">
        <f t="shared" si="75"/>
        <v>0</v>
      </c>
      <c r="I216" s="255">
        <f t="shared" si="75"/>
        <v>0</v>
      </c>
      <c r="J216" s="255">
        <f t="shared" si="75"/>
        <v>0</v>
      </c>
      <c r="K216" s="255">
        <f t="shared" si="75"/>
        <v>0</v>
      </c>
      <c r="L216" s="255">
        <f t="shared" si="75"/>
        <v>0</v>
      </c>
      <c r="M216" s="255">
        <f t="shared" si="75"/>
        <v>0</v>
      </c>
      <c r="N216" s="255">
        <f t="shared" si="75"/>
        <v>0</v>
      </c>
      <c r="O216" s="255">
        <f t="shared" si="75"/>
        <v>0</v>
      </c>
      <c r="P216" s="255">
        <f t="shared" si="75"/>
        <v>0</v>
      </c>
      <c r="Q216" s="255">
        <f t="shared" si="75"/>
        <v>0</v>
      </c>
      <c r="R216" s="292"/>
      <c r="S216" s="292"/>
    </row>
    <row r="217" spans="1:19">
      <c r="A217" s="255"/>
      <c r="B217" s="255"/>
      <c r="C217" s="255" t="s">
        <v>956</v>
      </c>
      <c r="D217" s="255"/>
      <c r="E217" s="255">
        <f>+E114</f>
        <v>0</v>
      </c>
      <c r="F217" s="255">
        <f t="shared" ref="F217:Q217" si="76">+F114</f>
        <v>0</v>
      </c>
      <c r="G217" s="255">
        <f t="shared" si="76"/>
        <v>0</v>
      </c>
      <c r="H217" s="255">
        <f t="shared" si="76"/>
        <v>0</v>
      </c>
      <c r="I217" s="255">
        <f t="shared" si="76"/>
        <v>0</v>
      </c>
      <c r="J217" s="255">
        <f t="shared" si="76"/>
        <v>0</v>
      </c>
      <c r="K217" s="255">
        <f t="shared" si="76"/>
        <v>0</v>
      </c>
      <c r="L217" s="255">
        <f t="shared" si="76"/>
        <v>0</v>
      </c>
      <c r="M217" s="255">
        <f t="shared" si="76"/>
        <v>0</v>
      </c>
      <c r="N217" s="255">
        <f t="shared" si="76"/>
        <v>0</v>
      </c>
      <c r="O217" s="255">
        <f t="shared" si="76"/>
        <v>0</v>
      </c>
      <c r="P217" s="255">
        <f t="shared" si="76"/>
        <v>0</v>
      </c>
      <c r="Q217" s="255" t="str">
        <f t="shared" si="76"/>
        <v/>
      </c>
      <c r="R217" s="292"/>
      <c r="S217" s="292"/>
    </row>
    <row r="218" spans="1:19">
      <c r="A218" s="255"/>
      <c r="B218" s="255"/>
      <c r="C218" s="255" t="s">
        <v>957</v>
      </c>
      <c r="D218" s="255"/>
      <c r="E218" s="255">
        <f>+E121</f>
        <v>0</v>
      </c>
      <c r="F218" s="255">
        <f t="shared" ref="F218:Q218" si="77">+F121</f>
        <v>0</v>
      </c>
      <c r="G218" s="255">
        <f t="shared" si="77"/>
        <v>0</v>
      </c>
      <c r="H218" s="255">
        <f t="shared" si="77"/>
        <v>0</v>
      </c>
      <c r="I218" s="255">
        <f t="shared" si="77"/>
        <v>0</v>
      </c>
      <c r="J218" s="255">
        <f t="shared" si="77"/>
        <v>0</v>
      </c>
      <c r="K218" s="255">
        <f t="shared" si="77"/>
        <v>0</v>
      </c>
      <c r="L218" s="255">
        <f t="shared" si="77"/>
        <v>0</v>
      </c>
      <c r="M218" s="255">
        <f t="shared" si="77"/>
        <v>0</v>
      </c>
      <c r="N218" s="255">
        <f t="shared" si="77"/>
        <v>0</v>
      </c>
      <c r="O218" s="255">
        <f t="shared" si="77"/>
        <v>0</v>
      </c>
      <c r="P218" s="255">
        <f t="shared" si="77"/>
        <v>0</v>
      </c>
      <c r="Q218" s="255" t="str">
        <f t="shared" si="77"/>
        <v/>
      </c>
      <c r="R218" s="292"/>
      <c r="S218" s="292"/>
    </row>
    <row r="219" spans="1:19">
      <c r="C219" s="28" t="s">
        <v>958</v>
      </c>
      <c r="E219" s="374">
        <f>+E129</f>
        <v>0</v>
      </c>
      <c r="F219" s="374">
        <f t="shared" ref="F219:Q219" si="78">+F129</f>
        <v>0</v>
      </c>
      <c r="G219" s="374">
        <f t="shared" si="78"/>
        <v>0</v>
      </c>
      <c r="H219" s="374">
        <f t="shared" si="78"/>
        <v>0</v>
      </c>
      <c r="I219" s="374">
        <f t="shared" si="78"/>
        <v>0</v>
      </c>
      <c r="J219" s="374">
        <f t="shared" si="78"/>
        <v>0</v>
      </c>
      <c r="K219" s="374">
        <f t="shared" si="78"/>
        <v>0</v>
      </c>
      <c r="L219" s="374">
        <f t="shared" si="78"/>
        <v>0</v>
      </c>
      <c r="M219" s="374">
        <f t="shared" si="78"/>
        <v>0</v>
      </c>
      <c r="N219" s="374">
        <f t="shared" si="78"/>
        <v>0</v>
      </c>
      <c r="O219" s="374">
        <f t="shared" si="78"/>
        <v>0</v>
      </c>
      <c r="P219" s="374">
        <f t="shared" si="78"/>
        <v>0</v>
      </c>
      <c r="Q219" s="374">
        <f t="shared" si="78"/>
        <v>0</v>
      </c>
    </row>
    <row r="221" spans="1:19">
      <c r="A221" s="180"/>
      <c r="B221" s="180" t="s">
        <v>943</v>
      </c>
      <c r="C221" s="180"/>
      <c r="D221" s="180"/>
      <c r="E221" s="180"/>
      <c r="F221" s="180"/>
      <c r="G221" s="180"/>
      <c r="H221" s="180"/>
      <c r="I221" s="180"/>
      <c r="J221" s="180"/>
      <c r="K221" s="180"/>
      <c r="L221" s="180"/>
      <c r="M221" s="180"/>
      <c r="N221" s="180"/>
      <c r="O221" s="180"/>
      <c r="P221" s="180"/>
      <c r="Q221" s="180"/>
      <c r="R221" s="227"/>
      <c r="S221" s="227"/>
    </row>
    <row r="222" spans="1:19">
      <c r="A222" s="293"/>
      <c r="B222" s="293"/>
      <c r="C222" s="293" t="s">
        <v>959</v>
      </c>
      <c r="D222" s="293"/>
      <c r="E222" s="293">
        <f>+E158</f>
        <v>0</v>
      </c>
      <c r="F222" s="293">
        <f t="shared" ref="F222:Q222" si="79">+F158</f>
        <v>0</v>
      </c>
      <c r="G222" s="293">
        <f t="shared" si="79"/>
        <v>0</v>
      </c>
      <c r="H222" s="293">
        <f t="shared" si="79"/>
        <v>0</v>
      </c>
      <c r="I222" s="293">
        <f t="shared" si="79"/>
        <v>0</v>
      </c>
      <c r="J222" s="293">
        <f t="shared" si="79"/>
        <v>0</v>
      </c>
      <c r="K222" s="293">
        <f t="shared" si="79"/>
        <v>0</v>
      </c>
      <c r="L222" s="293">
        <f t="shared" si="79"/>
        <v>0</v>
      </c>
      <c r="M222" s="293">
        <f t="shared" si="79"/>
        <v>0</v>
      </c>
      <c r="N222" s="293">
        <f t="shared" si="79"/>
        <v>0</v>
      </c>
      <c r="O222" s="293">
        <f t="shared" si="79"/>
        <v>0</v>
      </c>
      <c r="P222" s="293">
        <f t="shared" si="79"/>
        <v>0</v>
      </c>
      <c r="Q222" s="293">
        <f t="shared" si="79"/>
        <v>0</v>
      </c>
      <c r="R222" s="293"/>
      <c r="S222" s="293"/>
    </row>
    <row r="223" spans="1:19">
      <c r="A223" s="293"/>
      <c r="B223" s="293"/>
      <c r="C223" s="293" t="s">
        <v>960</v>
      </c>
      <c r="D223" s="293"/>
      <c r="E223" s="293">
        <f>+E166</f>
        <v>0</v>
      </c>
      <c r="F223" s="293">
        <f t="shared" ref="F223:Q223" si="80">+F166</f>
        <v>0</v>
      </c>
      <c r="G223" s="293">
        <f t="shared" si="80"/>
        <v>0</v>
      </c>
      <c r="H223" s="293">
        <f t="shared" si="80"/>
        <v>0</v>
      </c>
      <c r="I223" s="293">
        <f t="shared" si="80"/>
        <v>0</v>
      </c>
      <c r="J223" s="293">
        <f t="shared" si="80"/>
        <v>0</v>
      </c>
      <c r="K223" s="293">
        <f t="shared" si="80"/>
        <v>0</v>
      </c>
      <c r="L223" s="293">
        <f t="shared" si="80"/>
        <v>0</v>
      </c>
      <c r="M223" s="293">
        <f t="shared" si="80"/>
        <v>0</v>
      </c>
      <c r="N223" s="293">
        <f t="shared" si="80"/>
        <v>0</v>
      </c>
      <c r="O223" s="293">
        <f t="shared" si="80"/>
        <v>0</v>
      </c>
      <c r="P223" s="293">
        <f t="shared" si="80"/>
        <v>0</v>
      </c>
      <c r="Q223" s="293">
        <f t="shared" si="80"/>
        <v>0</v>
      </c>
      <c r="R223" s="293"/>
      <c r="S223" s="293"/>
    </row>
    <row r="224" spans="1:19">
      <c r="A224" s="293"/>
      <c r="B224" s="293"/>
      <c r="C224" s="293" t="s">
        <v>961</v>
      </c>
      <c r="D224" s="293"/>
      <c r="E224" s="293">
        <f>+E174</f>
        <v>0</v>
      </c>
      <c r="F224" s="293">
        <f t="shared" ref="F224:Q224" si="81">+F174</f>
        <v>0</v>
      </c>
      <c r="G224" s="293">
        <f t="shared" si="81"/>
        <v>0</v>
      </c>
      <c r="H224" s="293">
        <f t="shared" si="81"/>
        <v>0</v>
      </c>
      <c r="I224" s="293">
        <f t="shared" si="81"/>
        <v>0</v>
      </c>
      <c r="J224" s="293">
        <f t="shared" si="81"/>
        <v>0</v>
      </c>
      <c r="K224" s="293">
        <f t="shared" si="81"/>
        <v>0</v>
      </c>
      <c r="L224" s="293">
        <f t="shared" si="81"/>
        <v>0</v>
      </c>
      <c r="M224" s="293">
        <f t="shared" si="81"/>
        <v>0</v>
      </c>
      <c r="N224" s="293">
        <f t="shared" si="81"/>
        <v>0</v>
      </c>
      <c r="O224" s="293">
        <f t="shared" si="81"/>
        <v>0</v>
      </c>
      <c r="P224" s="293">
        <f t="shared" si="81"/>
        <v>0</v>
      </c>
      <c r="Q224" s="293">
        <f t="shared" si="81"/>
        <v>0</v>
      </c>
      <c r="R224" s="293"/>
      <c r="S224" s="293"/>
    </row>
    <row r="225" spans="1:19">
      <c r="A225" s="293"/>
      <c r="B225" s="293"/>
      <c r="C225" s="293" t="s">
        <v>64</v>
      </c>
      <c r="D225" s="293"/>
      <c r="E225" s="293">
        <f>+E183</f>
        <v>0</v>
      </c>
      <c r="F225" s="293">
        <f t="shared" ref="F225:Q225" si="82">+F183</f>
        <v>0</v>
      </c>
      <c r="G225" s="293">
        <f t="shared" si="82"/>
        <v>0</v>
      </c>
      <c r="H225" s="293">
        <f t="shared" si="82"/>
        <v>0</v>
      </c>
      <c r="I225" s="293">
        <f t="shared" si="82"/>
        <v>0</v>
      </c>
      <c r="J225" s="293">
        <f t="shared" si="82"/>
        <v>0</v>
      </c>
      <c r="K225" s="293">
        <f t="shared" si="82"/>
        <v>0</v>
      </c>
      <c r="L225" s="293">
        <f t="shared" si="82"/>
        <v>0</v>
      </c>
      <c r="M225" s="293">
        <f t="shared" si="82"/>
        <v>0</v>
      </c>
      <c r="N225" s="293">
        <f t="shared" si="82"/>
        <v>0</v>
      </c>
      <c r="O225" s="293">
        <f t="shared" si="82"/>
        <v>0</v>
      </c>
      <c r="P225" s="293">
        <f t="shared" si="82"/>
        <v>0</v>
      </c>
      <c r="Q225" s="293">
        <f t="shared" si="82"/>
        <v>0</v>
      </c>
      <c r="R225" s="293"/>
      <c r="S225" s="293"/>
    </row>
    <row r="226" spans="1:19">
      <c r="A226" s="293"/>
      <c r="B226" s="293"/>
      <c r="C226" s="293" t="s">
        <v>112</v>
      </c>
      <c r="D226" s="293"/>
      <c r="E226" s="293">
        <f>+E192</f>
        <v>0</v>
      </c>
      <c r="F226" s="293">
        <f t="shared" ref="F226:Q226" si="83">+F192</f>
        <v>0</v>
      </c>
      <c r="G226" s="293">
        <f t="shared" si="83"/>
        <v>0</v>
      </c>
      <c r="H226" s="293">
        <f t="shared" si="83"/>
        <v>0</v>
      </c>
      <c r="I226" s="293">
        <f t="shared" si="83"/>
        <v>0</v>
      </c>
      <c r="J226" s="293">
        <f t="shared" si="83"/>
        <v>0</v>
      </c>
      <c r="K226" s="293">
        <f t="shared" si="83"/>
        <v>0</v>
      </c>
      <c r="L226" s="293">
        <f t="shared" si="83"/>
        <v>0</v>
      </c>
      <c r="M226" s="293">
        <f t="shared" si="83"/>
        <v>0</v>
      </c>
      <c r="N226" s="293">
        <f t="shared" si="83"/>
        <v>0</v>
      </c>
      <c r="O226" s="293">
        <f t="shared" si="83"/>
        <v>0</v>
      </c>
      <c r="P226" s="293">
        <f t="shared" si="83"/>
        <v>0</v>
      </c>
      <c r="Q226" s="293">
        <f t="shared" si="83"/>
        <v>0</v>
      </c>
      <c r="R226" s="293"/>
      <c r="S226" s="293"/>
    </row>
    <row r="227" spans="1:19">
      <c r="A227" s="293"/>
      <c r="B227" s="293"/>
      <c r="C227" s="293" t="s">
        <v>962</v>
      </c>
      <c r="D227" s="293"/>
      <c r="E227" s="293">
        <f>E222-E223+E224+E225-E226</f>
        <v>0</v>
      </c>
      <c r="F227" s="293">
        <f t="shared" ref="F227:Q227" si="84">F222-F223+F224+F225-F226</f>
        <v>0</v>
      </c>
      <c r="G227" s="293">
        <f t="shared" si="84"/>
        <v>0</v>
      </c>
      <c r="H227" s="293">
        <f t="shared" si="84"/>
        <v>0</v>
      </c>
      <c r="I227" s="293">
        <f t="shared" si="84"/>
        <v>0</v>
      </c>
      <c r="J227" s="293">
        <f t="shared" si="84"/>
        <v>0</v>
      </c>
      <c r="K227" s="293">
        <f t="shared" si="84"/>
        <v>0</v>
      </c>
      <c r="L227" s="293">
        <f t="shared" si="84"/>
        <v>0</v>
      </c>
      <c r="M227" s="293">
        <f t="shared" si="84"/>
        <v>0</v>
      </c>
      <c r="N227" s="293">
        <f t="shared" si="84"/>
        <v>0</v>
      </c>
      <c r="O227" s="293">
        <f t="shared" si="84"/>
        <v>0</v>
      </c>
      <c r="P227" s="293">
        <f t="shared" si="84"/>
        <v>0</v>
      </c>
      <c r="Q227" s="293">
        <f t="shared" si="84"/>
        <v>0</v>
      </c>
      <c r="R227" s="293"/>
      <c r="S227" s="293"/>
    </row>
    <row r="228" spans="1:19">
      <c r="A228" s="293"/>
      <c r="B228" s="293"/>
      <c r="C228" s="293" t="s">
        <v>963</v>
      </c>
      <c r="D228" s="293"/>
      <c r="E228" s="293"/>
      <c r="F228" s="293">
        <f>F227-E227</f>
        <v>0</v>
      </c>
      <c r="G228" s="293">
        <f t="shared" ref="G228:Q228" si="85">G227-F227</f>
        <v>0</v>
      </c>
      <c r="H228" s="293">
        <f t="shared" si="85"/>
        <v>0</v>
      </c>
      <c r="I228" s="293">
        <f t="shared" si="85"/>
        <v>0</v>
      </c>
      <c r="J228" s="293">
        <f t="shared" si="85"/>
        <v>0</v>
      </c>
      <c r="K228" s="293">
        <f t="shared" si="85"/>
        <v>0</v>
      </c>
      <c r="L228" s="293">
        <f t="shared" si="85"/>
        <v>0</v>
      </c>
      <c r="M228" s="293">
        <f t="shared" si="85"/>
        <v>0</v>
      </c>
      <c r="N228" s="293">
        <f t="shared" si="85"/>
        <v>0</v>
      </c>
      <c r="O228" s="293">
        <f t="shared" si="85"/>
        <v>0</v>
      </c>
      <c r="P228" s="293">
        <f t="shared" si="85"/>
        <v>0</v>
      </c>
      <c r="Q228" s="293">
        <f t="shared" si="85"/>
        <v>0</v>
      </c>
      <c r="R228" s="293"/>
      <c r="S228" s="293"/>
    </row>
  </sheetData>
  <mergeCells count="1">
    <mergeCell ref="R10:S10"/>
  </mergeCells>
  <phoneticPr fontId="2" type="noConversion"/>
  <conditionalFormatting sqref="E5:Q7">
    <cfRule type="cellIs" dxfId="81" priority="2" operator="equal">
      <formula>TRUE</formula>
    </cfRule>
  </conditionalFormatting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3319" r:id="rId4" name="Drop Down 7">
              <controlPr defaultSize="0" autoLine="0" autoPict="0">
                <anchor moveWithCells="1">
                  <from>
                    <xdr:col>2</xdr:col>
                    <xdr:colOff>3136392</xdr:colOff>
                    <xdr:row>9</xdr:row>
                    <xdr:rowOff>64008</xdr:rowOff>
                  </from>
                  <to>
                    <xdr:col>3</xdr:col>
                    <xdr:colOff>1271016</xdr:colOff>
                    <xdr:row>10</xdr:row>
                    <xdr:rowOff>146304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rgb="FF00B0F0"/>
    <pageSetUpPr fitToPage="1"/>
  </sheetPr>
  <dimension ref="B1:AO79"/>
  <sheetViews>
    <sheetView showGridLines="0" view="pageBreakPreview" topLeftCell="C1" zoomScale="90" zoomScaleSheetLayoutView="90" workbookViewId="0">
      <selection activeCell="E19" sqref="E19"/>
    </sheetView>
  </sheetViews>
  <sheetFormatPr defaultColWidth="9.140625" defaultRowHeight="13.7" outlineLevelCol="1"/>
  <cols>
    <col min="1" max="1" width="1.5703125" style="6" customWidth="1"/>
    <col min="2" max="2" width="1.28515625" style="6" customWidth="1"/>
    <col min="3" max="3" width="13.28515625" style="6" customWidth="1"/>
    <col min="4" max="4" width="11.140625" style="6" customWidth="1"/>
    <col min="5" max="5" width="10.42578125" style="6" customWidth="1"/>
    <col min="6" max="6" width="16.42578125" style="6" customWidth="1"/>
    <col min="7" max="7" width="16" style="6" customWidth="1"/>
    <col min="8" max="8" width="15.42578125" style="6" customWidth="1"/>
    <col min="9" max="11" width="10.42578125" style="6" customWidth="1"/>
    <col min="12" max="12" width="22.5703125" style="6" customWidth="1"/>
    <col min="13" max="19" width="9.85546875" style="6" customWidth="1"/>
    <col min="20" max="20" width="12" style="6" customWidth="1"/>
    <col min="21" max="28" width="9.85546875" style="6" customWidth="1"/>
    <col min="29" max="40" width="9.85546875" style="6" customWidth="1" outlineLevel="1"/>
    <col min="41" max="16384" width="9.140625" style="6"/>
  </cols>
  <sheetData>
    <row r="1" spans="2:41" ht="16.600000000000001">
      <c r="B1" s="1"/>
      <c r="C1" s="196" t="str">
        <f>CONCATENATE("Project ",project_name," - Financing Assumptions")</f>
        <v>Project  - Financing Assumptions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2:41" ht="14.4">
      <c r="B2" s="1"/>
      <c r="C2" s="194" t="str">
        <f>CONCATENATE("In ",model_curr," thousand unless otherwise stated")</f>
        <v>In USD thousand unless otherwise stated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2:41" ht="14.4">
      <c r="B3" s="1"/>
      <c r="C3" s="55" t="s">
        <v>38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2:41"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</row>
    <row r="5" spans="2:41"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>
        <f>'Financial Quarterly offshore'!D4</f>
        <v>43555</v>
      </c>
      <c r="N5" s="198">
        <f>'Financial Quarterly offshore'!E4</f>
        <v>43646</v>
      </c>
      <c r="O5" s="198">
        <f>'Financial Quarterly offshore'!F4</f>
        <v>43738</v>
      </c>
      <c r="P5" s="198">
        <f>'Financial Quarterly offshore'!G4</f>
        <v>43830</v>
      </c>
      <c r="Q5" s="198">
        <f>'Financial Quarterly offshore'!H4</f>
        <v>43921</v>
      </c>
      <c r="R5" s="198">
        <f>'Financial Quarterly offshore'!I4</f>
        <v>44012</v>
      </c>
      <c r="S5" s="198">
        <f>'Financial Quarterly offshore'!J4</f>
        <v>44104</v>
      </c>
      <c r="T5" s="198">
        <f>'Financial Quarterly offshore'!K4</f>
        <v>44196</v>
      </c>
      <c r="U5" s="198">
        <f>'Financial Quarterly offshore'!L4</f>
        <v>44286</v>
      </c>
      <c r="V5" s="198">
        <f>'Financial Quarterly offshore'!M4</f>
        <v>44377</v>
      </c>
      <c r="W5" s="198">
        <f>'Financial Quarterly offshore'!N4</f>
        <v>44469</v>
      </c>
      <c r="X5" s="198">
        <f>'Financial Quarterly offshore'!O4</f>
        <v>44561</v>
      </c>
      <c r="Y5" s="198">
        <f>'Financial Quarterly offshore'!P4</f>
        <v>44651</v>
      </c>
      <c r="Z5" s="198">
        <f>'Financial Quarterly offshore'!Q4</f>
        <v>44742</v>
      </c>
      <c r="AA5" s="198">
        <f>'Financial Quarterly offshore'!R4</f>
        <v>44834</v>
      </c>
      <c r="AB5" s="198">
        <f>'Financial Quarterly offshore'!S4</f>
        <v>44926</v>
      </c>
      <c r="AC5" s="198">
        <f>'Financial Quarterly offshore'!T4</f>
        <v>45016</v>
      </c>
      <c r="AD5" s="198">
        <f>'Financial Quarterly offshore'!U4</f>
        <v>45107</v>
      </c>
      <c r="AE5" s="198">
        <f>'Financial Quarterly offshore'!V4</f>
        <v>45199</v>
      </c>
      <c r="AF5" s="198">
        <f>'Financial Quarterly offshore'!W4</f>
        <v>45291</v>
      </c>
      <c r="AG5" s="198">
        <f>'Financial Quarterly offshore'!X4</f>
        <v>45382</v>
      </c>
      <c r="AH5" s="198">
        <f>'Financial Quarterly offshore'!Y4</f>
        <v>45473</v>
      </c>
      <c r="AI5" s="198">
        <f>'Financial Quarterly offshore'!Z4</f>
        <v>45565</v>
      </c>
      <c r="AJ5" s="198">
        <f>'Financial Quarterly offshore'!AA4</f>
        <v>45657</v>
      </c>
      <c r="AK5" s="198">
        <f>'Financial Quarterly offshore'!AB4</f>
        <v>45747</v>
      </c>
      <c r="AL5" s="198">
        <f>'Financial Quarterly offshore'!AC4</f>
        <v>45838</v>
      </c>
      <c r="AM5" s="198">
        <f>'Financial Quarterly offshore'!AD4</f>
        <v>45930</v>
      </c>
      <c r="AN5" s="198">
        <f>'Financial Quarterly offshore'!AE4</f>
        <v>46022</v>
      </c>
      <c r="AO5" s="198">
        <f>'Financial Quarterly offshore'!AF4</f>
        <v>46112</v>
      </c>
    </row>
    <row r="6" spans="2:41">
      <c r="C6" s="209" t="s">
        <v>694</v>
      </c>
      <c r="D6" s="209"/>
      <c r="E6" s="209"/>
      <c r="F6" s="209"/>
      <c r="G6" s="209"/>
      <c r="H6" s="209"/>
      <c r="I6" s="209"/>
      <c r="J6" s="209"/>
      <c r="K6" s="209"/>
      <c r="L6" s="209"/>
      <c r="M6" s="209" t="b">
        <f>'Financial Quarterly offshore'!D5</f>
        <v>1</v>
      </c>
      <c r="N6" s="209" t="b">
        <f>'Financial Quarterly offshore'!E5</f>
        <v>1</v>
      </c>
      <c r="O6" s="209" t="b">
        <f>'Financial Quarterly offshore'!F5</f>
        <v>1</v>
      </c>
      <c r="P6" s="209" t="b">
        <f>'Financial Quarterly offshore'!G5</f>
        <v>1</v>
      </c>
      <c r="Q6" s="209" t="b">
        <f>'Financial Quarterly offshore'!H5</f>
        <v>1</v>
      </c>
      <c r="R6" s="209" t="b">
        <f>'Financial Quarterly offshore'!I5</f>
        <v>1</v>
      </c>
      <c r="S6" s="209" t="b">
        <f>'Financial Quarterly offshore'!J5</f>
        <v>1</v>
      </c>
      <c r="T6" s="209" t="b">
        <f>'Financial Quarterly offshore'!K5</f>
        <v>1</v>
      </c>
      <c r="U6" s="209" t="b">
        <f>'Financial Quarterly offshore'!L5</f>
        <v>1</v>
      </c>
      <c r="V6" s="209" t="b">
        <f>'Financial Quarterly offshore'!M5</f>
        <v>1</v>
      </c>
      <c r="W6" s="209" t="b">
        <f>'Financial Quarterly offshore'!N5</f>
        <v>1</v>
      </c>
      <c r="X6" s="209" t="b">
        <f>'Financial Quarterly offshore'!O5</f>
        <v>1</v>
      </c>
      <c r="Y6" s="209" t="b">
        <f>'Financial Quarterly offshore'!P5</f>
        <v>1</v>
      </c>
      <c r="Z6" s="209" t="b">
        <f>'Financial Quarterly offshore'!Q5</f>
        <v>1</v>
      </c>
      <c r="AA6" s="209" t="b">
        <f>'Financial Quarterly offshore'!R5</f>
        <v>1</v>
      </c>
      <c r="AB6" s="209" t="b">
        <f>'Financial Quarterly offshore'!S5</f>
        <v>1</v>
      </c>
      <c r="AC6" s="209" t="b">
        <f>'Financial Quarterly offshore'!T5</f>
        <v>1</v>
      </c>
      <c r="AD6" s="209" t="b">
        <f>'Financial Quarterly offshore'!U5</f>
        <v>1</v>
      </c>
      <c r="AE6" s="209" t="b">
        <f>'Financial Quarterly offshore'!V5</f>
        <v>1</v>
      </c>
      <c r="AF6" s="209" t="b">
        <f>'Financial Quarterly offshore'!W5</f>
        <v>1</v>
      </c>
      <c r="AG6" s="209" t="b">
        <f>'Financial Quarterly offshore'!X5</f>
        <v>1</v>
      </c>
      <c r="AH6" s="209" t="b">
        <f>'Financial Quarterly offshore'!Y5</f>
        <v>1</v>
      </c>
      <c r="AI6" s="209" t="b">
        <f>'Financial Quarterly offshore'!Z5</f>
        <v>1</v>
      </c>
      <c r="AJ6" s="209" t="b">
        <f>'Financial Quarterly offshore'!AA5</f>
        <v>1</v>
      </c>
      <c r="AK6" s="209" t="b">
        <f>'Financial Quarterly offshore'!AB5</f>
        <v>0</v>
      </c>
      <c r="AL6" s="209" t="b">
        <f>'Financial Quarterly offshore'!AC5</f>
        <v>0</v>
      </c>
      <c r="AM6" s="209" t="b">
        <f>'Financial Quarterly offshore'!AD5</f>
        <v>0</v>
      </c>
      <c r="AN6" s="209" t="b">
        <f>'Financial Quarterly offshore'!AE5</f>
        <v>0</v>
      </c>
      <c r="AO6" s="209" t="b">
        <f>'Financial Quarterly offshore'!AF5</f>
        <v>0</v>
      </c>
    </row>
    <row r="7" spans="2:41">
      <c r="C7" s="209" t="s">
        <v>743</v>
      </c>
      <c r="D7" s="209"/>
      <c r="E7" s="209"/>
      <c r="F7" s="209"/>
      <c r="G7" s="209"/>
      <c r="H7" s="209"/>
      <c r="I7" s="209"/>
      <c r="J7" s="209"/>
      <c r="K7" s="209"/>
      <c r="L7" s="209"/>
      <c r="M7" s="209">
        <v>0.25</v>
      </c>
      <c r="N7" s="209">
        <f>+M7+0.25</f>
        <v>0.5</v>
      </c>
      <c r="O7" s="209">
        <f>+N7+0.25</f>
        <v>0.75</v>
      </c>
      <c r="P7" s="209">
        <f t="shared" ref="P7:AO7" si="0">+O7+0.25</f>
        <v>1</v>
      </c>
      <c r="Q7" s="209">
        <f t="shared" si="0"/>
        <v>1.25</v>
      </c>
      <c r="R7" s="209">
        <f t="shared" si="0"/>
        <v>1.5</v>
      </c>
      <c r="S7" s="209">
        <f t="shared" si="0"/>
        <v>1.75</v>
      </c>
      <c r="T7" s="209">
        <f t="shared" si="0"/>
        <v>2</v>
      </c>
      <c r="U7" s="209">
        <f t="shared" si="0"/>
        <v>2.25</v>
      </c>
      <c r="V7" s="209">
        <f t="shared" si="0"/>
        <v>2.5</v>
      </c>
      <c r="W7" s="209">
        <f t="shared" si="0"/>
        <v>2.75</v>
      </c>
      <c r="X7" s="209">
        <f t="shared" si="0"/>
        <v>3</v>
      </c>
      <c r="Y7" s="209">
        <f t="shared" si="0"/>
        <v>3.25</v>
      </c>
      <c r="Z7" s="209">
        <f t="shared" si="0"/>
        <v>3.5</v>
      </c>
      <c r="AA7" s="209">
        <f t="shared" si="0"/>
        <v>3.75</v>
      </c>
      <c r="AB7" s="209">
        <f t="shared" si="0"/>
        <v>4</v>
      </c>
      <c r="AC7" s="209">
        <f t="shared" si="0"/>
        <v>4.25</v>
      </c>
      <c r="AD7" s="209">
        <f t="shared" si="0"/>
        <v>4.5</v>
      </c>
      <c r="AE7" s="209">
        <f t="shared" si="0"/>
        <v>4.75</v>
      </c>
      <c r="AF7" s="209">
        <f t="shared" si="0"/>
        <v>5</v>
      </c>
      <c r="AG7" s="209">
        <f t="shared" si="0"/>
        <v>5.25</v>
      </c>
      <c r="AH7" s="209">
        <f t="shared" ref="AH7" si="1">+AG7+0.25</f>
        <v>5.5</v>
      </c>
      <c r="AI7" s="209">
        <f t="shared" ref="AI7" si="2">+AH7+0.25</f>
        <v>5.75</v>
      </c>
      <c r="AJ7" s="209">
        <f t="shared" ref="AJ7" si="3">+AI7+0.25</f>
        <v>6</v>
      </c>
      <c r="AK7" s="209">
        <f t="shared" ref="AK7" si="4">+AJ7+0.25</f>
        <v>6.25</v>
      </c>
      <c r="AL7" s="209">
        <f t="shared" ref="AL7" si="5">+AK7+0.25</f>
        <v>6.5</v>
      </c>
      <c r="AM7" s="209">
        <f t="shared" ref="AM7" si="6">+AL7+0.25</f>
        <v>6.75</v>
      </c>
      <c r="AN7" s="209">
        <f t="shared" ref="AN7" si="7">+AM7+0.25</f>
        <v>7</v>
      </c>
      <c r="AO7" s="209">
        <f t="shared" si="0"/>
        <v>7.25</v>
      </c>
    </row>
    <row r="9" spans="2:41">
      <c r="C9" s="222" t="s">
        <v>24</v>
      </c>
      <c r="D9" s="209"/>
      <c r="E9" s="209"/>
      <c r="F9" s="178"/>
      <c r="G9" s="178"/>
      <c r="H9" s="178"/>
      <c r="I9" s="178"/>
      <c r="J9" s="178"/>
      <c r="L9" s="222"/>
      <c r="M9" s="222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</row>
    <row r="10" spans="2:41">
      <c r="C10" s="255" t="s">
        <v>25</v>
      </c>
      <c r="F10" s="197">
        <v>100000</v>
      </c>
      <c r="L10" s="57"/>
      <c r="M10" s="57"/>
    </row>
    <row r="11" spans="2:41" ht="14.4">
      <c r="C11" s="197" t="s">
        <v>1058</v>
      </c>
      <c r="D11" s="1"/>
      <c r="E11" s="1"/>
      <c r="F11" s="273">
        <v>1.41E-2</v>
      </c>
      <c r="L11" s="59"/>
      <c r="M11" s="59">
        <f>$F$11</f>
        <v>1.41E-2</v>
      </c>
      <c r="N11" s="59">
        <f t="shared" ref="N11:AO11" si="8">$F$11</f>
        <v>1.41E-2</v>
      </c>
      <c r="O11" s="59">
        <f t="shared" si="8"/>
        <v>1.41E-2</v>
      </c>
      <c r="P11" s="59">
        <f t="shared" si="8"/>
        <v>1.41E-2</v>
      </c>
      <c r="Q11" s="59">
        <f t="shared" si="8"/>
        <v>1.41E-2</v>
      </c>
      <c r="R11" s="59">
        <f t="shared" si="8"/>
        <v>1.41E-2</v>
      </c>
      <c r="S11" s="59">
        <f t="shared" si="8"/>
        <v>1.41E-2</v>
      </c>
      <c r="T11" s="59">
        <f t="shared" si="8"/>
        <v>1.41E-2</v>
      </c>
      <c r="U11" s="59">
        <f t="shared" si="8"/>
        <v>1.41E-2</v>
      </c>
      <c r="V11" s="59">
        <f t="shared" si="8"/>
        <v>1.41E-2</v>
      </c>
      <c r="W11" s="59">
        <f t="shared" si="8"/>
        <v>1.41E-2</v>
      </c>
      <c r="X11" s="59">
        <f t="shared" si="8"/>
        <v>1.41E-2</v>
      </c>
      <c r="Y11" s="59">
        <f t="shared" si="8"/>
        <v>1.41E-2</v>
      </c>
      <c r="Z11" s="59">
        <f t="shared" si="8"/>
        <v>1.41E-2</v>
      </c>
      <c r="AA11" s="59">
        <f t="shared" si="8"/>
        <v>1.41E-2</v>
      </c>
      <c r="AB11" s="59">
        <f t="shared" si="8"/>
        <v>1.41E-2</v>
      </c>
      <c r="AC11" s="59">
        <f t="shared" si="8"/>
        <v>1.41E-2</v>
      </c>
      <c r="AD11" s="59">
        <f t="shared" si="8"/>
        <v>1.41E-2</v>
      </c>
      <c r="AE11" s="59">
        <f t="shared" si="8"/>
        <v>1.41E-2</v>
      </c>
      <c r="AF11" s="59">
        <f t="shared" si="8"/>
        <v>1.41E-2</v>
      </c>
      <c r="AG11" s="59">
        <f t="shared" si="8"/>
        <v>1.41E-2</v>
      </c>
      <c r="AH11" s="59">
        <f t="shared" si="8"/>
        <v>1.41E-2</v>
      </c>
      <c r="AI11" s="59">
        <f t="shared" si="8"/>
        <v>1.41E-2</v>
      </c>
      <c r="AJ11" s="59">
        <f t="shared" si="8"/>
        <v>1.41E-2</v>
      </c>
      <c r="AK11" s="59">
        <f t="shared" si="8"/>
        <v>1.41E-2</v>
      </c>
      <c r="AL11" s="59">
        <f t="shared" si="8"/>
        <v>1.41E-2</v>
      </c>
      <c r="AM11" s="59">
        <f t="shared" si="8"/>
        <v>1.41E-2</v>
      </c>
      <c r="AN11" s="59">
        <f t="shared" si="8"/>
        <v>1.41E-2</v>
      </c>
      <c r="AO11" s="59">
        <f t="shared" si="8"/>
        <v>1.41E-2</v>
      </c>
    </row>
    <row r="12" spans="2:41" ht="14.4">
      <c r="C12" s="268" t="s">
        <v>839</v>
      </c>
      <c r="D12" s="1"/>
      <c r="E12" s="1"/>
      <c r="F12" s="273">
        <v>5.0000000000000001E-3</v>
      </c>
    </row>
    <row r="13" spans="2:41">
      <c r="C13" s="222" t="s">
        <v>742</v>
      </c>
      <c r="D13" s="209"/>
      <c r="E13" s="209"/>
      <c r="F13" s="178"/>
      <c r="G13" s="178"/>
      <c r="H13" s="178"/>
      <c r="I13" s="178"/>
      <c r="J13" s="178"/>
      <c r="L13" s="222" t="s">
        <v>799</v>
      </c>
      <c r="M13" s="222"/>
      <c r="N13" s="222"/>
      <c r="O13" s="222"/>
      <c r="P13" s="222"/>
      <c r="Q13" s="222"/>
      <c r="R13" s="222"/>
      <c r="S13" s="222"/>
      <c r="T13" s="222"/>
      <c r="U13" s="222"/>
      <c r="V13" s="222"/>
      <c r="W13" s="222"/>
      <c r="X13" s="222"/>
      <c r="Y13" s="222"/>
      <c r="Z13" s="222"/>
      <c r="AA13" s="222"/>
      <c r="AB13" s="222"/>
      <c r="AC13" s="222"/>
      <c r="AD13" s="222"/>
      <c r="AE13" s="222"/>
      <c r="AF13" s="222"/>
      <c r="AG13" s="222"/>
      <c r="AH13" s="222"/>
      <c r="AI13" s="222"/>
      <c r="AJ13" s="222"/>
      <c r="AK13" s="222"/>
      <c r="AL13" s="222"/>
      <c r="AM13" s="222"/>
      <c r="AN13" s="222"/>
      <c r="AO13" s="222"/>
    </row>
    <row r="14" spans="2:41">
      <c r="C14" s="219" t="s">
        <v>26</v>
      </c>
      <c r="D14" s="214"/>
      <c r="E14" s="214"/>
      <c r="F14" s="219">
        <f>+F15/$F$10</f>
        <v>0</v>
      </c>
      <c r="H14" s="61" t="s">
        <v>29</v>
      </c>
      <c r="I14" s="62"/>
      <c r="J14" s="63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spans="2:41">
      <c r="C15" s="60" t="s">
        <v>27</v>
      </c>
      <c r="D15" s="22"/>
      <c r="E15" s="22"/>
      <c r="F15" s="197">
        <v>0</v>
      </c>
      <c r="H15" s="65" t="s">
        <v>861</v>
      </c>
      <c r="I15" s="66"/>
      <c r="J15" s="67" t="s">
        <v>30</v>
      </c>
      <c r="L15" s="282" t="s">
        <v>1013</v>
      </c>
      <c r="M15" s="282"/>
      <c r="N15" s="255">
        <f>-$F15*N16</f>
        <v>0</v>
      </c>
      <c r="O15" s="255">
        <f t="shared" ref="O15:AO15" si="9">-$F15*O16</f>
        <v>0</v>
      </c>
      <c r="P15" s="255">
        <f t="shared" si="9"/>
        <v>0</v>
      </c>
      <c r="Q15" s="255">
        <f t="shared" si="9"/>
        <v>0</v>
      </c>
      <c r="R15" s="255">
        <f t="shared" si="9"/>
        <v>0</v>
      </c>
      <c r="S15" s="255">
        <f>-$F15*S16</f>
        <v>0</v>
      </c>
      <c r="T15" s="255">
        <f>-$F15*T16</f>
        <v>0</v>
      </c>
      <c r="U15" s="255">
        <f t="shared" si="9"/>
        <v>0</v>
      </c>
      <c r="V15" s="255">
        <f t="shared" si="9"/>
        <v>0</v>
      </c>
      <c r="W15" s="255">
        <f t="shared" si="9"/>
        <v>0</v>
      </c>
      <c r="X15" s="255">
        <f t="shared" si="9"/>
        <v>0</v>
      </c>
      <c r="Y15" s="255">
        <f t="shared" si="9"/>
        <v>0</v>
      </c>
      <c r="Z15" s="255">
        <f t="shared" si="9"/>
        <v>0</v>
      </c>
      <c r="AA15" s="255">
        <f t="shared" si="9"/>
        <v>0</v>
      </c>
      <c r="AB15" s="255">
        <f t="shared" si="9"/>
        <v>0</v>
      </c>
      <c r="AC15" s="255">
        <f t="shared" si="9"/>
        <v>0</v>
      </c>
      <c r="AD15" s="255">
        <f t="shared" si="9"/>
        <v>0</v>
      </c>
      <c r="AE15" s="255">
        <f t="shared" si="9"/>
        <v>0</v>
      </c>
      <c r="AF15" s="255">
        <f t="shared" si="9"/>
        <v>0</v>
      </c>
      <c r="AG15" s="255">
        <f t="shared" si="9"/>
        <v>0</v>
      </c>
      <c r="AH15" s="255">
        <f t="shared" si="9"/>
        <v>0</v>
      </c>
      <c r="AI15" s="255">
        <f t="shared" si="9"/>
        <v>0</v>
      </c>
      <c r="AJ15" s="255">
        <f t="shared" si="9"/>
        <v>0</v>
      </c>
      <c r="AK15" s="255">
        <f t="shared" si="9"/>
        <v>0</v>
      </c>
      <c r="AL15" s="255">
        <f t="shared" si="9"/>
        <v>0</v>
      </c>
      <c r="AM15" s="255">
        <f t="shared" si="9"/>
        <v>0</v>
      </c>
      <c r="AN15" s="255">
        <f t="shared" si="9"/>
        <v>0</v>
      </c>
      <c r="AO15" s="255">
        <f t="shared" si="9"/>
        <v>0</v>
      </c>
    </row>
    <row r="16" spans="2:41">
      <c r="C16" s="60" t="s">
        <v>804</v>
      </c>
      <c r="D16" s="22"/>
      <c r="E16" s="22"/>
      <c r="F16" s="277" t="s">
        <v>1527</v>
      </c>
      <c r="G16" s="68">
        <f>IF(F16="variable",1,0)</f>
        <v>0</v>
      </c>
      <c r="H16" s="69" t="str">
        <f>CONCATENATE("&gt;",I17,"x")</f>
        <v>&gt;4x</v>
      </c>
      <c r="I16" s="278">
        <v>99999</v>
      </c>
      <c r="J16" s="279">
        <v>400</v>
      </c>
      <c r="L16" s="282" t="s">
        <v>1014</v>
      </c>
      <c r="M16" s="60"/>
      <c r="N16" s="274">
        <v>0</v>
      </c>
      <c r="O16" s="274">
        <v>0</v>
      </c>
      <c r="P16" s="274">
        <v>0</v>
      </c>
      <c r="Q16" s="274">
        <v>0</v>
      </c>
      <c r="R16" s="274">
        <v>0</v>
      </c>
      <c r="S16" s="274">
        <v>0</v>
      </c>
      <c r="T16" s="274">
        <v>0</v>
      </c>
      <c r="U16" s="274">
        <v>0</v>
      </c>
      <c r="V16" s="274">
        <v>0</v>
      </c>
      <c r="W16" s="274">
        <f>S16</f>
        <v>0</v>
      </c>
      <c r="X16" s="274">
        <v>0</v>
      </c>
      <c r="Y16" s="274">
        <v>0</v>
      </c>
      <c r="Z16" s="274">
        <v>0</v>
      </c>
      <c r="AA16" s="274">
        <v>0</v>
      </c>
      <c r="AB16" s="274">
        <v>0</v>
      </c>
      <c r="AC16" s="274">
        <v>0</v>
      </c>
      <c r="AD16" s="274">
        <v>0</v>
      </c>
      <c r="AE16" s="274">
        <v>0</v>
      </c>
      <c r="AF16" s="274">
        <v>1</v>
      </c>
      <c r="AG16" s="274">
        <v>0</v>
      </c>
      <c r="AH16" s="274">
        <v>0</v>
      </c>
      <c r="AI16" s="274">
        <v>0</v>
      </c>
      <c r="AJ16" s="274">
        <v>0</v>
      </c>
      <c r="AK16" s="274">
        <v>0</v>
      </c>
      <c r="AL16" s="274">
        <v>0</v>
      </c>
      <c r="AM16" s="274">
        <v>0</v>
      </c>
      <c r="AN16" s="274">
        <v>0</v>
      </c>
      <c r="AO16" s="274">
        <v>0</v>
      </c>
    </row>
    <row r="17" spans="3:41">
      <c r="C17" s="6" t="s">
        <v>28</v>
      </c>
      <c r="F17" s="275">
        <f>SUMPRODUCT(N16:AN16,$N$7:$AN$7)</f>
        <v>5</v>
      </c>
      <c r="H17" s="69" t="str">
        <f>CONCATENATE(I18,"x&lt;x&lt;=",I17,"x")</f>
        <v>3x&lt;x&lt;=4x</v>
      </c>
      <c r="I17" s="278">
        <v>4</v>
      </c>
      <c r="J17" s="279">
        <v>400</v>
      </c>
      <c r="L17" s="282" t="s">
        <v>1015</v>
      </c>
      <c r="M17" s="261" t="str">
        <f>INDEX('Covenants offshore'!D$43:D$87,MATCH('Financing assumptions offshore'!$H15,'Covenants offshore'!$C$43:$C$87,0))</f>
        <v>na</v>
      </c>
      <c r="N17" s="261" t="str">
        <f>INDEX('Covenants offshore'!E$43:E$87,MATCH('Financing assumptions offshore'!$H15,'Covenants offshore'!$C$43:$C$87,0))</f>
        <v>na</v>
      </c>
      <c r="O17" s="261" t="str">
        <f>INDEX('Covenants offshore'!F$43:F$87,MATCH('Financing assumptions offshore'!$H15,'Covenants offshore'!$C$43:$C$87,0))</f>
        <v>na</v>
      </c>
      <c r="P17" s="261" t="e">
        <f ca="1">INDEX('Covenants offshore'!G$43:G$87,MATCH('Financing assumptions offshore'!$H15,'Covenants offshore'!$C$43:$C$87,0))</f>
        <v>#DIV/0!</v>
      </c>
      <c r="Q17" s="261" t="e">
        <f ca="1">INDEX('Covenants offshore'!H$43:H$87,MATCH('Financing assumptions offshore'!$H15,'Covenants offshore'!$C$43:$C$87,0))</f>
        <v>#DIV/0!</v>
      </c>
      <c r="R17" s="261" t="e">
        <f ca="1">INDEX('Covenants offshore'!I$43:I$87,MATCH('Financing assumptions offshore'!$H15,'Covenants offshore'!$C$43:$C$87,0))</f>
        <v>#DIV/0!</v>
      </c>
      <c r="S17" s="261" t="e">
        <f ca="1">INDEX('Covenants offshore'!J$43:J$87,MATCH('Financing assumptions offshore'!$H15,'Covenants offshore'!$C$43:$C$87,0))</f>
        <v>#DIV/0!</v>
      </c>
      <c r="T17" s="261" t="e">
        <f ca="1">INDEX('Covenants offshore'!K$43:K$87,MATCH('Financing assumptions offshore'!$H15,'Covenants offshore'!$C$43:$C$87,0))</f>
        <v>#DIV/0!</v>
      </c>
      <c r="U17" s="261" t="e">
        <f ca="1">INDEX('Covenants offshore'!L$43:L$87,MATCH('Financing assumptions offshore'!$H15,'Covenants offshore'!$C$43:$C$87,0))</f>
        <v>#DIV/0!</v>
      </c>
      <c r="V17" s="261" t="e">
        <f ca="1">INDEX('Covenants offshore'!M$43:M$87,MATCH('Financing assumptions offshore'!$H15,'Covenants offshore'!$C$43:$C$87,0))</f>
        <v>#DIV/0!</v>
      </c>
      <c r="W17" s="261" t="e">
        <f ca="1">INDEX('Covenants offshore'!N$43:N$87,MATCH('Financing assumptions offshore'!$H15,'Covenants offshore'!$C$43:$C$87,0))</f>
        <v>#DIV/0!</v>
      </c>
      <c r="X17" s="261" t="e">
        <f ca="1">INDEX('Covenants offshore'!O$43:O$87,MATCH('Financing assumptions offshore'!$H15,'Covenants offshore'!$C$43:$C$87,0))</f>
        <v>#DIV/0!</v>
      </c>
      <c r="Y17" s="261" t="e">
        <f ca="1">INDEX('Covenants offshore'!P$43:P$87,MATCH('Financing assumptions offshore'!$H15,'Covenants offshore'!$C$43:$C$87,0))</f>
        <v>#DIV/0!</v>
      </c>
      <c r="Z17" s="261" t="e">
        <f ca="1">INDEX('Covenants offshore'!Q$43:Q$87,MATCH('Financing assumptions offshore'!$H15,'Covenants offshore'!$C$43:$C$87,0))</f>
        <v>#DIV/0!</v>
      </c>
      <c r="AA17" s="261" t="e">
        <f ca="1">INDEX('Covenants offshore'!R$43:R$87,MATCH('Financing assumptions offshore'!$H15,'Covenants offshore'!$C$43:$C$87,0))</f>
        <v>#DIV/0!</v>
      </c>
      <c r="AB17" s="261" t="e">
        <f ca="1">INDEX('Covenants offshore'!S$43:S$87,MATCH('Financing assumptions offshore'!$H15,'Covenants offshore'!$C$43:$C$87,0))</f>
        <v>#DIV/0!</v>
      </c>
      <c r="AC17" s="261" t="e">
        <f ca="1">INDEX('Covenants offshore'!T$43:T$87,MATCH('Financing assumptions offshore'!$H15,'Covenants offshore'!$C$43:$C$87,0))</f>
        <v>#DIV/0!</v>
      </c>
      <c r="AD17" s="261" t="e">
        <f ca="1">INDEX('Covenants offshore'!U$43:U$87,MATCH('Financing assumptions offshore'!$H15,'Covenants offshore'!$C$43:$C$87,0))</f>
        <v>#DIV/0!</v>
      </c>
      <c r="AE17" s="261" t="e">
        <f ca="1">INDEX('Covenants offshore'!V$43:V$87,MATCH('Financing assumptions offshore'!$H15,'Covenants offshore'!$C$43:$C$87,0))</f>
        <v>#DIV/0!</v>
      </c>
      <c r="AF17" s="261" t="e">
        <f ca="1">INDEX('Covenants offshore'!W$43:W$87,MATCH('Financing assumptions offshore'!$H15,'Covenants offshore'!$C$43:$C$87,0))</f>
        <v>#DIV/0!</v>
      </c>
      <c r="AG17" s="261" t="e">
        <f ca="1">INDEX('Covenants offshore'!X$43:X$87,MATCH('Financing assumptions offshore'!$H15,'Covenants offshore'!$C$43:$C$87,0))</f>
        <v>#DIV/0!</v>
      </c>
      <c r="AH17" s="261" t="e">
        <f ca="1">INDEX('Covenants offshore'!Y$43:Y$87,MATCH('Financing assumptions offshore'!$H15,'Covenants offshore'!$C$43:$C$87,0))</f>
        <v>#DIV/0!</v>
      </c>
      <c r="AI17" s="261" t="e">
        <f ca="1">INDEX('Covenants offshore'!Z$43:Z$87,MATCH('Financing assumptions offshore'!$H15,'Covenants offshore'!$C$43:$C$87,0))</f>
        <v>#DIV/0!</v>
      </c>
      <c r="AJ17" s="261" t="e">
        <f ca="1">INDEX('Covenants offshore'!AA$43:AA$87,MATCH('Financing assumptions offshore'!$H15,'Covenants offshore'!$C$43:$C$87,0))</f>
        <v>#DIV/0!</v>
      </c>
      <c r="AK17" s="261" t="e">
        <f ca="1">INDEX('Covenants offshore'!AB$43:AB$87,MATCH('Financing assumptions offshore'!$H15,'Covenants offshore'!$C$43:$C$87,0))</f>
        <v>#N/A</v>
      </c>
      <c r="AL17" s="261" t="e">
        <f ca="1">INDEX('Covenants offshore'!AC$43:AC$87,MATCH('Financing assumptions offshore'!$H15,'Covenants offshore'!$C$43:$C$87,0))</f>
        <v>#N/A</v>
      </c>
      <c r="AM17" s="261" t="e">
        <f ca="1">INDEX('Covenants offshore'!AD$43:AD$87,MATCH('Financing assumptions offshore'!$H15,'Covenants offshore'!$C$43:$C$87,0))</f>
        <v>#N/A</v>
      </c>
      <c r="AN17" s="261" t="e">
        <f ca="1">INDEX('Covenants offshore'!AE$43:AE$87,MATCH('Financing assumptions offshore'!$H15,'Covenants offshore'!$C$43:$C$87,0))</f>
        <v>#N/A</v>
      </c>
      <c r="AO17" s="261" t="e">
        <f ca="1">INDEX('Covenants offshore'!AF$43:AF$87,MATCH('Financing assumptions offshore'!$H15,'Covenants offshore'!$C$43:$C$87,0))</f>
        <v>#N/A</v>
      </c>
    </row>
    <row r="18" spans="3:41">
      <c r="C18" s="58" t="s">
        <v>903</v>
      </c>
      <c r="D18" s="22"/>
      <c r="E18" s="22"/>
      <c r="F18" s="276">
        <v>400</v>
      </c>
      <c r="H18" s="69" t="str">
        <f>CONCATENATE(I19,"x&lt;x&lt;=",I18,"x")</f>
        <v>2.99x&lt;x&lt;=3x</v>
      </c>
      <c r="I18" s="278">
        <v>3</v>
      </c>
      <c r="J18" s="279">
        <v>400</v>
      </c>
      <c r="L18" s="282" t="s">
        <v>1016</v>
      </c>
      <c r="M18" s="183">
        <f>IFERROR(INDEX($J16:$J20,MATCH(L17,$I16:$I20,-1)),$F18)/10000+$G16*M$11</f>
        <v>0.04</v>
      </c>
      <c r="N18" s="183">
        <f t="shared" ref="N18:AG18" si="10">IFERROR(INDEX($J16:$J20,MATCH(M17,$I16:$I20,-1)),$F18)/10000+$G16*N$11</f>
        <v>0.04</v>
      </c>
      <c r="O18" s="183">
        <f>IFERROR(INDEX($J16:$J20,MATCH(N17,$I16:$I20,-1)),$F18)/10000+$G16*O$11</f>
        <v>0.04</v>
      </c>
      <c r="P18" s="183">
        <f t="shared" si="10"/>
        <v>0.04</v>
      </c>
      <c r="Q18" s="183">
        <f t="shared" ca="1" si="10"/>
        <v>0.04</v>
      </c>
      <c r="R18" s="183">
        <f t="shared" ca="1" si="10"/>
        <v>0.04</v>
      </c>
      <c r="S18" s="183">
        <f t="shared" ca="1" si="10"/>
        <v>0.04</v>
      </c>
      <c r="T18" s="183">
        <f t="shared" ca="1" si="10"/>
        <v>0.04</v>
      </c>
      <c r="U18" s="183">
        <f t="shared" ca="1" si="10"/>
        <v>0.04</v>
      </c>
      <c r="V18" s="183">
        <f t="shared" ca="1" si="10"/>
        <v>0.04</v>
      </c>
      <c r="W18" s="183">
        <f t="shared" ca="1" si="10"/>
        <v>0.04</v>
      </c>
      <c r="X18" s="183">
        <f t="shared" ca="1" si="10"/>
        <v>0.04</v>
      </c>
      <c r="Y18" s="183">
        <f t="shared" ca="1" si="10"/>
        <v>0.04</v>
      </c>
      <c r="Z18" s="183">
        <f t="shared" ca="1" si="10"/>
        <v>0.04</v>
      </c>
      <c r="AA18" s="183">
        <f t="shared" ca="1" si="10"/>
        <v>0.04</v>
      </c>
      <c r="AB18" s="183">
        <f t="shared" ca="1" si="10"/>
        <v>0.04</v>
      </c>
      <c r="AC18" s="183">
        <f t="shared" ca="1" si="10"/>
        <v>0.04</v>
      </c>
      <c r="AD18" s="183">
        <f t="shared" ca="1" si="10"/>
        <v>0.04</v>
      </c>
      <c r="AE18" s="183">
        <f t="shared" ca="1" si="10"/>
        <v>0.04</v>
      </c>
      <c r="AF18" s="183">
        <f t="shared" ca="1" si="10"/>
        <v>0.04</v>
      </c>
      <c r="AG18" s="183">
        <f t="shared" ca="1" si="10"/>
        <v>0.04</v>
      </c>
      <c r="AH18" s="183">
        <f t="shared" ref="AH18" ca="1" si="11">IFERROR(INDEX($J16:$J20,MATCH(AG17,$I16:$I20,-1)),$F18)/10000+$G16*AH$11</f>
        <v>0.04</v>
      </c>
      <c r="AI18" s="183">
        <f t="shared" ref="AI18" ca="1" si="12">IFERROR(INDEX($J16:$J20,MATCH(AH17,$I16:$I20,-1)),$F18)/10000+$G16*AI$11</f>
        <v>0.04</v>
      </c>
      <c r="AJ18" s="183">
        <f t="shared" ref="AJ18" ca="1" si="13">IFERROR(INDEX($J16:$J20,MATCH(AI17,$I16:$I20,-1)),$F18)/10000+$G16*AJ$11</f>
        <v>0.04</v>
      </c>
      <c r="AK18" s="183">
        <f t="shared" ref="AK18" ca="1" si="14">IFERROR(INDEX($J16:$J20,MATCH(AJ17,$I16:$I20,-1)),$F18)/10000+$G16*AK$11</f>
        <v>0.04</v>
      </c>
      <c r="AL18" s="183">
        <f t="shared" ref="AL18" ca="1" si="15">IFERROR(INDEX($J16:$J20,MATCH(AK17,$I16:$I20,-1)),$F18)/10000+$G16*AL$11</f>
        <v>0.04</v>
      </c>
      <c r="AM18" s="183">
        <f t="shared" ref="AM18" ca="1" si="16">IFERROR(INDEX($J16:$J20,MATCH(AL17,$I16:$I20,-1)),$F18)/10000+$G16*AM$11</f>
        <v>0.04</v>
      </c>
      <c r="AN18" s="183">
        <f t="shared" ref="AN18:AO18" ca="1" si="17">IFERROR(INDEX($J16:$J20,MATCH(AM17,$I16:$I20,-1)),$F18)/10000+$G16*AN$11</f>
        <v>0.04</v>
      </c>
      <c r="AO18" s="183">
        <f t="shared" ca="1" si="17"/>
        <v>0.04</v>
      </c>
    </row>
    <row r="19" spans="3:41">
      <c r="C19" s="58" t="s">
        <v>740</v>
      </c>
      <c r="D19" s="22"/>
      <c r="E19" s="22"/>
      <c r="F19" s="276">
        <v>0</v>
      </c>
      <c r="H19" s="69" t="str">
        <f>CONCATENATE(I20,"x&lt;x&lt;=",I19,"x")</f>
        <v>2.98x&lt;x&lt;=2.99x</v>
      </c>
      <c r="I19" s="278">
        <v>2.99</v>
      </c>
      <c r="J19" s="279">
        <v>400</v>
      </c>
      <c r="L19" s="60"/>
      <c r="M19" s="60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spans="3:41">
      <c r="C20" s="12" t="s">
        <v>701</v>
      </c>
      <c r="F20" s="269">
        <f>F15+SUM(M15:AO15)</f>
        <v>0</v>
      </c>
      <c r="H20" s="73" t="str">
        <f>CONCATENATE("&lt;",I20,"x")</f>
        <v>&lt;2.98x</v>
      </c>
      <c r="I20" s="280">
        <v>2.98</v>
      </c>
      <c r="J20" s="281">
        <v>400</v>
      </c>
      <c r="L20" s="60"/>
      <c r="M20" s="60"/>
      <c r="O20" s="74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</row>
    <row r="21" spans="3:41" ht="14.4">
      <c r="C21" s="57"/>
      <c r="D21" s="1"/>
      <c r="E21" s="1"/>
      <c r="F21" s="75"/>
    </row>
    <row r="22" spans="3:41">
      <c r="C22" s="222" t="s">
        <v>744</v>
      </c>
      <c r="D22" s="209"/>
      <c r="E22" s="209"/>
      <c r="F22" s="178"/>
      <c r="G22" s="178"/>
      <c r="H22" s="178"/>
      <c r="I22" s="178"/>
      <c r="J22" s="178"/>
      <c r="L22" s="222" t="s">
        <v>799</v>
      </c>
      <c r="M22" s="222"/>
      <c r="N22" s="222"/>
      <c r="O22" s="222"/>
      <c r="P22" s="222"/>
      <c r="Q22" s="222"/>
      <c r="R22" s="222"/>
      <c r="S22" s="222"/>
      <c r="T22" s="222"/>
      <c r="U22" s="222"/>
      <c r="V22" s="222"/>
      <c r="W22" s="222"/>
      <c r="X22" s="222"/>
      <c r="Y22" s="222"/>
      <c r="Z22" s="222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2"/>
      <c r="AL22" s="222"/>
      <c r="AM22" s="222"/>
      <c r="AN22" s="222"/>
      <c r="AO22" s="222"/>
    </row>
    <row r="23" spans="3:41">
      <c r="C23" s="219" t="s">
        <v>26</v>
      </c>
      <c r="D23" s="214"/>
      <c r="E23" s="214"/>
      <c r="F23" s="219">
        <f>+F24/$F$10</f>
        <v>0</v>
      </c>
      <c r="H23" s="61" t="s">
        <v>795</v>
      </c>
      <c r="I23" s="62"/>
      <c r="J23" s="63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spans="3:41">
      <c r="C24" s="60" t="s">
        <v>27</v>
      </c>
      <c r="D24" s="22"/>
      <c r="E24" s="22"/>
      <c r="F24" s="197">
        <v>0</v>
      </c>
      <c r="H24" s="65" t="s">
        <v>860</v>
      </c>
      <c r="I24" s="66"/>
      <c r="J24" s="67" t="s">
        <v>30</v>
      </c>
      <c r="L24" s="282" t="s">
        <v>800</v>
      </c>
      <c r="M24" s="282"/>
      <c r="N24" s="255">
        <f>-$F24*N25</f>
        <v>0</v>
      </c>
      <c r="O24" s="255">
        <f t="shared" ref="O24" si="18">-$F24*O25</f>
        <v>0</v>
      </c>
      <c r="P24" s="255">
        <f t="shared" ref="P24" si="19">-$F24*P25</f>
        <v>0</v>
      </c>
      <c r="Q24" s="255">
        <f t="shared" ref="Q24" si="20">-$F24*Q25</f>
        <v>0</v>
      </c>
      <c r="R24" s="255">
        <f t="shared" ref="R24" si="21">-$F24*R25</f>
        <v>0</v>
      </c>
      <c r="S24" s="255">
        <f t="shared" ref="S24" si="22">-$F24*S25</f>
        <v>0</v>
      </c>
      <c r="T24" s="255">
        <f t="shared" ref="T24" si="23">-$F24*T25</f>
        <v>0</v>
      </c>
      <c r="U24" s="255">
        <f t="shared" ref="U24" si="24">-$F24*U25</f>
        <v>0</v>
      </c>
      <c r="V24" s="255">
        <f t="shared" ref="V24" si="25">-$F24*V25</f>
        <v>0</v>
      </c>
      <c r="W24" s="255">
        <f t="shared" ref="W24" si="26">-$F24*W25</f>
        <v>0</v>
      </c>
      <c r="X24" s="255">
        <f t="shared" ref="X24" si="27">-$F24*X25</f>
        <v>0</v>
      </c>
      <c r="Y24" s="255">
        <f t="shared" ref="Y24" si="28">-$F24*Y25</f>
        <v>0</v>
      </c>
      <c r="Z24" s="255">
        <f t="shared" ref="Z24" si="29">-$F24*Z25</f>
        <v>0</v>
      </c>
      <c r="AA24" s="255">
        <f t="shared" ref="AA24" si="30">-$F24*AA25</f>
        <v>0</v>
      </c>
      <c r="AB24" s="255">
        <f t="shared" ref="AB24" si="31">-$F24*AB25</f>
        <v>0</v>
      </c>
      <c r="AC24" s="255">
        <f t="shared" ref="AC24" si="32">-$F24*AC25</f>
        <v>0</v>
      </c>
      <c r="AD24" s="255">
        <f t="shared" ref="AD24" si="33">-$F24*AD25</f>
        <v>0</v>
      </c>
      <c r="AE24" s="255">
        <f t="shared" ref="AE24" si="34">-$F24*AE25</f>
        <v>0</v>
      </c>
      <c r="AF24" s="255">
        <f t="shared" ref="AF24" si="35">-$F24*AF25</f>
        <v>0</v>
      </c>
      <c r="AG24" s="255">
        <f t="shared" ref="AG24:AO24" si="36">-$F24*AG25</f>
        <v>0</v>
      </c>
      <c r="AH24" s="255">
        <f t="shared" si="36"/>
        <v>0</v>
      </c>
      <c r="AI24" s="255">
        <f t="shared" si="36"/>
        <v>0</v>
      </c>
      <c r="AJ24" s="255">
        <f t="shared" si="36"/>
        <v>0</v>
      </c>
      <c r="AK24" s="255">
        <f t="shared" si="36"/>
        <v>0</v>
      </c>
      <c r="AL24" s="255">
        <f t="shared" si="36"/>
        <v>0</v>
      </c>
      <c r="AM24" s="255">
        <f t="shared" si="36"/>
        <v>0</v>
      </c>
      <c r="AN24" s="255">
        <f t="shared" si="36"/>
        <v>0</v>
      </c>
      <c r="AO24" s="255">
        <f t="shared" si="36"/>
        <v>0</v>
      </c>
    </row>
    <row r="25" spans="3:41">
      <c r="C25" s="60" t="s">
        <v>804</v>
      </c>
      <c r="D25" s="22"/>
      <c r="E25" s="22"/>
      <c r="F25" s="277" t="s">
        <v>805</v>
      </c>
      <c r="G25" s="68">
        <f>IF(F25="variable",1,0)</f>
        <v>1</v>
      </c>
      <c r="H25" s="69" t="str">
        <f>CONCATENATE("&gt;",I26,"x")</f>
        <v>&gt;4x</v>
      </c>
      <c r="I25" s="278">
        <v>99999</v>
      </c>
      <c r="J25" s="279">
        <v>275</v>
      </c>
      <c r="L25" s="282" t="s">
        <v>801</v>
      </c>
      <c r="M25" s="60"/>
      <c r="N25" s="274">
        <v>1.4999999999999999E-2</v>
      </c>
      <c r="O25" s="274">
        <v>1.4999999999999999E-2</v>
      </c>
      <c r="P25" s="274">
        <v>1.4999999999999999E-2</v>
      </c>
      <c r="Q25" s="274">
        <v>1.4999999999999999E-2</v>
      </c>
      <c r="R25" s="274">
        <v>1.4999999999999999E-2</v>
      </c>
      <c r="S25" s="274">
        <v>1.4999999999999999E-2</v>
      </c>
      <c r="T25" s="274">
        <v>1.4999999999999999E-2</v>
      </c>
      <c r="U25" s="274">
        <v>1.4999999999999999E-2</v>
      </c>
      <c r="V25" s="274">
        <v>1.4999999999999999E-2</v>
      </c>
      <c r="W25" s="274">
        <v>1.4999999999999999E-2</v>
      </c>
      <c r="X25" s="274">
        <v>1.4999999999999999E-2</v>
      </c>
      <c r="Y25" s="274">
        <v>1.4999999999999999E-2</v>
      </c>
      <c r="Z25" s="274">
        <v>1.4999999999999999E-2</v>
      </c>
      <c r="AA25" s="274">
        <v>1.4999999999999999E-2</v>
      </c>
      <c r="AB25" s="274">
        <v>1.4999999999999999E-2</v>
      </c>
      <c r="AC25" s="274">
        <v>1.4999999999999999E-2</v>
      </c>
      <c r="AD25" s="274">
        <v>1.4999999999999999E-2</v>
      </c>
      <c r="AE25" s="274">
        <v>1.4999999999999999E-2</v>
      </c>
      <c r="AF25" s="274">
        <v>1.4999999999999999E-2</v>
      </c>
      <c r="AG25" s="274">
        <v>0.71499999999999997</v>
      </c>
      <c r="AH25" s="274">
        <v>0</v>
      </c>
      <c r="AI25" s="274">
        <v>0</v>
      </c>
      <c r="AJ25" s="274">
        <v>0</v>
      </c>
      <c r="AK25" s="274">
        <v>0</v>
      </c>
      <c r="AL25" s="274">
        <v>0</v>
      </c>
      <c r="AM25" s="274">
        <v>0</v>
      </c>
      <c r="AN25" s="274">
        <v>0</v>
      </c>
      <c r="AO25" s="274">
        <v>0</v>
      </c>
    </row>
    <row r="26" spans="3:41">
      <c r="C26" s="6" t="s">
        <v>28</v>
      </c>
      <c r="F26" s="275">
        <f>SUMPRODUCT(N25:AN25,$N$7:$AN$7)</f>
        <v>4.5374999999999996</v>
      </c>
      <c r="H26" s="69" t="str">
        <f>CONCATENATE(I27,"x&lt;x&lt;=",I26,"x")</f>
        <v>3x&lt;x&lt;=4x</v>
      </c>
      <c r="I26" s="278">
        <v>4</v>
      </c>
      <c r="J26" s="279">
        <v>250</v>
      </c>
      <c r="L26" s="282" t="s">
        <v>802</v>
      </c>
      <c r="M26" s="261" t="str">
        <f>INDEX('Covenants offshore'!D$43:D$87,MATCH('Financing assumptions offshore'!$H24,'Covenants offshore'!$C$43:$C$87,0))</f>
        <v>na</v>
      </c>
      <c r="N26" s="261" t="str">
        <f>INDEX('Covenants offshore'!E$43:E$87,MATCH('Financing assumptions offshore'!$H24,'Covenants offshore'!$C$43:$C$87,0))</f>
        <v>na</v>
      </c>
      <c r="O26" s="261" t="str">
        <f>INDEX('Covenants offshore'!F$43:F$87,MATCH('Financing assumptions offshore'!$H24,'Covenants offshore'!$C$43:$C$87,0))</f>
        <v>na</v>
      </c>
      <c r="P26" s="261" t="e">
        <f ca="1">INDEX('Covenants offshore'!G$43:G$87,MATCH('Financing assumptions offshore'!$H24,'Covenants offshore'!$C$43:$C$87,0))</f>
        <v>#DIV/0!</v>
      </c>
      <c r="Q26" s="261" t="e">
        <f ca="1">INDEX('Covenants offshore'!H$43:H$87,MATCH('Financing assumptions offshore'!$H24,'Covenants offshore'!$C$43:$C$87,0))</f>
        <v>#DIV/0!</v>
      </c>
      <c r="R26" s="261" t="e">
        <f ca="1">INDEX('Covenants offshore'!I$43:I$87,MATCH('Financing assumptions offshore'!$H24,'Covenants offshore'!$C$43:$C$87,0))</f>
        <v>#DIV/0!</v>
      </c>
      <c r="S26" s="261" t="e">
        <f ca="1">INDEX('Covenants offshore'!J$43:J$87,MATCH('Financing assumptions offshore'!$H24,'Covenants offshore'!$C$43:$C$87,0))</f>
        <v>#DIV/0!</v>
      </c>
      <c r="T26" s="261" t="e">
        <f ca="1">INDEX('Covenants offshore'!K$43:K$87,MATCH('Financing assumptions offshore'!$H24,'Covenants offshore'!$C$43:$C$87,0))</f>
        <v>#DIV/0!</v>
      </c>
      <c r="U26" s="261" t="e">
        <f ca="1">INDEX('Covenants offshore'!L$43:L$87,MATCH('Financing assumptions offshore'!$H24,'Covenants offshore'!$C$43:$C$87,0))</f>
        <v>#DIV/0!</v>
      </c>
      <c r="V26" s="261" t="e">
        <f ca="1">INDEX('Covenants offshore'!M$43:M$87,MATCH('Financing assumptions offshore'!$H24,'Covenants offshore'!$C$43:$C$87,0))</f>
        <v>#DIV/0!</v>
      </c>
      <c r="W26" s="261" t="e">
        <f ca="1">INDEX('Covenants offshore'!N$43:N$87,MATCH('Financing assumptions offshore'!$H24,'Covenants offshore'!$C$43:$C$87,0))</f>
        <v>#DIV/0!</v>
      </c>
      <c r="X26" s="261" t="e">
        <f ca="1">INDEX('Covenants offshore'!O$43:O$87,MATCH('Financing assumptions offshore'!$H24,'Covenants offshore'!$C$43:$C$87,0))</f>
        <v>#DIV/0!</v>
      </c>
      <c r="Y26" s="261" t="e">
        <f ca="1">INDEX('Covenants offshore'!P$43:P$87,MATCH('Financing assumptions offshore'!$H24,'Covenants offshore'!$C$43:$C$87,0))</f>
        <v>#DIV/0!</v>
      </c>
      <c r="Z26" s="261" t="e">
        <f ca="1">INDEX('Covenants offshore'!Q$43:Q$87,MATCH('Financing assumptions offshore'!$H24,'Covenants offshore'!$C$43:$C$87,0))</f>
        <v>#DIV/0!</v>
      </c>
      <c r="AA26" s="261" t="e">
        <f ca="1">INDEX('Covenants offshore'!R$43:R$87,MATCH('Financing assumptions offshore'!$H24,'Covenants offshore'!$C$43:$C$87,0))</f>
        <v>#DIV/0!</v>
      </c>
      <c r="AB26" s="261" t="e">
        <f ca="1">INDEX('Covenants offshore'!S$43:S$87,MATCH('Financing assumptions offshore'!$H24,'Covenants offshore'!$C$43:$C$87,0))</f>
        <v>#DIV/0!</v>
      </c>
      <c r="AC26" s="261" t="e">
        <f ca="1">INDEX('Covenants offshore'!T$43:T$87,MATCH('Financing assumptions offshore'!$H24,'Covenants offshore'!$C$43:$C$87,0))</f>
        <v>#DIV/0!</v>
      </c>
      <c r="AD26" s="261" t="e">
        <f ca="1">INDEX('Covenants offshore'!U$43:U$87,MATCH('Financing assumptions offshore'!$H24,'Covenants offshore'!$C$43:$C$87,0))</f>
        <v>#DIV/0!</v>
      </c>
      <c r="AE26" s="261" t="e">
        <f ca="1">INDEX('Covenants offshore'!V$43:V$87,MATCH('Financing assumptions offshore'!$H24,'Covenants offshore'!$C$43:$C$87,0))</f>
        <v>#DIV/0!</v>
      </c>
      <c r="AF26" s="261" t="e">
        <f ca="1">INDEX('Covenants offshore'!W$43:W$87,MATCH('Financing assumptions offshore'!$H24,'Covenants offshore'!$C$43:$C$87,0))</f>
        <v>#DIV/0!</v>
      </c>
      <c r="AG26" s="261" t="e">
        <f ca="1">INDEX('Covenants offshore'!X$43:X$87,MATCH('Financing assumptions offshore'!$H24,'Covenants offshore'!$C$43:$C$87,0))</f>
        <v>#DIV/0!</v>
      </c>
      <c r="AH26" s="261" t="e">
        <f ca="1">INDEX('Covenants offshore'!Y$43:Y$87,MATCH('Financing assumptions offshore'!$H24,'Covenants offshore'!$C$43:$C$87,0))</f>
        <v>#DIV/0!</v>
      </c>
      <c r="AI26" s="261" t="e">
        <f ca="1">INDEX('Covenants offshore'!Z$43:Z$87,MATCH('Financing assumptions offshore'!$H24,'Covenants offshore'!$C$43:$C$87,0))</f>
        <v>#DIV/0!</v>
      </c>
      <c r="AJ26" s="261" t="e">
        <f ca="1">INDEX('Covenants offshore'!AA$43:AA$87,MATCH('Financing assumptions offshore'!$H24,'Covenants offshore'!$C$43:$C$87,0))</f>
        <v>#DIV/0!</v>
      </c>
      <c r="AK26" s="261" t="e">
        <f ca="1">INDEX('Covenants offshore'!AB$43:AB$87,MATCH('Financing assumptions offshore'!$H24,'Covenants offshore'!$C$43:$C$87,0))</f>
        <v>#N/A</v>
      </c>
      <c r="AL26" s="261" t="e">
        <f ca="1">INDEX('Covenants offshore'!AC$43:AC$87,MATCH('Financing assumptions offshore'!$H24,'Covenants offshore'!$C$43:$C$87,0))</f>
        <v>#N/A</v>
      </c>
      <c r="AM26" s="261" t="e">
        <f ca="1">INDEX('Covenants offshore'!AD$43:AD$87,MATCH('Financing assumptions offshore'!$H24,'Covenants offshore'!$C$43:$C$87,0))</f>
        <v>#N/A</v>
      </c>
      <c r="AN26" s="261" t="e">
        <f ca="1">INDEX('Covenants offshore'!AE$43:AE$87,MATCH('Financing assumptions offshore'!$H24,'Covenants offshore'!$C$43:$C$87,0))</f>
        <v>#N/A</v>
      </c>
      <c r="AO26" s="261" t="e">
        <f ca="1">INDEX('Covenants offshore'!AF$43:AF$87,MATCH('Financing assumptions offshore'!$H24,'Covenants offshore'!$C$43:$C$87,0))</f>
        <v>#N/A</v>
      </c>
    </row>
    <row r="27" spans="3:41">
      <c r="C27" s="58" t="s">
        <v>903</v>
      </c>
      <c r="D27" s="22"/>
      <c r="E27" s="22"/>
      <c r="F27" s="276">
        <v>425</v>
      </c>
      <c r="H27" s="69" t="str">
        <f>CONCATENATE(I28,"x&lt;x&lt;=",I27,"x")</f>
        <v>2.99x&lt;x&lt;=3x</v>
      </c>
      <c r="I27" s="278">
        <v>3</v>
      </c>
      <c r="J27" s="279">
        <v>250</v>
      </c>
      <c r="L27" s="282" t="s">
        <v>803</v>
      </c>
      <c r="M27" s="183">
        <f>IFERROR(INDEX($J25:$J29,MATCH(L26,$I25:$I29,-1)),$F27)/10000+$G25*M$11</f>
        <v>5.6600000000000004E-2</v>
      </c>
      <c r="N27" s="183">
        <f t="shared" ref="N27:AG27" si="37">IFERROR(INDEX($J25:$J29,MATCH(M26,$I25:$I29,-1)),$F27)/10000+$G25*N$11</f>
        <v>5.6600000000000004E-2</v>
      </c>
      <c r="O27" s="183">
        <f t="shared" si="37"/>
        <v>5.6600000000000004E-2</v>
      </c>
      <c r="P27" s="183">
        <f t="shared" si="37"/>
        <v>5.6600000000000004E-2</v>
      </c>
      <c r="Q27" s="183">
        <f t="shared" ca="1" si="37"/>
        <v>5.6600000000000004E-2</v>
      </c>
      <c r="R27" s="183">
        <f t="shared" ca="1" si="37"/>
        <v>5.6600000000000004E-2</v>
      </c>
      <c r="S27" s="183">
        <f t="shared" ca="1" si="37"/>
        <v>5.6600000000000004E-2</v>
      </c>
      <c r="T27" s="183">
        <f t="shared" ca="1" si="37"/>
        <v>5.6600000000000004E-2</v>
      </c>
      <c r="U27" s="183">
        <f t="shared" ca="1" si="37"/>
        <v>5.6600000000000004E-2</v>
      </c>
      <c r="V27" s="183">
        <f t="shared" ca="1" si="37"/>
        <v>5.6600000000000004E-2</v>
      </c>
      <c r="W27" s="183">
        <f t="shared" ca="1" si="37"/>
        <v>5.6600000000000004E-2</v>
      </c>
      <c r="X27" s="183">
        <f t="shared" ca="1" si="37"/>
        <v>5.6600000000000004E-2</v>
      </c>
      <c r="Y27" s="183">
        <f t="shared" ca="1" si="37"/>
        <v>5.6600000000000004E-2</v>
      </c>
      <c r="Z27" s="183">
        <f t="shared" ca="1" si="37"/>
        <v>5.6600000000000004E-2</v>
      </c>
      <c r="AA27" s="183">
        <f t="shared" ca="1" si="37"/>
        <v>5.6600000000000004E-2</v>
      </c>
      <c r="AB27" s="183">
        <f t="shared" ca="1" si="37"/>
        <v>5.6600000000000004E-2</v>
      </c>
      <c r="AC27" s="183">
        <f t="shared" ca="1" si="37"/>
        <v>5.6600000000000004E-2</v>
      </c>
      <c r="AD27" s="183">
        <f t="shared" ca="1" si="37"/>
        <v>5.6600000000000004E-2</v>
      </c>
      <c r="AE27" s="183">
        <f t="shared" ca="1" si="37"/>
        <v>5.6600000000000004E-2</v>
      </c>
      <c r="AF27" s="183">
        <f t="shared" ca="1" si="37"/>
        <v>5.6600000000000004E-2</v>
      </c>
      <c r="AG27" s="183">
        <f t="shared" ca="1" si="37"/>
        <v>5.6600000000000004E-2</v>
      </c>
      <c r="AH27" s="183">
        <f t="shared" ref="AH27" ca="1" si="38">IFERROR(INDEX($J25:$J29,MATCH(AG26,$I25:$I29,-1)),$F27)/10000+$G25*AH$11</f>
        <v>5.6600000000000004E-2</v>
      </c>
      <c r="AI27" s="183">
        <f t="shared" ref="AI27" ca="1" si="39">IFERROR(INDEX($J25:$J29,MATCH(AH26,$I25:$I29,-1)),$F27)/10000+$G25*AI$11</f>
        <v>5.6600000000000004E-2</v>
      </c>
      <c r="AJ27" s="183">
        <f t="shared" ref="AJ27" ca="1" si="40">IFERROR(INDEX($J25:$J29,MATCH(AI26,$I25:$I29,-1)),$F27)/10000+$G25*AJ$11</f>
        <v>5.6600000000000004E-2</v>
      </c>
      <c r="AK27" s="183">
        <f t="shared" ref="AK27" ca="1" si="41">IFERROR(INDEX($J25:$J29,MATCH(AJ26,$I25:$I29,-1)),$F27)/10000+$G25*AK$11</f>
        <v>5.6600000000000004E-2</v>
      </c>
      <c r="AL27" s="183">
        <f t="shared" ref="AL27" ca="1" si="42">IFERROR(INDEX($J25:$J29,MATCH(AK26,$I25:$I29,-1)),$F27)/10000+$G25*AL$11</f>
        <v>5.6600000000000004E-2</v>
      </c>
      <c r="AM27" s="183">
        <f t="shared" ref="AM27" ca="1" si="43">IFERROR(INDEX($J25:$J29,MATCH(AL26,$I25:$I29,-1)),$F27)/10000+$G25*AM$11</f>
        <v>5.6600000000000004E-2</v>
      </c>
      <c r="AN27" s="183">
        <f t="shared" ref="AN27:AO27" ca="1" si="44">IFERROR(INDEX($J25:$J29,MATCH(AM26,$I25:$I29,-1)),$F27)/10000+$G25*AN$11</f>
        <v>5.6600000000000004E-2</v>
      </c>
      <c r="AO27" s="183">
        <f t="shared" ca="1" si="44"/>
        <v>5.6600000000000004E-2</v>
      </c>
    </row>
    <row r="28" spans="3:41">
      <c r="C28" s="58" t="s">
        <v>740</v>
      </c>
      <c r="D28" s="22"/>
      <c r="E28" s="22"/>
      <c r="F28" s="276">
        <v>0</v>
      </c>
      <c r="H28" s="69" t="str">
        <f>CONCATENATE(I29,"x&lt;x&lt;=",I28,"x")</f>
        <v>2.98x&lt;x&lt;=2.99x</v>
      </c>
      <c r="I28" s="278">
        <v>2.99</v>
      </c>
      <c r="J28" s="279">
        <v>250</v>
      </c>
      <c r="L28" s="60"/>
      <c r="M28" s="60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spans="3:41">
      <c r="C29" s="12" t="s">
        <v>701</v>
      </c>
      <c r="F29" s="269">
        <f>F24+SUM(M24:AO24)</f>
        <v>0</v>
      </c>
      <c r="H29" s="73" t="str">
        <f>CONCATENATE("&lt;",I29,"x")</f>
        <v>&lt;2.98x</v>
      </c>
      <c r="I29" s="280">
        <v>2.98</v>
      </c>
      <c r="J29" s="281">
        <v>250</v>
      </c>
      <c r="L29" s="60"/>
      <c r="M29" s="60"/>
      <c r="O29" s="74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</row>
    <row r="30" spans="3:41" ht="14.4">
      <c r="C30" s="57"/>
      <c r="D30" s="1"/>
      <c r="E30" s="1"/>
      <c r="F30" s="75"/>
    </row>
    <row r="31" spans="3:41">
      <c r="C31" s="222" t="s">
        <v>745</v>
      </c>
      <c r="D31" s="209"/>
      <c r="E31" s="209"/>
      <c r="F31" s="178"/>
      <c r="G31" s="178"/>
      <c r="H31" s="178"/>
      <c r="I31" s="178"/>
      <c r="J31" s="178"/>
      <c r="L31" s="222" t="s">
        <v>799</v>
      </c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K31" s="222"/>
      <c r="AL31" s="222"/>
      <c r="AM31" s="222"/>
      <c r="AN31" s="222"/>
      <c r="AO31" s="222"/>
    </row>
    <row r="32" spans="3:41">
      <c r="C32" s="219" t="s">
        <v>26</v>
      </c>
      <c r="D32" s="214"/>
      <c r="E32" s="214"/>
      <c r="F32" s="219">
        <f>+F33/$F$10</f>
        <v>0</v>
      </c>
      <c r="H32" s="61" t="s">
        <v>796</v>
      </c>
      <c r="I32" s="62"/>
      <c r="J32" s="63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spans="3:41">
      <c r="C33" s="60" t="s">
        <v>27</v>
      </c>
      <c r="D33" s="22"/>
      <c r="E33" s="22"/>
      <c r="F33" s="197">
        <v>0</v>
      </c>
      <c r="H33" s="65" t="s">
        <v>860</v>
      </c>
      <c r="I33" s="66"/>
      <c r="J33" s="67" t="s">
        <v>30</v>
      </c>
      <c r="L33" s="282" t="s">
        <v>800</v>
      </c>
      <c r="M33" s="282"/>
      <c r="N33" s="255">
        <f>-$F33*N34</f>
        <v>0</v>
      </c>
      <c r="O33" s="255">
        <f t="shared" ref="O33" si="45">-$F33*O34</f>
        <v>0</v>
      </c>
      <c r="P33" s="255">
        <f t="shared" ref="P33" si="46">-$F33*P34</f>
        <v>0</v>
      </c>
      <c r="Q33" s="255">
        <f t="shared" ref="Q33" si="47">-$F33*Q34</f>
        <v>0</v>
      </c>
      <c r="R33" s="255">
        <f t="shared" ref="R33" si="48">-$F33*R34</f>
        <v>0</v>
      </c>
      <c r="S33" s="255">
        <f t="shared" ref="S33" si="49">-$F33*S34</f>
        <v>0</v>
      </c>
      <c r="T33" s="255">
        <f t="shared" ref="T33" si="50">-$F33*T34</f>
        <v>0</v>
      </c>
      <c r="U33" s="255">
        <f t="shared" ref="U33" si="51">-$F33*U34</f>
        <v>0</v>
      </c>
      <c r="V33" s="255">
        <f t="shared" ref="V33" si="52">-$F33*V34</f>
        <v>0</v>
      </c>
      <c r="W33" s="255">
        <f t="shared" ref="W33" si="53">-$F33*W34</f>
        <v>0</v>
      </c>
      <c r="X33" s="255">
        <f t="shared" ref="X33" si="54">-$F33*X34</f>
        <v>0</v>
      </c>
      <c r="Y33" s="255">
        <f t="shared" ref="Y33" si="55">-$F33*Y34</f>
        <v>0</v>
      </c>
      <c r="Z33" s="255">
        <f t="shared" ref="Z33" si="56">-$F33*Z34</f>
        <v>0</v>
      </c>
      <c r="AA33" s="255">
        <f t="shared" ref="AA33" si="57">-$F33*AA34</f>
        <v>0</v>
      </c>
      <c r="AB33" s="255">
        <f t="shared" ref="AB33" si="58">-$F33*AB34</f>
        <v>0</v>
      </c>
      <c r="AC33" s="255">
        <f t="shared" ref="AC33" si="59">-$F33*AC34</f>
        <v>0</v>
      </c>
      <c r="AD33" s="255">
        <f t="shared" ref="AD33" si="60">-$F33*AD34</f>
        <v>0</v>
      </c>
      <c r="AE33" s="255">
        <f t="shared" ref="AE33" si="61">-$F33*AE34</f>
        <v>0</v>
      </c>
      <c r="AF33" s="255">
        <f t="shared" ref="AF33" si="62">-$F33*AF34</f>
        <v>0</v>
      </c>
      <c r="AG33" s="255">
        <f t="shared" ref="AG33:AO33" si="63">-$F33*AG34</f>
        <v>0</v>
      </c>
      <c r="AH33" s="255">
        <f t="shared" si="63"/>
        <v>0</v>
      </c>
      <c r="AI33" s="255">
        <f t="shared" si="63"/>
        <v>0</v>
      </c>
      <c r="AJ33" s="255">
        <f t="shared" si="63"/>
        <v>0</v>
      </c>
      <c r="AK33" s="255">
        <f t="shared" si="63"/>
        <v>0</v>
      </c>
      <c r="AL33" s="255">
        <f t="shared" si="63"/>
        <v>0</v>
      </c>
      <c r="AM33" s="255">
        <f t="shared" si="63"/>
        <v>0</v>
      </c>
      <c r="AN33" s="255">
        <f t="shared" si="63"/>
        <v>0</v>
      </c>
      <c r="AO33" s="255">
        <f t="shared" si="63"/>
        <v>0</v>
      </c>
    </row>
    <row r="34" spans="3:41">
      <c r="C34" s="60" t="s">
        <v>804</v>
      </c>
      <c r="D34" s="22"/>
      <c r="E34" s="22"/>
      <c r="F34" s="277" t="s">
        <v>805</v>
      </c>
      <c r="G34" s="68">
        <f>IF(F34="variable",1,0)</f>
        <v>1</v>
      </c>
      <c r="H34" s="69" t="str">
        <f>CONCATENATE("&gt;",I35,"x")</f>
        <v>&gt;4x</v>
      </c>
      <c r="I34" s="278">
        <v>99999</v>
      </c>
      <c r="J34" s="279">
        <v>275</v>
      </c>
      <c r="L34" s="282" t="s">
        <v>801</v>
      </c>
      <c r="M34" s="60"/>
      <c r="N34" s="274">
        <v>1.4999999999999999E-2</v>
      </c>
      <c r="O34" s="274">
        <v>1.4999999999999999E-2</v>
      </c>
      <c r="P34" s="274">
        <v>1.4999999999999999E-2</v>
      </c>
      <c r="Q34" s="274">
        <v>1.4999999999999999E-2</v>
      </c>
      <c r="R34" s="274">
        <v>1.4999999999999999E-2</v>
      </c>
      <c r="S34" s="274">
        <v>1.4999999999999999E-2</v>
      </c>
      <c r="T34" s="274">
        <v>1.4999999999999999E-2</v>
      </c>
      <c r="U34" s="274">
        <v>1.4999999999999999E-2</v>
      </c>
      <c r="V34" s="274">
        <v>1.4999999999999999E-2</v>
      </c>
      <c r="W34" s="274">
        <v>1.4999999999999999E-2</v>
      </c>
      <c r="X34" s="274">
        <v>1.4999999999999999E-2</v>
      </c>
      <c r="Y34" s="274">
        <v>1.4999999999999999E-2</v>
      </c>
      <c r="Z34" s="274">
        <v>1.4999999999999999E-2</v>
      </c>
      <c r="AA34" s="274">
        <v>1.4999999999999999E-2</v>
      </c>
      <c r="AB34" s="274">
        <v>1.4999999999999999E-2</v>
      </c>
      <c r="AC34" s="274">
        <v>1.4999999999999999E-2</v>
      </c>
      <c r="AD34" s="274">
        <v>1.4999999999999999E-2</v>
      </c>
      <c r="AE34" s="274">
        <v>1.4999999999999999E-2</v>
      </c>
      <c r="AF34" s="274">
        <v>1.4999999999999999E-2</v>
      </c>
      <c r="AG34" s="274">
        <v>0.71499999999999997</v>
      </c>
      <c r="AH34" s="274">
        <v>0</v>
      </c>
      <c r="AI34" s="274">
        <v>0</v>
      </c>
      <c r="AJ34" s="274">
        <v>0</v>
      </c>
      <c r="AK34" s="274">
        <v>0</v>
      </c>
      <c r="AL34" s="274">
        <v>0</v>
      </c>
      <c r="AM34" s="274">
        <v>0</v>
      </c>
      <c r="AN34" s="274">
        <v>0</v>
      </c>
      <c r="AO34" s="274">
        <v>0</v>
      </c>
    </row>
    <row r="35" spans="3:41">
      <c r="C35" s="6" t="s">
        <v>28</v>
      </c>
      <c r="F35" s="275">
        <f>SUMPRODUCT(N34:AN34,$N$7:$AN$7)</f>
        <v>4.5374999999999996</v>
      </c>
      <c r="H35" s="69" t="str">
        <f>CONCATENATE(I36,"x&lt;x&lt;=",I35,"x")</f>
        <v>3x&lt;x&lt;=4x</v>
      </c>
      <c r="I35" s="278">
        <v>4</v>
      </c>
      <c r="J35" s="279">
        <v>250</v>
      </c>
      <c r="L35" s="282" t="s">
        <v>802</v>
      </c>
      <c r="M35" s="261" t="str">
        <f>INDEX('Covenants offshore'!D$43:D$87,MATCH('Financing assumptions offshore'!$H33,'Covenants offshore'!$C$43:$C$87,0))</f>
        <v>na</v>
      </c>
      <c r="N35" s="261" t="str">
        <f>INDEX('Covenants offshore'!E$43:E$87,MATCH('Financing assumptions offshore'!$H33,'Covenants offshore'!$C$43:$C$87,0))</f>
        <v>na</v>
      </c>
      <c r="O35" s="261" t="str">
        <f>INDEX('Covenants offshore'!F$43:F$87,MATCH('Financing assumptions offshore'!$H33,'Covenants offshore'!$C$43:$C$87,0))</f>
        <v>na</v>
      </c>
      <c r="P35" s="261" t="e">
        <f ca="1">INDEX('Covenants offshore'!G$43:G$87,MATCH('Financing assumptions offshore'!$H33,'Covenants offshore'!$C$43:$C$87,0))</f>
        <v>#DIV/0!</v>
      </c>
      <c r="Q35" s="261" t="e">
        <f ca="1">INDEX('Covenants offshore'!H$43:H$87,MATCH('Financing assumptions offshore'!$H33,'Covenants offshore'!$C$43:$C$87,0))</f>
        <v>#DIV/0!</v>
      </c>
      <c r="R35" s="261" t="e">
        <f ca="1">INDEX('Covenants offshore'!I$43:I$87,MATCH('Financing assumptions offshore'!$H33,'Covenants offshore'!$C$43:$C$87,0))</f>
        <v>#DIV/0!</v>
      </c>
      <c r="S35" s="261" t="e">
        <f ca="1">INDEX('Covenants offshore'!J$43:J$87,MATCH('Financing assumptions offshore'!$H33,'Covenants offshore'!$C$43:$C$87,0))</f>
        <v>#DIV/0!</v>
      </c>
      <c r="T35" s="261" t="e">
        <f ca="1">INDEX('Covenants offshore'!K$43:K$87,MATCH('Financing assumptions offshore'!$H33,'Covenants offshore'!$C$43:$C$87,0))</f>
        <v>#DIV/0!</v>
      </c>
      <c r="U35" s="261" t="e">
        <f ca="1">INDEX('Covenants offshore'!L$43:L$87,MATCH('Financing assumptions offshore'!$H33,'Covenants offshore'!$C$43:$C$87,0))</f>
        <v>#DIV/0!</v>
      </c>
      <c r="V35" s="261" t="e">
        <f ca="1">INDEX('Covenants offshore'!M$43:M$87,MATCH('Financing assumptions offshore'!$H33,'Covenants offshore'!$C$43:$C$87,0))</f>
        <v>#DIV/0!</v>
      </c>
      <c r="W35" s="261" t="e">
        <f ca="1">INDEX('Covenants offshore'!N$43:N$87,MATCH('Financing assumptions offshore'!$H33,'Covenants offshore'!$C$43:$C$87,0))</f>
        <v>#DIV/0!</v>
      </c>
      <c r="X35" s="261" t="e">
        <f ca="1">INDEX('Covenants offshore'!O$43:O$87,MATCH('Financing assumptions offshore'!$H33,'Covenants offshore'!$C$43:$C$87,0))</f>
        <v>#DIV/0!</v>
      </c>
      <c r="Y35" s="261" t="e">
        <f ca="1">INDEX('Covenants offshore'!P$43:P$87,MATCH('Financing assumptions offshore'!$H33,'Covenants offshore'!$C$43:$C$87,0))</f>
        <v>#DIV/0!</v>
      </c>
      <c r="Z35" s="261" t="e">
        <f ca="1">INDEX('Covenants offshore'!Q$43:Q$87,MATCH('Financing assumptions offshore'!$H33,'Covenants offshore'!$C$43:$C$87,0))</f>
        <v>#DIV/0!</v>
      </c>
      <c r="AA35" s="261" t="e">
        <f ca="1">INDEX('Covenants offshore'!R$43:R$87,MATCH('Financing assumptions offshore'!$H33,'Covenants offshore'!$C$43:$C$87,0))</f>
        <v>#DIV/0!</v>
      </c>
      <c r="AB35" s="261" t="e">
        <f ca="1">INDEX('Covenants offshore'!S$43:S$87,MATCH('Financing assumptions offshore'!$H33,'Covenants offshore'!$C$43:$C$87,0))</f>
        <v>#DIV/0!</v>
      </c>
      <c r="AC35" s="261" t="e">
        <f ca="1">INDEX('Covenants offshore'!T$43:T$87,MATCH('Financing assumptions offshore'!$H33,'Covenants offshore'!$C$43:$C$87,0))</f>
        <v>#DIV/0!</v>
      </c>
      <c r="AD35" s="261" t="e">
        <f ca="1">INDEX('Covenants offshore'!U$43:U$87,MATCH('Financing assumptions offshore'!$H33,'Covenants offshore'!$C$43:$C$87,0))</f>
        <v>#DIV/0!</v>
      </c>
      <c r="AE35" s="261" t="e">
        <f ca="1">INDEX('Covenants offshore'!V$43:V$87,MATCH('Financing assumptions offshore'!$H33,'Covenants offshore'!$C$43:$C$87,0))</f>
        <v>#DIV/0!</v>
      </c>
      <c r="AF35" s="261" t="e">
        <f ca="1">INDEX('Covenants offshore'!W$43:W$87,MATCH('Financing assumptions offshore'!$H33,'Covenants offshore'!$C$43:$C$87,0))</f>
        <v>#DIV/0!</v>
      </c>
      <c r="AG35" s="261" t="e">
        <f ca="1">INDEX('Covenants offshore'!X$43:X$87,MATCH('Financing assumptions offshore'!$H33,'Covenants offshore'!$C$43:$C$87,0))</f>
        <v>#DIV/0!</v>
      </c>
      <c r="AH35" s="261" t="e">
        <f ca="1">INDEX('Covenants offshore'!Y$43:Y$87,MATCH('Financing assumptions offshore'!$H33,'Covenants offshore'!$C$43:$C$87,0))</f>
        <v>#DIV/0!</v>
      </c>
      <c r="AI35" s="261" t="e">
        <f ca="1">INDEX('Covenants offshore'!Z$43:Z$87,MATCH('Financing assumptions offshore'!$H33,'Covenants offshore'!$C$43:$C$87,0))</f>
        <v>#DIV/0!</v>
      </c>
      <c r="AJ35" s="261" t="e">
        <f ca="1">INDEX('Covenants offshore'!AA$43:AA$87,MATCH('Financing assumptions offshore'!$H33,'Covenants offshore'!$C$43:$C$87,0))</f>
        <v>#DIV/0!</v>
      </c>
      <c r="AK35" s="261" t="e">
        <f ca="1">INDEX('Covenants offshore'!AB$43:AB$87,MATCH('Financing assumptions offshore'!$H33,'Covenants offshore'!$C$43:$C$87,0))</f>
        <v>#N/A</v>
      </c>
      <c r="AL35" s="261" t="e">
        <f ca="1">INDEX('Covenants offshore'!AC$43:AC$87,MATCH('Financing assumptions offshore'!$H33,'Covenants offshore'!$C$43:$C$87,0))</f>
        <v>#N/A</v>
      </c>
      <c r="AM35" s="261" t="e">
        <f ca="1">INDEX('Covenants offshore'!AD$43:AD$87,MATCH('Financing assumptions offshore'!$H33,'Covenants offshore'!$C$43:$C$87,0))</f>
        <v>#N/A</v>
      </c>
      <c r="AN35" s="261" t="e">
        <f ca="1">INDEX('Covenants offshore'!AE$43:AE$87,MATCH('Financing assumptions offshore'!$H33,'Covenants offshore'!$C$43:$C$87,0))</f>
        <v>#N/A</v>
      </c>
      <c r="AO35" s="261" t="e">
        <f ca="1">INDEX('Covenants offshore'!AF$43:AF$87,MATCH('Financing assumptions offshore'!$H33,'Covenants offshore'!$C$43:$C$87,0))</f>
        <v>#N/A</v>
      </c>
    </row>
    <row r="36" spans="3:41">
      <c r="C36" s="58" t="s">
        <v>903</v>
      </c>
      <c r="D36" s="22"/>
      <c r="E36" s="22"/>
      <c r="F36" s="276">
        <v>425</v>
      </c>
      <c r="H36" s="69" t="str">
        <f>CONCATENATE(I37,"x&lt;x&lt;=",I36,"x")</f>
        <v>2.99x&lt;x&lt;=3x</v>
      </c>
      <c r="I36" s="278">
        <v>3</v>
      </c>
      <c r="J36" s="279">
        <v>250</v>
      </c>
      <c r="L36" s="282" t="s">
        <v>803</v>
      </c>
      <c r="M36" s="183">
        <f>IFERROR(INDEX($J34:$J38,MATCH(L35,$I34:$I38,-1)),$F36)/10000+$G34*M$11</f>
        <v>5.6600000000000004E-2</v>
      </c>
      <c r="N36" s="183">
        <f t="shared" ref="N36:AG36" si="64">IFERROR(INDEX($J34:$J38,MATCH(M35,$I34:$I38,-1)),$F36)/10000+$G34*N$11</f>
        <v>5.6600000000000004E-2</v>
      </c>
      <c r="O36" s="183">
        <f t="shared" si="64"/>
        <v>5.6600000000000004E-2</v>
      </c>
      <c r="P36" s="183">
        <f t="shared" si="64"/>
        <v>5.6600000000000004E-2</v>
      </c>
      <c r="Q36" s="183">
        <f t="shared" ca="1" si="64"/>
        <v>5.6600000000000004E-2</v>
      </c>
      <c r="R36" s="183">
        <f t="shared" ca="1" si="64"/>
        <v>5.6600000000000004E-2</v>
      </c>
      <c r="S36" s="183">
        <f t="shared" ca="1" si="64"/>
        <v>5.6600000000000004E-2</v>
      </c>
      <c r="T36" s="183">
        <f t="shared" ca="1" si="64"/>
        <v>5.6600000000000004E-2</v>
      </c>
      <c r="U36" s="183">
        <f t="shared" ca="1" si="64"/>
        <v>5.6600000000000004E-2</v>
      </c>
      <c r="V36" s="183">
        <f t="shared" ca="1" si="64"/>
        <v>5.6600000000000004E-2</v>
      </c>
      <c r="W36" s="183">
        <f t="shared" ca="1" si="64"/>
        <v>5.6600000000000004E-2</v>
      </c>
      <c r="X36" s="183">
        <f t="shared" ca="1" si="64"/>
        <v>5.6600000000000004E-2</v>
      </c>
      <c r="Y36" s="183">
        <f t="shared" ca="1" si="64"/>
        <v>5.6600000000000004E-2</v>
      </c>
      <c r="Z36" s="183">
        <f t="shared" ca="1" si="64"/>
        <v>5.6600000000000004E-2</v>
      </c>
      <c r="AA36" s="183">
        <f t="shared" ca="1" si="64"/>
        <v>5.6600000000000004E-2</v>
      </c>
      <c r="AB36" s="183">
        <f t="shared" ca="1" si="64"/>
        <v>5.6600000000000004E-2</v>
      </c>
      <c r="AC36" s="183">
        <f t="shared" ca="1" si="64"/>
        <v>5.6600000000000004E-2</v>
      </c>
      <c r="AD36" s="183">
        <f t="shared" ca="1" si="64"/>
        <v>5.6600000000000004E-2</v>
      </c>
      <c r="AE36" s="183">
        <f t="shared" ca="1" si="64"/>
        <v>5.6600000000000004E-2</v>
      </c>
      <c r="AF36" s="183">
        <f t="shared" ca="1" si="64"/>
        <v>5.6600000000000004E-2</v>
      </c>
      <c r="AG36" s="183">
        <f t="shared" ca="1" si="64"/>
        <v>5.6600000000000004E-2</v>
      </c>
      <c r="AH36" s="183">
        <f t="shared" ref="AH36" ca="1" si="65">IFERROR(INDEX($J34:$J38,MATCH(AG35,$I34:$I38,-1)),$F36)/10000+$G34*AH$11</f>
        <v>5.6600000000000004E-2</v>
      </c>
      <c r="AI36" s="183">
        <f t="shared" ref="AI36" ca="1" si="66">IFERROR(INDEX($J34:$J38,MATCH(AH35,$I34:$I38,-1)),$F36)/10000+$G34*AI$11</f>
        <v>5.6600000000000004E-2</v>
      </c>
      <c r="AJ36" s="183">
        <f t="shared" ref="AJ36" ca="1" si="67">IFERROR(INDEX($J34:$J38,MATCH(AI35,$I34:$I38,-1)),$F36)/10000+$G34*AJ$11</f>
        <v>5.6600000000000004E-2</v>
      </c>
      <c r="AK36" s="183">
        <f t="shared" ref="AK36" ca="1" si="68">IFERROR(INDEX($J34:$J38,MATCH(AJ35,$I34:$I38,-1)),$F36)/10000+$G34*AK$11</f>
        <v>5.6600000000000004E-2</v>
      </c>
      <c r="AL36" s="183">
        <f t="shared" ref="AL36" ca="1" si="69">IFERROR(INDEX($J34:$J38,MATCH(AK35,$I34:$I38,-1)),$F36)/10000+$G34*AL$11</f>
        <v>5.6600000000000004E-2</v>
      </c>
      <c r="AM36" s="183">
        <f t="shared" ref="AM36" ca="1" si="70">IFERROR(INDEX($J34:$J38,MATCH(AL35,$I34:$I38,-1)),$F36)/10000+$G34*AM$11</f>
        <v>5.6600000000000004E-2</v>
      </c>
      <c r="AN36" s="183">
        <f t="shared" ref="AN36:AO36" ca="1" si="71">IFERROR(INDEX($J34:$J38,MATCH(AM35,$I34:$I38,-1)),$F36)/10000+$G34*AN$11</f>
        <v>5.6600000000000004E-2</v>
      </c>
      <c r="AO36" s="183">
        <f t="shared" ca="1" si="71"/>
        <v>5.6600000000000004E-2</v>
      </c>
    </row>
    <row r="37" spans="3:41">
      <c r="C37" s="58" t="s">
        <v>740</v>
      </c>
      <c r="D37" s="22"/>
      <c r="E37" s="22"/>
      <c r="F37" s="276">
        <v>0</v>
      </c>
      <c r="H37" s="69" t="str">
        <f>CONCATENATE(I38,"x&lt;x&lt;=",I37,"x")</f>
        <v>2.98x&lt;x&lt;=2.99x</v>
      </c>
      <c r="I37" s="278">
        <v>2.99</v>
      </c>
      <c r="J37" s="279">
        <v>250</v>
      </c>
      <c r="L37" s="60"/>
      <c r="M37" s="60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spans="3:41">
      <c r="C38" s="12" t="s">
        <v>701</v>
      </c>
      <c r="F38" s="269">
        <f>F33+SUM(M33:AO33)</f>
        <v>0</v>
      </c>
      <c r="H38" s="73" t="str">
        <f>CONCATENATE("&lt;",I38,"x")</f>
        <v>&lt;2.98x</v>
      </c>
      <c r="I38" s="280">
        <v>2.98</v>
      </c>
      <c r="J38" s="281">
        <v>250</v>
      </c>
      <c r="L38" s="60"/>
      <c r="M38" s="60"/>
      <c r="O38" s="74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</row>
    <row r="39" spans="3:41">
      <c r="C39" s="12"/>
      <c r="F39" s="72"/>
      <c r="L39" s="60"/>
      <c r="M39" s="60"/>
      <c r="O39" s="74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</row>
    <row r="40" spans="3:41">
      <c r="C40" s="222" t="s">
        <v>752</v>
      </c>
      <c r="D40" s="209"/>
      <c r="E40" s="209"/>
      <c r="F40" s="178"/>
      <c r="G40" s="178"/>
      <c r="H40" s="178"/>
      <c r="I40" s="178"/>
      <c r="J40" s="178"/>
      <c r="L40" s="222" t="s">
        <v>799</v>
      </c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2"/>
      <c r="AL40" s="222"/>
      <c r="AM40" s="222"/>
      <c r="AN40" s="222"/>
      <c r="AO40" s="222"/>
    </row>
    <row r="41" spans="3:41">
      <c r="C41" s="219" t="s">
        <v>26</v>
      </c>
      <c r="D41" s="214"/>
      <c r="E41" s="214"/>
      <c r="F41" s="219">
        <f>+F42/$F$10</f>
        <v>0</v>
      </c>
      <c r="H41" s="61" t="s">
        <v>797</v>
      </c>
      <c r="I41" s="62"/>
      <c r="J41" s="63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spans="3:41">
      <c r="C42" s="60" t="s">
        <v>27</v>
      </c>
      <c r="D42" s="22"/>
      <c r="E42" s="22"/>
      <c r="F42" s="197">
        <v>0</v>
      </c>
      <c r="H42" s="65" t="s">
        <v>860</v>
      </c>
      <c r="I42" s="66"/>
      <c r="J42" s="67" t="s">
        <v>30</v>
      </c>
      <c r="L42" s="282" t="s">
        <v>800</v>
      </c>
      <c r="M42" s="282"/>
      <c r="N42" s="255">
        <f>-$F42*N43</f>
        <v>0</v>
      </c>
      <c r="O42" s="255">
        <f t="shared" ref="O42" si="72">-$F42*O43</f>
        <v>0</v>
      </c>
      <c r="P42" s="255">
        <f t="shared" ref="P42" si="73">-$F42*P43</f>
        <v>0</v>
      </c>
      <c r="Q42" s="255">
        <f t="shared" ref="Q42" si="74">-$F42*Q43</f>
        <v>0</v>
      </c>
      <c r="R42" s="255">
        <f t="shared" ref="R42" si="75">-$F42*R43</f>
        <v>0</v>
      </c>
      <c r="S42" s="255">
        <f t="shared" ref="S42" si="76">-$F42*S43</f>
        <v>0</v>
      </c>
      <c r="T42" s="255">
        <f t="shared" ref="T42" si="77">-$F42*T43</f>
        <v>0</v>
      </c>
      <c r="U42" s="255">
        <f t="shared" ref="U42" si="78">-$F42*U43</f>
        <v>0</v>
      </c>
      <c r="V42" s="255">
        <f t="shared" ref="V42" si="79">-$F42*V43</f>
        <v>0</v>
      </c>
      <c r="W42" s="255">
        <f t="shared" ref="W42" si="80">-$F42*W43</f>
        <v>0</v>
      </c>
      <c r="X42" s="255">
        <f t="shared" ref="X42" si="81">-$F42*X43</f>
        <v>0</v>
      </c>
      <c r="Y42" s="255">
        <f t="shared" ref="Y42" si="82">-$F42*Y43</f>
        <v>0</v>
      </c>
      <c r="Z42" s="255">
        <f t="shared" ref="Z42" si="83">-$F42*Z43</f>
        <v>0</v>
      </c>
      <c r="AA42" s="255">
        <f t="shared" ref="AA42" si="84">-$F42*AA43</f>
        <v>0</v>
      </c>
      <c r="AB42" s="255">
        <f t="shared" ref="AB42" si="85">-$F42*AB43</f>
        <v>0</v>
      </c>
      <c r="AC42" s="255">
        <f t="shared" ref="AC42" si="86">-$F42*AC43</f>
        <v>0</v>
      </c>
      <c r="AD42" s="255">
        <f t="shared" ref="AD42" si="87">-$F42*AD43</f>
        <v>0</v>
      </c>
      <c r="AE42" s="255">
        <f t="shared" ref="AE42" si="88">-$F42*AE43</f>
        <v>0</v>
      </c>
      <c r="AF42" s="255">
        <f t="shared" ref="AF42" si="89">-$F42*AF43</f>
        <v>0</v>
      </c>
      <c r="AG42" s="255">
        <f t="shared" ref="AG42:AO42" si="90">-$F42*AG43</f>
        <v>0</v>
      </c>
      <c r="AH42" s="255">
        <f t="shared" si="90"/>
        <v>0</v>
      </c>
      <c r="AI42" s="255">
        <f t="shared" si="90"/>
        <v>0</v>
      </c>
      <c r="AJ42" s="255">
        <f t="shared" si="90"/>
        <v>0</v>
      </c>
      <c r="AK42" s="255">
        <f t="shared" si="90"/>
        <v>0</v>
      </c>
      <c r="AL42" s="255">
        <f t="shared" si="90"/>
        <v>0</v>
      </c>
      <c r="AM42" s="255">
        <f t="shared" si="90"/>
        <v>0</v>
      </c>
      <c r="AN42" s="255">
        <f t="shared" si="90"/>
        <v>0</v>
      </c>
      <c r="AO42" s="255">
        <f t="shared" si="90"/>
        <v>0</v>
      </c>
    </row>
    <row r="43" spans="3:41">
      <c r="C43" s="60" t="s">
        <v>804</v>
      </c>
      <c r="D43" s="22"/>
      <c r="E43" s="22"/>
      <c r="F43" s="277" t="s">
        <v>805</v>
      </c>
      <c r="G43" s="68">
        <f>IF(F43="variable",1,0)</f>
        <v>1</v>
      </c>
      <c r="H43" s="69" t="str">
        <f>CONCATENATE("&gt;",I44,"x")</f>
        <v>&gt;4x</v>
      </c>
      <c r="I43" s="278">
        <v>99999</v>
      </c>
      <c r="J43" s="279">
        <v>275</v>
      </c>
      <c r="L43" s="282" t="s">
        <v>801</v>
      </c>
      <c r="M43" s="60"/>
      <c r="N43" s="274">
        <v>1.4999999999999999E-2</v>
      </c>
      <c r="O43" s="274">
        <v>1.4999999999999999E-2</v>
      </c>
      <c r="P43" s="274">
        <v>1.4999999999999999E-2</v>
      </c>
      <c r="Q43" s="274">
        <v>1.4999999999999999E-2</v>
      </c>
      <c r="R43" s="274">
        <v>1.4999999999999999E-2</v>
      </c>
      <c r="S43" s="274">
        <v>1.4999999999999999E-2</v>
      </c>
      <c r="T43" s="274">
        <v>1.4999999999999999E-2</v>
      </c>
      <c r="U43" s="274">
        <v>1.4999999999999999E-2</v>
      </c>
      <c r="V43" s="274">
        <v>1.4999999999999999E-2</v>
      </c>
      <c r="W43" s="274">
        <v>1.4999999999999999E-2</v>
      </c>
      <c r="X43" s="274">
        <v>1.4999999999999999E-2</v>
      </c>
      <c r="Y43" s="274">
        <v>1.4999999999999999E-2</v>
      </c>
      <c r="Z43" s="274">
        <v>1.4999999999999999E-2</v>
      </c>
      <c r="AA43" s="274">
        <v>1.4999999999999999E-2</v>
      </c>
      <c r="AB43" s="274">
        <v>1.4999999999999999E-2</v>
      </c>
      <c r="AC43" s="274">
        <v>1.4999999999999999E-2</v>
      </c>
      <c r="AD43" s="274">
        <v>1.4999999999999999E-2</v>
      </c>
      <c r="AE43" s="274">
        <v>1.4999999999999999E-2</v>
      </c>
      <c r="AF43" s="274">
        <v>1.4999999999999999E-2</v>
      </c>
      <c r="AG43" s="274">
        <v>0.71499999999999997</v>
      </c>
      <c r="AH43" s="274">
        <v>0</v>
      </c>
      <c r="AI43" s="274">
        <v>0</v>
      </c>
      <c r="AJ43" s="274">
        <v>0</v>
      </c>
      <c r="AK43" s="274">
        <v>0</v>
      </c>
      <c r="AL43" s="274">
        <v>0</v>
      </c>
      <c r="AM43" s="274">
        <v>0</v>
      </c>
      <c r="AN43" s="274">
        <v>0</v>
      </c>
      <c r="AO43" s="274">
        <v>0</v>
      </c>
    </row>
    <row r="44" spans="3:41">
      <c r="C44" s="6" t="s">
        <v>28</v>
      </c>
      <c r="F44" s="275">
        <f>SUMPRODUCT(N43:AN43,$N$7:$AN$7)</f>
        <v>4.5374999999999996</v>
      </c>
      <c r="H44" s="69" t="str">
        <f>CONCATENATE(I45,"x&lt;x&lt;=",I44,"x")</f>
        <v>3x&lt;x&lt;=4x</v>
      </c>
      <c r="I44" s="278">
        <v>4</v>
      </c>
      <c r="J44" s="279">
        <v>250</v>
      </c>
      <c r="L44" s="282" t="s">
        <v>802</v>
      </c>
      <c r="M44" s="261" t="str">
        <f>INDEX('Covenants offshore'!D$43:D$87,MATCH('Financing assumptions offshore'!$H42,'Covenants offshore'!$C$43:$C$87,0))</f>
        <v>na</v>
      </c>
      <c r="N44" s="261" t="str">
        <f>INDEX('Covenants offshore'!E$43:E$87,MATCH('Financing assumptions offshore'!$H42,'Covenants offshore'!$C$43:$C$87,0))</f>
        <v>na</v>
      </c>
      <c r="O44" s="261" t="str">
        <f>INDEX('Covenants offshore'!F$43:F$87,MATCH('Financing assumptions offshore'!$H42,'Covenants offshore'!$C$43:$C$87,0))</f>
        <v>na</v>
      </c>
      <c r="P44" s="261" t="e">
        <f ca="1">INDEX('Covenants offshore'!G$43:G$87,MATCH('Financing assumptions offshore'!$H42,'Covenants offshore'!$C$43:$C$87,0))</f>
        <v>#DIV/0!</v>
      </c>
      <c r="Q44" s="261" t="e">
        <f ca="1">INDEX('Covenants offshore'!H$43:H$87,MATCH('Financing assumptions offshore'!$H42,'Covenants offshore'!$C$43:$C$87,0))</f>
        <v>#DIV/0!</v>
      </c>
      <c r="R44" s="261" t="e">
        <f ca="1">INDEX('Covenants offshore'!I$43:I$87,MATCH('Financing assumptions offshore'!$H42,'Covenants offshore'!$C$43:$C$87,0))</f>
        <v>#DIV/0!</v>
      </c>
      <c r="S44" s="261" t="e">
        <f ca="1">INDEX('Covenants offshore'!J$43:J$87,MATCH('Financing assumptions offshore'!$H42,'Covenants offshore'!$C$43:$C$87,0))</f>
        <v>#DIV/0!</v>
      </c>
      <c r="T44" s="261" t="e">
        <f ca="1">INDEX('Covenants offshore'!K$43:K$87,MATCH('Financing assumptions offshore'!$H42,'Covenants offshore'!$C$43:$C$87,0))</f>
        <v>#DIV/0!</v>
      </c>
      <c r="U44" s="261" t="e">
        <f ca="1">INDEX('Covenants offshore'!L$43:L$87,MATCH('Financing assumptions offshore'!$H42,'Covenants offshore'!$C$43:$C$87,0))</f>
        <v>#DIV/0!</v>
      </c>
      <c r="V44" s="261" t="e">
        <f ca="1">INDEX('Covenants offshore'!M$43:M$87,MATCH('Financing assumptions offshore'!$H42,'Covenants offshore'!$C$43:$C$87,0))</f>
        <v>#DIV/0!</v>
      </c>
      <c r="W44" s="261" t="e">
        <f ca="1">INDEX('Covenants offshore'!N$43:N$87,MATCH('Financing assumptions offshore'!$H42,'Covenants offshore'!$C$43:$C$87,0))</f>
        <v>#DIV/0!</v>
      </c>
      <c r="X44" s="261" t="e">
        <f ca="1">INDEX('Covenants offshore'!O$43:O$87,MATCH('Financing assumptions offshore'!$H42,'Covenants offshore'!$C$43:$C$87,0))</f>
        <v>#DIV/0!</v>
      </c>
      <c r="Y44" s="261" t="e">
        <f ca="1">INDEX('Covenants offshore'!P$43:P$87,MATCH('Financing assumptions offshore'!$H42,'Covenants offshore'!$C$43:$C$87,0))</f>
        <v>#DIV/0!</v>
      </c>
      <c r="Z44" s="261" t="e">
        <f ca="1">INDEX('Covenants offshore'!Q$43:Q$87,MATCH('Financing assumptions offshore'!$H42,'Covenants offshore'!$C$43:$C$87,0))</f>
        <v>#DIV/0!</v>
      </c>
      <c r="AA44" s="261" t="e">
        <f ca="1">INDEX('Covenants offshore'!R$43:R$87,MATCH('Financing assumptions offshore'!$H42,'Covenants offshore'!$C$43:$C$87,0))</f>
        <v>#DIV/0!</v>
      </c>
      <c r="AB44" s="261" t="e">
        <f ca="1">INDEX('Covenants offshore'!S$43:S$87,MATCH('Financing assumptions offshore'!$H42,'Covenants offshore'!$C$43:$C$87,0))</f>
        <v>#DIV/0!</v>
      </c>
      <c r="AC44" s="261" t="e">
        <f ca="1">INDEX('Covenants offshore'!T$43:T$87,MATCH('Financing assumptions offshore'!$H42,'Covenants offshore'!$C$43:$C$87,0))</f>
        <v>#DIV/0!</v>
      </c>
      <c r="AD44" s="261" t="e">
        <f ca="1">INDEX('Covenants offshore'!U$43:U$87,MATCH('Financing assumptions offshore'!$H42,'Covenants offshore'!$C$43:$C$87,0))</f>
        <v>#DIV/0!</v>
      </c>
      <c r="AE44" s="261" t="e">
        <f ca="1">INDEX('Covenants offshore'!V$43:V$87,MATCH('Financing assumptions offshore'!$H42,'Covenants offshore'!$C$43:$C$87,0))</f>
        <v>#DIV/0!</v>
      </c>
      <c r="AF44" s="261" t="e">
        <f ca="1">INDEX('Covenants offshore'!W$43:W$87,MATCH('Financing assumptions offshore'!$H42,'Covenants offshore'!$C$43:$C$87,0))</f>
        <v>#DIV/0!</v>
      </c>
      <c r="AG44" s="261" t="e">
        <f ca="1">INDEX('Covenants offshore'!X$43:X$87,MATCH('Financing assumptions offshore'!$H42,'Covenants offshore'!$C$43:$C$87,0))</f>
        <v>#DIV/0!</v>
      </c>
      <c r="AH44" s="261" t="e">
        <f ca="1">INDEX('Covenants offshore'!Y$43:Y$87,MATCH('Financing assumptions offshore'!$H42,'Covenants offshore'!$C$43:$C$87,0))</f>
        <v>#DIV/0!</v>
      </c>
      <c r="AI44" s="261" t="e">
        <f ca="1">INDEX('Covenants offshore'!Z$43:Z$87,MATCH('Financing assumptions offshore'!$H42,'Covenants offshore'!$C$43:$C$87,0))</f>
        <v>#DIV/0!</v>
      </c>
      <c r="AJ44" s="261" t="e">
        <f ca="1">INDEX('Covenants offshore'!AA$43:AA$87,MATCH('Financing assumptions offshore'!$H42,'Covenants offshore'!$C$43:$C$87,0))</f>
        <v>#DIV/0!</v>
      </c>
      <c r="AK44" s="261" t="e">
        <f ca="1">INDEX('Covenants offshore'!AB$43:AB$87,MATCH('Financing assumptions offshore'!$H42,'Covenants offshore'!$C$43:$C$87,0))</f>
        <v>#N/A</v>
      </c>
      <c r="AL44" s="261" t="e">
        <f ca="1">INDEX('Covenants offshore'!AC$43:AC$87,MATCH('Financing assumptions offshore'!$H42,'Covenants offshore'!$C$43:$C$87,0))</f>
        <v>#N/A</v>
      </c>
      <c r="AM44" s="261" t="e">
        <f ca="1">INDEX('Covenants offshore'!AD$43:AD$87,MATCH('Financing assumptions offshore'!$H42,'Covenants offshore'!$C$43:$C$87,0))</f>
        <v>#N/A</v>
      </c>
      <c r="AN44" s="261" t="e">
        <f ca="1">INDEX('Covenants offshore'!AE$43:AE$87,MATCH('Financing assumptions offshore'!$H42,'Covenants offshore'!$C$43:$C$87,0))</f>
        <v>#N/A</v>
      </c>
      <c r="AO44" s="261" t="e">
        <f ca="1">INDEX('Covenants offshore'!AF$43:AF$87,MATCH('Financing assumptions offshore'!$H42,'Covenants offshore'!$C$43:$C$87,0))</f>
        <v>#N/A</v>
      </c>
    </row>
    <row r="45" spans="3:41">
      <c r="C45" s="58" t="s">
        <v>903</v>
      </c>
      <c r="D45" s="22"/>
      <c r="E45" s="22"/>
      <c r="F45" s="276">
        <v>425</v>
      </c>
      <c r="H45" s="69" t="str">
        <f>CONCATENATE(I46,"x&lt;x&lt;=",I45,"x")</f>
        <v>2.99x&lt;x&lt;=3x</v>
      </c>
      <c r="I45" s="278">
        <v>3</v>
      </c>
      <c r="J45" s="279">
        <v>250</v>
      </c>
      <c r="L45" s="282" t="s">
        <v>803</v>
      </c>
      <c r="M45" s="183">
        <f>IFERROR(INDEX($J43:$J47,MATCH(L44,$I43:$I47,-1)),$F45)/10000+$G43*M$11</f>
        <v>5.6600000000000004E-2</v>
      </c>
      <c r="N45" s="183">
        <f t="shared" ref="N45:AG45" si="91">IFERROR(INDEX($J43:$J47,MATCH(M44,$I43:$I47,-1)),$F45)/10000+$G43*N$11</f>
        <v>5.6600000000000004E-2</v>
      </c>
      <c r="O45" s="183">
        <f t="shared" si="91"/>
        <v>5.6600000000000004E-2</v>
      </c>
      <c r="P45" s="183">
        <f t="shared" si="91"/>
        <v>5.6600000000000004E-2</v>
      </c>
      <c r="Q45" s="183">
        <f t="shared" ca="1" si="91"/>
        <v>5.6600000000000004E-2</v>
      </c>
      <c r="R45" s="183">
        <f t="shared" ca="1" si="91"/>
        <v>5.6600000000000004E-2</v>
      </c>
      <c r="S45" s="183">
        <f t="shared" ca="1" si="91"/>
        <v>5.6600000000000004E-2</v>
      </c>
      <c r="T45" s="183">
        <f t="shared" ca="1" si="91"/>
        <v>5.6600000000000004E-2</v>
      </c>
      <c r="U45" s="183">
        <f t="shared" ca="1" si="91"/>
        <v>5.6600000000000004E-2</v>
      </c>
      <c r="V45" s="183">
        <f t="shared" ca="1" si="91"/>
        <v>5.6600000000000004E-2</v>
      </c>
      <c r="W45" s="183">
        <f t="shared" ca="1" si="91"/>
        <v>5.6600000000000004E-2</v>
      </c>
      <c r="X45" s="183">
        <f t="shared" ca="1" si="91"/>
        <v>5.6600000000000004E-2</v>
      </c>
      <c r="Y45" s="183">
        <f t="shared" ca="1" si="91"/>
        <v>5.6600000000000004E-2</v>
      </c>
      <c r="Z45" s="183">
        <f t="shared" ca="1" si="91"/>
        <v>5.6600000000000004E-2</v>
      </c>
      <c r="AA45" s="183">
        <f t="shared" ca="1" si="91"/>
        <v>5.6600000000000004E-2</v>
      </c>
      <c r="AB45" s="183">
        <f t="shared" ca="1" si="91"/>
        <v>5.6600000000000004E-2</v>
      </c>
      <c r="AC45" s="183">
        <f t="shared" ca="1" si="91"/>
        <v>5.6600000000000004E-2</v>
      </c>
      <c r="AD45" s="183">
        <f t="shared" ca="1" si="91"/>
        <v>5.6600000000000004E-2</v>
      </c>
      <c r="AE45" s="183">
        <f t="shared" ca="1" si="91"/>
        <v>5.6600000000000004E-2</v>
      </c>
      <c r="AF45" s="183">
        <f t="shared" ca="1" si="91"/>
        <v>5.6600000000000004E-2</v>
      </c>
      <c r="AG45" s="183">
        <f t="shared" ca="1" si="91"/>
        <v>5.6600000000000004E-2</v>
      </c>
      <c r="AH45" s="183">
        <f t="shared" ref="AH45" ca="1" si="92">IFERROR(INDEX($J43:$J47,MATCH(AG44,$I43:$I47,-1)),$F45)/10000+$G43*AH$11</f>
        <v>5.6600000000000004E-2</v>
      </c>
      <c r="AI45" s="183">
        <f t="shared" ref="AI45" ca="1" si="93">IFERROR(INDEX($J43:$J47,MATCH(AH44,$I43:$I47,-1)),$F45)/10000+$G43*AI$11</f>
        <v>5.6600000000000004E-2</v>
      </c>
      <c r="AJ45" s="183">
        <f t="shared" ref="AJ45" ca="1" si="94">IFERROR(INDEX($J43:$J47,MATCH(AI44,$I43:$I47,-1)),$F45)/10000+$G43*AJ$11</f>
        <v>5.6600000000000004E-2</v>
      </c>
      <c r="AK45" s="183">
        <f t="shared" ref="AK45" ca="1" si="95">IFERROR(INDEX($J43:$J47,MATCH(AJ44,$I43:$I47,-1)),$F45)/10000+$G43*AK$11</f>
        <v>5.6600000000000004E-2</v>
      </c>
      <c r="AL45" s="183">
        <f t="shared" ref="AL45" ca="1" si="96">IFERROR(INDEX($J43:$J47,MATCH(AK44,$I43:$I47,-1)),$F45)/10000+$G43*AL$11</f>
        <v>5.6600000000000004E-2</v>
      </c>
      <c r="AM45" s="183">
        <f t="shared" ref="AM45" ca="1" si="97">IFERROR(INDEX($J43:$J47,MATCH(AL44,$I43:$I47,-1)),$F45)/10000+$G43*AM$11</f>
        <v>5.6600000000000004E-2</v>
      </c>
      <c r="AN45" s="183">
        <f t="shared" ref="AN45:AO45" ca="1" si="98">IFERROR(INDEX($J43:$J47,MATCH(AM44,$I43:$I47,-1)),$F45)/10000+$G43*AN$11</f>
        <v>5.6600000000000004E-2</v>
      </c>
      <c r="AO45" s="183">
        <f t="shared" ca="1" si="98"/>
        <v>5.6600000000000004E-2</v>
      </c>
    </row>
    <row r="46" spans="3:41">
      <c r="C46" s="58" t="s">
        <v>740</v>
      </c>
      <c r="D46" s="22"/>
      <c r="E46" s="22"/>
      <c r="F46" s="276">
        <v>200</v>
      </c>
      <c r="H46" s="69" t="str">
        <f>CONCATENATE(I47,"x&lt;x&lt;=",I46,"x")</f>
        <v>2.98x&lt;x&lt;=2.99x</v>
      </c>
      <c r="I46" s="278">
        <v>2.99</v>
      </c>
      <c r="J46" s="279">
        <v>250</v>
      </c>
      <c r="L46" s="60"/>
      <c r="M46" s="60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spans="3:41">
      <c r="C47" s="12" t="s">
        <v>701</v>
      </c>
      <c r="F47" s="269">
        <f>F42+SUM(M42:AO42)</f>
        <v>0</v>
      </c>
      <c r="H47" s="73" t="str">
        <f>CONCATENATE("&lt;",I47,"x")</f>
        <v>&lt;2.98x</v>
      </c>
      <c r="I47" s="280">
        <v>2.98</v>
      </c>
      <c r="J47" s="281">
        <v>250</v>
      </c>
      <c r="L47" s="60"/>
      <c r="M47" s="60"/>
      <c r="O47" s="74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</row>
    <row r="48" spans="3:41">
      <c r="C48" s="12"/>
      <c r="F48" s="72"/>
      <c r="L48" s="60"/>
      <c r="M48" s="60"/>
      <c r="O48" s="74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</row>
    <row r="49" spans="3:41">
      <c r="C49" s="222" t="s">
        <v>1017</v>
      </c>
      <c r="D49" s="209"/>
      <c r="E49" s="209"/>
      <c r="F49" s="178"/>
      <c r="G49" s="178"/>
      <c r="H49" s="178"/>
      <c r="I49" s="178"/>
      <c r="J49" s="178"/>
      <c r="L49" s="222" t="s">
        <v>1018</v>
      </c>
      <c r="M49" s="222"/>
      <c r="N49" s="222"/>
      <c r="O49" s="222"/>
      <c r="P49" s="222"/>
      <c r="Q49" s="222"/>
      <c r="R49" s="222"/>
      <c r="S49" s="222"/>
      <c r="T49" s="222"/>
      <c r="U49" s="222"/>
      <c r="V49" s="222"/>
      <c r="W49" s="222"/>
      <c r="X49" s="222"/>
      <c r="Y49" s="222"/>
      <c r="Z49" s="222"/>
      <c r="AA49" s="222"/>
      <c r="AB49" s="222"/>
      <c r="AC49" s="222"/>
      <c r="AD49" s="222"/>
      <c r="AE49" s="222"/>
      <c r="AF49" s="222"/>
      <c r="AG49" s="222"/>
      <c r="AH49" s="222"/>
      <c r="AI49" s="222"/>
      <c r="AJ49" s="222"/>
      <c r="AK49" s="222"/>
      <c r="AL49" s="222"/>
      <c r="AM49" s="222"/>
      <c r="AN49" s="222"/>
      <c r="AO49" s="222"/>
    </row>
    <row r="50" spans="3:41" s="35" customFormat="1">
      <c r="C50" s="219" t="s">
        <v>26</v>
      </c>
      <c r="D50" s="214"/>
      <c r="E50" s="214"/>
      <c r="F50" s="219">
        <f>+F51/$F$10</f>
        <v>0</v>
      </c>
      <c r="H50" s="61" t="s">
        <v>798</v>
      </c>
      <c r="I50" s="62"/>
      <c r="J50" s="63"/>
      <c r="L50" s="76"/>
      <c r="M50" s="76"/>
      <c r="O50" s="77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</row>
    <row r="51" spans="3:41" s="35" customFormat="1">
      <c r="C51" s="60" t="s">
        <v>27</v>
      </c>
      <c r="D51" s="22"/>
      <c r="E51" s="22"/>
      <c r="F51" s="197">
        <v>0</v>
      </c>
      <c r="H51" s="65" t="s">
        <v>860</v>
      </c>
      <c r="I51" s="66"/>
      <c r="J51" s="67" t="s">
        <v>30</v>
      </c>
      <c r="L51" s="282" t="s">
        <v>802</v>
      </c>
      <c r="M51" s="261" t="str">
        <f>INDEX('Covenants offshore'!D$43:D$87,MATCH('Financing assumptions offshore'!$H51,'Covenants offshore'!$C$43:$C$87,0))</f>
        <v>na</v>
      </c>
      <c r="N51" s="261" t="str">
        <f>INDEX('Covenants offshore'!E$43:E$87,MATCH('Financing assumptions offshore'!$H51,'Covenants offshore'!$C$43:$C$87,0))</f>
        <v>na</v>
      </c>
      <c r="O51" s="261" t="str">
        <f>INDEX('Covenants offshore'!F$43:F$87,MATCH('Financing assumptions offshore'!$H51,'Covenants offshore'!$C$43:$C$87,0))</f>
        <v>na</v>
      </c>
      <c r="P51" s="261" t="e">
        <f ca="1">INDEX('Covenants offshore'!G$43:G$87,MATCH('Financing assumptions offshore'!$H51,'Covenants offshore'!$C$43:$C$87,0))</f>
        <v>#DIV/0!</v>
      </c>
      <c r="Q51" s="261" t="e">
        <f ca="1">INDEX('Covenants offshore'!H$43:H$87,MATCH('Financing assumptions offshore'!$H51,'Covenants offshore'!$C$43:$C$87,0))</f>
        <v>#DIV/0!</v>
      </c>
      <c r="R51" s="261" t="e">
        <f ca="1">INDEX('Covenants offshore'!I$43:I$87,MATCH('Financing assumptions offshore'!$H51,'Covenants offshore'!$C$43:$C$87,0))</f>
        <v>#DIV/0!</v>
      </c>
      <c r="S51" s="261" t="e">
        <f ca="1">INDEX('Covenants offshore'!J$43:J$87,MATCH('Financing assumptions offshore'!$H51,'Covenants offshore'!$C$43:$C$87,0))</f>
        <v>#DIV/0!</v>
      </c>
      <c r="T51" s="261" t="e">
        <f ca="1">INDEX('Covenants offshore'!K$43:K$87,MATCH('Financing assumptions offshore'!$H51,'Covenants offshore'!$C$43:$C$87,0))</f>
        <v>#DIV/0!</v>
      </c>
      <c r="U51" s="261" t="e">
        <f ca="1">INDEX('Covenants offshore'!L$43:L$87,MATCH('Financing assumptions offshore'!$H51,'Covenants offshore'!$C$43:$C$87,0))</f>
        <v>#DIV/0!</v>
      </c>
      <c r="V51" s="261" t="e">
        <f ca="1">INDEX('Covenants offshore'!M$43:M$87,MATCH('Financing assumptions offshore'!$H51,'Covenants offshore'!$C$43:$C$87,0))</f>
        <v>#DIV/0!</v>
      </c>
      <c r="W51" s="261" t="e">
        <f ca="1">INDEX('Covenants offshore'!N$43:N$87,MATCH('Financing assumptions offshore'!$H51,'Covenants offshore'!$C$43:$C$87,0))</f>
        <v>#DIV/0!</v>
      </c>
      <c r="X51" s="261" t="e">
        <f ca="1">INDEX('Covenants offshore'!O$43:O$87,MATCH('Financing assumptions offshore'!$H51,'Covenants offshore'!$C$43:$C$87,0))</f>
        <v>#DIV/0!</v>
      </c>
      <c r="Y51" s="261" t="e">
        <f ca="1">INDEX('Covenants offshore'!P$43:P$87,MATCH('Financing assumptions offshore'!$H51,'Covenants offshore'!$C$43:$C$87,0))</f>
        <v>#DIV/0!</v>
      </c>
      <c r="Z51" s="261" t="e">
        <f ca="1">INDEX('Covenants offshore'!Q$43:Q$87,MATCH('Financing assumptions offshore'!$H51,'Covenants offshore'!$C$43:$C$87,0))</f>
        <v>#DIV/0!</v>
      </c>
      <c r="AA51" s="261" t="e">
        <f ca="1">INDEX('Covenants offshore'!R$43:R$87,MATCH('Financing assumptions offshore'!$H51,'Covenants offshore'!$C$43:$C$87,0))</f>
        <v>#DIV/0!</v>
      </c>
      <c r="AB51" s="261" t="e">
        <f ca="1">INDEX('Covenants offshore'!S$43:S$87,MATCH('Financing assumptions offshore'!$H51,'Covenants offshore'!$C$43:$C$87,0))</f>
        <v>#DIV/0!</v>
      </c>
      <c r="AC51" s="261" t="e">
        <f ca="1">INDEX('Covenants offshore'!T$43:T$87,MATCH('Financing assumptions offshore'!$H51,'Covenants offshore'!$C$43:$C$87,0))</f>
        <v>#DIV/0!</v>
      </c>
      <c r="AD51" s="261" t="e">
        <f ca="1">INDEX('Covenants offshore'!U$43:U$87,MATCH('Financing assumptions offshore'!$H51,'Covenants offshore'!$C$43:$C$87,0))</f>
        <v>#DIV/0!</v>
      </c>
      <c r="AE51" s="261" t="e">
        <f ca="1">INDEX('Covenants offshore'!V$43:V$87,MATCH('Financing assumptions offshore'!$H51,'Covenants offshore'!$C$43:$C$87,0))</f>
        <v>#DIV/0!</v>
      </c>
      <c r="AF51" s="261" t="e">
        <f ca="1">INDEX('Covenants offshore'!W$43:W$87,MATCH('Financing assumptions offshore'!$H51,'Covenants offshore'!$C$43:$C$87,0))</f>
        <v>#DIV/0!</v>
      </c>
      <c r="AG51" s="261" t="e">
        <f ca="1">INDEX('Covenants offshore'!X$43:X$87,MATCH('Financing assumptions offshore'!$H51,'Covenants offshore'!$C$43:$C$87,0))</f>
        <v>#DIV/0!</v>
      </c>
      <c r="AH51" s="261" t="e">
        <f ca="1">INDEX('Covenants offshore'!Y$43:Y$87,MATCH('Financing assumptions offshore'!$H51,'Covenants offshore'!$C$43:$C$87,0))</f>
        <v>#DIV/0!</v>
      </c>
      <c r="AI51" s="261" t="e">
        <f ca="1">INDEX('Covenants offshore'!Z$43:Z$87,MATCH('Financing assumptions offshore'!$H51,'Covenants offshore'!$C$43:$C$87,0))</f>
        <v>#DIV/0!</v>
      </c>
      <c r="AJ51" s="261" t="e">
        <f ca="1">INDEX('Covenants offshore'!AA$43:AA$87,MATCH('Financing assumptions offshore'!$H51,'Covenants offshore'!$C$43:$C$87,0))</f>
        <v>#DIV/0!</v>
      </c>
      <c r="AK51" s="261" t="e">
        <f ca="1">INDEX('Covenants offshore'!AB$43:AB$87,MATCH('Financing assumptions offshore'!$H51,'Covenants offshore'!$C$43:$C$87,0))</f>
        <v>#N/A</v>
      </c>
      <c r="AL51" s="261" t="e">
        <f ca="1">INDEX('Covenants offshore'!AC$43:AC$87,MATCH('Financing assumptions offshore'!$H51,'Covenants offshore'!$C$43:$C$87,0))</f>
        <v>#N/A</v>
      </c>
      <c r="AM51" s="261" t="e">
        <f ca="1">INDEX('Covenants offshore'!AD$43:AD$87,MATCH('Financing assumptions offshore'!$H51,'Covenants offshore'!$C$43:$C$87,0))</f>
        <v>#N/A</v>
      </c>
      <c r="AN51" s="261" t="e">
        <f ca="1">INDEX('Covenants offshore'!AE$43:AE$87,MATCH('Financing assumptions offshore'!$H51,'Covenants offshore'!$C$43:$C$87,0))</f>
        <v>#N/A</v>
      </c>
      <c r="AO51" s="261" t="e">
        <f ca="1">INDEX('Covenants offshore'!AF$43:AF$87,MATCH('Financing assumptions offshore'!$H51,'Covenants offshore'!$C$43:$C$87,0))</f>
        <v>#N/A</v>
      </c>
    </row>
    <row r="52" spans="3:41" s="35" customFormat="1">
      <c r="C52" s="58" t="s">
        <v>903</v>
      </c>
      <c r="D52" s="22"/>
      <c r="E52" s="22"/>
      <c r="F52" s="276">
        <v>380</v>
      </c>
      <c r="H52" s="69" t="str">
        <f>CONCATENATE("&gt;",I53,"x")</f>
        <v>&gt;4x</v>
      </c>
      <c r="I52" s="278">
        <v>99999</v>
      </c>
      <c r="J52" s="279">
        <v>275</v>
      </c>
      <c r="L52" s="282" t="s">
        <v>803</v>
      </c>
      <c r="M52" s="183">
        <f>IFERROR(INDEX($J52:$J56,MATCH(L51,$I52:$I56,-1)),$F52)/10000+M$11</f>
        <v>5.21E-2</v>
      </c>
      <c r="N52" s="183">
        <f t="shared" ref="N52:AG52" si="99">IFERROR(INDEX($J52:$J56,MATCH(M51,$I52:$I56,-1)),$F52)/10000+N$11</f>
        <v>5.21E-2</v>
      </c>
      <c r="O52" s="183">
        <f t="shared" si="99"/>
        <v>5.21E-2</v>
      </c>
      <c r="P52" s="183">
        <f t="shared" si="99"/>
        <v>5.21E-2</v>
      </c>
      <c r="Q52" s="183">
        <f t="shared" ca="1" si="99"/>
        <v>5.21E-2</v>
      </c>
      <c r="R52" s="183">
        <f t="shared" ca="1" si="99"/>
        <v>5.21E-2</v>
      </c>
      <c r="S52" s="183">
        <f t="shared" ca="1" si="99"/>
        <v>5.21E-2</v>
      </c>
      <c r="T52" s="183">
        <f t="shared" ca="1" si="99"/>
        <v>5.21E-2</v>
      </c>
      <c r="U52" s="183">
        <f t="shared" ca="1" si="99"/>
        <v>5.21E-2</v>
      </c>
      <c r="V52" s="183">
        <f t="shared" ca="1" si="99"/>
        <v>5.21E-2</v>
      </c>
      <c r="W52" s="183">
        <f t="shared" ca="1" si="99"/>
        <v>5.21E-2</v>
      </c>
      <c r="X52" s="183">
        <f t="shared" ca="1" si="99"/>
        <v>5.21E-2</v>
      </c>
      <c r="Y52" s="183">
        <f t="shared" ca="1" si="99"/>
        <v>5.21E-2</v>
      </c>
      <c r="Z52" s="183">
        <f t="shared" ca="1" si="99"/>
        <v>5.21E-2</v>
      </c>
      <c r="AA52" s="183">
        <f t="shared" ca="1" si="99"/>
        <v>5.21E-2</v>
      </c>
      <c r="AB52" s="183">
        <f t="shared" ca="1" si="99"/>
        <v>5.21E-2</v>
      </c>
      <c r="AC52" s="183">
        <f t="shared" ca="1" si="99"/>
        <v>5.21E-2</v>
      </c>
      <c r="AD52" s="183">
        <f t="shared" ca="1" si="99"/>
        <v>5.21E-2</v>
      </c>
      <c r="AE52" s="183">
        <f t="shared" ca="1" si="99"/>
        <v>5.21E-2</v>
      </c>
      <c r="AF52" s="183">
        <f t="shared" ca="1" si="99"/>
        <v>5.21E-2</v>
      </c>
      <c r="AG52" s="183">
        <f t="shared" ca="1" si="99"/>
        <v>5.21E-2</v>
      </c>
      <c r="AH52" s="183">
        <f t="shared" ref="AH52" ca="1" si="100">IFERROR(INDEX($J52:$J56,MATCH(AG51,$I52:$I56,-1)),$F52)/10000+AH$11</f>
        <v>5.21E-2</v>
      </c>
      <c r="AI52" s="183">
        <f t="shared" ref="AI52" ca="1" si="101">IFERROR(INDEX($J52:$J56,MATCH(AH51,$I52:$I56,-1)),$F52)/10000+AI$11</f>
        <v>5.21E-2</v>
      </c>
      <c r="AJ52" s="183">
        <f t="shared" ref="AJ52" ca="1" si="102">IFERROR(INDEX($J52:$J56,MATCH(AI51,$I52:$I56,-1)),$F52)/10000+AJ$11</f>
        <v>5.21E-2</v>
      </c>
      <c r="AK52" s="183">
        <f t="shared" ref="AK52" ca="1" si="103">IFERROR(INDEX($J52:$J56,MATCH(AJ51,$I52:$I56,-1)),$F52)/10000+AK$11</f>
        <v>5.21E-2</v>
      </c>
      <c r="AL52" s="183">
        <f t="shared" ref="AL52" ca="1" si="104">IFERROR(INDEX($J52:$J56,MATCH(AK51,$I52:$I56,-1)),$F52)/10000+AL$11</f>
        <v>5.21E-2</v>
      </c>
      <c r="AM52" s="183">
        <f t="shared" ref="AM52" ca="1" si="105">IFERROR(INDEX($J52:$J56,MATCH(AL51,$I52:$I56,-1)),$F52)/10000+AM$11</f>
        <v>5.21E-2</v>
      </c>
      <c r="AN52" s="183">
        <f t="shared" ref="AN52:AO52" ca="1" si="106">IFERROR(INDEX($J52:$J56,MATCH(AM51,$I52:$I56,-1)),$F52)/10000+AN$11</f>
        <v>5.21E-2</v>
      </c>
      <c r="AO52" s="183">
        <f t="shared" ca="1" si="106"/>
        <v>5.21E-2</v>
      </c>
    </row>
    <row r="53" spans="3:41" s="35" customFormat="1">
      <c r="C53" s="58" t="s">
        <v>757</v>
      </c>
      <c r="D53" s="22"/>
      <c r="E53" s="22"/>
      <c r="F53" s="276">
        <v>50</v>
      </c>
      <c r="H53" s="69" t="str">
        <f>CONCATENATE(I54,"x&lt;x&lt;=",I53,"x")</f>
        <v>3x&lt;x&lt;=4x</v>
      </c>
      <c r="I53" s="278">
        <v>4</v>
      </c>
      <c r="J53" s="279">
        <v>250</v>
      </c>
      <c r="L53" s="76"/>
      <c r="M53" s="76"/>
      <c r="O53" s="77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</row>
    <row r="54" spans="3:41" s="35" customFormat="1">
      <c r="C54" s="58" t="s">
        <v>858</v>
      </c>
      <c r="D54" s="22"/>
      <c r="E54" s="22"/>
      <c r="F54" s="197">
        <v>0</v>
      </c>
      <c r="H54" s="69" t="str">
        <f>CONCATENATE(I55,"x&lt;x&lt;=",I54,"x")</f>
        <v>2.99x&lt;x&lt;=3x</v>
      </c>
      <c r="I54" s="278">
        <v>3</v>
      </c>
      <c r="J54" s="279">
        <v>250</v>
      </c>
      <c r="L54" s="60"/>
      <c r="M54" s="60"/>
      <c r="O54" s="77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</row>
    <row r="55" spans="3:41" s="35" customFormat="1">
      <c r="C55" s="58"/>
      <c r="D55" s="22"/>
      <c r="E55" s="22"/>
      <c r="F55" s="87"/>
      <c r="H55" s="69" t="str">
        <f>CONCATENATE(I56,"x&lt;x&lt;=",I55,"x")</f>
        <v>2.98x&lt;x&lt;=2.99x</v>
      </c>
      <c r="I55" s="278">
        <v>2.99</v>
      </c>
      <c r="J55" s="279">
        <v>250</v>
      </c>
      <c r="L55" s="60"/>
      <c r="M55" s="60"/>
      <c r="O55" s="77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</row>
    <row r="56" spans="3:41">
      <c r="C56" s="12"/>
      <c r="F56" s="72"/>
      <c r="H56" s="73" t="str">
        <f>CONCATENATE("&lt;",I56,"x")</f>
        <v>&lt;2.98x</v>
      </c>
      <c r="I56" s="280">
        <v>2.98</v>
      </c>
      <c r="J56" s="281">
        <v>250</v>
      </c>
      <c r="L56" s="60"/>
      <c r="M56" s="60"/>
      <c r="O56" s="74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</row>
    <row r="57" spans="3:41">
      <c r="C57" s="12"/>
      <c r="F57" s="72"/>
      <c r="H57" s="22"/>
      <c r="I57" s="70"/>
      <c r="J57" s="79"/>
      <c r="L57" s="76"/>
      <c r="M57" s="76"/>
      <c r="O57" s="74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</row>
    <row r="58" spans="3:41">
      <c r="C58" s="222" t="s">
        <v>1019</v>
      </c>
      <c r="D58" s="209"/>
      <c r="E58" s="209"/>
      <c r="F58" s="178"/>
      <c r="G58" s="178"/>
      <c r="H58" s="178"/>
      <c r="I58" s="178"/>
      <c r="J58" s="178"/>
      <c r="L58" s="76"/>
      <c r="M58" s="76"/>
      <c r="O58" s="74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</row>
    <row r="59" spans="3:41" s="35" customFormat="1">
      <c r="C59" s="219" t="s">
        <v>759</v>
      </c>
      <c r="D59" s="22"/>
      <c r="E59" s="22"/>
      <c r="F59" s="197" t="b">
        <v>1</v>
      </c>
      <c r="L59" s="76"/>
      <c r="M59" s="76"/>
      <c r="O59" s="77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</row>
    <row r="60" spans="3:41" s="35" customFormat="1">
      <c r="C60" s="219" t="s">
        <v>760</v>
      </c>
      <c r="D60" s="22"/>
      <c r="E60" s="22"/>
      <c r="F60" s="274">
        <v>0.24</v>
      </c>
      <c r="L60" s="80"/>
      <c r="M60" s="80"/>
      <c r="O60" s="77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</row>
    <row r="61" spans="3:41">
      <c r="C61" s="12"/>
      <c r="F61" s="72"/>
      <c r="K61" s="35"/>
      <c r="L61" s="35"/>
      <c r="M61" s="35"/>
      <c r="N61" s="35"/>
      <c r="O61" s="77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</row>
    <row r="62" spans="3:41">
      <c r="C62" s="222" t="s">
        <v>1020</v>
      </c>
      <c r="D62" s="222"/>
      <c r="E62" s="222"/>
      <c r="F62" s="222"/>
      <c r="G62" s="222"/>
      <c r="H62" s="222"/>
      <c r="I62" s="222"/>
      <c r="J62" s="222"/>
      <c r="K62" s="222"/>
      <c r="L62" s="222"/>
      <c r="M62" s="222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</row>
    <row r="63" spans="3:41">
      <c r="C63" s="35" t="s">
        <v>904</v>
      </c>
      <c r="F63" s="197" t="b">
        <v>0</v>
      </c>
      <c r="H63" s="61" t="s">
        <v>905</v>
      </c>
      <c r="I63" s="62"/>
      <c r="J63" s="63"/>
      <c r="K63" s="35"/>
      <c r="L63" s="792" t="s">
        <v>906</v>
      </c>
      <c r="M63" s="793"/>
      <c r="N63" s="81"/>
      <c r="O63" s="35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</row>
    <row r="64" spans="3:41">
      <c r="C64" s="35" t="s">
        <v>907</v>
      </c>
      <c r="F64" s="197" t="b">
        <v>0</v>
      </c>
      <c r="H64" s="65" t="s">
        <v>861</v>
      </c>
      <c r="I64" s="66"/>
      <c r="J64" s="67" t="s">
        <v>908</v>
      </c>
      <c r="K64" s="35"/>
      <c r="L64" s="83" t="s">
        <v>909</v>
      </c>
      <c r="M64" s="321">
        <v>1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</row>
    <row r="65" spans="3:40">
      <c r="C65" s="6" t="s">
        <v>910</v>
      </c>
      <c r="F65" s="283">
        <v>42825</v>
      </c>
      <c r="H65" s="69" t="str">
        <f>CONCATENATE("&gt;",I66,"x")</f>
        <v>&gt;2x</v>
      </c>
      <c r="I65" s="278">
        <v>99999</v>
      </c>
      <c r="J65" s="321">
        <v>0.75</v>
      </c>
      <c r="K65" s="35"/>
      <c r="L65" s="84" t="s">
        <v>911</v>
      </c>
      <c r="M65" s="321"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</row>
    <row r="66" spans="3:40">
      <c r="C66" s="6" t="s">
        <v>912</v>
      </c>
      <c r="F66" s="197">
        <v>1</v>
      </c>
      <c r="H66" s="69" t="str">
        <f>CONCATENATE(I67,"x&lt;x&lt;=",I66,"x")</f>
        <v>1.01x&lt;x&lt;=2x</v>
      </c>
      <c r="I66" s="278">
        <v>2</v>
      </c>
      <c r="J66" s="321">
        <v>0.5</v>
      </c>
      <c r="K66" s="35"/>
      <c r="L66" s="84" t="s">
        <v>913</v>
      </c>
      <c r="M66" s="321">
        <v>0</v>
      </c>
      <c r="N66" s="3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</row>
    <row r="67" spans="3:40">
      <c r="C67" s="6" t="s">
        <v>914</v>
      </c>
      <c r="F67" s="197">
        <v>0</v>
      </c>
      <c r="H67" s="69" t="str">
        <f>CONCATENATE(I68,"x&lt;x&lt;=",I67,"x")</f>
        <v>1x&lt;x&lt;=1.01x</v>
      </c>
      <c r="I67" s="278">
        <v>1.01</v>
      </c>
      <c r="J67" s="321">
        <v>0.25</v>
      </c>
      <c r="K67" s="35"/>
      <c r="L67" s="86" t="s">
        <v>915</v>
      </c>
      <c r="M67" s="322"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</row>
    <row r="68" spans="3:40" ht="14.4">
      <c r="F68" s="87"/>
      <c r="H68" s="73" t="str">
        <f>CONCATENATE("&lt;",I68,"x")</f>
        <v>&lt;1x</v>
      </c>
      <c r="I68" s="280">
        <v>1</v>
      </c>
      <c r="J68" s="322">
        <v>0</v>
      </c>
      <c r="K68" s="38"/>
      <c r="L68" s="35"/>
      <c r="M68" s="35"/>
      <c r="N68" s="35"/>
      <c r="O68" s="35"/>
      <c r="P68" s="38"/>
      <c r="Q68" s="38"/>
      <c r="R68" s="38"/>
      <c r="S68" s="38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</row>
    <row r="69" spans="3:40">
      <c r="F69" s="87"/>
      <c r="K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</row>
    <row r="70" spans="3:40">
      <c r="C70" s="222" t="s">
        <v>916</v>
      </c>
      <c r="D70" s="209"/>
      <c r="E70" s="209"/>
      <c r="F70" s="178"/>
      <c r="G70" s="178"/>
      <c r="H70" s="178"/>
      <c r="I70" s="178"/>
      <c r="J70" s="178"/>
    </row>
    <row r="71" spans="3:40">
      <c r="C71" s="35" t="s">
        <v>917</v>
      </c>
      <c r="F71" s="274">
        <v>1</v>
      </c>
      <c r="G71" s="52" t="s">
        <v>1503</v>
      </c>
      <c r="H71" s="795" t="s">
        <v>1528</v>
      </c>
      <c r="I71" s="795"/>
      <c r="J71" s="795"/>
    </row>
    <row r="72" spans="3:40" ht="14.4">
      <c r="C72" s="35" t="s">
        <v>1021</v>
      </c>
      <c r="E72" s="8"/>
      <c r="F72" s="35"/>
      <c r="G72" s="88"/>
    </row>
    <row r="73" spans="3:40" ht="14.4">
      <c r="C73" s="218" t="s">
        <v>1477</v>
      </c>
      <c r="F73" s="197" t="b">
        <v>0</v>
      </c>
      <c r="G73" s="1"/>
    </row>
    <row r="74" spans="3:40" ht="14.4">
      <c r="F74" s="1"/>
      <c r="G74" s="1"/>
    </row>
    <row r="75" spans="3:40" ht="14.4">
      <c r="F75" s="1"/>
      <c r="G75" s="1"/>
    </row>
    <row r="76" spans="3:40" ht="14.4">
      <c r="F76" s="1"/>
      <c r="G76" s="1"/>
    </row>
    <row r="77" spans="3:40" ht="14.4">
      <c r="F77" s="1"/>
      <c r="G77" s="1"/>
    </row>
    <row r="78" spans="3:40" ht="14.4">
      <c r="F78" s="1"/>
      <c r="G78" s="1"/>
    </row>
    <row r="79" spans="3:40" ht="14.4">
      <c r="F79" s="1"/>
      <c r="G79" s="1"/>
    </row>
  </sheetData>
  <mergeCells count="2">
    <mergeCell ref="L63:M63"/>
    <mergeCell ref="H71:J71"/>
  </mergeCells>
  <phoneticPr fontId="3" type="noConversion"/>
  <conditionalFormatting sqref="F20 F56:F58 F61 G40:J40 G58:J58 F49:J49 F29 F38:F40 F47:F49">
    <cfRule type="cellIs" dxfId="80" priority="4" operator="notEqual">
      <formula>0</formula>
    </cfRule>
  </conditionalFormatting>
  <dataValidations count="3">
    <dataValidation type="list" allowBlank="1" showInputMessage="1" showErrorMessage="1" sqref="F16 F43 F34 F25">
      <formula1>"Fixed,Variable"</formula1>
    </dataValidation>
    <dataValidation type="list" allowBlank="1" showInputMessage="1" showErrorMessage="1" sqref="F63:F64 F73 F59">
      <formula1>"TRUE,FALSE"</formula1>
    </dataValidation>
    <dataValidation type="list" allowBlank="1" showInputMessage="1" showErrorMessage="1" sqref="H15 H64 H51 H42 H33 H24">
      <formula1>dropdown_ratio</formula1>
    </dataValidation>
  </dataValidations>
  <printOptions headings="1"/>
  <pageMargins left="0.7" right="0.7" top="0.75" bottom="0.75" header="0.3" footer="0.3"/>
  <pageSetup paperSize="9" scale="34" fitToHeight="0" orientation="landscape" r:id="rId1"/>
  <headerFooter>
    <oddHeader>&amp;L&amp;"-,粗體"CUB projection&amp;R&amp;"-,粗體"CONFIDENTIAL</oddHeader>
    <oddFooter>&amp;L&amp;A&amp;RPage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5" r:id="rId4" name="Drop Down 7">
              <controlPr defaultSize="0" autoLine="0" autoPict="0">
                <anchor moveWithCells="1">
                  <from>
                    <xdr:col>1</xdr:col>
                    <xdr:colOff>73152</xdr:colOff>
                    <xdr:row>1</xdr:row>
                    <xdr:rowOff>173736</xdr:rowOff>
                  </from>
                  <to>
                    <xdr:col>3</xdr:col>
                    <xdr:colOff>438912</xdr:colOff>
                    <xdr:row>3</xdr:row>
                    <xdr:rowOff>36576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'Cash sweep &amp; dividend offshore'!C48:C49</xm:f>
          </x14:formula1>
          <xm:sqref>H71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C1:AC95"/>
  <sheetViews>
    <sheetView view="pageBreakPreview" topLeftCell="A35" zoomScale="90" zoomScaleNormal="90" zoomScaleSheetLayoutView="90" workbookViewId="0">
      <selection activeCell="K28" sqref="K28"/>
    </sheetView>
  </sheetViews>
  <sheetFormatPr defaultColWidth="9.140625" defaultRowHeight="14.4" outlineLevelRow="2" outlineLevelCol="1"/>
  <cols>
    <col min="1" max="2" width="3.42578125" style="1" customWidth="1"/>
    <col min="3" max="3" width="9.140625" style="1"/>
    <col min="4" max="4" width="38" style="1" customWidth="1"/>
    <col min="5" max="7" width="15" style="1" customWidth="1"/>
    <col min="8" max="8" width="15" style="1" customWidth="1" outlineLevel="1"/>
    <col min="9" max="9" width="13.42578125" style="1" customWidth="1"/>
    <col min="10" max="15" width="15.140625" style="1" customWidth="1"/>
    <col min="16" max="17" width="13.42578125" style="1" customWidth="1"/>
    <col min="18" max="20" width="10.42578125" style="1" hidden="1" customWidth="1" outlineLevel="1"/>
    <col min="21" max="21" width="11.5703125" style="1" hidden="1" customWidth="1" outlineLevel="1"/>
    <col min="22" max="22" width="10.42578125" style="1" hidden="1" customWidth="1" outlineLevel="1"/>
    <col min="23" max="23" width="10.42578125" style="1" customWidth="1" collapsed="1"/>
    <col min="24" max="24" width="10.42578125" style="1" customWidth="1"/>
    <col min="25" max="25" width="11.5703125" style="1" customWidth="1"/>
    <col min="26" max="28" width="10.42578125" style="1" customWidth="1"/>
    <col min="29" max="29" width="11.5703125" style="1" customWidth="1"/>
    <col min="30" max="16384" width="9.140625" style="1"/>
  </cols>
  <sheetData>
    <row r="1" spans="3:29" s="18" customFormat="1" ht="14.6" hidden="1" customHeight="1" outlineLevel="1">
      <c r="C1" s="24" t="s">
        <v>870</v>
      </c>
      <c r="D1" s="24">
        <f>'Control Panel'!B12</f>
        <v>2019</v>
      </c>
      <c r="E1" s="24"/>
      <c r="F1" s="18" t="s">
        <v>689</v>
      </c>
      <c r="G1" s="5">
        <f>'Control Panel'!B9+1</f>
        <v>43466</v>
      </c>
      <c r="I1" s="18" t="s">
        <v>691</v>
      </c>
      <c r="J1" s="5">
        <f>'Control Panel'!B9</f>
        <v>43465</v>
      </c>
      <c r="L1" s="18" t="s">
        <v>705</v>
      </c>
      <c r="M1" s="18">
        <f>'Control Panel'!B13-'Control Panel'!B12+1</f>
        <v>6</v>
      </c>
    </row>
    <row r="2" spans="3:29" s="18" customFormat="1" ht="14.6" hidden="1" customHeight="1" outlineLevel="1">
      <c r="C2" s="24" t="s">
        <v>871</v>
      </c>
      <c r="D2" s="24">
        <f>'Financial summary'!E5</f>
        <v>1</v>
      </c>
      <c r="E2" s="24" t="e">
        <f>INDEX(#REF!,D2)</f>
        <v>#REF!</v>
      </c>
      <c r="I2" s="18" t="s">
        <v>693</v>
      </c>
      <c r="J2" s="27">
        <f>'Control Panel'!B5</f>
        <v>5</v>
      </c>
      <c r="L2" s="18" t="s">
        <v>1555</v>
      </c>
      <c r="M2" s="18">
        <f>stub_quarter+1</f>
        <v>5</v>
      </c>
    </row>
    <row r="3" spans="3:29" ht="14.6" hidden="1" customHeight="1" outlineLevel="1">
      <c r="C3" s="215"/>
    </row>
    <row r="4" spans="3:29" ht="14.6" hidden="1" customHeight="1" outlineLevel="1">
      <c r="C4" s="1" t="s">
        <v>692</v>
      </c>
      <c r="E4" s="1">
        <f>'BS offshore'!E4</f>
        <v>1</v>
      </c>
      <c r="F4" s="1">
        <f>'BS offshore'!F4</f>
        <v>2</v>
      </c>
      <c r="G4" s="1">
        <f>'BS offshore'!G4</f>
        <v>3</v>
      </c>
      <c r="H4" s="1">
        <f>'BS offshore'!H4</f>
        <v>4</v>
      </c>
      <c r="I4" s="1">
        <f>'BS offshore'!I4</f>
        <v>5</v>
      </c>
      <c r="J4" s="1">
        <f>'BS offshore'!J4</f>
        <v>6</v>
      </c>
      <c r="K4" s="1">
        <f>'BS offshore'!K4</f>
        <v>7</v>
      </c>
      <c r="L4" s="1">
        <f>'BS offshore'!L4</f>
        <v>8</v>
      </c>
      <c r="M4" s="1">
        <f>'BS offshore'!M4</f>
        <v>9</v>
      </c>
      <c r="N4" s="1">
        <f>'BS offshore'!N4</f>
        <v>10</v>
      </c>
      <c r="O4" s="1">
        <f>'BS offshore'!O4</f>
        <v>11</v>
      </c>
      <c r="P4" s="1">
        <f>'BS offshore'!P4</f>
        <v>12</v>
      </c>
      <c r="Q4" s="1">
        <f>'BS offshore'!Q4</f>
        <v>13</v>
      </c>
      <c r="R4" s="1">
        <f>'BS offshore'!R4</f>
        <v>14</v>
      </c>
      <c r="S4" s="1">
        <f>'BS offshore'!S4</f>
        <v>15</v>
      </c>
      <c r="T4" s="1">
        <f>'BS offshore'!T4</f>
        <v>16</v>
      </c>
      <c r="U4" s="1">
        <f>'BS offshore'!U4</f>
        <v>17</v>
      </c>
    </row>
    <row r="5" spans="3:29" ht="14.6" hidden="1" customHeight="1" outlineLevel="1">
      <c r="C5" s="1" t="s">
        <v>719</v>
      </c>
      <c r="E5" s="29">
        <f>'BS offshore'!E5</f>
        <v>42004</v>
      </c>
      <c r="F5" s="29">
        <f>'BS offshore'!F5</f>
        <v>42369</v>
      </c>
      <c r="G5" s="29">
        <f>'BS offshore'!G5</f>
        <v>42735</v>
      </c>
      <c r="H5" s="29">
        <f>'BS offshore'!H5</f>
        <v>43100</v>
      </c>
      <c r="I5" s="29">
        <f>'BS offshore'!I5</f>
        <v>43465</v>
      </c>
      <c r="J5" s="29">
        <f>'BS offshore'!J5</f>
        <v>43466</v>
      </c>
      <c r="K5" s="29">
        <f>'BS offshore'!K5</f>
        <v>43830</v>
      </c>
      <c r="L5" s="29">
        <f>'BS offshore'!L5</f>
        <v>44196</v>
      </c>
      <c r="M5" s="29">
        <f>'BS offshore'!M5</f>
        <v>44561</v>
      </c>
      <c r="N5" s="29">
        <f>'BS offshore'!N5</f>
        <v>44926</v>
      </c>
      <c r="O5" s="29">
        <f>'BS offshore'!O5</f>
        <v>45291</v>
      </c>
      <c r="P5" s="29">
        <f>'BS offshore'!P5</f>
        <v>45657</v>
      </c>
      <c r="Q5" s="29">
        <f>'BS offshore'!Q5</f>
        <v>0</v>
      </c>
      <c r="R5" s="29">
        <f>'BS offshore'!R5</f>
        <v>0</v>
      </c>
      <c r="S5" s="29">
        <f>'BS offshore'!S5</f>
        <v>0</v>
      </c>
      <c r="T5" s="29">
        <f>'BS offshore'!T5</f>
        <v>0</v>
      </c>
      <c r="U5" s="29">
        <f>'BS offshore'!U5</f>
        <v>0</v>
      </c>
      <c r="V5" s="29"/>
      <c r="W5" s="29"/>
      <c r="X5" s="29"/>
      <c r="Y5" s="29"/>
      <c r="Z5" s="29"/>
      <c r="AA5" s="29"/>
      <c r="AB5" s="29"/>
      <c r="AC5" s="29"/>
    </row>
    <row r="6" spans="3:29" ht="14.6" hidden="1" customHeight="1" outlineLevel="1">
      <c r="C6" s="1" t="s">
        <v>686</v>
      </c>
      <c r="E6" s="1" t="b">
        <f>'BS offshore'!E6</f>
        <v>1</v>
      </c>
      <c r="F6" s="1" t="b">
        <f>'BS offshore'!F6</f>
        <v>1</v>
      </c>
      <c r="G6" s="29" t="b">
        <f>'BS offshore'!G6</f>
        <v>1</v>
      </c>
      <c r="H6" s="29" t="b">
        <f>'BS offshore'!H6</f>
        <v>1</v>
      </c>
      <c r="I6" s="29" t="b">
        <f>'BS offshore'!I6</f>
        <v>1</v>
      </c>
      <c r="J6" s="29" t="b">
        <f>'BS offshore'!J6</f>
        <v>0</v>
      </c>
      <c r="K6" s="29" t="b">
        <f>'BS offshore'!K6</f>
        <v>0</v>
      </c>
      <c r="L6" s="29" t="b">
        <f>'BS offshore'!L6</f>
        <v>0</v>
      </c>
      <c r="M6" s="29" t="b">
        <f>'BS offshore'!M6</f>
        <v>0</v>
      </c>
      <c r="N6" s="29" t="b">
        <f>'BS offshore'!N6</f>
        <v>0</v>
      </c>
      <c r="O6" s="29" t="b">
        <f>'BS offshore'!O6</f>
        <v>0</v>
      </c>
      <c r="P6" s="29" t="b">
        <f>'BS offshore'!P6</f>
        <v>0</v>
      </c>
      <c r="Q6" s="29" t="b">
        <f>'BS offshore'!Q6</f>
        <v>0</v>
      </c>
      <c r="R6" s="29" t="b">
        <f>'BS offshore'!R6</f>
        <v>0</v>
      </c>
      <c r="S6" s="29" t="b">
        <f>'BS offshore'!S6</f>
        <v>0</v>
      </c>
      <c r="T6" s="29" t="b">
        <f>'BS offshore'!T6</f>
        <v>0</v>
      </c>
      <c r="U6" s="29" t="b">
        <f>'BS offshore'!U6</f>
        <v>0</v>
      </c>
      <c r="V6" s="29"/>
      <c r="W6" s="29"/>
      <c r="X6" s="29"/>
      <c r="Y6" s="29"/>
      <c r="Z6" s="29"/>
      <c r="AA6" s="29"/>
      <c r="AB6" s="29"/>
      <c r="AC6" s="29"/>
    </row>
    <row r="7" spans="3:29" ht="14.6" hidden="1" customHeight="1" outlineLevel="1">
      <c r="C7" s="1" t="s">
        <v>687</v>
      </c>
      <c r="E7" s="1" t="b">
        <f>'BS offshore'!E7</f>
        <v>0</v>
      </c>
      <c r="F7" s="1" t="b">
        <f>'BS offshore'!F7</f>
        <v>0</v>
      </c>
      <c r="G7" s="29" t="b">
        <f>'BS offshore'!G7</f>
        <v>0</v>
      </c>
      <c r="H7" s="29" t="b">
        <f>'BS offshore'!H7</f>
        <v>0</v>
      </c>
      <c r="I7" s="29" t="b">
        <f>'BS offshore'!I7</f>
        <v>0</v>
      </c>
      <c r="J7" s="29" t="b">
        <f>'BS offshore'!J7</f>
        <v>0</v>
      </c>
      <c r="K7" s="29" t="b">
        <f>'BS offshore'!K7</f>
        <v>0</v>
      </c>
      <c r="L7" s="29" t="b">
        <f>'BS offshore'!L7</f>
        <v>0</v>
      </c>
      <c r="M7" s="29" t="b">
        <f>'BS offshore'!M7</f>
        <v>0</v>
      </c>
      <c r="N7" s="29" t="b">
        <f>'BS offshore'!N7</f>
        <v>0</v>
      </c>
      <c r="O7" s="29" t="b">
        <f>'BS offshore'!O7</f>
        <v>0</v>
      </c>
      <c r="P7" s="29" t="b">
        <f>'BS offshore'!P7</f>
        <v>0</v>
      </c>
      <c r="Q7" s="29" t="b">
        <f>'BS offshore'!Q7</f>
        <v>0</v>
      </c>
      <c r="R7" s="29" t="b">
        <f>'BS offshore'!R7</f>
        <v>0</v>
      </c>
      <c r="S7" s="29" t="b">
        <f>'BS offshore'!S7</f>
        <v>0</v>
      </c>
      <c r="T7" s="29" t="b">
        <f>'BS offshore'!T7</f>
        <v>0</v>
      </c>
      <c r="U7" s="29" t="b">
        <f>'BS offshore'!U7</f>
        <v>0</v>
      </c>
      <c r="V7" s="29"/>
      <c r="W7" s="29"/>
      <c r="X7" s="29"/>
      <c r="Y7" s="29"/>
      <c r="Z7" s="29"/>
      <c r="AA7" s="29"/>
      <c r="AB7" s="29"/>
      <c r="AC7" s="29"/>
    </row>
    <row r="8" spans="3:29" ht="14.6" hidden="1" customHeight="1" outlineLevel="1">
      <c r="C8" s="1" t="s">
        <v>688</v>
      </c>
      <c r="E8" s="1" t="b">
        <f>'BS offshore'!E8</f>
        <v>0</v>
      </c>
      <c r="F8" s="1" t="b">
        <f>'BS offshore'!F8</f>
        <v>0</v>
      </c>
      <c r="G8" s="30" t="b">
        <f>'BS offshore'!G8</f>
        <v>0</v>
      </c>
      <c r="H8" s="30" t="b">
        <f>'BS offshore'!H8</f>
        <v>0</v>
      </c>
      <c r="I8" s="30" t="b">
        <f>'BS offshore'!I8</f>
        <v>0</v>
      </c>
      <c r="J8" s="30" t="b">
        <f>'BS offshore'!J8</f>
        <v>1</v>
      </c>
      <c r="K8" s="30" t="b">
        <f>'BS offshore'!K8</f>
        <v>0</v>
      </c>
      <c r="L8" s="30" t="b">
        <f>'BS offshore'!L8</f>
        <v>0</v>
      </c>
      <c r="M8" s="30" t="b">
        <f>'BS offshore'!M8</f>
        <v>0</v>
      </c>
      <c r="N8" s="30" t="b">
        <f>'BS offshore'!N8</f>
        <v>0</v>
      </c>
      <c r="O8" s="30" t="b">
        <f>'BS offshore'!O8</f>
        <v>0</v>
      </c>
      <c r="P8" s="30" t="b">
        <f>'BS offshore'!P8</f>
        <v>0</v>
      </c>
      <c r="Q8" s="30" t="b">
        <f>'BS offshore'!Q8</f>
        <v>0</v>
      </c>
      <c r="R8" s="30" t="b">
        <f>'BS offshore'!R8</f>
        <v>0</v>
      </c>
      <c r="S8" s="30" t="b">
        <f>'BS offshore'!S8</f>
        <v>0</v>
      </c>
      <c r="T8" s="30" t="b">
        <f>'BS offshore'!T8</f>
        <v>0</v>
      </c>
      <c r="U8" s="30" t="b">
        <f>'BS offshore'!U8</f>
        <v>0</v>
      </c>
      <c r="V8" s="30"/>
      <c r="W8" s="30"/>
      <c r="X8" s="30"/>
      <c r="Y8" s="30"/>
      <c r="Z8" s="30"/>
      <c r="AA8" s="30"/>
      <c r="AB8" s="30"/>
      <c r="AC8" s="30"/>
    </row>
    <row r="9" spans="3:29" ht="14.6" hidden="1" customHeight="1" outlineLevel="1">
      <c r="C9" s="1" t="s">
        <v>694</v>
      </c>
      <c r="E9" s="1" t="b">
        <f>'BS offshore'!E9</f>
        <v>0</v>
      </c>
      <c r="F9" s="1" t="b">
        <f>'BS offshore'!F9</f>
        <v>0</v>
      </c>
      <c r="G9" s="30" t="b">
        <f>'BS offshore'!G9</f>
        <v>0</v>
      </c>
      <c r="H9" s="30" t="b">
        <f>'BS offshore'!H9</f>
        <v>0</v>
      </c>
      <c r="I9" s="30" t="b">
        <f>'BS offshore'!I9</f>
        <v>0</v>
      </c>
      <c r="J9" s="30" t="b">
        <f>'BS offshore'!J9</f>
        <v>0</v>
      </c>
      <c r="K9" s="30" t="b">
        <f>'BS offshore'!K9</f>
        <v>1</v>
      </c>
      <c r="L9" s="30" t="b">
        <f>'BS offshore'!L9</f>
        <v>1</v>
      </c>
      <c r="M9" s="30" t="b">
        <f>'BS offshore'!M9</f>
        <v>1</v>
      </c>
      <c r="N9" s="30" t="b">
        <f>'BS offshore'!N9</f>
        <v>1</v>
      </c>
      <c r="O9" s="30" t="b">
        <f>'BS offshore'!O9</f>
        <v>1</v>
      </c>
      <c r="P9" s="30" t="b">
        <f>'BS offshore'!P9</f>
        <v>1</v>
      </c>
      <c r="Q9" s="30" t="b">
        <f>'BS offshore'!Q9</f>
        <v>0</v>
      </c>
      <c r="R9" s="30" t="b">
        <f>'BS offshore'!R9</f>
        <v>0</v>
      </c>
      <c r="S9" s="30" t="b">
        <f>'BS offshore'!S9</f>
        <v>0</v>
      </c>
      <c r="T9" s="30" t="b">
        <f>'BS offshore'!T9</f>
        <v>0</v>
      </c>
      <c r="U9" s="30" t="b">
        <f>'BS offshore'!U9</f>
        <v>0</v>
      </c>
      <c r="V9" s="30"/>
      <c r="W9" s="30"/>
      <c r="X9" s="30"/>
      <c r="Y9" s="30"/>
      <c r="Z9" s="30"/>
      <c r="AA9" s="30"/>
      <c r="AB9" s="30"/>
      <c r="AC9" s="30"/>
    </row>
    <row r="10" spans="3:29" ht="14.6" hidden="1" customHeight="1" outlineLevel="1">
      <c r="E10" s="110">
        <f>'BS offshore'!E10</f>
        <v>2014</v>
      </c>
      <c r="F10" s="110">
        <f>'BS offshore'!F10</f>
        <v>2015</v>
      </c>
      <c r="G10" s="110">
        <f>'BS offshore'!G10</f>
        <v>2016</v>
      </c>
      <c r="H10" s="110">
        <f>'BS offshore'!H10</f>
        <v>2017</v>
      </c>
      <c r="I10" s="110">
        <f>'BS offshore'!I10</f>
        <v>2018</v>
      </c>
      <c r="J10" s="110">
        <f>'BS offshore'!J10</f>
        <v>2019</v>
      </c>
      <c r="K10" s="110">
        <f>'BS offshore'!K10</f>
        <v>2019</v>
      </c>
      <c r="L10" s="110">
        <f>'BS offshore'!L10</f>
        <v>2020</v>
      </c>
      <c r="M10" s="110">
        <f>'BS offshore'!M10</f>
        <v>2021</v>
      </c>
      <c r="N10" s="110">
        <f>'BS offshore'!N10</f>
        <v>2022</v>
      </c>
      <c r="O10" s="110">
        <f>'BS offshore'!O10</f>
        <v>2023</v>
      </c>
      <c r="P10" s="110">
        <f>'BS offshore'!P10</f>
        <v>2024</v>
      </c>
      <c r="Q10" s="110">
        <f>'BS offshore'!Q10</f>
        <v>1900</v>
      </c>
      <c r="R10" s="110">
        <f>'BS offshore'!R10</f>
        <v>1900</v>
      </c>
      <c r="S10" s="110">
        <f>'BS offshore'!S10</f>
        <v>1900</v>
      </c>
      <c r="T10" s="110">
        <f>'BS offshore'!T10</f>
        <v>1900</v>
      </c>
      <c r="U10" s="110">
        <f>'BS offshore'!U10</f>
        <v>1900</v>
      </c>
      <c r="V10" s="110"/>
      <c r="W10" s="110"/>
      <c r="X10" s="110"/>
      <c r="Y10" s="110"/>
      <c r="Z10" s="110"/>
      <c r="AA10" s="110"/>
      <c r="AB10" s="110"/>
      <c r="AC10" s="110"/>
    </row>
    <row r="11" spans="3:29" ht="14.6" hidden="1" customHeight="1" collapsed="1"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3:29" ht="14.6" hidden="1" customHeight="1"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3:29" ht="14.6" hidden="1" customHeight="1"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3:29" ht="14.6" hidden="1" customHeight="1"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3:29" ht="16.600000000000001">
      <c r="C15" s="223" t="str">
        <f>CONCATENATE("Project ",project_name," - Income Statement")</f>
        <v>Project  - Income Statement</v>
      </c>
      <c r="D15" s="224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3:29">
      <c r="C16" s="194" t="str">
        <f>CONCATENATE("In ",model_curr," thousand unless otherwise stated")</f>
        <v>In USD thousand unless otherwise stated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3:21">
      <c r="C17" s="209"/>
      <c r="D17" s="209"/>
      <c r="E17" s="178" t="str">
        <f>CONCATENATE(YEAR(E5),LEFT(E19,1))</f>
        <v>2014A</v>
      </c>
      <c r="F17" s="178" t="str">
        <f t="shared" ref="F17:U17" si="0">CONCATENATE(YEAR(F5),LEFT(F19,1))</f>
        <v>2015A</v>
      </c>
      <c r="G17" s="178" t="str">
        <f t="shared" si="0"/>
        <v>2016A</v>
      </c>
      <c r="H17" s="178" t="str">
        <f t="shared" si="0"/>
        <v>2017A</v>
      </c>
      <c r="I17" s="178" t="str">
        <f t="shared" si="0"/>
        <v>2018A</v>
      </c>
      <c r="J17" s="178" t="str">
        <f t="shared" si="0"/>
        <v>2019C</v>
      </c>
      <c r="K17" s="178" t="str">
        <f t="shared" si="0"/>
        <v>2019F</v>
      </c>
      <c r="L17" s="178" t="str">
        <f t="shared" si="0"/>
        <v>2020F</v>
      </c>
      <c r="M17" s="178" t="str">
        <f t="shared" si="0"/>
        <v>2021F</v>
      </c>
      <c r="N17" s="178" t="str">
        <f t="shared" si="0"/>
        <v>2022F</v>
      </c>
      <c r="O17" s="178" t="str">
        <f t="shared" si="0"/>
        <v>2023F</v>
      </c>
      <c r="P17" s="178" t="str">
        <f t="shared" si="0"/>
        <v>2024F</v>
      </c>
      <c r="Q17" s="178" t="e">
        <f t="shared" si="0"/>
        <v>#N/A</v>
      </c>
      <c r="R17" s="178" t="e">
        <f t="shared" si="0"/>
        <v>#N/A</v>
      </c>
      <c r="S17" s="178" t="e">
        <f t="shared" si="0"/>
        <v>#N/A</v>
      </c>
      <c r="T17" s="178" t="e">
        <f t="shared" si="0"/>
        <v>#N/A</v>
      </c>
      <c r="U17" s="178" t="e">
        <f t="shared" si="0"/>
        <v>#N/A</v>
      </c>
    </row>
    <row r="18" spans="3:21">
      <c r="C18" s="198"/>
      <c r="D18" s="198"/>
      <c r="E18" s="198">
        <f>E5</f>
        <v>42004</v>
      </c>
      <c r="F18" s="198">
        <f t="shared" ref="F18:U18" si="1">F5</f>
        <v>42369</v>
      </c>
      <c r="G18" s="198">
        <f t="shared" si="1"/>
        <v>42735</v>
      </c>
      <c r="H18" s="198">
        <f t="shared" si="1"/>
        <v>43100</v>
      </c>
      <c r="I18" s="198">
        <f t="shared" si="1"/>
        <v>43465</v>
      </c>
      <c r="J18" s="198">
        <f t="shared" si="1"/>
        <v>43466</v>
      </c>
      <c r="K18" s="198">
        <f t="shared" si="1"/>
        <v>43830</v>
      </c>
      <c r="L18" s="198">
        <f t="shared" si="1"/>
        <v>44196</v>
      </c>
      <c r="M18" s="198">
        <f t="shared" si="1"/>
        <v>44561</v>
      </c>
      <c r="N18" s="198">
        <f t="shared" si="1"/>
        <v>44926</v>
      </c>
      <c r="O18" s="198">
        <f t="shared" si="1"/>
        <v>45291</v>
      </c>
      <c r="P18" s="198">
        <f t="shared" si="1"/>
        <v>45657</v>
      </c>
      <c r="Q18" s="198">
        <f t="shared" si="1"/>
        <v>0</v>
      </c>
      <c r="R18" s="198">
        <f t="shared" si="1"/>
        <v>0</v>
      </c>
      <c r="S18" s="198">
        <f t="shared" si="1"/>
        <v>0</v>
      </c>
      <c r="T18" s="198">
        <f t="shared" si="1"/>
        <v>0</v>
      </c>
      <c r="U18" s="198">
        <f t="shared" si="1"/>
        <v>0</v>
      </c>
    </row>
    <row r="19" spans="3:21" hidden="1" outlineLevel="1">
      <c r="C19" s="209"/>
      <c r="D19" s="209"/>
      <c r="E19" s="178" t="str">
        <f>INDEX($E$11:$E$14,MATCH(TRUE,E6:E9,0))</f>
        <v>Actual</v>
      </c>
      <c r="F19" s="178" t="str">
        <f t="shared" ref="F19:U19" si="2">INDEX($E$11:$E$14,MATCH(TRUE,F6:F9,0))</f>
        <v>Actual</v>
      </c>
      <c r="G19" s="178" t="str">
        <f t="shared" si="2"/>
        <v>Actual</v>
      </c>
      <c r="H19" s="178" t="str">
        <f t="shared" si="2"/>
        <v>Actual</v>
      </c>
      <c r="I19" s="178" t="str">
        <f t="shared" si="2"/>
        <v>Actual</v>
      </c>
      <c r="J19" s="178" t="str">
        <f t="shared" si="2"/>
        <v>Combination</v>
      </c>
      <c r="K19" s="178" t="str">
        <f t="shared" si="2"/>
        <v>Forecast</v>
      </c>
      <c r="L19" s="178" t="str">
        <f t="shared" si="2"/>
        <v>Forecast</v>
      </c>
      <c r="M19" s="178" t="str">
        <f t="shared" si="2"/>
        <v>Forecast</v>
      </c>
      <c r="N19" s="178" t="str">
        <f t="shared" si="2"/>
        <v>Forecast</v>
      </c>
      <c r="O19" s="178" t="str">
        <f t="shared" si="2"/>
        <v>Forecast</v>
      </c>
      <c r="P19" s="178" t="str">
        <f t="shared" si="2"/>
        <v>Forecast</v>
      </c>
      <c r="Q19" s="178" t="e">
        <f t="shared" si="2"/>
        <v>#N/A</v>
      </c>
      <c r="R19" s="178" t="e">
        <f t="shared" si="2"/>
        <v>#N/A</v>
      </c>
      <c r="S19" s="178" t="e">
        <f t="shared" si="2"/>
        <v>#N/A</v>
      </c>
      <c r="T19" s="178" t="e">
        <f t="shared" si="2"/>
        <v>#N/A</v>
      </c>
      <c r="U19" s="178" t="e">
        <f t="shared" si="2"/>
        <v>#N/A</v>
      </c>
    </row>
    <row r="20" spans="3:21" collapsed="1">
      <c r="C20" s="220" t="s">
        <v>873</v>
      </c>
      <c r="D20" s="220"/>
      <c r="E20" s="220">
        <f>OR(E$6,E$7)*Currency_conversion_BU1+IFERROR(INDEX('Control Panel'!$G4:$Z4,MATCH('IS offshore'!E$5,'Control Panel'!$G$3:$Z$3,0)),0)+E8*D20</f>
        <v>1</v>
      </c>
      <c r="F20" s="220">
        <f>OR(F$6,F$7)*Currency_conversion_BU1+IFERROR(INDEX('Control Panel'!$G4:$Z4,MATCH('IS offshore'!F$5,'Control Panel'!$G$3:$Z$3,0)),0)+F8*E20</f>
        <v>1</v>
      </c>
      <c r="G20" s="220">
        <f>OR(G$6,G$7)*Currency_conversion_BU1+IFERROR(INDEX('Control Panel'!$G4:$Z4,MATCH('IS offshore'!G$5,'Control Panel'!$G$3:$Z$3,0)),0)+G8*F20</f>
        <v>1</v>
      </c>
      <c r="H20" s="220">
        <f>OR(H$6,H$7)*Currency_conversion_BU1+IFERROR(INDEX('Control Panel'!$G4:$Z4,MATCH('IS offshore'!H$5,'Control Panel'!$G$3:$Z$3,0)),0)+H8*G20</f>
        <v>1</v>
      </c>
      <c r="I20" s="220">
        <f>OR(I$6,I$7)*Currency_conversion_BU1+IFERROR(INDEX('Control Panel'!$G4:$Z4,MATCH('IS offshore'!I$5,'Control Panel'!$G$3:$Z$3,0)),0)+I8*H20</f>
        <v>1</v>
      </c>
      <c r="J20" s="220">
        <f>OR(J$6,J$7)*Currency_conversion_BU1+IFERROR(INDEX('Control Panel'!$G4:$Z4,MATCH('IS offshore'!J$5,'Control Panel'!$G$3:$Z$3,0)),0)+J8*I20</f>
        <v>1</v>
      </c>
      <c r="K20" s="220">
        <f>OR(K$6,K$7)*Currency_conversion_BU1+IFERROR(INDEX('Control Panel'!$G4:$Z4,MATCH('IS offshore'!K$5,'Control Panel'!$G$3:$Z$3,0)),0)+K8*J20</f>
        <v>1</v>
      </c>
      <c r="L20" s="220">
        <f>OR(L$6,L$7)*Currency_conversion_BU1+IFERROR(INDEX('Control Panel'!$G4:$Z4,MATCH('IS offshore'!L$5,'Control Panel'!$G$3:$Z$3,0)),0)+L8*K20</f>
        <v>1</v>
      </c>
      <c r="M20" s="220">
        <f>OR(M$6,M$7)*Currency_conversion_BU1+IFERROR(INDEX('Control Panel'!$G4:$Z4,MATCH('IS offshore'!M$5,'Control Panel'!$G$3:$Z$3,0)),0)+M8*L20</f>
        <v>1</v>
      </c>
      <c r="N20" s="220">
        <f>OR(N$6,N$7)*Currency_conversion_BU1+IFERROR(INDEX('Control Panel'!$G4:$Z4,MATCH('IS offshore'!N$5,'Control Panel'!$G$3:$Z$3,0)),0)+N8*M20</f>
        <v>1</v>
      </c>
      <c r="O20" s="220">
        <f>OR(O$6,O$7)*Currency_conversion_BU1+IFERROR(INDEX('Control Panel'!$G4:$Z4,MATCH('IS offshore'!O$5,'Control Panel'!$G$3:$Z$3,0)),0)+O8*N20</f>
        <v>1</v>
      </c>
      <c r="P20" s="220">
        <f>OR(P$6,P$7)*Currency_conversion_BU1+IFERROR(INDEX('Control Panel'!$G4:$Z4,MATCH('IS offshore'!P$5,'Control Panel'!$G$3:$Z$3,0)),0)+P8*O20</f>
        <v>1</v>
      </c>
      <c r="Q20" s="220">
        <f>OR(Q$6,Q$7)*Currency_conversion_BU1+IFERROR(INDEX('Control Panel'!$G4:$Z4,MATCH('IS offshore'!Q$5,'Control Panel'!$G$3:$Z$3,0)),0)+Q8*P20</f>
        <v>0</v>
      </c>
      <c r="R20" s="220">
        <f>OR(R$6,R$7)*Currency_conversion_BU1+IFERROR(INDEX('Control Panel'!$G4:$Z4,MATCH('IS offshore'!R$5,'Control Panel'!$G$3:$Z$3,0)),0)+R8*Q20</f>
        <v>0</v>
      </c>
      <c r="S20" s="220">
        <f>OR(S$6,S$7)*Currency_conversion_BU1+IFERROR(INDEX('Control Panel'!$G4:$Z4,MATCH('IS offshore'!S$5,'Control Panel'!$G$3:$Z$3,0)),0)+S8*R20</f>
        <v>0</v>
      </c>
      <c r="T20" s="220">
        <f>OR(T$6,T$7)*Currency_conversion_BU1+IFERROR(INDEX('Control Panel'!$G4:$Z4,MATCH('IS offshore'!T$5,'Control Panel'!$G$3:$Z$3,0)),0)+T8*S20</f>
        <v>0</v>
      </c>
      <c r="U20" s="220">
        <f>OR(U$6,U$7)*Currency_conversion_BU1+IFERROR(INDEX('Control Panel'!$G4:$Z4,MATCH('IS offshore'!U$5,'Control Panel'!$G$3:$Z$3,0)),0)+U8*T20</f>
        <v>0</v>
      </c>
    </row>
    <row r="21" spans="3:21">
      <c r="C21" s="220" t="s">
        <v>874</v>
      </c>
      <c r="D21" s="220"/>
      <c r="E21" s="220">
        <f>OR(E$6,E$7)*Currency_conversion_rate_BU2+IFERROR(INDEX('Control Panel'!$G5:$Z5,MATCH('IS offshore'!E$5,'Control Panel'!$G$3:$Z$3,0)),0)+E8*D21</f>
        <v>1</v>
      </c>
      <c r="F21" s="220">
        <f>OR(F$6,F$7)*Currency_conversion_rate_BU2+IFERROR(INDEX('Control Panel'!$G5:$Z5,MATCH('IS offshore'!F$5,'Control Panel'!$G$3:$Z$3,0)),0)+F8*E21</f>
        <v>1</v>
      </c>
      <c r="G21" s="220">
        <f>OR(G$6,G$7)*Currency_conversion_rate_BU2+IFERROR(INDEX('Control Panel'!$G5:$Z5,MATCH('IS offshore'!G$5,'Control Panel'!$G$3:$Z$3,0)),0)+G8*F21</f>
        <v>1</v>
      </c>
      <c r="H21" s="220">
        <f>OR(H$6,H$7)*Currency_conversion_rate_BU2+IFERROR(INDEX('Control Panel'!$G5:$Z5,MATCH('IS offshore'!H$5,'Control Panel'!$G$3:$Z$3,0)),0)+H8*G21</f>
        <v>1</v>
      </c>
      <c r="I21" s="220">
        <f>OR(I$6,I$7)*Currency_conversion_rate_BU2+IFERROR(INDEX('Control Panel'!$G5:$Z5,MATCH('IS offshore'!I$5,'Control Panel'!$G$3:$Z$3,0)),0)+I8*H21</f>
        <v>1</v>
      </c>
      <c r="J21" s="220">
        <f>OR(J$6,J$7)*Currency_conversion_rate_BU2+IFERROR(INDEX('Control Panel'!$G5:$Z5,MATCH('IS offshore'!J$5,'Control Panel'!$G$3:$Z$3,0)),0)+J8*I21</f>
        <v>1</v>
      </c>
      <c r="K21" s="220">
        <f>OR(K$6,K$7)*Currency_conversion_rate_BU2+IFERROR(INDEX('Control Panel'!$G5:$Z5,MATCH('IS offshore'!K$5,'Control Panel'!$G$3:$Z$3,0)),0)+K8*J21</f>
        <v>1</v>
      </c>
      <c r="L21" s="220">
        <f>OR(L$6,L$7)*Currency_conversion_rate_BU2+IFERROR(INDEX('Control Panel'!$G5:$Z5,MATCH('IS offshore'!L$5,'Control Panel'!$G$3:$Z$3,0)),0)+L8*K21</f>
        <v>1</v>
      </c>
      <c r="M21" s="220">
        <f>OR(M$6,M$7)*Currency_conversion_rate_BU2+IFERROR(INDEX('Control Panel'!$G5:$Z5,MATCH('IS offshore'!M$5,'Control Panel'!$G$3:$Z$3,0)),0)+M8*L21</f>
        <v>1</v>
      </c>
      <c r="N21" s="220">
        <f>OR(N$6,N$7)*Currency_conversion_rate_BU2+IFERROR(INDEX('Control Panel'!$G5:$Z5,MATCH('IS offshore'!N$5,'Control Panel'!$G$3:$Z$3,0)),0)+N8*M21</f>
        <v>1</v>
      </c>
      <c r="O21" s="220">
        <f>OR(O$6,O$7)*Currency_conversion_rate_BU2+IFERROR(INDEX('Control Panel'!$G5:$Z5,MATCH('IS offshore'!O$5,'Control Panel'!$G$3:$Z$3,0)),0)+O8*N21</f>
        <v>1</v>
      </c>
      <c r="P21" s="220">
        <f>OR(P$6,P$7)*Currency_conversion_rate_BU2+IFERROR(INDEX('Control Panel'!$G5:$Z5,MATCH('IS offshore'!P$5,'Control Panel'!$G$3:$Z$3,0)),0)+P8*O21</f>
        <v>1</v>
      </c>
      <c r="Q21" s="220">
        <f>OR(Q$6,Q$7)*Currency_conversion_rate_BU2+IFERROR(INDEX('Control Panel'!$G5:$Z5,MATCH('IS offshore'!Q$5,'Control Panel'!$G$3:$Z$3,0)),0)+Q8*P21</f>
        <v>0</v>
      </c>
      <c r="R21" s="220">
        <f>OR(R$6,R$7)*Currency_conversion_rate_BU2+IFERROR(INDEX('Control Panel'!$G5:$Z5,MATCH('IS offshore'!R$5,'Control Panel'!$G$3:$Z$3,0)),0)+R8*Q21</f>
        <v>0</v>
      </c>
      <c r="S21" s="220">
        <f>OR(S$6,S$7)*Currency_conversion_rate_BU2+IFERROR(INDEX('Control Panel'!$G5:$Z5,MATCH('IS offshore'!S$5,'Control Panel'!$G$3:$Z$3,0)),0)+S8*R21</f>
        <v>0</v>
      </c>
      <c r="T21" s="220">
        <f>OR(T$6,T$7)*Currency_conversion_rate_BU2+IFERROR(INDEX('Control Panel'!$G5:$Z5,MATCH('IS offshore'!T$5,'Control Panel'!$G$3:$Z$3,0)),0)+T8*S21</f>
        <v>0</v>
      </c>
      <c r="U21" s="220">
        <f>OR(U$6,U$7)*Currency_conversion_rate_BU2+IFERROR(INDEX('Control Panel'!$G5:$Z5,MATCH('IS offshore'!U$5,'Control Panel'!$G$3:$Z$3,0)),0)+U8*T21</f>
        <v>0</v>
      </c>
    </row>
    <row r="22" spans="3:21">
      <c r="C22" s="220" t="s">
        <v>875</v>
      </c>
      <c r="D22" s="220"/>
      <c r="E22" s="220">
        <f>OR(E$6,E$7)*Currency_conversion_rate_other+IFERROR(INDEX('Control Panel'!$G6:$Z6,MATCH('IS offshore'!E$5,'Control Panel'!$G$3:$Z$3,0)),0)+E8*D22</f>
        <v>1</v>
      </c>
      <c r="F22" s="220">
        <f>OR(F$6,F$7)*Currency_conversion_rate_other+IFERROR(INDEX('Control Panel'!$G6:$Z6,MATCH('IS offshore'!F$5,'Control Panel'!$G$3:$Z$3,0)),0)+F8*E22</f>
        <v>1</v>
      </c>
      <c r="G22" s="220">
        <f>OR(G$6,G$7)*Currency_conversion_rate_other+IFERROR(INDEX('Control Panel'!$G6:$Z6,MATCH('IS offshore'!G$5,'Control Panel'!$G$3:$Z$3,0)),0)+G8*F22</f>
        <v>1</v>
      </c>
      <c r="H22" s="220">
        <f>OR(H$6,H$7)*Currency_conversion_rate_other+IFERROR(INDEX('Control Panel'!$G6:$Z6,MATCH('IS offshore'!H$5,'Control Panel'!$G$3:$Z$3,0)),0)+H8*G22</f>
        <v>1</v>
      </c>
      <c r="I22" s="220">
        <f>OR(I$6,I$7)*Currency_conversion_rate_other+IFERROR(INDEX('Control Panel'!$G6:$Z6,MATCH('IS offshore'!I$5,'Control Panel'!$G$3:$Z$3,0)),0)+I8*H22</f>
        <v>1</v>
      </c>
      <c r="J22" s="220">
        <f>OR(J$6,J$7)*Currency_conversion_rate_other+IFERROR(INDEX('Control Panel'!$G6:$Z6,MATCH('IS offshore'!J$5,'Control Panel'!$G$3:$Z$3,0)),0)+J8*I22</f>
        <v>1</v>
      </c>
      <c r="K22" s="220">
        <f>OR(K$6,K$7)*Currency_conversion_rate_other+IFERROR(INDEX('Control Panel'!$G6:$Z6,MATCH('IS offshore'!K$5,'Control Panel'!$G$3:$Z$3,0)),0)+K8*J22</f>
        <v>1</v>
      </c>
      <c r="L22" s="220">
        <f>OR(L$6,L$7)*Currency_conversion_rate_other+IFERROR(INDEX('Control Panel'!$G6:$Z6,MATCH('IS offshore'!L$5,'Control Panel'!$G$3:$Z$3,0)),0)+L8*K22</f>
        <v>1</v>
      </c>
      <c r="M22" s="220">
        <f>OR(M$6,M$7)*Currency_conversion_rate_other+IFERROR(INDEX('Control Panel'!$G6:$Z6,MATCH('IS offshore'!M$5,'Control Panel'!$G$3:$Z$3,0)),0)+M8*L22</f>
        <v>1</v>
      </c>
      <c r="N22" s="220">
        <f>OR(N$6,N$7)*Currency_conversion_rate_other+IFERROR(INDEX('Control Panel'!$G6:$Z6,MATCH('IS offshore'!N$5,'Control Panel'!$G$3:$Z$3,0)),0)+N8*M22</f>
        <v>1</v>
      </c>
      <c r="O22" s="220">
        <f>OR(O$6,O$7)*Currency_conversion_rate_other+IFERROR(INDEX('Control Panel'!$G6:$Z6,MATCH('IS offshore'!O$5,'Control Panel'!$G$3:$Z$3,0)),0)+O8*N22</f>
        <v>1</v>
      </c>
      <c r="P22" s="220">
        <f>OR(P$6,P$7)*Currency_conversion_rate_other+IFERROR(INDEX('Control Panel'!$G6:$Z6,MATCH('IS offshore'!P$5,'Control Panel'!$G$3:$Z$3,0)),0)+P8*O22</f>
        <v>1</v>
      </c>
      <c r="Q22" s="220">
        <f>OR(Q$6,Q$7)*Currency_conversion_rate_other+IFERROR(INDEX('Control Panel'!$G6:$Z6,MATCH('IS offshore'!Q$5,'Control Panel'!$G$3:$Z$3,0)),0)+Q8*P22</f>
        <v>0</v>
      </c>
      <c r="R22" s="220">
        <f>OR(R$6,R$7)*Currency_conversion_rate_other+IFERROR(INDEX('Control Panel'!$G6:$Z6,MATCH('IS offshore'!R$5,'Control Panel'!$G$3:$Z$3,0)),0)+R8*Q22</f>
        <v>0</v>
      </c>
      <c r="S22" s="220">
        <f>OR(S$6,S$7)*Currency_conversion_rate_other+IFERROR(INDEX('Control Panel'!$G6:$Z6,MATCH('IS offshore'!S$5,'Control Panel'!$G$3:$Z$3,0)),0)+S8*R22</f>
        <v>0</v>
      </c>
      <c r="T22" s="220">
        <f>OR(T$6,T$7)*Currency_conversion_rate_other+IFERROR(INDEX('Control Panel'!$G6:$Z6,MATCH('IS offshore'!T$5,'Control Panel'!$G$3:$Z$3,0)),0)+T8*S22</f>
        <v>0</v>
      </c>
      <c r="U22" s="220">
        <f>OR(U$6,U$7)*Currency_conversion_rate_other+IFERROR(INDEX('Control Panel'!$G6:$Z6,MATCH('IS offshore'!U$5,'Control Panel'!$G$3:$Z$3,0)),0)+U8*T22</f>
        <v>0</v>
      </c>
    </row>
    <row r="24" spans="3:21">
      <c r="C24" s="222" t="str">
        <f>CONCATENATE("Income Statement"," (",model_curr,")")</f>
        <v>Income Statement (USD)</v>
      </c>
      <c r="D24" s="209"/>
      <c r="E24" s="178" t="str">
        <f>E17</f>
        <v>2014A</v>
      </c>
      <c r="F24" s="178" t="str">
        <f t="shared" ref="F24:U24" si="3">F17</f>
        <v>2015A</v>
      </c>
      <c r="G24" s="178" t="str">
        <f t="shared" si="3"/>
        <v>2016A</v>
      </c>
      <c r="H24" s="178" t="str">
        <f t="shared" si="3"/>
        <v>2017A</v>
      </c>
      <c r="I24" s="178" t="str">
        <f t="shared" si="3"/>
        <v>2018A</v>
      </c>
      <c r="J24" s="178" t="str">
        <f t="shared" si="3"/>
        <v>2019C</v>
      </c>
      <c r="K24" s="178" t="str">
        <f t="shared" si="3"/>
        <v>2019F</v>
      </c>
      <c r="L24" s="178" t="str">
        <f t="shared" si="3"/>
        <v>2020F</v>
      </c>
      <c r="M24" s="178" t="str">
        <f t="shared" si="3"/>
        <v>2021F</v>
      </c>
      <c r="N24" s="178" t="str">
        <f t="shared" si="3"/>
        <v>2022F</v>
      </c>
      <c r="O24" s="178" t="str">
        <f t="shared" si="3"/>
        <v>2023F</v>
      </c>
      <c r="P24" s="178" t="str">
        <f t="shared" si="3"/>
        <v>2024F</v>
      </c>
      <c r="Q24" s="178" t="e">
        <f t="shared" si="3"/>
        <v>#N/A</v>
      </c>
      <c r="R24" s="178" t="e">
        <f t="shared" si="3"/>
        <v>#N/A</v>
      </c>
      <c r="S24" s="178" t="e">
        <f t="shared" si="3"/>
        <v>#N/A</v>
      </c>
      <c r="T24" s="178" t="e">
        <f t="shared" si="3"/>
        <v>#N/A</v>
      </c>
      <c r="U24" s="178" t="e">
        <f t="shared" si="3"/>
        <v>#N/A</v>
      </c>
    </row>
    <row r="25" spans="3:21" hidden="1">
      <c r="C25" s="109"/>
      <c r="D25" s="109"/>
      <c r="E25" s="109"/>
      <c r="F25" s="109"/>
      <c r="G25" s="216"/>
      <c r="H25" s="216"/>
      <c r="I25" s="216"/>
      <c r="J25" s="216"/>
      <c r="K25" s="216"/>
      <c r="L25" s="109"/>
      <c r="M25" s="109"/>
      <c r="N25" s="109"/>
      <c r="O25" s="109"/>
      <c r="P25" s="109"/>
      <c r="Q25" s="109"/>
      <c r="R25" s="109"/>
      <c r="S25" s="109"/>
      <c r="T25" s="109"/>
      <c r="U25" s="109"/>
    </row>
    <row r="26" spans="3:21">
      <c r="C26" s="180" t="s">
        <v>1005</v>
      </c>
      <c r="D26" s="180"/>
      <c r="E26" s="227">
        <f>E28</f>
        <v>0</v>
      </c>
      <c r="F26" s="227">
        <f t="shared" ref="F26:U26" si="4">F28</f>
        <v>0</v>
      </c>
      <c r="G26" s="227">
        <f t="shared" si="4"/>
        <v>0</v>
      </c>
      <c r="H26" s="227">
        <f t="shared" si="4"/>
        <v>0</v>
      </c>
      <c r="I26" s="227">
        <f t="shared" si="4"/>
        <v>0</v>
      </c>
      <c r="J26" s="227">
        <f t="shared" si="4"/>
        <v>0</v>
      </c>
      <c r="K26" s="227">
        <f t="shared" si="4"/>
        <v>0</v>
      </c>
      <c r="L26" s="227">
        <f t="shared" si="4"/>
        <v>0</v>
      </c>
      <c r="M26" s="227">
        <f t="shared" si="4"/>
        <v>0</v>
      </c>
      <c r="N26" s="227">
        <f t="shared" si="4"/>
        <v>0</v>
      </c>
      <c r="O26" s="227">
        <f t="shared" si="4"/>
        <v>0</v>
      </c>
      <c r="P26" s="227">
        <f t="shared" si="4"/>
        <v>0</v>
      </c>
      <c r="Q26" s="227">
        <f t="shared" si="4"/>
        <v>0</v>
      </c>
      <c r="R26" s="227">
        <f t="shared" si="4"/>
        <v>0</v>
      </c>
      <c r="S26" s="227">
        <f t="shared" si="4"/>
        <v>0</v>
      </c>
      <c r="T26" s="227">
        <f t="shared" si="4"/>
        <v>0</v>
      </c>
      <c r="U26" s="227">
        <f t="shared" si="4"/>
        <v>0</v>
      </c>
    </row>
    <row r="27" spans="3:21">
      <c r="C27" s="183"/>
      <c r="D27" s="221" t="s">
        <v>876</v>
      </c>
      <c r="E27" s="185" t="str">
        <f>IFERROR(E26/INDEX(26:26,MATCH(DATE(YEAR(E$18)-1,MONTH(E$18),DAY(E$18)),$18:$18,0))-1,"n.a.")</f>
        <v>n.a.</v>
      </c>
      <c r="F27" s="185" t="str">
        <f>IFERROR(F26/INDEX(26:26,MATCH(DATE(YEAR(F$18)-1,MONTH(F$18),DAY(F$18)),$18:$18,0))-1,"n.a.")</f>
        <v>n.a.</v>
      </c>
      <c r="G27" s="185" t="str">
        <f t="shared" ref="G27:U27" si="5">IFERROR(G26/INDEX(26:26,MATCH(DATE(YEAR(G$18)-1,MONTH(G$18),DAY(G$18)),$18:$18,0))-1,"n.a.")</f>
        <v>n.a.</v>
      </c>
      <c r="H27" s="185" t="str">
        <f t="shared" si="5"/>
        <v>n.a.</v>
      </c>
      <c r="I27" s="185" t="str">
        <f t="shared" si="5"/>
        <v>n.a.</v>
      </c>
      <c r="J27" s="185" t="str">
        <f t="shared" si="5"/>
        <v>n.a.</v>
      </c>
      <c r="K27" s="185" t="str">
        <f t="shared" si="5"/>
        <v>n.a.</v>
      </c>
      <c r="L27" s="185" t="str">
        <f t="shared" si="5"/>
        <v>n.a.</v>
      </c>
      <c r="M27" s="185" t="str">
        <f t="shared" si="5"/>
        <v>n.a.</v>
      </c>
      <c r="N27" s="185" t="str">
        <f t="shared" si="5"/>
        <v>n.a.</v>
      </c>
      <c r="O27" s="185" t="str">
        <f t="shared" si="5"/>
        <v>n.a.</v>
      </c>
      <c r="P27" s="185" t="str">
        <f t="shared" si="5"/>
        <v>n.a.</v>
      </c>
      <c r="Q27" s="185" t="str">
        <f t="shared" si="5"/>
        <v>n.a.</v>
      </c>
      <c r="R27" s="185" t="str">
        <f t="shared" si="5"/>
        <v>n.a.</v>
      </c>
      <c r="S27" s="185" t="str">
        <f t="shared" si="5"/>
        <v>n.a.</v>
      </c>
      <c r="T27" s="185" t="str">
        <f t="shared" si="5"/>
        <v>n.a.</v>
      </c>
      <c r="U27" s="185" t="str">
        <f t="shared" si="5"/>
        <v>n.a.</v>
      </c>
    </row>
    <row r="28" spans="3:21" outlineLevel="1">
      <c r="C28" s="225"/>
      <c r="D28" s="361" t="str">
        <f>BU1_name</f>
        <v>Offshore</v>
      </c>
      <c r="E28" s="228">
        <f>(IFERROR(INDEX('Scenarios offshore'!18:18,MATCH('IS offshore'!E$5,'Scenarios offshore'!4:4,0)),0)*E20)</f>
        <v>0</v>
      </c>
      <c r="F28" s="228">
        <f>(IFERROR(INDEX('Scenarios offshore'!18:18,MATCH('IS offshore'!F$5,'Scenarios offshore'!4:4,0)),0)*F20)</f>
        <v>0</v>
      </c>
      <c r="G28" s="228">
        <f>(IFERROR(INDEX('Scenarios offshore'!18:18,MATCH('IS offshore'!G$5,'Scenarios offshore'!4:4,0)),0)*G20)</f>
        <v>0</v>
      </c>
      <c r="H28" s="228">
        <f>(IFERROR(INDEX('Scenarios offshore'!18:18,MATCH('IS offshore'!H$5,'Scenarios offshore'!4:4,0)),0)*H20)</f>
        <v>0</v>
      </c>
      <c r="I28" s="228">
        <f>(IFERROR(INDEX('Scenarios offshore'!18:18,MATCH('IS offshore'!I$5,'Scenarios offshore'!4:4,0)),0)*I20)</f>
        <v>0</v>
      </c>
      <c r="J28" s="228">
        <f>(IFERROR(INDEX('Scenarios offshore'!18:18,MATCH('IS offshore'!J$5,'Scenarios offshore'!4:4,0)),0)*J20)</f>
        <v>0</v>
      </c>
      <c r="K28" s="228">
        <f>(IFERROR(INDEX('Scenarios offshore'!18:18,MATCH('IS offshore'!K$5,'Scenarios offshore'!4:4,0)),0)*K20)</f>
        <v>0</v>
      </c>
      <c r="L28" s="228">
        <f>(IFERROR(INDEX('Scenarios offshore'!18:18,MATCH('IS offshore'!L$5,'Scenarios offshore'!4:4,0)),0)*L20)</f>
        <v>0</v>
      </c>
      <c r="M28" s="228">
        <f>(IFERROR(INDEX('Scenarios offshore'!18:18,MATCH('IS offshore'!M$5,'Scenarios offshore'!4:4,0)),0)*M20)</f>
        <v>0</v>
      </c>
      <c r="N28" s="228">
        <f>(IFERROR(INDEX('Scenarios offshore'!18:18,MATCH('IS offshore'!N$5,'Scenarios offshore'!4:4,0)),0)*N20)</f>
        <v>0</v>
      </c>
      <c r="O28" s="228">
        <f>(IFERROR(INDEX('Scenarios offshore'!18:18,MATCH('IS offshore'!O$5,'Scenarios offshore'!4:4,0)),0)*O20)</f>
        <v>0</v>
      </c>
      <c r="P28" s="228">
        <f>(IFERROR(INDEX('Scenarios offshore'!18:18,MATCH('IS offshore'!P$5,'Scenarios offshore'!4:4,0)),0)*P20)</f>
        <v>0</v>
      </c>
      <c r="Q28" s="228">
        <f>(IFERROR(INDEX('Scenarios offshore'!18:18,MATCH('IS offshore'!Q$5,'Scenarios offshore'!4:4,0)),0)*Q20)</f>
        <v>0</v>
      </c>
      <c r="R28" s="228">
        <f>(IFERROR(INDEX('Scenarios offshore'!18:18,MATCH('IS offshore'!R$5,'Scenarios offshore'!4:4,0)),0)*R20)</f>
        <v>0</v>
      </c>
      <c r="S28" s="228">
        <f>(IFERROR(INDEX('Scenarios offshore'!18:18,MATCH('IS offshore'!S$5,'Scenarios offshore'!4:4,0)),0)*S20)</f>
        <v>0</v>
      </c>
      <c r="T28" s="228">
        <f>(IFERROR(INDEX('Scenarios offshore'!18:18,MATCH('IS offshore'!T$5,'Scenarios offshore'!4:4,0)),0)*T20)</f>
        <v>0</v>
      </c>
      <c r="U28" s="228">
        <f>(IFERROR(INDEX('Scenarios offshore'!18:18,MATCH('IS offshore'!U$5,'Scenarios offshore'!4:4,0)),0)*U20)</f>
        <v>0</v>
      </c>
    </row>
    <row r="29" spans="3:21" outlineLevel="1">
      <c r="C29" s="183"/>
      <c r="D29" s="221" t="s">
        <v>876</v>
      </c>
      <c r="E29" s="185" t="str">
        <f>IFERROR(E28/INDEX(28:28,MATCH(DATE(YEAR(E$18)-1,MONTH(E$18),DAY(E$18)),$18:$18,0))-1,"n.a.")</f>
        <v>n.a.</v>
      </c>
      <c r="F29" s="185" t="str">
        <f>IFERROR(F28/INDEX(28:28,MATCH(DATE(YEAR(F$18)-1,MONTH(F$18),DAY(F$18)),$18:$18,0))-1,"n.a.")</f>
        <v>n.a.</v>
      </c>
      <c r="G29" s="185" t="str">
        <f t="shared" ref="G29:U29" si="6">IFERROR(G28/INDEX(28:28,MATCH(DATE(YEAR(G$18)-1,MONTH(G$18),DAY(G$18)),$18:$18,0))-1,"n.a.")</f>
        <v>n.a.</v>
      </c>
      <c r="H29" s="185" t="str">
        <f t="shared" si="6"/>
        <v>n.a.</v>
      </c>
      <c r="I29" s="185" t="str">
        <f t="shared" si="6"/>
        <v>n.a.</v>
      </c>
      <c r="J29" s="185" t="str">
        <f t="shared" si="6"/>
        <v>n.a.</v>
      </c>
      <c r="K29" s="185" t="str">
        <f t="shared" si="6"/>
        <v>n.a.</v>
      </c>
      <c r="L29" s="185" t="str">
        <f t="shared" si="6"/>
        <v>n.a.</v>
      </c>
      <c r="M29" s="185" t="str">
        <f t="shared" si="6"/>
        <v>n.a.</v>
      </c>
      <c r="N29" s="185" t="str">
        <f t="shared" si="6"/>
        <v>n.a.</v>
      </c>
      <c r="O29" s="185" t="str">
        <f t="shared" si="6"/>
        <v>n.a.</v>
      </c>
      <c r="P29" s="185" t="str">
        <f t="shared" si="6"/>
        <v>n.a.</v>
      </c>
      <c r="Q29" s="185" t="str">
        <f t="shared" si="6"/>
        <v>n.a.</v>
      </c>
      <c r="R29" s="185" t="str">
        <f t="shared" si="6"/>
        <v>n.a.</v>
      </c>
      <c r="S29" s="185" t="str">
        <f t="shared" si="6"/>
        <v>n.a.</v>
      </c>
      <c r="T29" s="185" t="str">
        <f t="shared" si="6"/>
        <v>n.a.</v>
      </c>
      <c r="U29" s="185" t="str">
        <f t="shared" si="6"/>
        <v>n.a.</v>
      </c>
    </row>
    <row r="30" spans="3:21" outlineLevel="1" collapsed="1">
      <c r="C30" s="109"/>
      <c r="D30" s="363"/>
      <c r="E30" s="230"/>
      <c r="F30" s="230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 spans="3:21">
      <c r="C31" s="199" t="s">
        <v>1006</v>
      </c>
      <c r="D31" s="364"/>
      <c r="E31" s="259">
        <f>+E33</f>
        <v>0</v>
      </c>
      <c r="F31" s="259">
        <f t="shared" ref="F31:U31" si="7">+F33</f>
        <v>0</v>
      </c>
      <c r="G31" s="259">
        <f t="shared" si="7"/>
        <v>0</v>
      </c>
      <c r="H31" s="259">
        <f t="shared" si="7"/>
        <v>0</v>
      </c>
      <c r="I31" s="259">
        <f t="shared" si="7"/>
        <v>0</v>
      </c>
      <c r="J31" s="259">
        <f t="shared" si="7"/>
        <v>0</v>
      </c>
      <c r="K31" s="259">
        <f t="shared" si="7"/>
        <v>0</v>
      </c>
      <c r="L31" s="259">
        <f t="shared" si="7"/>
        <v>0</v>
      </c>
      <c r="M31" s="259">
        <f t="shared" si="7"/>
        <v>0</v>
      </c>
      <c r="N31" s="259">
        <f t="shared" si="7"/>
        <v>0</v>
      </c>
      <c r="O31" s="259">
        <f t="shared" si="7"/>
        <v>0</v>
      </c>
      <c r="P31" s="259">
        <f t="shared" si="7"/>
        <v>0</v>
      </c>
      <c r="Q31" s="259">
        <f t="shared" si="7"/>
        <v>0</v>
      </c>
      <c r="R31" s="259">
        <f t="shared" si="7"/>
        <v>0</v>
      </c>
      <c r="S31" s="259">
        <f t="shared" si="7"/>
        <v>0</v>
      </c>
      <c r="T31" s="259">
        <f t="shared" si="7"/>
        <v>0</v>
      </c>
      <c r="U31" s="259">
        <f t="shared" si="7"/>
        <v>0</v>
      </c>
    </row>
    <row r="32" spans="3:21">
      <c r="C32" s="183"/>
      <c r="D32" s="221" t="s">
        <v>882</v>
      </c>
      <c r="E32" s="185" t="e">
        <f t="shared" ref="E32:U32" si="8">E31/E26</f>
        <v>#DIV/0!</v>
      </c>
      <c r="F32" s="185" t="e">
        <f t="shared" si="8"/>
        <v>#DIV/0!</v>
      </c>
      <c r="G32" s="185" t="e">
        <f t="shared" si="8"/>
        <v>#DIV/0!</v>
      </c>
      <c r="H32" s="185" t="e">
        <f t="shared" si="8"/>
        <v>#DIV/0!</v>
      </c>
      <c r="I32" s="185" t="e">
        <f t="shared" si="8"/>
        <v>#DIV/0!</v>
      </c>
      <c r="J32" s="185" t="e">
        <f t="shared" si="8"/>
        <v>#DIV/0!</v>
      </c>
      <c r="K32" s="185" t="e">
        <f t="shared" si="8"/>
        <v>#DIV/0!</v>
      </c>
      <c r="L32" s="185" t="e">
        <f t="shared" si="8"/>
        <v>#DIV/0!</v>
      </c>
      <c r="M32" s="185" t="e">
        <f t="shared" si="8"/>
        <v>#DIV/0!</v>
      </c>
      <c r="N32" s="185" t="e">
        <f t="shared" si="8"/>
        <v>#DIV/0!</v>
      </c>
      <c r="O32" s="185" t="e">
        <f t="shared" si="8"/>
        <v>#DIV/0!</v>
      </c>
      <c r="P32" s="185" t="e">
        <f t="shared" si="8"/>
        <v>#DIV/0!</v>
      </c>
      <c r="Q32" s="185" t="e">
        <f t="shared" si="8"/>
        <v>#DIV/0!</v>
      </c>
      <c r="R32" s="185" t="e">
        <f t="shared" si="8"/>
        <v>#DIV/0!</v>
      </c>
      <c r="S32" s="185" t="e">
        <f t="shared" si="8"/>
        <v>#DIV/0!</v>
      </c>
      <c r="T32" s="185" t="e">
        <f t="shared" si="8"/>
        <v>#DIV/0!</v>
      </c>
      <c r="U32" s="185" t="e">
        <f t="shared" si="8"/>
        <v>#DIV/0!</v>
      </c>
    </row>
    <row r="33" spans="3:21" hidden="1" outlineLevel="1">
      <c r="C33" s="225"/>
      <c r="D33" s="361" t="str">
        <f>D28</f>
        <v>Offshore</v>
      </c>
      <c r="E33" s="228">
        <f>(E28-IFERROR(INDEX('Scenarios offshore'!42:42,MATCH('IS offshore'!E$5,'Scenarios offshore'!4:4,0)),0)*E20)</f>
        <v>0</v>
      </c>
      <c r="F33" s="228">
        <f>(F28-IFERROR(INDEX('Scenarios offshore'!42:42,MATCH('IS offshore'!F$5,'Scenarios offshore'!4:4,0)),0)*F20)</f>
        <v>0</v>
      </c>
      <c r="G33" s="228">
        <f>(G28-IFERROR(INDEX('Scenarios offshore'!42:42,MATCH('IS offshore'!G$5,'Scenarios offshore'!4:4,0)),0)*G20)</f>
        <v>0</v>
      </c>
      <c r="H33" s="228">
        <f>(H28-IFERROR(INDEX('Scenarios offshore'!42:42,MATCH('IS offshore'!H$5,'Scenarios offshore'!4:4,0)),0)*H20)</f>
        <v>0</v>
      </c>
      <c r="I33" s="228">
        <f>(I28-IFERROR(INDEX('Scenarios offshore'!42:42,MATCH('IS offshore'!I$5,'Scenarios offshore'!4:4,0)),0)*I20)</f>
        <v>0</v>
      </c>
      <c r="J33" s="228">
        <f>(J28-IFERROR(INDEX('Scenarios offshore'!42:42,MATCH('IS offshore'!J$5,'Scenarios offshore'!4:4,0)),0)*J20)</f>
        <v>0</v>
      </c>
      <c r="K33" s="228">
        <f>(K28-IFERROR(INDEX('Scenarios offshore'!42:42,MATCH('IS offshore'!K$5,'Scenarios offshore'!4:4,0)),0)*K20)</f>
        <v>0</v>
      </c>
      <c r="L33" s="228">
        <f>(L28-IFERROR(INDEX('Scenarios offshore'!42:42,MATCH('IS offshore'!L$5,'Scenarios offshore'!4:4,0)),0)*L20)</f>
        <v>0</v>
      </c>
      <c r="M33" s="228">
        <f>(M28-IFERROR(INDEX('Scenarios offshore'!42:42,MATCH('IS offshore'!M$5,'Scenarios offshore'!4:4,0)),0)*M20)</f>
        <v>0</v>
      </c>
      <c r="N33" s="228">
        <f>(N28-IFERROR(INDEX('Scenarios offshore'!42:42,MATCH('IS offshore'!N$5,'Scenarios offshore'!4:4,0)),0)*N20)</f>
        <v>0</v>
      </c>
      <c r="O33" s="228">
        <f>(O28-IFERROR(INDEX('Scenarios offshore'!42:42,MATCH('IS offshore'!O$5,'Scenarios offshore'!4:4,0)),0)*O20)</f>
        <v>0</v>
      </c>
      <c r="P33" s="228">
        <f>(P28-IFERROR(INDEX('Scenarios offshore'!42:42,MATCH('IS offshore'!P$5,'Scenarios offshore'!4:4,0)),0)*P20)</f>
        <v>0</v>
      </c>
      <c r="Q33" s="228">
        <f>(Q28-IFERROR(INDEX('Scenarios offshore'!42:42,MATCH('IS offshore'!Q$5,'Scenarios offshore'!4:4,0)),0)*Q20)</f>
        <v>0</v>
      </c>
      <c r="R33" s="228">
        <f>(R28-IFERROR(INDEX('Scenarios offshore'!42:42,MATCH('IS offshore'!R$5,'Scenarios offshore'!4:4,0)),0)*R20)</f>
        <v>0</v>
      </c>
      <c r="S33" s="228">
        <f>(S28-IFERROR(INDEX('Scenarios offshore'!42:42,MATCH('IS offshore'!S$5,'Scenarios offshore'!4:4,0)),0)*S20)</f>
        <v>0</v>
      </c>
      <c r="T33" s="228">
        <f>(T28-IFERROR(INDEX('Scenarios offshore'!42:42,MATCH('IS offshore'!T$5,'Scenarios offshore'!4:4,0)),0)*T20)</f>
        <v>0</v>
      </c>
      <c r="U33" s="228">
        <f>(U28-IFERROR(INDEX('Scenarios offshore'!42:42,MATCH('IS offshore'!U$5,'Scenarios offshore'!4:4,0)),0)*U20)</f>
        <v>0</v>
      </c>
    </row>
    <row r="34" spans="3:21" hidden="1" outlineLevel="1" collapsed="1">
      <c r="C34" s="109"/>
      <c r="D34" s="365"/>
      <c r="E34" s="231"/>
      <c r="F34" s="231"/>
      <c r="G34" s="231"/>
      <c r="H34" s="231"/>
      <c r="I34" s="231"/>
      <c r="J34" s="231"/>
      <c r="K34" s="232"/>
      <c r="L34" s="231"/>
      <c r="M34" s="231"/>
      <c r="N34" s="231"/>
      <c r="O34" s="231"/>
      <c r="P34" s="231"/>
      <c r="Q34" s="231"/>
      <c r="R34" s="231"/>
      <c r="S34" s="231"/>
      <c r="T34" s="231"/>
      <c r="U34" s="231"/>
    </row>
    <row r="35" spans="3:21" collapsed="1">
      <c r="C35" s="180" t="s">
        <v>1007</v>
      </c>
      <c r="D35" s="366"/>
      <c r="E35" s="227">
        <f>+E37</f>
        <v>0</v>
      </c>
      <c r="F35" s="227">
        <f t="shared" ref="F35:U35" si="9">+F37</f>
        <v>0</v>
      </c>
      <c r="G35" s="227">
        <f t="shared" si="9"/>
        <v>0</v>
      </c>
      <c r="H35" s="227">
        <f t="shared" si="9"/>
        <v>0</v>
      </c>
      <c r="I35" s="227">
        <f t="shared" si="9"/>
        <v>0</v>
      </c>
      <c r="J35" s="227">
        <f t="shared" si="9"/>
        <v>0</v>
      </c>
      <c r="K35" s="227">
        <f t="shared" si="9"/>
        <v>0</v>
      </c>
      <c r="L35" s="227">
        <f t="shared" si="9"/>
        <v>0</v>
      </c>
      <c r="M35" s="227">
        <f t="shared" si="9"/>
        <v>0</v>
      </c>
      <c r="N35" s="227">
        <f t="shared" si="9"/>
        <v>0</v>
      </c>
      <c r="O35" s="227">
        <f t="shared" si="9"/>
        <v>0</v>
      </c>
      <c r="P35" s="227">
        <f t="shared" si="9"/>
        <v>0</v>
      </c>
      <c r="Q35" s="227">
        <f t="shared" si="9"/>
        <v>0</v>
      </c>
      <c r="R35" s="227">
        <f t="shared" si="9"/>
        <v>0</v>
      </c>
      <c r="S35" s="227">
        <f t="shared" si="9"/>
        <v>0</v>
      </c>
      <c r="T35" s="227">
        <f t="shared" si="9"/>
        <v>0</v>
      </c>
      <c r="U35" s="227">
        <f t="shared" si="9"/>
        <v>0</v>
      </c>
    </row>
    <row r="36" spans="3:21">
      <c r="C36" s="183"/>
      <c r="D36" s="221" t="s">
        <v>877</v>
      </c>
      <c r="E36" s="185" t="e">
        <f>-E35/E$26</f>
        <v>#DIV/0!</v>
      </c>
      <c r="F36" s="185" t="e">
        <f t="shared" ref="F36:U36" si="10">-F35/F$26</f>
        <v>#DIV/0!</v>
      </c>
      <c r="G36" s="185" t="e">
        <f t="shared" si="10"/>
        <v>#DIV/0!</v>
      </c>
      <c r="H36" s="185" t="e">
        <f t="shared" si="10"/>
        <v>#DIV/0!</v>
      </c>
      <c r="I36" s="185" t="e">
        <f t="shared" si="10"/>
        <v>#DIV/0!</v>
      </c>
      <c r="J36" s="185" t="e">
        <f t="shared" si="10"/>
        <v>#DIV/0!</v>
      </c>
      <c r="K36" s="185" t="e">
        <f t="shared" si="10"/>
        <v>#DIV/0!</v>
      </c>
      <c r="L36" s="185" t="e">
        <f t="shared" si="10"/>
        <v>#DIV/0!</v>
      </c>
      <c r="M36" s="185" t="e">
        <f t="shared" si="10"/>
        <v>#DIV/0!</v>
      </c>
      <c r="N36" s="185" t="e">
        <f t="shared" si="10"/>
        <v>#DIV/0!</v>
      </c>
      <c r="O36" s="185" t="e">
        <f t="shared" si="10"/>
        <v>#DIV/0!</v>
      </c>
      <c r="P36" s="185" t="e">
        <f t="shared" si="10"/>
        <v>#DIV/0!</v>
      </c>
      <c r="Q36" s="185" t="e">
        <f t="shared" si="10"/>
        <v>#DIV/0!</v>
      </c>
      <c r="R36" s="185" t="e">
        <f t="shared" si="10"/>
        <v>#DIV/0!</v>
      </c>
      <c r="S36" s="185" t="e">
        <f t="shared" si="10"/>
        <v>#DIV/0!</v>
      </c>
      <c r="T36" s="185" t="e">
        <f t="shared" si="10"/>
        <v>#DIV/0!</v>
      </c>
      <c r="U36" s="185" t="e">
        <f t="shared" si="10"/>
        <v>#DIV/0!</v>
      </c>
    </row>
    <row r="37" spans="3:21" hidden="1" outlineLevel="1">
      <c r="C37" s="225"/>
      <c r="D37" s="361" t="str">
        <f>D33</f>
        <v>Offshore</v>
      </c>
      <c r="E37" s="228">
        <f>-(IFERROR(INDEX('Scenarios offshore'!50:50,MATCH('IS offshore'!E$5,'Scenarios offshore'!$4:$4,0)),0)*E20)</f>
        <v>0</v>
      </c>
      <c r="F37" s="228">
        <f>-(IFERROR(INDEX('Scenarios offshore'!50:50,MATCH('IS offshore'!F$5,'Scenarios offshore'!$4:$4,0)),0)*F20)</f>
        <v>0</v>
      </c>
      <c r="G37" s="228">
        <f>-(IFERROR(INDEX('Scenarios offshore'!50:50,MATCH('IS offshore'!G$5,'Scenarios offshore'!$4:$4,0)),0)*G20)</f>
        <v>0</v>
      </c>
      <c r="H37" s="228">
        <f>-(IFERROR(INDEX('Scenarios offshore'!50:50,MATCH('IS offshore'!H$5,'Scenarios offshore'!$4:$4,0)),0)*H20)</f>
        <v>0</v>
      </c>
      <c r="I37" s="228">
        <f>-(IFERROR(INDEX('Scenarios offshore'!50:50,MATCH('IS offshore'!I$5,'Scenarios offshore'!$4:$4,0)),0)*I20)</f>
        <v>0</v>
      </c>
      <c r="J37" s="228">
        <f>-(IFERROR(INDEX('Scenarios offshore'!50:50,MATCH('IS offshore'!J$5,'Scenarios offshore'!$4:$4,0)),0)*J20)</f>
        <v>0</v>
      </c>
      <c r="K37" s="228">
        <f>-(IFERROR(INDEX('Scenarios offshore'!50:50,MATCH('IS offshore'!K$5,'Scenarios offshore'!$4:$4,0)),0)*K20)</f>
        <v>0</v>
      </c>
      <c r="L37" s="228">
        <f>-(IFERROR(INDEX('Scenarios offshore'!50:50,MATCH('IS offshore'!L$5,'Scenarios offshore'!$4:$4,0)),0)*L20)</f>
        <v>0</v>
      </c>
      <c r="M37" s="228">
        <f>-(IFERROR(INDEX('Scenarios offshore'!50:50,MATCH('IS offshore'!M$5,'Scenarios offshore'!$4:$4,0)),0)*M20)</f>
        <v>0</v>
      </c>
      <c r="N37" s="228">
        <f>-(IFERROR(INDEX('Scenarios offshore'!50:50,MATCH('IS offshore'!N$5,'Scenarios offshore'!$4:$4,0)),0)*N20)</f>
        <v>0</v>
      </c>
      <c r="O37" s="228">
        <f>-(IFERROR(INDEX('Scenarios offshore'!50:50,MATCH('IS offshore'!O$5,'Scenarios offshore'!$4:$4,0)),0)*O20)</f>
        <v>0</v>
      </c>
      <c r="P37" s="228">
        <f>-(IFERROR(INDEX('Scenarios offshore'!50:50,MATCH('IS offshore'!P$5,'Scenarios offshore'!$4:$4,0)),0)*P20)</f>
        <v>0</v>
      </c>
      <c r="Q37" s="228">
        <f>-(IFERROR(INDEX('Scenarios offshore'!50:50,MATCH('IS offshore'!Q$5,'Scenarios offshore'!$4:$4,0)),0)*Q20)</f>
        <v>0</v>
      </c>
      <c r="R37" s="228">
        <f>-(IFERROR(INDEX('Scenarios offshore'!50:50,MATCH('IS offshore'!R$5,'Scenarios offshore'!$4:$4,0)),0)*R20)</f>
        <v>0</v>
      </c>
      <c r="S37" s="228">
        <f>-(IFERROR(INDEX('Scenarios offshore'!50:50,MATCH('IS offshore'!S$5,'Scenarios offshore'!$4:$4,0)),0)*S20)</f>
        <v>0</v>
      </c>
      <c r="T37" s="228">
        <f>-(IFERROR(INDEX('Scenarios offshore'!50:50,MATCH('IS offshore'!T$5,'Scenarios offshore'!$4:$4,0)),0)*T20)</f>
        <v>0</v>
      </c>
      <c r="U37" s="228">
        <f>-(IFERROR(INDEX('Scenarios offshore'!50:50,MATCH('IS offshore'!U$5,'Scenarios offshore'!$4:$4,0)),0)*U20)</f>
        <v>0</v>
      </c>
    </row>
    <row r="38" spans="3:21" hidden="1" outlineLevel="1" collapsed="1">
      <c r="C38" s="109"/>
      <c r="D38" s="363"/>
      <c r="E38" s="230"/>
      <c r="F38" s="230"/>
      <c r="G38" s="36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</row>
    <row r="39" spans="3:21" hidden="1" outlineLevel="1" collapsed="1">
      <c r="C39" s="180" t="s">
        <v>878</v>
      </c>
      <c r="D39" s="366"/>
      <c r="E39" s="227">
        <f>+E41</f>
        <v>0</v>
      </c>
      <c r="F39" s="227">
        <f t="shared" ref="F39:U39" si="11">+F41</f>
        <v>0</v>
      </c>
      <c r="G39" s="227">
        <f t="shared" si="11"/>
        <v>0</v>
      </c>
      <c r="H39" s="227">
        <f t="shared" si="11"/>
        <v>0</v>
      </c>
      <c r="I39" s="227">
        <f t="shared" si="11"/>
        <v>0</v>
      </c>
      <c r="J39" s="227">
        <f t="shared" si="11"/>
        <v>0</v>
      </c>
      <c r="K39" s="227">
        <f t="shared" si="11"/>
        <v>0</v>
      </c>
      <c r="L39" s="227">
        <f t="shared" si="11"/>
        <v>0</v>
      </c>
      <c r="M39" s="227">
        <f t="shared" si="11"/>
        <v>0</v>
      </c>
      <c r="N39" s="227">
        <f t="shared" si="11"/>
        <v>0</v>
      </c>
      <c r="O39" s="227">
        <f t="shared" si="11"/>
        <v>0</v>
      </c>
      <c r="P39" s="227">
        <f t="shared" si="11"/>
        <v>0</v>
      </c>
      <c r="Q39" s="227">
        <f t="shared" si="11"/>
        <v>0</v>
      </c>
      <c r="R39" s="227">
        <f t="shared" si="11"/>
        <v>0</v>
      </c>
      <c r="S39" s="227">
        <f t="shared" si="11"/>
        <v>0</v>
      </c>
      <c r="T39" s="227">
        <f t="shared" si="11"/>
        <v>0</v>
      </c>
      <c r="U39" s="227">
        <f t="shared" si="11"/>
        <v>0</v>
      </c>
    </row>
    <row r="40" spans="3:21" hidden="1" outlineLevel="1">
      <c r="C40" s="183"/>
      <c r="D40" s="221" t="s">
        <v>877</v>
      </c>
      <c r="E40" s="185" t="e">
        <f>-E39/E$26</f>
        <v>#DIV/0!</v>
      </c>
      <c r="F40" s="185" t="e">
        <f t="shared" ref="F40:U40" si="12">-F39/F$26</f>
        <v>#DIV/0!</v>
      </c>
      <c r="G40" s="185" t="e">
        <f t="shared" si="12"/>
        <v>#DIV/0!</v>
      </c>
      <c r="H40" s="185" t="e">
        <f t="shared" si="12"/>
        <v>#DIV/0!</v>
      </c>
      <c r="I40" s="185" t="e">
        <f t="shared" si="12"/>
        <v>#DIV/0!</v>
      </c>
      <c r="J40" s="185" t="e">
        <f t="shared" si="12"/>
        <v>#DIV/0!</v>
      </c>
      <c r="K40" s="185" t="e">
        <f t="shared" si="12"/>
        <v>#DIV/0!</v>
      </c>
      <c r="L40" s="185" t="e">
        <f t="shared" si="12"/>
        <v>#DIV/0!</v>
      </c>
      <c r="M40" s="185" t="e">
        <f t="shared" si="12"/>
        <v>#DIV/0!</v>
      </c>
      <c r="N40" s="185" t="e">
        <f t="shared" si="12"/>
        <v>#DIV/0!</v>
      </c>
      <c r="O40" s="185" t="e">
        <f t="shared" si="12"/>
        <v>#DIV/0!</v>
      </c>
      <c r="P40" s="185" t="e">
        <f t="shared" si="12"/>
        <v>#DIV/0!</v>
      </c>
      <c r="Q40" s="185" t="e">
        <f t="shared" si="12"/>
        <v>#DIV/0!</v>
      </c>
      <c r="R40" s="185" t="e">
        <f t="shared" si="12"/>
        <v>#DIV/0!</v>
      </c>
      <c r="S40" s="185" t="e">
        <f t="shared" si="12"/>
        <v>#DIV/0!</v>
      </c>
      <c r="T40" s="185" t="e">
        <f t="shared" si="12"/>
        <v>#DIV/0!</v>
      </c>
      <c r="U40" s="185" t="e">
        <f t="shared" si="12"/>
        <v>#DIV/0!</v>
      </c>
    </row>
    <row r="41" spans="3:21" hidden="1" outlineLevel="2">
      <c r="C41" s="225"/>
      <c r="D41" s="361" t="str">
        <f>D37</f>
        <v>Offshore</v>
      </c>
      <c r="E41" s="228">
        <f>-(IFERROR(INDEX('Scenarios offshore'!58:58,MATCH('IS offshore'!E$5,'Scenarios offshore'!$4:$4,0)),0)*E20)</f>
        <v>0</v>
      </c>
      <c r="F41" s="228">
        <f>-(IFERROR(INDEX('Scenarios offshore'!58:58,MATCH('IS offshore'!F$5,'Scenarios offshore'!$4:$4,0)),0)*F20)</f>
        <v>0</v>
      </c>
      <c r="G41" s="228">
        <f>-(IFERROR(INDEX('Scenarios offshore'!58:58,MATCH('IS offshore'!G$5,'Scenarios offshore'!$4:$4,0)),0)*G20)</f>
        <v>0</v>
      </c>
      <c r="H41" s="228">
        <f>-(IFERROR(INDEX('Scenarios offshore'!58:58,MATCH('IS offshore'!H$5,'Scenarios offshore'!$4:$4,0)),0)*H20)</f>
        <v>0</v>
      </c>
      <c r="I41" s="228">
        <f>-(IFERROR(INDEX('Scenarios offshore'!58:58,MATCH('IS offshore'!I$5,'Scenarios offshore'!$4:$4,0)),0)*I20)</f>
        <v>0</v>
      </c>
      <c r="J41" s="228">
        <f>-(IFERROR(INDEX('Scenarios offshore'!58:58,MATCH('IS offshore'!J$5,'Scenarios offshore'!$4:$4,0)),0)*J20)</f>
        <v>0</v>
      </c>
      <c r="K41" s="228">
        <f>-(IFERROR(INDEX('Scenarios offshore'!58:58,MATCH('IS offshore'!K$5,'Scenarios offshore'!$4:$4,0)),0)*K20)</f>
        <v>0</v>
      </c>
      <c r="L41" s="228">
        <f>-(IFERROR(INDEX('Scenarios offshore'!58:58,MATCH('IS offshore'!L$5,'Scenarios offshore'!$4:$4,0)),0)*L20)</f>
        <v>0</v>
      </c>
      <c r="M41" s="228">
        <f>-(IFERROR(INDEX('Scenarios offshore'!58:58,MATCH('IS offshore'!M$5,'Scenarios offshore'!$4:$4,0)),0)*M20)</f>
        <v>0</v>
      </c>
      <c r="N41" s="228">
        <f>-(IFERROR(INDEX('Scenarios offshore'!58:58,MATCH('IS offshore'!N$5,'Scenarios offshore'!$4:$4,0)),0)*N20)</f>
        <v>0</v>
      </c>
      <c r="O41" s="228">
        <f>-(IFERROR(INDEX('Scenarios offshore'!58:58,MATCH('IS offshore'!O$5,'Scenarios offshore'!$4:$4,0)),0)*O20)</f>
        <v>0</v>
      </c>
      <c r="P41" s="228">
        <f>-(IFERROR(INDEX('Scenarios offshore'!58:58,MATCH('IS offshore'!P$5,'Scenarios offshore'!$4:$4,0)),0)*P20)</f>
        <v>0</v>
      </c>
      <c r="Q41" s="228">
        <f>-(IFERROR(INDEX('Scenarios offshore'!58:58,MATCH('IS offshore'!Q$5,'Scenarios offshore'!$4:$4,0)),0)*Q20)</f>
        <v>0</v>
      </c>
      <c r="R41" s="228">
        <f>-(IFERROR(INDEX('Scenarios offshore'!58:58,MATCH('IS offshore'!R$5,'Scenarios offshore'!$4:$4,0)),0)*R20)</f>
        <v>0</v>
      </c>
      <c r="S41" s="228">
        <f>-(IFERROR(INDEX('Scenarios offshore'!58:58,MATCH('IS offshore'!S$5,'Scenarios offshore'!$4:$4,0)),0)*S20)</f>
        <v>0</v>
      </c>
      <c r="T41" s="228">
        <f>-(IFERROR(INDEX('Scenarios offshore'!58:58,MATCH('IS offshore'!T$5,'Scenarios offshore'!$4:$4,0)),0)*T20)</f>
        <v>0</v>
      </c>
      <c r="U41" s="228">
        <f>-(IFERROR(INDEX('Scenarios offshore'!58:58,MATCH('IS offshore'!U$5,'Scenarios offshore'!$4:$4,0)),0)*U20)</f>
        <v>0</v>
      </c>
    </row>
    <row r="42" spans="3:21" hidden="1" outlineLevel="2">
      <c r="C42" s="183"/>
      <c r="D42" s="221" t="s">
        <v>877</v>
      </c>
      <c r="E42" s="185" t="e">
        <f>-E41/E$28</f>
        <v>#DIV/0!</v>
      </c>
      <c r="F42" s="185" t="e">
        <f t="shared" ref="F42:U42" si="13">-F41/F$28</f>
        <v>#DIV/0!</v>
      </c>
      <c r="G42" s="185" t="e">
        <f t="shared" si="13"/>
        <v>#DIV/0!</v>
      </c>
      <c r="H42" s="185" t="e">
        <f t="shared" si="13"/>
        <v>#DIV/0!</v>
      </c>
      <c r="I42" s="185" t="e">
        <f t="shared" si="13"/>
        <v>#DIV/0!</v>
      </c>
      <c r="J42" s="185" t="e">
        <f t="shared" si="13"/>
        <v>#DIV/0!</v>
      </c>
      <c r="K42" s="185" t="e">
        <f t="shared" si="13"/>
        <v>#DIV/0!</v>
      </c>
      <c r="L42" s="185" t="e">
        <f t="shared" si="13"/>
        <v>#DIV/0!</v>
      </c>
      <c r="M42" s="185" t="e">
        <f t="shared" si="13"/>
        <v>#DIV/0!</v>
      </c>
      <c r="N42" s="185" t="e">
        <f t="shared" si="13"/>
        <v>#DIV/0!</v>
      </c>
      <c r="O42" s="185" t="e">
        <f t="shared" si="13"/>
        <v>#DIV/0!</v>
      </c>
      <c r="P42" s="185" t="e">
        <f t="shared" si="13"/>
        <v>#DIV/0!</v>
      </c>
      <c r="Q42" s="185" t="e">
        <f t="shared" si="13"/>
        <v>#DIV/0!</v>
      </c>
      <c r="R42" s="185" t="e">
        <f t="shared" si="13"/>
        <v>#DIV/0!</v>
      </c>
      <c r="S42" s="185" t="e">
        <f t="shared" si="13"/>
        <v>#DIV/0!</v>
      </c>
      <c r="T42" s="185" t="e">
        <f t="shared" si="13"/>
        <v>#DIV/0!</v>
      </c>
      <c r="U42" s="185" t="e">
        <f t="shared" si="13"/>
        <v>#DIV/0!</v>
      </c>
    </row>
    <row r="43" spans="3:21" hidden="1" outlineLevel="2" collapsed="1">
      <c r="C43" s="109"/>
      <c r="D43" s="363"/>
      <c r="E43" s="230"/>
      <c r="F43" s="230"/>
      <c r="G43" s="36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</row>
    <row r="44" spans="3:21" hidden="1" outlineLevel="1">
      <c r="C44" s="180" t="s">
        <v>879</v>
      </c>
      <c r="D44" s="366"/>
      <c r="E44" s="227">
        <f>+E46</f>
        <v>0</v>
      </c>
      <c r="F44" s="227">
        <f t="shared" ref="F44:U44" si="14">+F46</f>
        <v>0</v>
      </c>
      <c r="G44" s="227">
        <f t="shared" si="14"/>
        <v>0</v>
      </c>
      <c r="H44" s="227">
        <f t="shared" si="14"/>
        <v>0</v>
      </c>
      <c r="I44" s="227">
        <f t="shared" si="14"/>
        <v>0</v>
      </c>
      <c r="J44" s="227">
        <f t="shared" si="14"/>
        <v>0</v>
      </c>
      <c r="K44" s="227">
        <f t="shared" si="14"/>
        <v>0</v>
      </c>
      <c r="L44" s="227">
        <f t="shared" si="14"/>
        <v>0</v>
      </c>
      <c r="M44" s="227">
        <f t="shared" si="14"/>
        <v>0</v>
      </c>
      <c r="N44" s="227">
        <f t="shared" si="14"/>
        <v>0</v>
      </c>
      <c r="O44" s="227">
        <f t="shared" si="14"/>
        <v>0</v>
      </c>
      <c r="P44" s="227">
        <f t="shared" si="14"/>
        <v>0</v>
      </c>
      <c r="Q44" s="227">
        <f t="shared" si="14"/>
        <v>0</v>
      </c>
      <c r="R44" s="227">
        <f t="shared" si="14"/>
        <v>0</v>
      </c>
      <c r="S44" s="227">
        <f t="shared" si="14"/>
        <v>0</v>
      </c>
      <c r="T44" s="227">
        <f t="shared" si="14"/>
        <v>0</v>
      </c>
      <c r="U44" s="227">
        <f t="shared" si="14"/>
        <v>0</v>
      </c>
    </row>
    <row r="45" spans="3:21" hidden="1" outlineLevel="1">
      <c r="C45" s="183"/>
      <c r="D45" s="221" t="s">
        <v>877</v>
      </c>
      <c r="E45" s="185" t="e">
        <f>-E44/E$26</f>
        <v>#DIV/0!</v>
      </c>
      <c r="F45" s="185" t="e">
        <f t="shared" ref="F45:U45" si="15">-F44/F$26</f>
        <v>#DIV/0!</v>
      </c>
      <c r="G45" s="185" t="e">
        <f t="shared" si="15"/>
        <v>#DIV/0!</v>
      </c>
      <c r="H45" s="185" t="e">
        <f t="shared" si="15"/>
        <v>#DIV/0!</v>
      </c>
      <c r="I45" s="185" t="e">
        <f t="shared" si="15"/>
        <v>#DIV/0!</v>
      </c>
      <c r="J45" s="185" t="e">
        <f t="shared" si="15"/>
        <v>#DIV/0!</v>
      </c>
      <c r="K45" s="185" t="e">
        <f t="shared" si="15"/>
        <v>#DIV/0!</v>
      </c>
      <c r="L45" s="185" t="e">
        <f t="shared" si="15"/>
        <v>#DIV/0!</v>
      </c>
      <c r="M45" s="185" t="e">
        <f t="shared" si="15"/>
        <v>#DIV/0!</v>
      </c>
      <c r="N45" s="185" t="e">
        <f t="shared" si="15"/>
        <v>#DIV/0!</v>
      </c>
      <c r="O45" s="185" t="e">
        <f t="shared" si="15"/>
        <v>#DIV/0!</v>
      </c>
      <c r="P45" s="185" t="e">
        <f t="shared" si="15"/>
        <v>#DIV/0!</v>
      </c>
      <c r="Q45" s="185" t="e">
        <f t="shared" si="15"/>
        <v>#DIV/0!</v>
      </c>
      <c r="R45" s="185" t="e">
        <f t="shared" si="15"/>
        <v>#DIV/0!</v>
      </c>
      <c r="S45" s="185" t="e">
        <f t="shared" si="15"/>
        <v>#DIV/0!</v>
      </c>
      <c r="T45" s="185" t="e">
        <f t="shared" si="15"/>
        <v>#DIV/0!</v>
      </c>
      <c r="U45" s="185" t="e">
        <f t="shared" si="15"/>
        <v>#DIV/0!</v>
      </c>
    </row>
    <row r="46" spans="3:21" hidden="1" outlineLevel="1">
      <c r="C46" s="225"/>
      <c r="D46" s="361" t="str">
        <f>D41</f>
        <v>Offshore</v>
      </c>
      <c r="E46" s="228">
        <f>-(IFERROR(INDEX('Scenarios offshore'!66:66,MATCH('IS offshore'!E$5,'Scenarios offshore'!$4:$4,0)),0)*E20)</f>
        <v>0</v>
      </c>
      <c r="F46" s="228">
        <f>-(IFERROR(INDEX('Scenarios offshore'!66:66,MATCH('IS offshore'!F$5,'Scenarios offshore'!$4:$4,0)),0)*F20)</f>
        <v>0</v>
      </c>
      <c r="G46" s="228">
        <f>-(IFERROR(INDEX('Scenarios offshore'!66:66,MATCH('IS offshore'!G$5,'Scenarios offshore'!$4:$4,0)),0)*G20)</f>
        <v>0</v>
      </c>
      <c r="H46" s="228">
        <f>-(IFERROR(INDEX('Scenarios offshore'!66:66,MATCH('IS offshore'!H$5,'Scenarios offshore'!$4:$4,0)),0)*H20)</f>
        <v>0</v>
      </c>
      <c r="I46" s="228">
        <f>-(IFERROR(INDEX('Scenarios offshore'!66:66,MATCH('IS offshore'!I$5,'Scenarios offshore'!$4:$4,0)),0)*I20)</f>
        <v>0</v>
      </c>
      <c r="J46" s="228">
        <f>-(IFERROR(INDEX('Scenarios offshore'!66:66,MATCH('IS offshore'!J$5,'Scenarios offshore'!$4:$4,0)),0)*J20)</f>
        <v>0</v>
      </c>
      <c r="K46" s="228">
        <f>-(IFERROR(INDEX('Scenarios offshore'!66:66,MATCH('IS offshore'!K$5,'Scenarios offshore'!$4:$4,0)),0)*K20)</f>
        <v>0</v>
      </c>
      <c r="L46" s="228">
        <f>-(IFERROR(INDEX('Scenarios offshore'!66:66,MATCH('IS offshore'!L$5,'Scenarios offshore'!$4:$4,0)),0)*L20)</f>
        <v>0</v>
      </c>
      <c r="M46" s="228">
        <f>-(IFERROR(INDEX('Scenarios offshore'!66:66,MATCH('IS offshore'!M$5,'Scenarios offshore'!$4:$4,0)),0)*M20)</f>
        <v>0</v>
      </c>
      <c r="N46" s="228">
        <f>-(IFERROR(INDEX('Scenarios offshore'!66:66,MATCH('IS offshore'!N$5,'Scenarios offshore'!$4:$4,0)),0)*N20)</f>
        <v>0</v>
      </c>
      <c r="O46" s="228">
        <f>-(IFERROR(INDEX('Scenarios offshore'!66:66,MATCH('IS offshore'!O$5,'Scenarios offshore'!$4:$4,0)),0)*O20)</f>
        <v>0</v>
      </c>
      <c r="P46" s="228">
        <f>-(IFERROR(INDEX('Scenarios offshore'!66:66,MATCH('IS offshore'!P$5,'Scenarios offshore'!$4:$4,0)),0)*P20)</f>
        <v>0</v>
      </c>
      <c r="Q46" s="228">
        <f>-(IFERROR(INDEX('Scenarios offshore'!66:66,MATCH('IS offshore'!Q$5,'Scenarios offshore'!$4:$4,0)),0)*Q20)</f>
        <v>0</v>
      </c>
      <c r="R46" s="228">
        <f>-(IFERROR(INDEX('Scenarios offshore'!66:66,MATCH('IS offshore'!R$5,'Scenarios offshore'!$4:$4,0)),0)*R20)</f>
        <v>0</v>
      </c>
      <c r="S46" s="228">
        <f>-(IFERROR(INDEX('Scenarios offshore'!66:66,MATCH('IS offshore'!S$5,'Scenarios offshore'!$4:$4,0)),0)*S20)</f>
        <v>0</v>
      </c>
      <c r="T46" s="228">
        <f>-(IFERROR(INDEX('Scenarios offshore'!66:66,MATCH('IS offshore'!T$5,'Scenarios offshore'!$4:$4,0)),0)*T20)</f>
        <v>0</v>
      </c>
      <c r="U46" s="228">
        <f>-(IFERROR(INDEX('Scenarios offshore'!66:66,MATCH('IS offshore'!U$5,'Scenarios offshore'!$4:$4,0)),0)*U20)</f>
        <v>0</v>
      </c>
    </row>
    <row r="47" spans="3:21" hidden="1" outlineLevel="1">
      <c r="C47" s="183"/>
      <c r="D47" s="221" t="s">
        <v>877</v>
      </c>
      <c r="E47" s="185" t="e">
        <f>-E46/E$28</f>
        <v>#DIV/0!</v>
      </c>
      <c r="F47" s="185" t="e">
        <f t="shared" ref="F47:U47" si="16">-F46/F$28</f>
        <v>#DIV/0!</v>
      </c>
      <c r="G47" s="185" t="e">
        <f t="shared" si="16"/>
        <v>#DIV/0!</v>
      </c>
      <c r="H47" s="185" t="e">
        <f t="shared" si="16"/>
        <v>#DIV/0!</v>
      </c>
      <c r="I47" s="185" t="e">
        <f t="shared" si="16"/>
        <v>#DIV/0!</v>
      </c>
      <c r="J47" s="185" t="e">
        <f t="shared" si="16"/>
        <v>#DIV/0!</v>
      </c>
      <c r="K47" s="185" t="e">
        <f t="shared" si="16"/>
        <v>#DIV/0!</v>
      </c>
      <c r="L47" s="185" t="e">
        <f t="shared" si="16"/>
        <v>#DIV/0!</v>
      </c>
      <c r="M47" s="185" t="e">
        <f t="shared" si="16"/>
        <v>#DIV/0!</v>
      </c>
      <c r="N47" s="185" t="e">
        <f t="shared" si="16"/>
        <v>#DIV/0!</v>
      </c>
      <c r="O47" s="185" t="e">
        <f t="shared" si="16"/>
        <v>#DIV/0!</v>
      </c>
      <c r="P47" s="185" t="e">
        <f t="shared" si="16"/>
        <v>#DIV/0!</v>
      </c>
      <c r="Q47" s="185" t="e">
        <f t="shared" si="16"/>
        <v>#DIV/0!</v>
      </c>
      <c r="R47" s="185" t="e">
        <f t="shared" si="16"/>
        <v>#DIV/0!</v>
      </c>
      <c r="S47" s="185" t="e">
        <f t="shared" si="16"/>
        <v>#DIV/0!</v>
      </c>
      <c r="T47" s="185" t="e">
        <f t="shared" si="16"/>
        <v>#DIV/0!</v>
      </c>
      <c r="U47" s="185" t="e">
        <f t="shared" si="16"/>
        <v>#DIV/0!</v>
      </c>
    </row>
    <row r="48" spans="3:21" hidden="1" outlineLevel="1" collapsed="1">
      <c r="C48" s="109"/>
      <c r="D48" s="363"/>
      <c r="E48" s="230"/>
      <c r="F48" s="230"/>
      <c r="G48" s="36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</row>
    <row r="49" spans="3:21" collapsed="1">
      <c r="C49" s="180" t="s">
        <v>880</v>
      </c>
      <c r="D49" s="366"/>
      <c r="E49" s="227">
        <f>+E51</f>
        <v>0</v>
      </c>
      <c r="F49" s="227">
        <f t="shared" ref="F49:U49" si="17">+F51</f>
        <v>0</v>
      </c>
      <c r="G49" s="227">
        <f t="shared" si="17"/>
        <v>0</v>
      </c>
      <c r="H49" s="227">
        <f t="shared" si="17"/>
        <v>0</v>
      </c>
      <c r="I49" s="227">
        <f t="shared" si="17"/>
        <v>0</v>
      </c>
      <c r="J49" s="227">
        <f t="shared" si="17"/>
        <v>0</v>
      </c>
      <c r="K49" s="227">
        <f t="shared" si="17"/>
        <v>0</v>
      </c>
      <c r="L49" s="227">
        <f t="shared" si="17"/>
        <v>0</v>
      </c>
      <c r="M49" s="227">
        <f t="shared" si="17"/>
        <v>0</v>
      </c>
      <c r="N49" s="227">
        <f t="shared" si="17"/>
        <v>0</v>
      </c>
      <c r="O49" s="227">
        <f t="shared" si="17"/>
        <v>0</v>
      </c>
      <c r="P49" s="227">
        <f t="shared" si="17"/>
        <v>0</v>
      </c>
      <c r="Q49" s="227">
        <f t="shared" si="17"/>
        <v>0</v>
      </c>
      <c r="R49" s="227">
        <f t="shared" si="17"/>
        <v>0</v>
      </c>
      <c r="S49" s="227">
        <f t="shared" si="17"/>
        <v>0</v>
      </c>
      <c r="T49" s="227">
        <f t="shared" si="17"/>
        <v>0</v>
      </c>
      <c r="U49" s="227">
        <f t="shared" si="17"/>
        <v>0</v>
      </c>
    </row>
    <row r="50" spans="3:21">
      <c r="C50" s="183"/>
      <c r="D50" s="221" t="s">
        <v>877</v>
      </c>
      <c r="E50" s="185" t="e">
        <f>-E49/E$26</f>
        <v>#DIV/0!</v>
      </c>
      <c r="F50" s="185" t="e">
        <f t="shared" ref="F50:U50" si="18">-F49/F$26</f>
        <v>#DIV/0!</v>
      </c>
      <c r="G50" s="185" t="e">
        <f t="shared" si="18"/>
        <v>#DIV/0!</v>
      </c>
      <c r="H50" s="185" t="e">
        <f t="shared" si="18"/>
        <v>#DIV/0!</v>
      </c>
      <c r="I50" s="185" t="e">
        <f t="shared" si="18"/>
        <v>#DIV/0!</v>
      </c>
      <c r="J50" s="185" t="e">
        <f t="shared" si="18"/>
        <v>#DIV/0!</v>
      </c>
      <c r="K50" s="185" t="e">
        <f t="shared" si="18"/>
        <v>#DIV/0!</v>
      </c>
      <c r="L50" s="185" t="e">
        <f t="shared" si="18"/>
        <v>#DIV/0!</v>
      </c>
      <c r="M50" s="185" t="e">
        <f t="shared" si="18"/>
        <v>#DIV/0!</v>
      </c>
      <c r="N50" s="185" t="e">
        <f t="shared" si="18"/>
        <v>#DIV/0!</v>
      </c>
      <c r="O50" s="185" t="e">
        <f t="shared" si="18"/>
        <v>#DIV/0!</v>
      </c>
      <c r="P50" s="185" t="e">
        <f t="shared" si="18"/>
        <v>#DIV/0!</v>
      </c>
      <c r="Q50" s="185" t="e">
        <f t="shared" si="18"/>
        <v>#DIV/0!</v>
      </c>
      <c r="R50" s="185" t="e">
        <f t="shared" si="18"/>
        <v>#DIV/0!</v>
      </c>
      <c r="S50" s="185" t="e">
        <f t="shared" si="18"/>
        <v>#DIV/0!</v>
      </c>
      <c r="T50" s="185" t="e">
        <f t="shared" si="18"/>
        <v>#DIV/0!</v>
      </c>
      <c r="U50" s="185" t="e">
        <f t="shared" si="18"/>
        <v>#DIV/0!</v>
      </c>
    </row>
    <row r="51" spans="3:21" hidden="1" outlineLevel="1">
      <c r="C51" s="225"/>
      <c r="D51" s="361" t="str">
        <f>D46</f>
        <v>Offshore</v>
      </c>
      <c r="E51" s="228">
        <f>(IFERROR(INDEX('Scenarios offshore'!74:74,MATCH('IS offshore'!E$5,'Scenarios offshore'!$4:$4,0)),0)*E20)</f>
        <v>0</v>
      </c>
      <c r="F51" s="228">
        <f>(IFERROR(INDEX('Scenarios offshore'!74:74,MATCH('IS offshore'!F$5,'Scenarios offshore'!$4:$4,0)),0)*F20)</f>
        <v>0</v>
      </c>
      <c r="G51" s="228">
        <f>(IFERROR(INDEX('Scenarios offshore'!74:74,MATCH('IS offshore'!G$5,'Scenarios offshore'!$4:$4,0)),0)*G20)</f>
        <v>0</v>
      </c>
      <c r="H51" s="228">
        <f>(IFERROR(INDEX('Scenarios offshore'!74:74,MATCH('IS offshore'!H$5,'Scenarios offshore'!$4:$4,0)),0)*H20)</f>
        <v>0</v>
      </c>
      <c r="I51" s="228">
        <f>(IFERROR(INDEX('Scenarios offshore'!74:74,MATCH('IS offshore'!I$5,'Scenarios offshore'!$4:$4,0)),0)*I20)</f>
        <v>0</v>
      </c>
      <c r="J51" s="228">
        <f>(IFERROR(INDEX('Scenarios offshore'!74:74,MATCH('IS offshore'!J$5,'Scenarios offshore'!$4:$4,0)),0)*J20)</f>
        <v>0</v>
      </c>
      <c r="K51" s="228">
        <f>(IFERROR(INDEX('Scenarios offshore'!74:74,MATCH('IS offshore'!K$5,'Scenarios offshore'!$4:$4,0)),0)*K20)</f>
        <v>0</v>
      </c>
      <c r="L51" s="228">
        <f>(IFERROR(INDEX('Scenarios offshore'!74:74,MATCH('IS offshore'!L$5,'Scenarios offshore'!$4:$4,0)),0)*L20)</f>
        <v>0</v>
      </c>
      <c r="M51" s="228">
        <f>(IFERROR(INDEX('Scenarios offshore'!74:74,MATCH('IS offshore'!M$5,'Scenarios offshore'!$4:$4,0)),0)*M20)</f>
        <v>0</v>
      </c>
      <c r="N51" s="228">
        <f>(IFERROR(INDEX('Scenarios offshore'!74:74,MATCH('IS offshore'!N$5,'Scenarios offshore'!$4:$4,0)),0)*N20)</f>
        <v>0</v>
      </c>
      <c r="O51" s="228">
        <f>(IFERROR(INDEX('Scenarios offshore'!74:74,MATCH('IS offshore'!O$5,'Scenarios offshore'!$4:$4,0)),0)*O20)</f>
        <v>0</v>
      </c>
      <c r="P51" s="228">
        <f>(IFERROR(INDEX('Scenarios offshore'!74:74,MATCH('IS offshore'!P$5,'Scenarios offshore'!$4:$4,0)),0)*P20)</f>
        <v>0</v>
      </c>
      <c r="Q51" s="228">
        <f>(IFERROR(INDEX('Scenarios offshore'!74:74,MATCH('IS offshore'!Q$5,'Scenarios offshore'!$4:$4,0)),0)*Q20)</f>
        <v>0</v>
      </c>
      <c r="R51" s="228">
        <f>(IFERROR(INDEX('Scenarios offshore'!74:74,MATCH('IS offshore'!R$5,'Scenarios offshore'!$4:$4,0)),0)*R20)</f>
        <v>0</v>
      </c>
      <c r="S51" s="228">
        <f>(IFERROR(INDEX('Scenarios offshore'!74:74,MATCH('IS offshore'!S$5,'Scenarios offshore'!$4:$4,0)),0)*S20)</f>
        <v>0</v>
      </c>
      <c r="T51" s="228">
        <f>(IFERROR(INDEX('Scenarios offshore'!74:74,MATCH('IS offshore'!T$5,'Scenarios offshore'!$4:$4,0)),0)*T20)</f>
        <v>0</v>
      </c>
      <c r="U51" s="228">
        <f>(IFERROR(INDEX('Scenarios offshore'!74:74,MATCH('IS offshore'!U$5,'Scenarios offshore'!$4:$4,0)),0)*U20)</f>
        <v>0</v>
      </c>
    </row>
    <row r="52" spans="3:21" hidden="1" outlineLevel="1">
      <c r="C52" s="183"/>
      <c r="D52" s="221" t="s">
        <v>877</v>
      </c>
      <c r="E52" s="185" t="e">
        <f>-E51/E$28</f>
        <v>#DIV/0!</v>
      </c>
      <c r="F52" s="185" t="e">
        <f t="shared" ref="F52:U52" si="19">-F51/F$28</f>
        <v>#DIV/0!</v>
      </c>
      <c r="G52" s="185" t="e">
        <f t="shared" si="19"/>
        <v>#DIV/0!</v>
      </c>
      <c r="H52" s="185" t="e">
        <f t="shared" si="19"/>
        <v>#DIV/0!</v>
      </c>
      <c r="I52" s="185" t="e">
        <f t="shared" si="19"/>
        <v>#DIV/0!</v>
      </c>
      <c r="J52" s="185" t="e">
        <f t="shared" si="19"/>
        <v>#DIV/0!</v>
      </c>
      <c r="K52" s="185" t="e">
        <f t="shared" si="19"/>
        <v>#DIV/0!</v>
      </c>
      <c r="L52" s="185" t="e">
        <f t="shared" si="19"/>
        <v>#DIV/0!</v>
      </c>
      <c r="M52" s="185" t="e">
        <f t="shared" si="19"/>
        <v>#DIV/0!</v>
      </c>
      <c r="N52" s="185" t="e">
        <f t="shared" si="19"/>
        <v>#DIV/0!</v>
      </c>
      <c r="O52" s="185" t="e">
        <f t="shared" si="19"/>
        <v>#DIV/0!</v>
      </c>
      <c r="P52" s="185" t="e">
        <f t="shared" si="19"/>
        <v>#DIV/0!</v>
      </c>
      <c r="Q52" s="185" t="e">
        <f t="shared" si="19"/>
        <v>#DIV/0!</v>
      </c>
      <c r="R52" s="185" t="e">
        <f t="shared" si="19"/>
        <v>#DIV/0!</v>
      </c>
      <c r="S52" s="185" t="e">
        <f t="shared" si="19"/>
        <v>#DIV/0!</v>
      </c>
      <c r="T52" s="185" t="e">
        <f t="shared" si="19"/>
        <v>#DIV/0!</v>
      </c>
      <c r="U52" s="185" t="e">
        <f t="shared" si="19"/>
        <v>#DIV/0!</v>
      </c>
    </row>
    <row r="53" spans="3:21" hidden="1" outlineLevel="1" collapsed="1">
      <c r="C53" s="109"/>
      <c r="D53" s="363"/>
      <c r="E53" s="230"/>
      <c r="F53" s="230"/>
      <c r="G53" s="36"/>
      <c r="H53" s="233"/>
      <c r="I53" s="233"/>
      <c r="J53" s="233"/>
      <c r="K53" s="233"/>
      <c r="L53" s="233"/>
      <c r="M53" s="233"/>
      <c r="N53" s="233"/>
      <c r="O53" s="233"/>
      <c r="P53" s="233"/>
      <c r="Q53" s="233"/>
      <c r="R53" s="233"/>
      <c r="S53" s="233"/>
      <c r="T53" s="233"/>
      <c r="U53" s="233"/>
    </row>
    <row r="54" spans="3:21" collapsed="1">
      <c r="C54" s="180" t="s">
        <v>881</v>
      </c>
      <c r="D54" s="366"/>
      <c r="E54" s="227">
        <f t="shared" ref="E54:U54" si="20">-depr_inc*E63</f>
        <v>0</v>
      </c>
      <c r="F54" s="227">
        <f t="shared" si="20"/>
        <v>0</v>
      </c>
      <c r="G54" s="227">
        <f t="shared" si="20"/>
        <v>0</v>
      </c>
      <c r="H54" s="227">
        <f t="shared" si="20"/>
        <v>0</v>
      </c>
      <c r="I54" s="227">
        <f t="shared" si="20"/>
        <v>0</v>
      </c>
      <c r="J54" s="227">
        <f t="shared" si="20"/>
        <v>0</v>
      </c>
      <c r="K54" s="227">
        <f t="shared" si="20"/>
        <v>0</v>
      </c>
      <c r="L54" s="227">
        <f t="shared" si="20"/>
        <v>0</v>
      </c>
      <c r="M54" s="227">
        <f t="shared" si="20"/>
        <v>0</v>
      </c>
      <c r="N54" s="227">
        <f t="shared" si="20"/>
        <v>0</v>
      </c>
      <c r="O54" s="227">
        <f t="shared" si="20"/>
        <v>0</v>
      </c>
      <c r="P54" s="227">
        <f t="shared" si="20"/>
        <v>0</v>
      </c>
      <c r="Q54" s="227">
        <f t="shared" si="20"/>
        <v>0</v>
      </c>
      <c r="R54" s="227">
        <f t="shared" si="20"/>
        <v>0</v>
      </c>
      <c r="S54" s="227">
        <f t="shared" si="20"/>
        <v>0</v>
      </c>
      <c r="T54" s="227">
        <f t="shared" si="20"/>
        <v>0</v>
      </c>
      <c r="U54" s="227">
        <f t="shared" si="20"/>
        <v>0</v>
      </c>
    </row>
    <row r="55" spans="3:21" hidden="1" outlineLevel="1">
      <c r="C55" s="226"/>
      <c r="D55" s="361" t="str">
        <f>BU1_name</f>
        <v>Offshore</v>
      </c>
      <c r="E55" s="228">
        <f>-E65</f>
        <v>0</v>
      </c>
      <c r="F55" s="228">
        <f t="shared" ref="F55:U55" si="21">-F65</f>
        <v>0</v>
      </c>
      <c r="G55" s="228">
        <f t="shared" si="21"/>
        <v>0</v>
      </c>
      <c r="H55" s="228">
        <f t="shared" si="21"/>
        <v>0</v>
      </c>
      <c r="I55" s="228">
        <f t="shared" si="21"/>
        <v>0</v>
      </c>
      <c r="J55" s="228">
        <f t="shared" si="21"/>
        <v>0</v>
      </c>
      <c r="K55" s="228">
        <f t="shared" si="21"/>
        <v>0</v>
      </c>
      <c r="L55" s="228">
        <f t="shared" si="21"/>
        <v>0</v>
      </c>
      <c r="M55" s="228">
        <f t="shared" si="21"/>
        <v>0</v>
      </c>
      <c r="N55" s="228">
        <f t="shared" si="21"/>
        <v>0</v>
      </c>
      <c r="O55" s="228">
        <f t="shared" si="21"/>
        <v>0</v>
      </c>
      <c r="P55" s="228">
        <f t="shared" si="21"/>
        <v>0</v>
      </c>
      <c r="Q55" s="228">
        <f t="shared" si="21"/>
        <v>0</v>
      </c>
      <c r="R55" s="228">
        <f t="shared" si="21"/>
        <v>0</v>
      </c>
      <c r="S55" s="228">
        <f t="shared" si="21"/>
        <v>0</v>
      </c>
      <c r="T55" s="228">
        <f t="shared" si="21"/>
        <v>0</v>
      </c>
      <c r="U55" s="228">
        <f t="shared" si="21"/>
        <v>0</v>
      </c>
    </row>
    <row r="56" spans="3:21" hidden="1" outlineLevel="1" collapsed="1">
      <c r="C56" s="225"/>
      <c r="D56" s="361"/>
      <c r="E56" s="234"/>
      <c r="F56" s="234"/>
      <c r="G56" s="235"/>
      <c r="H56" s="236"/>
      <c r="I56" s="236"/>
      <c r="J56" s="236"/>
      <c r="K56" s="236"/>
      <c r="L56" s="236"/>
      <c r="M56" s="236"/>
      <c r="N56" s="236"/>
      <c r="O56" s="236"/>
      <c r="P56" s="236"/>
      <c r="Q56" s="236"/>
      <c r="R56" s="236"/>
      <c r="S56" s="236"/>
      <c r="T56" s="236"/>
      <c r="U56" s="236"/>
    </row>
    <row r="57" spans="3:21" collapsed="1">
      <c r="C57" s="199" t="s">
        <v>868</v>
      </c>
      <c r="D57" s="364"/>
      <c r="E57" s="259">
        <f t="shared" ref="E57:U57" si="22">+E31+E35+E39+E44+E49+E54</f>
        <v>0</v>
      </c>
      <c r="F57" s="259">
        <f t="shared" si="22"/>
        <v>0</v>
      </c>
      <c r="G57" s="259">
        <f t="shared" si="22"/>
        <v>0</v>
      </c>
      <c r="H57" s="259">
        <f t="shared" si="22"/>
        <v>0</v>
      </c>
      <c r="I57" s="259">
        <f t="shared" si="22"/>
        <v>0</v>
      </c>
      <c r="J57" s="259">
        <f t="shared" si="22"/>
        <v>0</v>
      </c>
      <c r="K57" s="259">
        <f t="shared" si="22"/>
        <v>0</v>
      </c>
      <c r="L57" s="259">
        <f t="shared" si="22"/>
        <v>0</v>
      </c>
      <c r="M57" s="259">
        <f t="shared" si="22"/>
        <v>0</v>
      </c>
      <c r="N57" s="259">
        <f t="shared" si="22"/>
        <v>0</v>
      </c>
      <c r="O57" s="259">
        <f t="shared" si="22"/>
        <v>0</v>
      </c>
      <c r="P57" s="259">
        <f t="shared" si="22"/>
        <v>0</v>
      </c>
      <c r="Q57" s="259">
        <f t="shared" si="22"/>
        <v>0</v>
      </c>
      <c r="R57" s="259">
        <f t="shared" si="22"/>
        <v>0</v>
      </c>
      <c r="S57" s="259">
        <f t="shared" si="22"/>
        <v>0</v>
      </c>
      <c r="T57" s="259">
        <f t="shared" si="22"/>
        <v>0</v>
      </c>
      <c r="U57" s="259">
        <f t="shared" si="22"/>
        <v>0</v>
      </c>
    </row>
    <row r="58" spans="3:21">
      <c r="C58" s="183"/>
      <c r="D58" s="221" t="s">
        <v>876</v>
      </c>
      <c r="E58" s="185" t="str">
        <f t="shared" ref="E58:U58" si="23">IFERROR(E57/INDEX(57:57,MATCH(DATE(YEAR(E$18)-1,MONTH(E$18),DAY(E$18)),$18:$18,0))-1,"n.a.")</f>
        <v>n.a.</v>
      </c>
      <c r="F58" s="185" t="str">
        <f t="shared" si="23"/>
        <v>n.a.</v>
      </c>
      <c r="G58" s="185" t="str">
        <f t="shared" si="23"/>
        <v>n.a.</v>
      </c>
      <c r="H58" s="185" t="str">
        <f t="shared" si="23"/>
        <v>n.a.</v>
      </c>
      <c r="I58" s="185" t="str">
        <f t="shared" si="23"/>
        <v>n.a.</v>
      </c>
      <c r="J58" s="185" t="str">
        <f t="shared" si="23"/>
        <v>n.a.</v>
      </c>
      <c r="K58" s="185" t="str">
        <f t="shared" si="23"/>
        <v>n.a.</v>
      </c>
      <c r="L58" s="185" t="str">
        <f t="shared" si="23"/>
        <v>n.a.</v>
      </c>
      <c r="M58" s="185" t="str">
        <f t="shared" si="23"/>
        <v>n.a.</v>
      </c>
      <c r="N58" s="185" t="str">
        <f t="shared" si="23"/>
        <v>n.a.</v>
      </c>
      <c r="O58" s="185" t="str">
        <f t="shared" si="23"/>
        <v>n.a.</v>
      </c>
      <c r="P58" s="185" t="str">
        <f t="shared" si="23"/>
        <v>n.a.</v>
      </c>
      <c r="Q58" s="185" t="str">
        <f t="shared" si="23"/>
        <v>n.a.</v>
      </c>
      <c r="R58" s="185" t="str">
        <f t="shared" si="23"/>
        <v>n.a.</v>
      </c>
      <c r="S58" s="185" t="str">
        <f t="shared" si="23"/>
        <v>n.a.</v>
      </c>
      <c r="T58" s="185" t="str">
        <f t="shared" si="23"/>
        <v>n.a.</v>
      </c>
      <c r="U58" s="185" t="str">
        <f t="shared" si="23"/>
        <v>n.a.</v>
      </c>
    </row>
    <row r="59" spans="3:21">
      <c r="C59" s="183"/>
      <c r="D59" s="221" t="s">
        <v>882</v>
      </c>
      <c r="E59" s="185" t="e">
        <f t="shared" ref="E59:U59" si="24">E57/E$26</f>
        <v>#DIV/0!</v>
      </c>
      <c r="F59" s="185" t="e">
        <f t="shared" si="24"/>
        <v>#DIV/0!</v>
      </c>
      <c r="G59" s="185" t="e">
        <f t="shared" si="24"/>
        <v>#DIV/0!</v>
      </c>
      <c r="H59" s="185" t="e">
        <f t="shared" si="24"/>
        <v>#DIV/0!</v>
      </c>
      <c r="I59" s="185" t="e">
        <f t="shared" si="24"/>
        <v>#DIV/0!</v>
      </c>
      <c r="J59" s="185" t="e">
        <f t="shared" si="24"/>
        <v>#DIV/0!</v>
      </c>
      <c r="K59" s="185" t="e">
        <f>K57/K$26</f>
        <v>#DIV/0!</v>
      </c>
      <c r="L59" s="185" t="e">
        <f t="shared" si="24"/>
        <v>#DIV/0!</v>
      </c>
      <c r="M59" s="185" t="e">
        <f t="shared" si="24"/>
        <v>#DIV/0!</v>
      </c>
      <c r="N59" s="185" t="e">
        <f t="shared" si="24"/>
        <v>#DIV/0!</v>
      </c>
      <c r="O59" s="185" t="e">
        <f t="shared" si="24"/>
        <v>#DIV/0!</v>
      </c>
      <c r="P59" s="185" t="e">
        <f t="shared" si="24"/>
        <v>#DIV/0!</v>
      </c>
      <c r="Q59" s="185" t="e">
        <f t="shared" si="24"/>
        <v>#DIV/0!</v>
      </c>
      <c r="R59" s="185" t="e">
        <f t="shared" si="24"/>
        <v>#DIV/0!</v>
      </c>
      <c r="S59" s="185" t="e">
        <f t="shared" si="24"/>
        <v>#DIV/0!</v>
      </c>
      <c r="T59" s="185" t="e">
        <f t="shared" si="24"/>
        <v>#DIV/0!</v>
      </c>
      <c r="U59" s="185" t="e">
        <f t="shared" si="24"/>
        <v>#DIV/0!</v>
      </c>
    </row>
    <row r="60" spans="3:21" hidden="1" outlineLevel="1">
      <c r="C60" s="225"/>
      <c r="D60" s="361" t="str">
        <f>D51</f>
        <v>Offshore</v>
      </c>
      <c r="E60" s="228">
        <f t="shared" ref="E60:U60" si="25">E33+E37+E41+E46+E51+E55</f>
        <v>0</v>
      </c>
      <c r="F60" s="228">
        <f t="shared" si="25"/>
        <v>0</v>
      </c>
      <c r="G60" s="228">
        <f t="shared" si="25"/>
        <v>0</v>
      </c>
      <c r="H60" s="228">
        <f t="shared" si="25"/>
        <v>0</v>
      </c>
      <c r="I60" s="228">
        <f t="shared" si="25"/>
        <v>0</v>
      </c>
      <c r="J60" s="228">
        <f t="shared" si="25"/>
        <v>0</v>
      </c>
      <c r="K60" s="228">
        <f t="shared" si="25"/>
        <v>0</v>
      </c>
      <c r="L60" s="228">
        <f t="shared" si="25"/>
        <v>0</v>
      </c>
      <c r="M60" s="228">
        <f t="shared" si="25"/>
        <v>0</v>
      </c>
      <c r="N60" s="228">
        <f t="shared" si="25"/>
        <v>0</v>
      </c>
      <c r="O60" s="228">
        <f t="shared" si="25"/>
        <v>0</v>
      </c>
      <c r="P60" s="228">
        <f t="shared" si="25"/>
        <v>0</v>
      </c>
      <c r="Q60" s="228">
        <f t="shared" si="25"/>
        <v>0</v>
      </c>
      <c r="R60" s="228">
        <f t="shared" si="25"/>
        <v>0</v>
      </c>
      <c r="S60" s="228">
        <f t="shared" si="25"/>
        <v>0</v>
      </c>
      <c r="T60" s="228">
        <f t="shared" si="25"/>
        <v>0</v>
      </c>
      <c r="U60" s="228">
        <f t="shared" si="25"/>
        <v>0</v>
      </c>
    </row>
    <row r="61" spans="3:21" hidden="1" outlineLevel="1">
      <c r="C61" s="183"/>
      <c r="D61" s="221" t="str">
        <f>D52</f>
        <v>As % of Revenue</v>
      </c>
      <c r="E61" s="185" t="e">
        <f>E60/E$28</f>
        <v>#DIV/0!</v>
      </c>
      <c r="F61" s="185" t="e">
        <f t="shared" ref="F61:U61" si="26">F60/F$28</f>
        <v>#DIV/0!</v>
      </c>
      <c r="G61" s="185" t="e">
        <f t="shared" si="26"/>
        <v>#DIV/0!</v>
      </c>
      <c r="H61" s="185" t="e">
        <f t="shared" si="26"/>
        <v>#DIV/0!</v>
      </c>
      <c r="I61" s="185" t="e">
        <f t="shared" si="26"/>
        <v>#DIV/0!</v>
      </c>
      <c r="J61" s="185" t="e">
        <f t="shared" si="26"/>
        <v>#DIV/0!</v>
      </c>
      <c r="K61" s="185" t="e">
        <f t="shared" si="26"/>
        <v>#DIV/0!</v>
      </c>
      <c r="L61" s="185" t="e">
        <f t="shared" si="26"/>
        <v>#DIV/0!</v>
      </c>
      <c r="M61" s="185" t="e">
        <f t="shared" si="26"/>
        <v>#DIV/0!</v>
      </c>
      <c r="N61" s="185" t="e">
        <f t="shared" si="26"/>
        <v>#DIV/0!</v>
      </c>
      <c r="O61" s="185" t="e">
        <f t="shared" si="26"/>
        <v>#DIV/0!</v>
      </c>
      <c r="P61" s="185" t="e">
        <f t="shared" si="26"/>
        <v>#DIV/0!</v>
      </c>
      <c r="Q61" s="185" t="e">
        <f t="shared" si="26"/>
        <v>#DIV/0!</v>
      </c>
      <c r="R61" s="185" t="e">
        <f t="shared" si="26"/>
        <v>#DIV/0!</v>
      </c>
      <c r="S61" s="185" t="e">
        <f t="shared" si="26"/>
        <v>#DIV/0!</v>
      </c>
      <c r="T61" s="185" t="e">
        <f t="shared" si="26"/>
        <v>#DIV/0!</v>
      </c>
      <c r="U61" s="185" t="e">
        <f t="shared" si="26"/>
        <v>#DIV/0!</v>
      </c>
    </row>
    <row r="62" spans="3:21" hidden="1" outlineLevel="1" collapsed="1">
      <c r="C62" s="11"/>
      <c r="D62" s="367"/>
      <c r="E62" s="237"/>
      <c r="F62" s="237"/>
      <c r="G62" s="237"/>
      <c r="H62" s="237"/>
      <c r="I62" s="237"/>
      <c r="J62" s="237"/>
      <c r="K62" s="238"/>
      <c r="L62" s="237"/>
      <c r="M62" s="237"/>
      <c r="N62" s="237"/>
      <c r="O62" s="237"/>
      <c r="P62" s="237"/>
      <c r="Q62" s="237"/>
      <c r="R62" s="237"/>
      <c r="S62" s="237"/>
      <c r="T62" s="237"/>
      <c r="U62" s="237"/>
    </row>
    <row r="63" spans="3:21" collapsed="1">
      <c r="C63" s="180" t="s">
        <v>883</v>
      </c>
      <c r="D63" s="366"/>
      <c r="E63" s="227">
        <f>E65</f>
        <v>0</v>
      </c>
      <c r="F63" s="227">
        <f t="shared" ref="F63:U63" si="27">F65</f>
        <v>0</v>
      </c>
      <c r="G63" s="227">
        <f t="shared" si="27"/>
        <v>0</v>
      </c>
      <c r="H63" s="227">
        <f t="shared" si="27"/>
        <v>0</v>
      </c>
      <c r="I63" s="227">
        <f t="shared" si="27"/>
        <v>0</v>
      </c>
      <c r="J63" s="227">
        <f t="shared" si="27"/>
        <v>0</v>
      </c>
      <c r="K63" s="227">
        <f t="shared" si="27"/>
        <v>0</v>
      </c>
      <c r="L63" s="227">
        <f t="shared" si="27"/>
        <v>0</v>
      </c>
      <c r="M63" s="227">
        <f t="shared" si="27"/>
        <v>0</v>
      </c>
      <c r="N63" s="227">
        <f t="shared" si="27"/>
        <v>0</v>
      </c>
      <c r="O63" s="227">
        <f t="shared" si="27"/>
        <v>0</v>
      </c>
      <c r="P63" s="227">
        <f t="shared" si="27"/>
        <v>0</v>
      </c>
      <c r="Q63" s="227">
        <f t="shared" si="27"/>
        <v>0</v>
      </c>
      <c r="R63" s="227">
        <f t="shared" si="27"/>
        <v>0</v>
      </c>
      <c r="S63" s="227">
        <f t="shared" si="27"/>
        <v>0</v>
      </c>
      <c r="T63" s="227">
        <f t="shared" si="27"/>
        <v>0</v>
      </c>
      <c r="U63" s="227">
        <f t="shared" si="27"/>
        <v>0</v>
      </c>
    </row>
    <row r="64" spans="3:21">
      <c r="C64" s="183"/>
      <c r="D64" s="221" t="s">
        <v>876</v>
      </c>
      <c r="E64" s="185" t="str">
        <f t="shared" ref="E64:U64" si="28">IFERROR(E63/INDEX(63:63,MATCH(DATE(YEAR(E$18)-1,MONTH(E$18),DAY(E$18)),$18:$18,0))-1,"n.a.")</f>
        <v>n.a.</v>
      </c>
      <c r="F64" s="185" t="str">
        <f t="shared" si="28"/>
        <v>n.a.</v>
      </c>
      <c r="G64" s="185" t="str">
        <f t="shared" si="28"/>
        <v>n.a.</v>
      </c>
      <c r="H64" s="185" t="str">
        <f t="shared" si="28"/>
        <v>n.a.</v>
      </c>
      <c r="I64" s="185" t="str">
        <f t="shared" si="28"/>
        <v>n.a.</v>
      </c>
      <c r="J64" s="185" t="str">
        <f t="shared" si="28"/>
        <v>n.a.</v>
      </c>
      <c r="K64" s="185" t="str">
        <f t="shared" si="28"/>
        <v>n.a.</v>
      </c>
      <c r="L64" s="185" t="str">
        <f t="shared" si="28"/>
        <v>n.a.</v>
      </c>
      <c r="M64" s="185" t="str">
        <f t="shared" si="28"/>
        <v>n.a.</v>
      </c>
      <c r="N64" s="185" t="str">
        <f t="shared" si="28"/>
        <v>n.a.</v>
      </c>
      <c r="O64" s="185" t="str">
        <f t="shared" si="28"/>
        <v>n.a.</v>
      </c>
      <c r="P64" s="185" t="str">
        <f t="shared" si="28"/>
        <v>n.a.</v>
      </c>
      <c r="Q64" s="185" t="str">
        <f t="shared" si="28"/>
        <v>n.a.</v>
      </c>
      <c r="R64" s="185" t="str">
        <f t="shared" si="28"/>
        <v>n.a.</v>
      </c>
      <c r="S64" s="185" t="str">
        <f t="shared" si="28"/>
        <v>n.a.</v>
      </c>
      <c r="T64" s="185" t="str">
        <f t="shared" si="28"/>
        <v>n.a.</v>
      </c>
      <c r="U64" s="185" t="str">
        <f t="shared" si="28"/>
        <v>n.a.</v>
      </c>
    </row>
    <row r="65" spans="3:21" hidden="1" outlineLevel="1">
      <c r="C65" s="225"/>
      <c r="D65" s="361" t="str">
        <f>D$46</f>
        <v>Offshore</v>
      </c>
      <c r="E65" s="228">
        <f>-(IFERROR(INDEX('Scenarios offshore'!121:121,MATCH('IS offshore'!E$5,'Scenarios offshore'!$4:$4,0)),0))*E20-(IFERROR(INDEX('Scenarios offshore'!98:98,MATCH('IS offshore'!E$5,'Scenarios offshore'!$4:$4,0)),0)*E20)</f>
        <v>0</v>
      </c>
      <c r="F65" s="228">
        <f>-(IFERROR(INDEX('Scenarios offshore'!121:121,MATCH('IS offshore'!F$5,'Scenarios offshore'!$4:$4,0)),0))*F20-(IFERROR(INDEX('Scenarios offshore'!98:98,MATCH('IS offshore'!F$5,'Scenarios offshore'!$4:$4,0)),0)*F20)</f>
        <v>0</v>
      </c>
      <c r="G65" s="228">
        <f>-(IFERROR(INDEX('Scenarios offshore'!121:121,MATCH('IS offshore'!G$5,'Scenarios offshore'!$4:$4,0)),0))*G20-(IFERROR(INDEX('Scenarios offshore'!98:98,MATCH('IS offshore'!G$5,'Scenarios offshore'!$4:$4,0)),0)*G20)</f>
        <v>0</v>
      </c>
      <c r="H65" s="228">
        <f>-(IFERROR(INDEX('Scenarios offshore'!121:121,MATCH('IS offshore'!H$5,'Scenarios offshore'!$4:$4,0)),0))*H20-(IFERROR(INDEX('Scenarios offshore'!98:98,MATCH('IS offshore'!H$5,'Scenarios offshore'!$4:$4,0)),0)*H20)</f>
        <v>0</v>
      </c>
      <c r="I65" s="228">
        <f>-(IFERROR(INDEX('Scenarios offshore'!121:121,MATCH('IS offshore'!I$5,'Scenarios offshore'!$4:$4,0)),0))*I20-(IFERROR(INDEX('Scenarios offshore'!98:98,MATCH('IS offshore'!I$5,'Scenarios offshore'!$4:$4,0)),0)*I20)</f>
        <v>0</v>
      </c>
      <c r="J65" s="228">
        <f>-(IFERROR(INDEX('Scenarios offshore'!121:121,MATCH('IS offshore'!J$5,'Scenarios offshore'!$4:$4,0)),0))*J20-(IFERROR(INDEX('Scenarios offshore'!98:98,MATCH('IS offshore'!J$5,'Scenarios offshore'!$4:$4,0)),0)*J20)</f>
        <v>0</v>
      </c>
      <c r="K65" s="228">
        <f>-(IFERROR(INDEX('Scenarios offshore'!121:121,MATCH('IS offshore'!K$5,'Scenarios offshore'!$4:$4,0)),0))*K20-(IFERROR(INDEX('Scenarios offshore'!98:98,MATCH('IS offshore'!K$5,'Scenarios offshore'!$4:$4,0)),0)*K20)</f>
        <v>0</v>
      </c>
      <c r="L65" s="228">
        <f>-(IFERROR(INDEX('Scenarios offshore'!121:121,MATCH('IS offshore'!L$5,'Scenarios offshore'!$4:$4,0)),0))*L20-(IFERROR(INDEX('Scenarios offshore'!98:98,MATCH('IS offshore'!L$5,'Scenarios offshore'!$4:$4,0)),0)*L20)</f>
        <v>0</v>
      </c>
      <c r="M65" s="228">
        <f>-(IFERROR(INDEX('Scenarios offshore'!121:121,MATCH('IS offshore'!M$5,'Scenarios offshore'!$4:$4,0)),0))*M20-(IFERROR(INDEX('Scenarios offshore'!98:98,MATCH('IS offshore'!M$5,'Scenarios offshore'!$4:$4,0)),0)*M20)</f>
        <v>0</v>
      </c>
      <c r="N65" s="228">
        <f>-(IFERROR(INDEX('Scenarios offshore'!121:121,MATCH('IS offshore'!N$5,'Scenarios offshore'!$4:$4,0)),0))*N20-(IFERROR(INDEX('Scenarios offshore'!98:98,MATCH('IS offshore'!N$5,'Scenarios offshore'!$4:$4,0)),0)*N20)</f>
        <v>0</v>
      </c>
      <c r="O65" s="228">
        <f>-(IFERROR(INDEX('Scenarios offshore'!121:121,MATCH('IS offshore'!O$5,'Scenarios offshore'!$4:$4,0)),0))*O20-(IFERROR(INDEX('Scenarios offshore'!98:98,MATCH('IS offshore'!O$5,'Scenarios offshore'!$4:$4,0)),0)*O20)</f>
        <v>0</v>
      </c>
      <c r="P65" s="228">
        <f>-(IFERROR(INDEX('Scenarios offshore'!121:121,MATCH('IS offshore'!P$5,'Scenarios offshore'!$4:$4,0)),0))*P20-(IFERROR(INDEX('Scenarios offshore'!98:98,MATCH('IS offshore'!P$5,'Scenarios offshore'!$4:$4,0)),0)*P20)</f>
        <v>0</v>
      </c>
      <c r="Q65" s="228">
        <f>-(IFERROR(INDEX('Scenarios offshore'!121:121,MATCH('IS offshore'!Q$5,'Scenarios offshore'!$4:$4,0)),0))*Q20-(IFERROR(INDEX('Scenarios offshore'!98:98,MATCH('IS offshore'!Q$5,'Scenarios offshore'!$4:$4,0)),0)*Q20)</f>
        <v>0</v>
      </c>
      <c r="R65" s="228">
        <f>-(IFERROR(INDEX('Scenarios offshore'!121:121,MATCH('IS offshore'!R$5,'Scenarios offshore'!$4:$4,0)),0))*R20-(IFERROR(INDEX('Scenarios offshore'!98:98,MATCH('IS offshore'!R$5,'Scenarios offshore'!$4:$4,0)),0)*R20)</f>
        <v>0</v>
      </c>
      <c r="S65" s="228">
        <f>-(IFERROR(INDEX('Scenarios offshore'!121:121,MATCH('IS offshore'!S$5,'Scenarios offshore'!$4:$4,0)),0))*S20-(IFERROR(INDEX('Scenarios offshore'!98:98,MATCH('IS offshore'!S$5,'Scenarios offshore'!$4:$4,0)),0)*S20)</f>
        <v>0</v>
      </c>
      <c r="T65" s="228">
        <f>-(IFERROR(INDEX('Scenarios offshore'!121:121,MATCH('IS offshore'!T$5,'Scenarios offshore'!$4:$4,0)),0))*T20-(IFERROR(INDEX('Scenarios offshore'!98:98,MATCH('IS offshore'!T$5,'Scenarios offshore'!$4:$4,0)),0)*T20)</f>
        <v>0</v>
      </c>
      <c r="U65" s="228">
        <f>-(IFERROR(INDEX('Scenarios offshore'!121:121,MATCH('IS offshore'!U$5,'Scenarios offshore'!$4:$4,0)),0))*U20-(IFERROR(INDEX('Scenarios offshore'!98:98,MATCH('IS offshore'!U$5,'Scenarios offshore'!$4:$4,0)),0)*U20)</f>
        <v>0</v>
      </c>
    </row>
    <row r="66" spans="3:21" hidden="1" outlineLevel="1">
      <c r="C66" s="183"/>
      <c r="D66" s="221" t="s">
        <v>876</v>
      </c>
      <c r="E66" s="185" t="str">
        <f t="shared" ref="E66:U66" si="29">IFERROR(E65/INDEX(65:65,MATCH(DATE(YEAR(E$18)-1,MONTH(E$18),DAY(E$18)),$18:$18,0))-1,"n.a.")</f>
        <v>n.a.</v>
      </c>
      <c r="F66" s="185" t="str">
        <f t="shared" si="29"/>
        <v>n.a.</v>
      </c>
      <c r="G66" s="185" t="str">
        <f t="shared" si="29"/>
        <v>n.a.</v>
      </c>
      <c r="H66" s="185" t="str">
        <f t="shared" si="29"/>
        <v>n.a.</v>
      </c>
      <c r="I66" s="185" t="str">
        <f t="shared" si="29"/>
        <v>n.a.</v>
      </c>
      <c r="J66" s="185" t="str">
        <f t="shared" si="29"/>
        <v>n.a.</v>
      </c>
      <c r="K66" s="185" t="str">
        <f t="shared" si="29"/>
        <v>n.a.</v>
      </c>
      <c r="L66" s="185" t="str">
        <f t="shared" si="29"/>
        <v>n.a.</v>
      </c>
      <c r="M66" s="185" t="str">
        <f t="shared" si="29"/>
        <v>n.a.</v>
      </c>
      <c r="N66" s="185" t="str">
        <f t="shared" si="29"/>
        <v>n.a.</v>
      </c>
      <c r="O66" s="185" t="str">
        <f t="shared" si="29"/>
        <v>n.a.</v>
      </c>
      <c r="P66" s="185" t="str">
        <f t="shared" si="29"/>
        <v>n.a.</v>
      </c>
      <c r="Q66" s="185" t="str">
        <f t="shared" si="29"/>
        <v>n.a.</v>
      </c>
      <c r="R66" s="185" t="str">
        <f t="shared" si="29"/>
        <v>n.a.</v>
      </c>
      <c r="S66" s="185" t="str">
        <f t="shared" si="29"/>
        <v>n.a.</v>
      </c>
      <c r="T66" s="185" t="str">
        <f t="shared" si="29"/>
        <v>n.a.</v>
      </c>
      <c r="U66" s="185" t="str">
        <f t="shared" si="29"/>
        <v>n.a.</v>
      </c>
    </row>
    <row r="67" spans="3:21" s="38" customFormat="1" hidden="1" outlineLevel="1" collapsed="1">
      <c r="C67" s="218"/>
      <c r="D67" s="368"/>
      <c r="E67" s="237"/>
      <c r="F67" s="239"/>
      <c r="G67" s="239"/>
      <c r="H67" s="239"/>
      <c r="I67" s="239"/>
      <c r="J67" s="239"/>
      <c r="K67" s="239"/>
      <c r="L67" s="239"/>
      <c r="M67" s="239"/>
      <c r="N67" s="239"/>
      <c r="O67" s="239"/>
      <c r="P67" s="239"/>
      <c r="Q67" s="239"/>
      <c r="R67" s="239"/>
      <c r="S67" s="239"/>
      <c r="T67" s="239"/>
      <c r="U67" s="239"/>
    </row>
    <row r="68" spans="3:21" collapsed="1">
      <c r="C68" s="180" t="s">
        <v>884</v>
      </c>
      <c r="D68" s="366"/>
      <c r="E68" s="227">
        <f>E70</f>
        <v>0</v>
      </c>
      <c r="F68" s="227">
        <f t="shared" ref="F68:U68" si="30">F70</f>
        <v>0</v>
      </c>
      <c r="G68" s="227">
        <f t="shared" si="30"/>
        <v>0</v>
      </c>
      <c r="H68" s="227">
        <f t="shared" si="30"/>
        <v>0</v>
      </c>
      <c r="I68" s="227">
        <f t="shared" si="30"/>
        <v>0</v>
      </c>
      <c r="J68" s="227">
        <f t="shared" si="30"/>
        <v>0</v>
      </c>
      <c r="K68" s="227">
        <f t="shared" si="30"/>
        <v>0</v>
      </c>
      <c r="L68" s="227">
        <f t="shared" si="30"/>
        <v>0</v>
      </c>
      <c r="M68" s="227">
        <f t="shared" si="30"/>
        <v>0</v>
      </c>
      <c r="N68" s="227">
        <f t="shared" si="30"/>
        <v>0</v>
      </c>
      <c r="O68" s="227">
        <f t="shared" si="30"/>
        <v>0</v>
      </c>
      <c r="P68" s="227">
        <f t="shared" si="30"/>
        <v>0</v>
      </c>
      <c r="Q68" s="227">
        <f t="shared" si="30"/>
        <v>0</v>
      </c>
      <c r="R68" s="227">
        <f t="shared" si="30"/>
        <v>0</v>
      </c>
      <c r="S68" s="227">
        <f t="shared" si="30"/>
        <v>0</v>
      </c>
      <c r="T68" s="227">
        <f t="shared" si="30"/>
        <v>0</v>
      </c>
      <c r="U68" s="227">
        <f t="shared" si="30"/>
        <v>0</v>
      </c>
    </row>
    <row r="69" spans="3:21">
      <c r="C69" s="183"/>
      <c r="D69" s="221" t="s">
        <v>876</v>
      </c>
      <c r="E69" s="185" t="str">
        <f t="shared" ref="E69:U69" si="31">IFERROR(E68/INDEX(68:68,MATCH(DATE(YEAR(E$18)-1,MONTH(E$18),DAY(E$18)),$18:$18,0))-1,"n.a.")</f>
        <v>n.a.</v>
      </c>
      <c r="F69" s="185" t="str">
        <f t="shared" si="31"/>
        <v>n.a.</v>
      </c>
      <c r="G69" s="185" t="str">
        <f t="shared" si="31"/>
        <v>n.a.</v>
      </c>
      <c r="H69" s="185" t="str">
        <f t="shared" si="31"/>
        <v>n.a.</v>
      </c>
      <c r="I69" s="185" t="str">
        <f t="shared" si="31"/>
        <v>n.a.</v>
      </c>
      <c r="J69" s="185" t="str">
        <f t="shared" si="31"/>
        <v>n.a.</v>
      </c>
      <c r="K69" s="185" t="str">
        <f t="shared" si="31"/>
        <v>n.a.</v>
      </c>
      <c r="L69" s="185" t="str">
        <f t="shared" si="31"/>
        <v>n.a.</v>
      </c>
      <c r="M69" s="185" t="str">
        <f t="shared" si="31"/>
        <v>n.a.</v>
      </c>
      <c r="N69" s="185" t="str">
        <f t="shared" si="31"/>
        <v>n.a.</v>
      </c>
      <c r="O69" s="185" t="str">
        <f t="shared" si="31"/>
        <v>n.a.</v>
      </c>
      <c r="P69" s="185" t="str">
        <f t="shared" si="31"/>
        <v>n.a.</v>
      </c>
      <c r="Q69" s="185" t="str">
        <f t="shared" si="31"/>
        <v>n.a.</v>
      </c>
      <c r="R69" s="185" t="str">
        <f t="shared" si="31"/>
        <v>n.a.</v>
      </c>
      <c r="S69" s="185" t="str">
        <f t="shared" si="31"/>
        <v>n.a.</v>
      </c>
      <c r="T69" s="185" t="str">
        <f t="shared" si="31"/>
        <v>n.a.</v>
      </c>
      <c r="U69" s="185" t="str">
        <f t="shared" si="31"/>
        <v>n.a.</v>
      </c>
    </row>
    <row r="70" spans="3:21" hidden="1" outlineLevel="1">
      <c r="C70" s="225"/>
      <c r="D70" s="361" t="str">
        <f>D$46</f>
        <v>Offshore</v>
      </c>
      <c r="E70" s="228">
        <f>(IFERROR(INDEX('Scenarios offshore'!141:141,MATCH('IS offshore'!E$5,'Scenarios offshore'!$4:$4,0)),0))*E20+(IFERROR(INDEX('Scenarios offshore'!142:142,MATCH('IS offshore'!E$5,'Scenarios offshore'!$4:$4,0)),0)*E20)+(IFERROR(INDEX('Scenarios offshore'!145:145,MATCH('IS offshore'!E$5,'Scenarios offshore'!$4:$4,0)),0))*E20</f>
        <v>0</v>
      </c>
      <c r="F70" s="228">
        <f>(IFERROR(INDEX('Scenarios offshore'!141:141,MATCH('IS offshore'!F$5,'Scenarios offshore'!$4:$4,0)),0))*F20+(IFERROR(INDEX('Scenarios offshore'!142:142,MATCH('IS offshore'!F$5,'Scenarios offshore'!$4:$4,0)),0)*F20)+(IFERROR(INDEX('Scenarios offshore'!145:145,MATCH('IS offshore'!F$5,'Scenarios offshore'!$4:$4,0)),0))*F20</f>
        <v>0</v>
      </c>
      <c r="G70" s="228">
        <f>(IFERROR(INDEX('Scenarios offshore'!141:141,MATCH('IS offshore'!G$5,'Scenarios offshore'!$4:$4,0)),0))*G20+(IFERROR(INDEX('Scenarios offshore'!142:142,MATCH('IS offshore'!G$5,'Scenarios offshore'!$4:$4,0)),0)*G20)+(IFERROR(INDEX('Scenarios offshore'!145:145,MATCH('IS offshore'!G$5,'Scenarios offshore'!$4:$4,0)),0))*G20</f>
        <v>0</v>
      </c>
      <c r="H70" s="228">
        <f>(IFERROR(INDEX('Scenarios offshore'!141:141,MATCH('IS offshore'!H$5,'Scenarios offshore'!$4:$4,0)),0))*H20+(IFERROR(INDEX('Scenarios offshore'!142:142,MATCH('IS offshore'!H$5,'Scenarios offshore'!$4:$4,0)),0)*H20)+(IFERROR(INDEX('Scenarios offshore'!145:145,MATCH('IS offshore'!H$5,'Scenarios offshore'!$4:$4,0)),0))*H20</f>
        <v>0</v>
      </c>
      <c r="I70" s="228">
        <f>(IFERROR(INDEX('Scenarios offshore'!141:141,MATCH('IS offshore'!I$5,'Scenarios offshore'!$4:$4,0)),0))*I20+(IFERROR(INDEX('Scenarios offshore'!142:142,MATCH('IS offshore'!I$5,'Scenarios offshore'!$4:$4,0)),0)*I20)+(IFERROR(INDEX('Scenarios offshore'!145:145,MATCH('IS offshore'!I$5,'Scenarios offshore'!$4:$4,0)),0))*I20</f>
        <v>0</v>
      </c>
      <c r="J70" s="228">
        <f>(IFERROR(INDEX('Scenarios offshore'!141:141,MATCH('IS offshore'!J$5,'Scenarios offshore'!$4:$4,0)),0))*J20+(IFERROR(INDEX('Scenarios offshore'!142:142,MATCH('IS offshore'!J$5,'Scenarios offshore'!$4:$4,0)),0)*J20)+(IFERROR(INDEX('Scenarios offshore'!145:145,MATCH('IS offshore'!J$5,'Scenarios offshore'!$4:$4,0)),0))*J20</f>
        <v>0</v>
      </c>
      <c r="K70" s="228">
        <f>(IFERROR(INDEX('Scenarios offshore'!141:141,MATCH('IS offshore'!K$5,'Scenarios offshore'!$4:$4,0)),0))*K20+(IFERROR(INDEX('Scenarios offshore'!142:142,MATCH('IS offshore'!K$5,'Scenarios offshore'!$4:$4,0)),0)*K20)+(IFERROR(INDEX('Scenarios offshore'!145:145,MATCH('IS offshore'!K$5,'Scenarios offshore'!$4:$4,0)),0))*K20</f>
        <v>0</v>
      </c>
      <c r="L70" s="228">
        <f>(IFERROR(INDEX('Scenarios offshore'!141:141,MATCH('IS offshore'!L$5,'Scenarios offshore'!$4:$4,0)),0))*L20+(IFERROR(INDEX('Scenarios offshore'!142:142,MATCH('IS offshore'!L$5,'Scenarios offshore'!$4:$4,0)),0)*L20)+(IFERROR(INDEX('Scenarios offshore'!145:145,MATCH('IS offshore'!L$5,'Scenarios offshore'!$4:$4,0)),0))*L20</f>
        <v>0</v>
      </c>
      <c r="M70" s="228">
        <f>(IFERROR(INDEX('Scenarios offshore'!141:141,MATCH('IS offshore'!M$5,'Scenarios offshore'!$4:$4,0)),0))*M20+(IFERROR(INDEX('Scenarios offshore'!142:142,MATCH('IS offshore'!M$5,'Scenarios offshore'!$4:$4,0)),0)*M20)+(IFERROR(INDEX('Scenarios offshore'!145:145,MATCH('IS offshore'!M$5,'Scenarios offshore'!$4:$4,0)),0))*M20</f>
        <v>0</v>
      </c>
      <c r="N70" s="228">
        <f>(IFERROR(INDEX('Scenarios offshore'!141:141,MATCH('IS offshore'!N$5,'Scenarios offshore'!$4:$4,0)),0))*N20+(IFERROR(INDEX('Scenarios offshore'!142:142,MATCH('IS offshore'!N$5,'Scenarios offshore'!$4:$4,0)),0)*N20)+(IFERROR(INDEX('Scenarios offshore'!145:145,MATCH('IS offshore'!N$5,'Scenarios offshore'!$4:$4,0)),0))*N20</f>
        <v>0</v>
      </c>
      <c r="O70" s="228">
        <f>(IFERROR(INDEX('Scenarios offshore'!141:141,MATCH('IS offshore'!O$5,'Scenarios offshore'!$4:$4,0)),0))*O20+(IFERROR(INDEX('Scenarios offshore'!142:142,MATCH('IS offshore'!O$5,'Scenarios offshore'!$4:$4,0)),0)*O20)+(IFERROR(INDEX('Scenarios offshore'!145:145,MATCH('IS offshore'!O$5,'Scenarios offshore'!$4:$4,0)),0))*O20</f>
        <v>0</v>
      </c>
      <c r="P70" s="228">
        <f>(IFERROR(INDEX('Scenarios offshore'!141:141,MATCH('IS offshore'!P$5,'Scenarios offshore'!$4:$4,0)),0))*P20+(IFERROR(INDEX('Scenarios offshore'!142:142,MATCH('IS offshore'!P$5,'Scenarios offshore'!$4:$4,0)),0)*P20)+(IFERROR(INDEX('Scenarios offshore'!145:145,MATCH('IS offshore'!P$5,'Scenarios offshore'!$4:$4,0)),0))*P20</f>
        <v>0</v>
      </c>
      <c r="Q70" s="228">
        <f>(IFERROR(INDEX('Scenarios offshore'!141:141,MATCH('IS offshore'!Q$5,'Scenarios offshore'!$4:$4,0)),0))*Q20+(IFERROR(INDEX('Scenarios offshore'!142:142,MATCH('IS offshore'!Q$5,'Scenarios offshore'!$4:$4,0)),0)*Q20)+(IFERROR(INDEX('Scenarios offshore'!145:145,MATCH('IS offshore'!Q$5,'Scenarios offshore'!$4:$4,0)),0))*Q20</f>
        <v>0</v>
      </c>
      <c r="R70" s="228">
        <f>(IFERROR(INDEX('Scenarios offshore'!141:141,MATCH('IS offshore'!R$5,'Scenarios offshore'!$4:$4,0)),0))*R20+(IFERROR(INDEX('Scenarios offshore'!142:142,MATCH('IS offshore'!R$5,'Scenarios offshore'!$4:$4,0)),0)*R20)+(IFERROR(INDEX('Scenarios offshore'!145:145,MATCH('IS offshore'!R$5,'Scenarios offshore'!$4:$4,0)),0))*R20</f>
        <v>0</v>
      </c>
      <c r="S70" s="228">
        <f>(IFERROR(INDEX('Scenarios offshore'!141:141,MATCH('IS offshore'!S$5,'Scenarios offshore'!$4:$4,0)),0))*S20+(IFERROR(INDEX('Scenarios offshore'!142:142,MATCH('IS offshore'!S$5,'Scenarios offshore'!$4:$4,0)),0)*S20)+(IFERROR(INDEX('Scenarios offshore'!145:145,MATCH('IS offshore'!S$5,'Scenarios offshore'!$4:$4,0)),0))*S20</f>
        <v>0</v>
      </c>
      <c r="T70" s="228">
        <f>(IFERROR(INDEX('Scenarios offshore'!141:141,MATCH('IS offshore'!T$5,'Scenarios offshore'!$4:$4,0)),0))*T20+(IFERROR(INDEX('Scenarios offshore'!142:142,MATCH('IS offshore'!T$5,'Scenarios offshore'!$4:$4,0)),0)*T20)+(IFERROR(INDEX('Scenarios offshore'!145:145,MATCH('IS offshore'!T$5,'Scenarios offshore'!$4:$4,0)),0))*T20</f>
        <v>0</v>
      </c>
      <c r="U70" s="228">
        <f>(IFERROR(INDEX('Scenarios offshore'!141:141,MATCH('IS offshore'!U$5,'Scenarios offshore'!$4:$4,0)),0))*U20+(IFERROR(INDEX('Scenarios offshore'!142:142,MATCH('IS offshore'!U$5,'Scenarios offshore'!$4:$4,0)),0)*U20)+(IFERROR(INDEX('Scenarios offshore'!145:145,MATCH('IS offshore'!U$5,'Scenarios offshore'!$4:$4,0)),0))*U20</f>
        <v>0</v>
      </c>
    </row>
    <row r="71" spans="3:21" hidden="1" outlineLevel="1">
      <c r="C71" s="183"/>
      <c r="D71" s="221" t="s">
        <v>876</v>
      </c>
      <c r="E71" s="185" t="str">
        <f t="shared" ref="E71:U71" si="32">IFERROR(E70/INDEX(70:70,MATCH(DATE(YEAR(E$18)-1,MONTH(E$18),DAY(E$18)),$18:$18,0))-1,"n.a.")</f>
        <v>n.a.</v>
      </c>
      <c r="F71" s="185" t="str">
        <f t="shared" si="32"/>
        <v>n.a.</v>
      </c>
      <c r="G71" s="185" t="str">
        <f t="shared" si="32"/>
        <v>n.a.</v>
      </c>
      <c r="H71" s="185" t="str">
        <f t="shared" si="32"/>
        <v>n.a.</v>
      </c>
      <c r="I71" s="185" t="str">
        <f t="shared" si="32"/>
        <v>n.a.</v>
      </c>
      <c r="J71" s="185" t="str">
        <f t="shared" si="32"/>
        <v>n.a.</v>
      </c>
      <c r="K71" s="185" t="str">
        <f t="shared" si="32"/>
        <v>n.a.</v>
      </c>
      <c r="L71" s="185" t="str">
        <f t="shared" si="32"/>
        <v>n.a.</v>
      </c>
      <c r="M71" s="185" t="str">
        <f t="shared" si="32"/>
        <v>n.a.</v>
      </c>
      <c r="N71" s="185" t="str">
        <f t="shared" si="32"/>
        <v>n.a.</v>
      </c>
      <c r="O71" s="185" t="str">
        <f t="shared" si="32"/>
        <v>n.a.</v>
      </c>
      <c r="P71" s="185" t="str">
        <f t="shared" si="32"/>
        <v>n.a.</v>
      </c>
      <c r="Q71" s="185" t="str">
        <f t="shared" si="32"/>
        <v>n.a.</v>
      </c>
      <c r="R71" s="185" t="str">
        <f t="shared" si="32"/>
        <v>n.a.</v>
      </c>
      <c r="S71" s="185" t="str">
        <f t="shared" si="32"/>
        <v>n.a.</v>
      </c>
      <c r="T71" s="185" t="str">
        <f t="shared" si="32"/>
        <v>n.a.</v>
      </c>
      <c r="U71" s="185" t="str">
        <f t="shared" si="32"/>
        <v>n.a.</v>
      </c>
    </row>
    <row r="72" spans="3:21" hidden="1" outlineLevel="1">
      <c r="C72" s="109"/>
      <c r="D72" s="363"/>
      <c r="E72" s="230"/>
      <c r="F72" s="230"/>
      <c r="G72" s="240"/>
      <c r="H72" s="240"/>
      <c r="I72" s="240"/>
      <c r="J72" s="240"/>
      <c r="K72" s="232"/>
      <c r="L72" s="241"/>
      <c r="M72" s="241"/>
      <c r="N72" s="241"/>
      <c r="O72" s="241"/>
      <c r="P72" s="241"/>
      <c r="Q72" s="241"/>
      <c r="R72" s="241"/>
      <c r="S72" s="241"/>
      <c r="T72" s="241"/>
      <c r="U72" s="241"/>
    </row>
    <row r="73" spans="3:21" collapsed="1">
      <c r="C73" s="199" t="s">
        <v>3</v>
      </c>
      <c r="D73" s="364"/>
      <c r="E73" s="259">
        <f t="shared" ref="E73:U73" si="33">E57+E63+E68</f>
        <v>0</v>
      </c>
      <c r="F73" s="259">
        <f t="shared" si="33"/>
        <v>0</v>
      </c>
      <c r="G73" s="259">
        <f t="shared" si="33"/>
        <v>0</v>
      </c>
      <c r="H73" s="259">
        <f t="shared" si="33"/>
        <v>0</v>
      </c>
      <c r="I73" s="259">
        <f t="shared" si="33"/>
        <v>0</v>
      </c>
      <c r="J73" s="259">
        <f t="shared" si="33"/>
        <v>0</v>
      </c>
      <c r="K73" s="259">
        <f t="shared" si="33"/>
        <v>0</v>
      </c>
      <c r="L73" s="259">
        <f t="shared" si="33"/>
        <v>0</v>
      </c>
      <c r="M73" s="259">
        <f t="shared" si="33"/>
        <v>0</v>
      </c>
      <c r="N73" s="259">
        <f t="shared" si="33"/>
        <v>0</v>
      </c>
      <c r="O73" s="259">
        <f t="shared" si="33"/>
        <v>0</v>
      </c>
      <c r="P73" s="259">
        <f t="shared" si="33"/>
        <v>0</v>
      </c>
      <c r="Q73" s="259">
        <f t="shared" si="33"/>
        <v>0</v>
      </c>
      <c r="R73" s="259">
        <f t="shared" si="33"/>
        <v>0</v>
      </c>
      <c r="S73" s="259">
        <f t="shared" si="33"/>
        <v>0</v>
      </c>
      <c r="T73" s="259">
        <f t="shared" si="33"/>
        <v>0</v>
      </c>
      <c r="U73" s="259">
        <f t="shared" si="33"/>
        <v>0</v>
      </c>
    </row>
    <row r="74" spans="3:21">
      <c r="C74" s="183"/>
      <c r="D74" s="221" t="s">
        <v>876</v>
      </c>
      <c r="E74" s="185" t="str">
        <f t="shared" ref="E74:U74" si="34">IFERROR(E73/INDEX(73:73,MATCH(DATE(YEAR(E$18)-1,MONTH(E$18),DAY(E$18)),$18:$18,0))-1,"n.a.")</f>
        <v>n.a.</v>
      </c>
      <c r="F74" s="185" t="str">
        <f t="shared" si="34"/>
        <v>n.a.</v>
      </c>
      <c r="G74" s="185" t="str">
        <f t="shared" si="34"/>
        <v>n.a.</v>
      </c>
      <c r="H74" s="185" t="str">
        <f t="shared" si="34"/>
        <v>n.a.</v>
      </c>
      <c r="I74" s="185" t="str">
        <f t="shared" si="34"/>
        <v>n.a.</v>
      </c>
      <c r="J74" s="185" t="str">
        <f t="shared" si="34"/>
        <v>n.a.</v>
      </c>
      <c r="K74" s="185" t="str">
        <f t="shared" si="34"/>
        <v>n.a.</v>
      </c>
      <c r="L74" s="185" t="str">
        <f t="shared" si="34"/>
        <v>n.a.</v>
      </c>
      <c r="M74" s="185" t="str">
        <f t="shared" si="34"/>
        <v>n.a.</v>
      </c>
      <c r="N74" s="185" t="str">
        <f t="shared" si="34"/>
        <v>n.a.</v>
      </c>
      <c r="O74" s="185" t="str">
        <f t="shared" si="34"/>
        <v>n.a.</v>
      </c>
      <c r="P74" s="185" t="str">
        <f t="shared" si="34"/>
        <v>n.a.</v>
      </c>
      <c r="Q74" s="185" t="str">
        <f t="shared" si="34"/>
        <v>n.a.</v>
      </c>
      <c r="R74" s="185" t="str">
        <f t="shared" si="34"/>
        <v>n.a.</v>
      </c>
      <c r="S74" s="185" t="str">
        <f t="shared" si="34"/>
        <v>n.a.</v>
      </c>
      <c r="T74" s="185" t="str">
        <f t="shared" si="34"/>
        <v>n.a.</v>
      </c>
      <c r="U74" s="185" t="str">
        <f t="shared" si="34"/>
        <v>n.a.</v>
      </c>
    </row>
    <row r="75" spans="3:21">
      <c r="C75" s="183"/>
      <c r="D75" s="221" t="s">
        <v>882</v>
      </c>
      <c r="E75" s="185" t="e">
        <f t="shared" ref="E75:U75" si="35">E73/E$26</f>
        <v>#DIV/0!</v>
      </c>
      <c r="F75" s="185" t="e">
        <f t="shared" si="35"/>
        <v>#DIV/0!</v>
      </c>
      <c r="G75" s="185" t="e">
        <f t="shared" si="35"/>
        <v>#DIV/0!</v>
      </c>
      <c r="H75" s="185" t="e">
        <f t="shared" si="35"/>
        <v>#DIV/0!</v>
      </c>
      <c r="I75" s="185" t="e">
        <f t="shared" si="35"/>
        <v>#DIV/0!</v>
      </c>
      <c r="J75" s="185" t="e">
        <f t="shared" si="35"/>
        <v>#DIV/0!</v>
      </c>
      <c r="K75" s="185" t="e">
        <f t="shared" si="35"/>
        <v>#DIV/0!</v>
      </c>
      <c r="L75" s="185" t="e">
        <f t="shared" si="35"/>
        <v>#DIV/0!</v>
      </c>
      <c r="M75" s="185" t="e">
        <f t="shared" si="35"/>
        <v>#DIV/0!</v>
      </c>
      <c r="N75" s="185" t="e">
        <f t="shared" si="35"/>
        <v>#DIV/0!</v>
      </c>
      <c r="O75" s="185" t="e">
        <f t="shared" si="35"/>
        <v>#DIV/0!</v>
      </c>
      <c r="P75" s="185" t="e">
        <f t="shared" si="35"/>
        <v>#DIV/0!</v>
      </c>
      <c r="Q75" s="185" t="e">
        <f t="shared" si="35"/>
        <v>#DIV/0!</v>
      </c>
      <c r="R75" s="185" t="e">
        <f t="shared" si="35"/>
        <v>#DIV/0!</v>
      </c>
      <c r="S75" s="185" t="e">
        <f t="shared" si="35"/>
        <v>#DIV/0!</v>
      </c>
      <c r="T75" s="185" t="e">
        <f t="shared" si="35"/>
        <v>#DIV/0!</v>
      </c>
      <c r="U75" s="185" t="e">
        <f t="shared" si="35"/>
        <v>#DIV/0!</v>
      </c>
    </row>
    <row r="76" spans="3:21" ht="14.4" hidden="1" customHeight="1" outlineLevel="1">
      <c r="C76" s="11"/>
      <c r="D76" s="367"/>
      <c r="E76" s="36"/>
      <c r="F76" s="36"/>
      <c r="G76" s="36"/>
      <c r="H76" s="36"/>
      <c r="I76" s="36"/>
      <c r="J76" s="36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</row>
    <row r="77" spans="3:21" collapsed="1">
      <c r="C77" s="180" t="s">
        <v>885</v>
      </c>
      <c r="D77" s="366"/>
      <c r="E77" s="227">
        <f>IFERROR(OR(E$6,E$7)*'Historical BU1'!D28,0)*E20+IFERROR(OR(E$6,E$7)*'Historical BU1'!D29,0)*E20+E9*SUMIF('Financial Quarterly offshore'!7:7,'IS offshore'!E10,'Financial Quarterly offshore'!99:99)</f>
        <v>0</v>
      </c>
      <c r="F77" s="227">
        <f>IFERROR(OR(F$6,F$7)*'Historical BU1'!E28,0)*F20+IFERROR(OR(F$6,F$7)*'Historical BU1'!E29,0)*F20+F9*SUMIF('Financial Quarterly offshore'!7:7,'IS offshore'!F10,'Financial Quarterly offshore'!99:99)</f>
        <v>0</v>
      </c>
      <c r="G77" s="227">
        <f>IFERROR(OR(G$6,G$7)*'Historical BU1'!F28,0)*G20+IFERROR(OR(G$6,G$7)*'Historical BU1'!F29,0)*G20+G9*SUMIF('Financial Quarterly offshore'!7:7,'IS offshore'!G10,'Financial Quarterly offshore'!99:99)</f>
        <v>0</v>
      </c>
      <c r="H77" s="227">
        <f>IFERROR(OR(H$6,H$7)*'Historical BU1'!G28,0)*H20+IFERROR(OR(H$6,H$7)*'Historical BU1'!G29,0)*H20+H9*SUMIF('Financial Quarterly offshore'!7:7,'IS offshore'!H10,'Financial Quarterly offshore'!99:99)</f>
        <v>0</v>
      </c>
      <c r="I77" s="227">
        <f>IFERROR(OR(I$6,I$7)*'Historical BU1'!H28,0)*I20+IFERROR(OR(I$6,I$7)*'Historical BU1'!H29,0)*I20+I9*SUMIF('Financial Quarterly offshore'!7:7,'IS offshore'!I10,'Financial Quarterly offshore'!99:99)</f>
        <v>0</v>
      </c>
      <c r="J77" s="227">
        <f ca="1">IFERROR(OR(J$6,J$7)*'Historical BU1'!I28,0)*J20+IFERROR(OR(J$6,J$7)*'Historical BU1'!I29,0)*J20+J9*SUMIF('Financial Quarterly offshore'!7:7,'IS offshore'!J10,'Financial Quarterly offshore'!99:99)</f>
        <v>0</v>
      </c>
      <c r="K77" s="227">
        <f ca="1">IFERROR(OR(K$6,K$7)*'Historical BU1'!J28,0)*K20+IFERROR(OR(K$6,K$7)*'Historical BU1'!J29,0)*K20+K9*SUMIF('Financial Quarterly offshore'!7:7,'IS offshore'!K10,'Financial Quarterly offshore'!99:99)</f>
        <v>0</v>
      </c>
      <c r="L77" s="227">
        <f ca="1">IFERROR(OR(L$6,L$7)*'Historical BU1'!K28,0)*L20+IFERROR(OR(L$6,L$7)*'Historical BU1'!K29,0)*L20+L9*SUMIF('Financial Quarterly offshore'!7:7,'IS offshore'!L10,'Financial Quarterly offshore'!99:99)</f>
        <v>0</v>
      </c>
      <c r="M77" s="227">
        <f ca="1">IFERROR(OR(M$6,M$7)*'Historical BU1'!L28,0)*M20+IFERROR(OR(M$6,M$7)*'Historical BU1'!L29,0)*M20+M9*SUMIF('Financial Quarterly offshore'!7:7,'IS offshore'!M10,'Financial Quarterly offshore'!99:99)</f>
        <v>0</v>
      </c>
      <c r="N77" s="227">
        <f ca="1">IFERROR(OR(N$6,N$7)*'Historical BU1'!M28,0)*N20+IFERROR(OR(N$6,N$7)*'Historical BU1'!M29,0)*N20+N9*SUMIF('Financial Quarterly offshore'!7:7,'IS offshore'!N10,'Financial Quarterly offshore'!99:99)</f>
        <v>0</v>
      </c>
      <c r="O77" s="227">
        <f ca="1">IFERROR(OR(O$6,O$7)*'Historical BU1'!N28,0)*O20+IFERROR(OR(O$6,O$7)*'Historical BU1'!N29,0)*O20+O9*SUMIF('Financial Quarterly offshore'!7:7,'IS offshore'!O10,'Financial Quarterly offshore'!99:99)</f>
        <v>0</v>
      </c>
      <c r="P77" s="227">
        <f ca="1">IFERROR(OR(P$6,P$7)*'Historical BU1'!O28,0)*P20+IFERROR(OR(P$6,P$7)*'Historical BU1'!O29,0)*P20+P9*SUMIF('Financial Quarterly offshore'!7:7,'IS offshore'!P10,'Financial Quarterly offshore'!99:99)</f>
        <v>0</v>
      </c>
      <c r="Q77" s="227">
        <f>IFERROR(OR(Q$6,Q$7)*'Historical BU1'!P28,0)*Q20+IFERROR(OR(Q$6,Q$7)*'Historical BU1'!P29,0)*Q20+Q9*SUMIF('Financial Quarterly offshore'!7:7,'IS offshore'!Q10,'Financial Quarterly offshore'!99:99)</f>
        <v>0</v>
      </c>
      <c r="R77" s="227">
        <f>IFERROR(OR(R$6,R$7)*'Historical BU1'!Q28,0)*R20+IFERROR(OR(R$6,R$7)*'Historical BU1'!Q29,0)*R20+R9*SUMIF('Financial Quarterly offshore'!7:7,'IS offshore'!R10,'Financial Quarterly offshore'!99:99)</f>
        <v>0</v>
      </c>
      <c r="S77" s="227">
        <f>IFERROR(OR(S$6,S$7)*'Historical BU1'!R28,0)*S20+IFERROR(OR(S$6,S$7)*'Historical BU1'!R29,0)*S20+S9*SUMIF('Financial Quarterly offshore'!7:7,'IS offshore'!S10,'Financial Quarterly offshore'!99:99)</f>
        <v>0</v>
      </c>
      <c r="T77" s="227">
        <f>IFERROR(OR(T$6,T$7)*'Historical BU1'!S28,0)*T20+IFERROR(OR(T$6,T$7)*'Historical BU1'!S29,0)*T20+T9*SUMIF('Financial Quarterly offshore'!7:7,'IS offshore'!T10,'Financial Quarterly offshore'!99:99)</f>
        <v>0</v>
      </c>
      <c r="U77" s="227">
        <f>IFERROR(OR(U$6,U$7)*'Historical BU1'!T28,0)*U20+IFERROR(OR(U$6,U$7)*'Historical BU1'!T29,0)*U20+U9*SUMIF('Financial Quarterly offshore'!7:7,'IS offshore'!U10,'Financial Quarterly offshore'!99:99)</f>
        <v>0</v>
      </c>
    </row>
    <row r="78" spans="3:21" ht="14.4" hidden="1" customHeight="1" outlineLevel="1">
      <c r="C78" s="218"/>
      <c r="D78" s="365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243"/>
      <c r="P78" s="243"/>
      <c r="Q78" s="243"/>
      <c r="R78" s="243"/>
      <c r="S78" s="243"/>
      <c r="T78" s="243"/>
      <c r="U78" s="243"/>
    </row>
    <row r="79" spans="3:21" collapsed="1">
      <c r="C79" s="199" t="s">
        <v>886</v>
      </c>
      <c r="D79" s="364"/>
      <c r="E79" s="259">
        <f>E73+E77</f>
        <v>0</v>
      </c>
      <c r="F79" s="259">
        <f t="shared" ref="F79:U79" si="36">F73+F77</f>
        <v>0</v>
      </c>
      <c r="G79" s="259">
        <f t="shared" si="36"/>
        <v>0</v>
      </c>
      <c r="H79" s="259">
        <f t="shared" si="36"/>
        <v>0</v>
      </c>
      <c r="I79" s="259">
        <f t="shared" si="36"/>
        <v>0</v>
      </c>
      <c r="J79" s="259">
        <f t="shared" ca="1" si="36"/>
        <v>0</v>
      </c>
      <c r="K79" s="259">
        <f t="shared" ca="1" si="36"/>
        <v>0</v>
      </c>
      <c r="L79" s="259">
        <f t="shared" ca="1" si="36"/>
        <v>0</v>
      </c>
      <c r="M79" s="259">
        <f t="shared" ca="1" si="36"/>
        <v>0</v>
      </c>
      <c r="N79" s="259">
        <f t="shared" ca="1" si="36"/>
        <v>0</v>
      </c>
      <c r="O79" s="259">
        <f t="shared" ca="1" si="36"/>
        <v>0</v>
      </c>
      <c r="P79" s="259">
        <f t="shared" ca="1" si="36"/>
        <v>0</v>
      </c>
      <c r="Q79" s="259">
        <f t="shared" si="36"/>
        <v>0</v>
      </c>
      <c r="R79" s="259">
        <f t="shared" si="36"/>
        <v>0</v>
      </c>
      <c r="S79" s="259">
        <f t="shared" si="36"/>
        <v>0</v>
      </c>
      <c r="T79" s="259">
        <f t="shared" si="36"/>
        <v>0</v>
      </c>
      <c r="U79" s="259">
        <f t="shared" si="36"/>
        <v>0</v>
      </c>
    </row>
    <row r="80" spans="3:21">
      <c r="C80" s="183"/>
      <c r="D80" s="221" t="s">
        <v>876</v>
      </c>
      <c r="E80" s="185" t="str">
        <f t="shared" ref="E80:U80" si="37">IFERROR(E79/INDEX(79:79,MATCH(DATE(YEAR(E$18)-1,MONTH(E$18),DAY(E$18)),$18:$18,0))-1,"n.a.")</f>
        <v>n.a.</v>
      </c>
      <c r="F80" s="185" t="str">
        <f t="shared" si="37"/>
        <v>n.a.</v>
      </c>
      <c r="G80" s="185" t="str">
        <f t="shared" si="37"/>
        <v>n.a.</v>
      </c>
      <c r="H80" s="185" t="str">
        <f t="shared" si="37"/>
        <v>n.a.</v>
      </c>
      <c r="I80" s="185" t="str">
        <f t="shared" si="37"/>
        <v>n.a.</v>
      </c>
      <c r="J80" s="185" t="str">
        <f t="shared" ca="1" si="37"/>
        <v>n.a.</v>
      </c>
      <c r="K80" s="185" t="str">
        <f t="shared" ca="1" si="37"/>
        <v>n.a.</v>
      </c>
      <c r="L80" s="185" t="str">
        <f t="shared" ca="1" si="37"/>
        <v>n.a.</v>
      </c>
      <c r="M80" s="185" t="str">
        <f t="shared" ca="1" si="37"/>
        <v>n.a.</v>
      </c>
      <c r="N80" s="185" t="str">
        <f t="shared" ca="1" si="37"/>
        <v>n.a.</v>
      </c>
      <c r="O80" s="185" t="str">
        <f t="shared" ca="1" si="37"/>
        <v>n.a.</v>
      </c>
      <c r="P80" s="185" t="str">
        <f t="shared" ca="1" si="37"/>
        <v>n.a.</v>
      </c>
      <c r="Q80" s="185" t="str">
        <f t="shared" si="37"/>
        <v>n.a.</v>
      </c>
      <c r="R80" s="185" t="str">
        <f t="shared" si="37"/>
        <v>n.a.</v>
      </c>
      <c r="S80" s="185" t="str">
        <f t="shared" si="37"/>
        <v>n.a.</v>
      </c>
      <c r="T80" s="185" t="str">
        <f t="shared" si="37"/>
        <v>n.a.</v>
      </c>
      <c r="U80" s="185" t="str">
        <f t="shared" si="37"/>
        <v>n.a.</v>
      </c>
    </row>
    <row r="81" spans="3:21">
      <c r="C81" s="183"/>
      <c r="D81" s="221" t="s">
        <v>882</v>
      </c>
      <c r="E81" s="185" t="e">
        <f t="shared" ref="E81:U81" si="38">E79/E$26</f>
        <v>#DIV/0!</v>
      </c>
      <c r="F81" s="185" t="e">
        <f t="shared" si="38"/>
        <v>#DIV/0!</v>
      </c>
      <c r="G81" s="185" t="e">
        <f t="shared" si="38"/>
        <v>#DIV/0!</v>
      </c>
      <c r="H81" s="185" t="e">
        <f t="shared" si="38"/>
        <v>#DIV/0!</v>
      </c>
      <c r="I81" s="185" t="e">
        <f t="shared" si="38"/>
        <v>#DIV/0!</v>
      </c>
      <c r="J81" s="185" t="e">
        <f t="shared" ca="1" si="38"/>
        <v>#DIV/0!</v>
      </c>
      <c r="K81" s="185" t="e">
        <f t="shared" ca="1" si="38"/>
        <v>#DIV/0!</v>
      </c>
      <c r="L81" s="185" t="e">
        <f t="shared" ca="1" si="38"/>
        <v>#DIV/0!</v>
      </c>
      <c r="M81" s="185" t="e">
        <f t="shared" ca="1" si="38"/>
        <v>#DIV/0!</v>
      </c>
      <c r="N81" s="185" t="e">
        <f t="shared" ca="1" si="38"/>
        <v>#DIV/0!</v>
      </c>
      <c r="O81" s="185" t="e">
        <f t="shared" ca="1" si="38"/>
        <v>#DIV/0!</v>
      </c>
      <c r="P81" s="185" t="e">
        <f t="shared" ca="1" si="38"/>
        <v>#DIV/0!</v>
      </c>
      <c r="Q81" s="185" t="e">
        <f t="shared" si="38"/>
        <v>#DIV/0!</v>
      </c>
      <c r="R81" s="185" t="e">
        <f t="shared" si="38"/>
        <v>#DIV/0!</v>
      </c>
      <c r="S81" s="185" t="e">
        <f t="shared" si="38"/>
        <v>#DIV/0!</v>
      </c>
      <c r="T81" s="185" t="e">
        <f t="shared" si="38"/>
        <v>#DIV/0!</v>
      </c>
      <c r="U81" s="185" t="e">
        <f t="shared" si="38"/>
        <v>#DIV/0!</v>
      </c>
    </row>
    <row r="82" spans="3:21" s="38" customFormat="1" hidden="1" outlineLevel="1">
      <c r="C82" s="33"/>
      <c r="D82" s="368"/>
      <c r="E82" s="238"/>
      <c r="F82" s="238"/>
      <c r="G82" s="238"/>
      <c r="H82" s="238"/>
      <c r="I82" s="238"/>
      <c r="J82" s="238"/>
      <c r="K82" s="238"/>
      <c r="L82" s="244"/>
      <c r="M82" s="244"/>
      <c r="N82" s="244"/>
      <c r="O82" s="244"/>
      <c r="P82" s="244"/>
      <c r="Q82" s="244"/>
      <c r="R82" s="244"/>
      <c r="S82" s="244"/>
      <c r="T82" s="244"/>
      <c r="U82" s="244"/>
    </row>
    <row r="83" spans="3:21" collapsed="1">
      <c r="C83" s="180" t="s">
        <v>887</v>
      </c>
      <c r="D83" s="366"/>
      <c r="E83" s="227">
        <f t="shared" ref="E83:U83" si="39">SUM(E85:E86)</f>
        <v>0</v>
      </c>
      <c r="F83" s="227">
        <f t="shared" si="39"/>
        <v>0</v>
      </c>
      <c r="G83" s="227">
        <f t="shared" si="39"/>
        <v>0</v>
      </c>
      <c r="H83" s="227">
        <f t="shared" si="39"/>
        <v>0</v>
      </c>
      <c r="I83" s="227">
        <f t="shared" si="39"/>
        <v>0</v>
      </c>
      <c r="J83" s="227">
        <f t="shared" ca="1" si="39"/>
        <v>0</v>
      </c>
      <c r="K83" s="227">
        <f t="shared" ca="1" si="39"/>
        <v>0</v>
      </c>
      <c r="L83" s="227">
        <f t="shared" ca="1" si="39"/>
        <v>0</v>
      </c>
      <c r="M83" s="227">
        <f t="shared" ca="1" si="39"/>
        <v>0</v>
      </c>
      <c r="N83" s="227">
        <f t="shared" ca="1" si="39"/>
        <v>0</v>
      </c>
      <c r="O83" s="227">
        <f t="shared" ca="1" si="39"/>
        <v>0</v>
      </c>
      <c r="P83" s="227">
        <f t="shared" ca="1" si="39"/>
        <v>0</v>
      </c>
      <c r="Q83" s="227">
        <f t="shared" si="39"/>
        <v>0</v>
      </c>
      <c r="R83" s="227">
        <f t="shared" si="39"/>
        <v>0</v>
      </c>
      <c r="S83" s="227">
        <f t="shared" si="39"/>
        <v>0</v>
      </c>
      <c r="T83" s="227">
        <f t="shared" si="39"/>
        <v>0</v>
      </c>
      <c r="U83" s="227">
        <f t="shared" si="39"/>
        <v>0</v>
      </c>
    </row>
    <row r="84" spans="3:21">
      <c r="C84" s="183"/>
      <c r="D84" s="221" t="s">
        <v>888</v>
      </c>
      <c r="E84" s="185" t="e">
        <f t="shared" ref="E84:F84" si="40">-E83/E79</f>
        <v>#DIV/0!</v>
      </c>
      <c r="F84" s="185" t="e">
        <f t="shared" si="40"/>
        <v>#DIV/0!</v>
      </c>
      <c r="G84" s="185" t="e">
        <f>-G83/G79</f>
        <v>#DIV/0!</v>
      </c>
      <c r="H84" s="185" t="e">
        <f>-H83/H79</f>
        <v>#DIV/0!</v>
      </c>
      <c r="I84" s="185" t="e">
        <f>-I83/I79</f>
        <v>#DIV/0!</v>
      </c>
      <c r="J84" s="185" t="e">
        <f ca="1">-J83/J79</f>
        <v>#DIV/0!</v>
      </c>
      <c r="K84" s="185" t="e">
        <f ca="1">-K83/K79</f>
        <v>#DIV/0!</v>
      </c>
      <c r="L84" s="185" t="e">
        <f t="shared" ref="L84:U84" ca="1" si="41">-L83/L79</f>
        <v>#DIV/0!</v>
      </c>
      <c r="M84" s="185" t="e">
        <f t="shared" ca="1" si="41"/>
        <v>#DIV/0!</v>
      </c>
      <c r="N84" s="185" t="e">
        <f t="shared" ca="1" si="41"/>
        <v>#DIV/0!</v>
      </c>
      <c r="O84" s="185" t="e">
        <f t="shared" ca="1" si="41"/>
        <v>#DIV/0!</v>
      </c>
      <c r="P84" s="185" t="e">
        <f t="shared" ca="1" si="41"/>
        <v>#DIV/0!</v>
      </c>
      <c r="Q84" s="185" t="e">
        <f t="shared" si="41"/>
        <v>#DIV/0!</v>
      </c>
      <c r="R84" s="185" t="e">
        <f t="shared" si="41"/>
        <v>#DIV/0!</v>
      </c>
      <c r="S84" s="185" t="e">
        <f t="shared" si="41"/>
        <v>#DIV/0!</v>
      </c>
      <c r="T84" s="185" t="e">
        <f t="shared" si="41"/>
        <v>#DIV/0!</v>
      </c>
      <c r="U84" s="185" t="e">
        <f t="shared" si="41"/>
        <v>#DIV/0!</v>
      </c>
    </row>
    <row r="85" spans="3:21" s="186" customFormat="1" hidden="1" outlineLevel="1">
      <c r="D85" s="361" t="str">
        <f>BU1_name</f>
        <v>Offshore</v>
      </c>
      <c r="E85" s="245">
        <f>(IFERROR(INDEX('Scenarios offshore'!155:155,MATCH('IS offshore'!E18,'Scenarios offshore'!4:4,0)),0)*E20)</f>
        <v>0</v>
      </c>
      <c r="F85" s="245">
        <f>(IFERROR(INDEX('Scenarios offshore'!155:155,MATCH('IS offshore'!F18,'Scenarios offshore'!4:4,0)),0)*F20)</f>
        <v>0</v>
      </c>
      <c r="G85" s="245">
        <f>(IFERROR(INDEX('Scenarios offshore'!155:155,MATCH('IS offshore'!G18,'Scenarios offshore'!4:4,0)),0)*G20)</f>
        <v>0</v>
      </c>
      <c r="H85" s="245">
        <f>(IFERROR(INDEX('Scenarios offshore'!155:155,MATCH('IS offshore'!H18,'Scenarios offshore'!4:4,0)),0)*H20)</f>
        <v>0</v>
      </c>
      <c r="I85" s="245">
        <f>(IFERROR(INDEX('Scenarios offshore'!155:155,MATCH('IS offshore'!I18,'Scenarios offshore'!4:4,0)),0)*I20)</f>
        <v>0</v>
      </c>
      <c r="J85" s="245">
        <f>(IFERROR(INDEX('Scenarios offshore'!155:155,MATCH('IS offshore'!J18,'Scenarios offshore'!4:4,0)),0)*J20)</f>
        <v>0</v>
      </c>
      <c r="K85" s="245">
        <f>(IFERROR(INDEX('Scenarios offshore'!155:155,MATCH('IS offshore'!K18,'Scenarios offshore'!4:4,0)),0)*K20)</f>
        <v>0</v>
      </c>
      <c r="L85" s="245">
        <f>(IFERROR(INDEX('Scenarios offshore'!155:155,MATCH('IS offshore'!L18,'Scenarios offshore'!4:4,0)),0)*L20)</f>
        <v>0</v>
      </c>
      <c r="M85" s="245">
        <f>(IFERROR(INDEX('Scenarios offshore'!155:155,MATCH('IS offshore'!M18,'Scenarios offshore'!4:4,0)),0)*M20)</f>
        <v>0</v>
      </c>
      <c r="N85" s="245">
        <f>(IFERROR(INDEX('Scenarios offshore'!155:155,MATCH('IS offshore'!N18,'Scenarios offshore'!4:4,0)),0)*N20)</f>
        <v>0</v>
      </c>
      <c r="O85" s="245">
        <f>(IFERROR(INDEX('Scenarios offshore'!155:155,MATCH('IS offshore'!O18,'Scenarios offshore'!4:4,0)),0)*O20)</f>
        <v>0</v>
      </c>
      <c r="P85" s="245">
        <f>(IFERROR(INDEX('Scenarios offshore'!155:155,MATCH('IS offshore'!P18,'Scenarios offshore'!4:4,0)),0)*P20)</f>
        <v>0</v>
      </c>
      <c r="Q85" s="245">
        <f>(IFERROR(INDEX('Scenarios offshore'!155:155,MATCH('IS offshore'!Q18,'Scenarios offshore'!4:4,0)),0)*Q20)</f>
        <v>0</v>
      </c>
      <c r="R85" s="245">
        <f>(IFERROR(INDEX('Scenarios offshore'!155:155,MATCH('IS offshore'!R18,'Scenarios offshore'!4:4,0)),0)*R20)</f>
        <v>0</v>
      </c>
      <c r="S85" s="245">
        <f>(IFERROR(INDEX('Scenarios offshore'!155:155,MATCH('IS offshore'!S18,'Scenarios offshore'!4:4,0)),0)*S20)</f>
        <v>0</v>
      </c>
      <c r="T85" s="245">
        <f>(IFERROR(INDEX('Scenarios offshore'!155:155,MATCH('IS offshore'!T18,'Scenarios offshore'!4:4,0)),0)*T20)</f>
        <v>0</v>
      </c>
      <c r="U85" s="245">
        <f>(IFERROR(INDEX('Scenarios offshore'!155:155,MATCH('IS offshore'!U18,'Scenarios offshore'!4:4,0)),0)*U20)</f>
        <v>0</v>
      </c>
    </row>
    <row r="86" spans="3:21" s="186" customFormat="1" hidden="1" outlineLevel="1">
      <c r="D86" s="361" t="s">
        <v>889</v>
      </c>
      <c r="E86" s="245">
        <f>E9*SUMIF('Financial Quarterly offshore'!7:7,'IS offshore'!E10,'Financial Quarterly offshore'!91:91)</f>
        <v>0</v>
      </c>
      <c r="F86" s="245">
        <f>F9*SUMIF('Financial Quarterly offshore'!7:7,'IS offshore'!F10,'Financial Quarterly offshore'!91:91)</f>
        <v>0</v>
      </c>
      <c r="G86" s="245">
        <f>G9*SUMIF('Financial Quarterly offshore'!7:7,'IS offshore'!G10,'Financial Quarterly offshore'!91:91)</f>
        <v>0</v>
      </c>
      <c r="H86" s="245">
        <f>H9*SUMIF('Financial Quarterly offshore'!7:7,'IS offshore'!H10,'Financial Quarterly offshore'!91:91)</f>
        <v>0</v>
      </c>
      <c r="I86" s="245">
        <f>I9*SUMIF('Financial Quarterly offshore'!7:7,'IS offshore'!I10,'Financial Quarterly offshore'!91:91)</f>
        <v>0</v>
      </c>
      <c r="J86" s="245">
        <f ca="1">J9*SUMIF('Financial Quarterly offshore'!7:7,'IS offshore'!J10,'Financial Quarterly offshore'!91:91)</f>
        <v>0</v>
      </c>
      <c r="K86" s="245">
        <f ca="1">K9*SUMIF('Financial Quarterly offshore'!7:7,'IS offshore'!K10,'Financial Quarterly offshore'!91:91)</f>
        <v>0</v>
      </c>
      <c r="L86" s="247">
        <f ca="1">L9*SUMIF('Financial Quarterly offshore'!7:7,'IS offshore'!L10,'Financial Quarterly offshore'!91:91)</f>
        <v>0</v>
      </c>
      <c r="M86" s="247">
        <f ca="1">M9*SUMIF('Financial Quarterly offshore'!7:7,'IS offshore'!M10,'Financial Quarterly offshore'!91:91)</f>
        <v>0</v>
      </c>
      <c r="N86" s="247">
        <f ca="1">N9*SUMIF('Financial Quarterly offshore'!7:7,'IS offshore'!N10,'Financial Quarterly offshore'!91:91)</f>
        <v>0</v>
      </c>
      <c r="O86" s="247">
        <f ca="1">O9*SUMIF('Financial Quarterly offshore'!7:7,'IS offshore'!O10,'Financial Quarterly offshore'!91:91)</f>
        <v>0</v>
      </c>
      <c r="P86" s="247">
        <f ca="1">P9*SUMIF('Financial Quarterly offshore'!7:7,'IS offshore'!P10,'Financial Quarterly offshore'!91:91)</f>
        <v>0</v>
      </c>
      <c r="Q86" s="247">
        <f>Q9*SUMIF('Financial Quarterly offshore'!7:7,'IS offshore'!Q10,'Financial Quarterly offshore'!91:91)</f>
        <v>0</v>
      </c>
      <c r="R86" s="247">
        <f>R9*SUMIF('Financial Quarterly offshore'!7:7,'IS offshore'!R10,'Financial Quarterly offshore'!91:91)</f>
        <v>0</v>
      </c>
      <c r="S86" s="247">
        <f>S9*SUMIF('Financial Quarterly offshore'!7:7,'IS offshore'!S10,'Financial Quarterly offshore'!91:91)</f>
        <v>0</v>
      </c>
      <c r="T86" s="247">
        <f>T9*SUMIF('Financial Quarterly offshore'!7:7,'IS offshore'!T10,'Financial Quarterly offshore'!91:91)</f>
        <v>0</v>
      </c>
      <c r="U86" s="247">
        <f>U9*SUMIF('Financial Quarterly offshore'!7:7,'IS offshore'!U10,'Financial Quarterly offshore'!91:91)</f>
        <v>0</v>
      </c>
    </row>
    <row r="87" spans="3:21" s="38" customFormat="1" hidden="1" outlineLevel="1">
      <c r="D87" s="365"/>
      <c r="E87" s="248"/>
      <c r="F87" s="248"/>
      <c r="G87" s="248"/>
      <c r="H87" s="248"/>
      <c r="I87" s="248"/>
      <c r="J87" s="248"/>
      <c r="K87" s="249"/>
      <c r="L87" s="250"/>
      <c r="M87" s="250"/>
      <c r="N87" s="250"/>
      <c r="O87" s="250"/>
      <c r="P87" s="250"/>
      <c r="Q87" s="250"/>
      <c r="R87" s="250"/>
      <c r="S87" s="250"/>
      <c r="T87" s="250"/>
      <c r="U87" s="250"/>
    </row>
    <row r="88" spans="3:21" hidden="1" outlineLevel="1">
      <c r="C88" s="217" t="s">
        <v>21</v>
      </c>
      <c r="D88" s="363"/>
      <c r="E88" s="252">
        <v>0</v>
      </c>
      <c r="F88" s="252">
        <v>0</v>
      </c>
      <c r="G88" s="252">
        <v>0</v>
      </c>
      <c r="H88" s="252">
        <v>0</v>
      </c>
      <c r="I88" s="252">
        <v>0</v>
      </c>
      <c r="J88" s="252">
        <v>0</v>
      </c>
      <c r="K88" s="252">
        <f>L88-I88</f>
        <v>0</v>
      </c>
      <c r="L88" s="252">
        <v>0</v>
      </c>
      <c r="M88" s="252">
        <v>0</v>
      </c>
      <c r="N88" s="252">
        <v>0</v>
      </c>
      <c r="O88" s="252">
        <v>0</v>
      </c>
      <c r="P88" s="252">
        <v>0</v>
      </c>
      <c r="Q88" s="252">
        <v>0</v>
      </c>
      <c r="R88" s="252">
        <v>0</v>
      </c>
      <c r="S88" s="252">
        <v>0</v>
      </c>
      <c r="T88" s="252">
        <v>0</v>
      </c>
      <c r="U88" s="252">
        <v>0</v>
      </c>
    </row>
    <row r="89" spans="3:21" hidden="1" outlineLevel="1">
      <c r="C89" s="109"/>
      <c r="D89" s="363"/>
      <c r="E89" s="230"/>
      <c r="F89" s="230"/>
      <c r="G89" s="240"/>
      <c r="H89" s="240"/>
      <c r="I89" s="240"/>
      <c r="J89" s="240"/>
      <c r="K89" s="253"/>
      <c r="L89" s="230"/>
      <c r="M89" s="230"/>
      <c r="N89" s="230"/>
      <c r="O89" s="230"/>
      <c r="P89" s="230"/>
      <c r="Q89" s="230"/>
      <c r="R89" s="230"/>
      <c r="S89" s="230"/>
      <c r="T89" s="230"/>
      <c r="U89" s="230"/>
    </row>
    <row r="90" spans="3:21" collapsed="1">
      <c r="C90" s="195" t="s">
        <v>1008</v>
      </c>
      <c r="D90" s="369"/>
      <c r="E90" s="260">
        <f t="shared" ref="E90:U90" si="42">E79+E83+E88</f>
        <v>0</v>
      </c>
      <c r="F90" s="260">
        <f t="shared" si="42"/>
        <v>0</v>
      </c>
      <c r="G90" s="260">
        <f t="shared" si="42"/>
        <v>0</v>
      </c>
      <c r="H90" s="260">
        <f t="shared" si="42"/>
        <v>0</v>
      </c>
      <c r="I90" s="260">
        <f t="shared" si="42"/>
        <v>0</v>
      </c>
      <c r="J90" s="260">
        <f t="shared" ca="1" si="42"/>
        <v>0</v>
      </c>
      <c r="K90" s="260">
        <f t="shared" ca="1" si="42"/>
        <v>0</v>
      </c>
      <c r="L90" s="260">
        <f t="shared" ca="1" si="42"/>
        <v>0</v>
      </c>
      <c r="M90" s="260">
        <f t="shared" ca="1" si="42"/>
        <v>0</v>
      </c>
      <c r="N90" s="260">
        <f t="shared" ca="1" si="42"/>
        <v>0</v>
      </c>
      <c r="O90" s="260">
        <f t="shared" ca="1" si="42"/>
        <v>0</v>
      </c>
      <c r="P90" s="260">
        <f t="shared" ca="1" si="42"/>
        <v>0</v>
      </c>
      <c r="Q90" s="260">
        <f t="shared" si="42"/>
        <v>0</v>
      </c>
      <c r="R90" s="260">
        <f t="shared" si="42"/>
        <v>0</v>
      </c>
      <c r="S90" s="260">
        <f t="shared" si="42"/>
        <v>0</v>
      </c>
      <c r="T90" s="260">
        <f t="shared" si="42"/>
        <v>0</v>
      </c>
      <c r="U90" s="260">
        <f t="shared" si="42"/>
        <v>0</v>
      </c>
    </row>
    <row r="91" spans="3:21">
      <c r="C91" s="183"/>
      <c r="D91" s="221" t="s">
        <v>876</v>
      </c>
      <c r="E91" s="185" t="str">
        <f t="shared" ref="E91:U91" si="43">IFERROR(E90/INDEX(90:90,MATCH(DATE(YEAR(E$18)-1,MONTH(E$18),DAY(E$18)),$18:$18,0))-1,"n.a.")</f>
        <v>n.a.</v>
      </c>
      <c r="F91" s="185" t="str">
        <f t="shared" si="43"/>
        <v>n.a.</v>
      </c>
      <c r="G91" s="185" t="str">
        <f t="shared" si="43"/>
        <v>n.a.</v>
      </c>
      <c r="H91" s="185" t="str">
        <f t="shared" si="43"/>
        <v>n.a.</v>
      </c>
      <c r="I91" s="185" t="str">
        <f t="shared" si="43"/>
        <v>n.a.</v>
      </c>
      <c r="J91" s="185" t="str">
        <f t="shared" ca="1" si="43"/>
        <v>n.a.</v>
      </c>
      <c r="K91" s="185" t="str">
        <f t="shared" ca="1" si="43"/>
        <v>n.a.</v>
      </c>
      <c r="L91" s="185" t="str">
        <f t="shared" ca="1" si="43"/>
        <v>n.a.</v>
      </c>
      <c r="M91" s="185" t="str">
        <f t="shared" ca="1" si="43"/>
        <v>n.a.</v>
      </c>
      <c r="N91" s="185" t="str">
        <f t="shared" ca="1" si="43"/>
        <v>n.a.</v>
      </c>
      <c r="O91" s="185" t="str">
        <f t="shared" ca="1" si="43"/>
        <v>n.a.</v>
      </c>
      <c r="P91" s="185" t="str">
        <f t="shared" ca="1" si="43"/>
        <v>n.a.</v>
      </c>
      <c r="Q91" s="185" t="str">
        <f t="shared" si="43"/>
        <v>n.a.</v>
      </c>
      <c r="R91" s="185" t="str">
        <f t="shared" si="43"/>
        <v>n.a.</v>
      </c>
      <c r="S91" s="185" t="str">
        <f t="shared" si="43"/>
        <v>n.a.</v>
      </c>
      <c r="T91" s="185" t="str">
        <f t="shared" si="43"/>
        <v>n.a.</v>
      </c>
      <c r="U91" s="185" t="str">
        <f t="shared" si="43"/>
        <v>n.a.</v>
      </c>
    </row>
    <row r="92" spans="3:21">
      <c r="C92" s="183"/>
      <c r="D92" s="221" t="s">
        <v>882</v>
      </c>
      <c r="E92" s="185" t="e">
        <f t="shared" ref="E92:U92" si="44">E90/E$26</f>
        <v>#DIV/0!</v>
      </c>
      <c r="F92" s="185" t="e">
        <f t="shared" si="44"/>
        <v>#DIV/0!</v>
      </c>
      <c r="G92" s="185" t="e">
        <f t="shared" si="44"/>
        <v>#DIV/0!</v>
      </c>
      <c r="H92" s="185" t="e">
        <f t="shared" si="44"/>
        <v>#DIV/0!</v>
      </c>
      <c r="I92" s="185" t="e">
        <f t="shared" si="44"/>
        <v>#DIV/0!</v>
      </c>
      <c r="J92" s="185" t="e">
        <f t="shared" ca="1" si="44"/>
        <v>#DIV/0!</v>
      </c>
      <c r="K92" s="185" t="e">
        <f t="shared" ca="1" si="44"/>
        <v>#DIV/0!</v>
      </c>
      <c r="L92" s="185" t="e">
        <f t="shared" ca="1" si="44"/>
        <v>#DIV/0!</v>
      </c>
      <c r="M92" s="185" t="e">
        <f t="shared" ca="1" si="44"/>
        <v>#DIV/0!</v>
      </c>
      <c r="N92" s="185" t="e">
        <f t="shared" ca="1" si="44"/>
        <v>#DIV/0!</v>
      </c>
      <c r="O92" s="185" t="e">
        <f t="shared" ca="1" si="44"/>
        <v>#DIV/0!</v>
      </c>
      <c r="P92" s="185" t="e">
        <f t="shared" ca="1" si="44"/>
        <v>#DIV/0!</v>
      </c>
      <c r="Q92" s="185" t="e">
        <f t="shared" si="44"/>
        <v>#DIV/0!</v>
      </c>
      <c r="R92" s="185" t="e">
        <f t="shared" si="44"/>
        <v>#DIV/0!</v>
      </c>
      <c r="S92" s="185" t="e">
        <f t="shared" si="44"/>
        <v>#DIV/0!</v>
      </c>
      <c r="T92" s="185" t="e">
        <f t="shared" si="44"/>
        <v>#DIV/0!</v>
      </c>
      <c r="U92" s="185" t="e">
        <f t="shared" si="44"/>
        <v>#DIV/0!</v>
      </c>
    </row>
    <row r="93" spans="3:21" hidden="1" outlineLevel="1">
      <c r="C93" s="109"/>
      <c r="D93" s="367"/>
      <c r="E93" s="36"/>
      <c r="F93" s="36"/>
      <c r="G93" s="36"/>
      <c r="H93" s="36"/>
      <c r="I93" s="36"/>
      <c r="J93" s="36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</row>
    <row r="94" spans="3:21" collapsed="1">
      <c r="C94" s="195" t="s">
        <v>1063</v>
      </c>
      <c r="D94" s="369"/>
      <c r="E94" s="260"/>
      <c r="F94" s="260">
        <f ca="1">-F9*SUMIF('Financial Quarterly offshore'!7:7,'IS offshore'!F10,'Financial Quarterly offshore'!94:94)+-OR(F6,F7)*('BS offshore'!F126-'BS offshore'!E126-'IS offshore'!F90)</f>
        <v>0</v>
      </c>
      <c r="G94" s="260">
        <f ca="1">-G9*SUMIF('Financial Quarterly offshore'!7:7,'IS offshore'!G10,'Financial Quarterly offshore'!94:94)+-OR(G6,G7)*('BS offshore'!G126-'BS offshore'!F126-'IS offshore'!G90)</f>
        <v>0</v>
      </c>
      <c r="H94" s="260">
        <f ca="1">-H9*SUMIF('Financial Quarterly offshore'!7:7,'IS offshore'!H10,'Financial Quarterly offshore'!94:94)+-OR(H6,H7)*('BS offshore'!H126-'BS offshore'!G126-'IS offshore'!H90)</f>
        <v>0</v>
      </c>
      <c r="I94" s="260">
        <f ca="1">-I9*SUMIF('Financial Quarterly offshore'!7:7,'IS offshore'!I10,'Financial Quarterly offshore'!94:94)+-OR(I6,I7)*('BS offshore'!I126-'BS offshore'!H126-'IS offshore'!I90)</f>
        <v>0</v>
      </c>
      <c r="J94" s="260">
        <f ca="1">-J9*SUMIF('Financial Quarterly offshore'!7:7,'IS offshore'!J10,'Financial Quarterly offshore'!94:94)+-OR(J6,J7)*('BS offshore'!J126-'BS offshore'!I126-'IS offshore'!J90)</f>
        <v>0</v>
      </c>
      <c r="K94" s="260">
        <f ca="1">-K9*SUMIF('Financial Quarterly offshore'!7:7,'IS offshore'!K10,'Financial Quarterly offshore'!94:94)+-OR(K6,K7)*('BS offshore'!K126-'BS offshore'!J126-'IS offshore'!K90)</f>
        <v>0</v>
      </c>
      <c r="L94" s="260">
        <f ca="1">-L9*SUMIF('Financial Quarterly offshore'!7:7,'IS offshore'!L10,'Financial Quarterly offshore'!94:94)+-OR(L6,L7)*('BS offshore'!L126-'BS offshore'!K126-'IS offshore'!L90)</f>
        <v>0</v>
      </c>
      <c r="M94" s="260">
        <f ca="1">-M9*SUMIF('Financial Quarterly offshore'!7:7,'IS offshore'!M10,'Financial Quarterly offshore'!94:94)+-OR(M6,M7)*('BS offshore'!M126-'BS offshore'!L126-'IS offshore'!M90)</f>
        <v>0</v>
      </c>
      <c r="N94" s="260">
        <f ca="1">-N9*SUMIF('Financial Quarterly offshore'!7:7,'IS offshore'!N10,'Financial Quarterly offshore'!94:94)+-OR(N6,N7)*('BS offshore'!N126-'BS offshore'!M126-'IS offshore'!N90)</f>
        <v>0</v>
      </c>
      <c r="O94" s="260">
        <f ca="1">-O9*SUMIF('Financial Quarterly offshore'!7:7,'IS offshore'!O10,'Financial Quarterly offshore'!94:94)+-OR(O6,O7)*('BS offshore'!O126-'BS offshore'!N126-'IS offshore'!O90)</f>
        <v>0</v>
      </c>
      <c r="P94" s="260">
        <f ca="1">-P9*SUMIF('Financial Quarterly offshore'!7:7,'IS offshore'!P10,'Financial Quarterly offshore'!94:94)+-OR(P6,P7)*('BS offshore'!P126-'BS offshore'!O126-'IS offshore'!P90)</f>
        <v>0</v>
      </c>
      <c r="Q94" s="260">
        <f ca="1">-Q9*SUMIF('Financial Quarterly offshore'!7:7,'IS offshore'!Q10,'Financial Quarterly offshore'!94:94)+-OR(Q6,Q7)*('BS offshore'!Q126-'BS offshore'!P126-'IS offshore'!Q90)</f>
        <v>0</v>
      </c>
      <c r="R94" s="260">
        <f ca="1">-R9*SUMIF('Financial Quarterly offshore'!7:7,'IS offshore'!R10,'Financial Quarterly offshore'!94:94)+-OR(R6,R7)*('BS offshore'!R126-'BS offshore'!Q126-'IS offshore'!R90)</f>
        <v>0</v>
      </c>
      <c r="S94" s="260">
        <f>-S9*SUMIF('Financial Quarterly offshore'!7:7,'IS offshore'!S10,'Financial Quarterly offshore'!94:94)+-OR(S6,S7)*('BS offshore'!S126-'BS offshore'!R126-'IS offshore'!S90)</f>
        <v>0</v>
      </c>
      <c r="T94" s="260">
        <f>-T9*SUMIF('Financial Quarterly offshore'!7:7,'IS offshore'!T10,'Financial Quarterly offshore'!94:94)+-OR(T6,T7)*('BS offshore'!T126-'BS offshore'!S126-'IS offshore'!T90)</f>
        <v>0</v>
      </c>
      <c r="U94" s="260">
        <f>-U9*SUMIF('Financial Quarterly offshore'!7:7,'IS offshore'!U10,'Financial Quarterly offshore'!94:94)+-OR(U6,U7)*('BS offshore'!U126-'BS offshore'!T126-'IS offshore'!U90)</f>
        <v>0</v>
      </c>
    </row>
    <row r="95" spans="3:21">
      <c r="C95" s="183"/>
      <c r="D95" s="221" t="s">
        <v>890</v>
      </c>
      <c r="E95" s="185" t="e">
        <f t="shared" ref="E95:K95" si="45">E94/E90</f>
        <v>#DIV/0!</v>
      </c>
      <c r="F95" s="185" t="e">
        <f t="shared" ca="1" si="45"/>
        <v>#DIV/0!</v>
      </c>
      <c r="G95" s="185" t="e">
        <f t="shared" ca="1" si="45"/>
        <v>#DIV/0!</v>
      </c>
      <c r="H95" s="185" t="e">
        <f t="shared" ca="1" si="45"/>
        <v>#DIV/0!</v>
      </c>
      <c r="I95" s="185" t="e">
        <f t="shared" ca="1" si="45"/>
        <v>#DIV/0!</v>
      </c>
      <c r="J95" s="185" t="e">
        <f t="shared" ca="1" si="45"/>
        <v>#DIV/0!</v>
      </c>
      <c r="K95" s="185" t="e">
        <f t="shared" ca="1" si="45"/>
        <v>#DIV/0!</v>
      </c>
      <c r="L95" s="185" t="e">
        <f ca="1">L94/L90</f>
        <v>#DIV/0!</v>
      </c>
      <c r="M95" s="185" t="e">
        <f t="shared" ref="M95:U95" ca="1" si="46">M94/M90</f>
        <v>#DIV/0!</v>
      </c>
      <c r="N95" s="185" t="e">
        <f t="shared" ca="1" si="46"/>
        <v>#DIV/0!</v>
      </c>
      <c r="O95" s="185" t="e">
        <f t="shared" ca="1" si="46"/>
        <v>#DIV/0!</v>
      </c>
      <c r="P95" s="185" t="e">
        <f t="shared" ca="1" si="46"/>
        <v>#DIV/0!</v>
      </c>
      <c r="Q95" s="185" t="e">
        <f t="shared" ca="1" si="46"/>
        <v>#DIV/0!</v>
      </c>
      <c r="R95" s="185" t="e">
        <f t="shared" ca="1" si="46"/>
        <v>#DIV/0!</v>
      </c>
      <c r="S95" s="185" t="e">
        <f t="shared" si="46"/>
        <v>#DIV/0!</v>
      </c>
      <c r="T95" s="185" t="e">
        <f t="shared" si="46"/>
        <v>#DIV/0!</v>
      </c>
      <c r="U95" s="185" t="e">
        <f t="shared" si="46"/>
        <v>#DIV/0!</v>
      </c>
    </row>
  </sheetData>
  <phoneticPr fontId="52" type="noConversion"/>
  <conditionalFormatting sqref="E5:AC9">
    <cfRule type="cellIs" dxfId="79" priority="2" operator="equal">
      <formula>TRUE</formula>
    </cfRule>
  </conditionalFormatting>
  <pageMargins left="0.7" right="0.7" top="0.75" bottom="0.75" header="0.3" footer="0.3"/>
  <pageSetup paperSize="9" scale="42" orientation="portrait" r:id="rId1"/>
  <colBreaks count="1" manualBreakCount="1">
    <brk id="17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1857" r:id="rId4" name="Drop Down 1">
              <controlPr defaultSize="0" autoLine="0" autoPict="0">
                <anchor moveWithCells="1">
                  <from>
                    <xdr:col>4</xdr:col>
                    <xdr:colOff>73152</xdr:colOff>
                    <xdr:row>0</xdr:row>
                    <xdr:rowOff>173736</xdr:rowOff>
                  </from>
                  <to>
                    <xdr:col>5</xdr:col>
                    <xdr:colOff>411480</xdr:colOff>
                    <xdr:row>15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AD143"/>
  <sheetViews>
    <sheetView view="pageBreakPreview" topLeftCell="A15" zoomScale="85" zoomScaleNormal="90" zoomScaleSheetLayoutView="85" workbookViewId="0">
      <selection activeCell="K49" sqref="K49"/>
    </sheetView>
  </sheetViews>
  <sheetFormatPr defaultColWidth="9.140625" defaultRowHeight="13" outlineLevelRow="1" outlineLevelCol="1"/>
  <cols>
    <col min="1" max="1" width="1.7109375" style="32" customWidth="1"/>
    <col min="2" max="2" width="2.5703125" style="32" customWidth="1"/>
    <col min="3" max="3" width="4.85546875" style="32" customWidth="1"/>
    <col min="4" max="4" width="27.42578125" style="32" customWidth="1"/>
    <col min="5" max="5" width="15.28515625" style="32" customWidth="1"/>
    <col min="6" max="6" width="14" style="32" customWidth="1"/>
    <col min="7" max="8" width="15.5703125" style="32" customWidth="1"/>
    <col min="9" max="9" width="15" style="32" customWidth="1"/>
    <col min="10" max="10" width="17.85546875" style="32" customWidth="1"/>
    <col min="11" max="11" width="15.5703125" style="32" customWidth="1"/>
    <col min="12" max="15" width="15.85546875" style="32" customWidth="1"/>
    <col min="16" max="16" width="14" style="32" customWidth="1"/>
    <col min="17" max="17" width="13.42578125" style="32" customWidth="1"/>
    <col min="18" max="18" width="10.42578125" style="32" hidden="1" customWidth="1" outlineLevel="1"/>
    <col min="19" max="19" width="11.5703125" style="32" hidden="1" customWidth="1" outlineLevel="1"/>
    <col min="20" max="22" width="10.42578125" style="32" hidden="1" customWidth="1" outlineLevel="1"/>
    <col min="23" max="23" width="23.5703125" style="32" hidden="1" customWidth="1" outlineLevel="1"/>
    <col min="24" max="24" width="10.42578125" style="32" hidden="1" customWidth="1" outlineLevel="1"/>
    <col min="25" max="25" width="12.5703125" style="32" hidden="1" customWidth="1" outlineLevel="1"/>
    <col min="26" max="26" width="10.42578125" style="32" hidden="1" customWidth="1" outlineLevel="1"/>
    <col min="27" max="27" width="11.5703125" style="32" hidden="1" customWidth="1" outlineLevel="1"/>
    <col min="28" max="28" width="18.85546875" style="32" hidden="1" customWidth="1" outlineLevel="1"/>
    <col min="29" max="29" width="9.5703125" style="32" hidden="1" customWidth="1" outlineLevel="1"/>
    <col min="30" max="30" width="9.140625" style="32" collapsed="1"/>
    <col min="31" max="16384" width="9.140625" style="32"/>
  </cols>
  <sheetData>
    <row r="1" spans="3:29" s="18" customFormat="1" ht="14.6" hidden="1" customHeight="1" outlineLevel="1">
      <c r="C1" s="24" t="s">
        <v>870</v>
      </c>
      <c r="D1" s="24">
        <f>'Control Panel'!B12</f>
        <v>2019</v>
      </c>
      <c r="E1" s="18" t="s">
        <v>689</v>
      </c>
      <c r="F1" s="5">
        <f>'Control Panel'!B11</f>
        <v>43466</v>
      </c>
      <c r="H1" s="18" t="s">
        <v>691</v>
      </c>
      <c r="I1" s="5">
        <f>'Control Panel'!B9</f>
        <v>43465</v>
      </c>
      <c r="K1" s="18" t="s">
        <v>705</v>
      </c>
      <c r="L1" s="18">
        <f>'Control Panel'!B13-'Control Panel'!B12+1</f>
        <v>6</v>
      </c>
    </row>
    <row r="2" spans="3:29" s="18" customFormat="1" ht="14.6" hidden="1" customHeight="1" outlineLevel="1">
      <c r="C2" s="24" t="s">
        <v>871</v>
      </c>
      <c r="D2" s="24">
        <f>'Financial summary'!E5</f>
        <v>1</v>
      </c>
      <c r="H2" s="18" t="s">
        <v>693</v>
      </c>
      <c r="I2" s="27">
        <f>'Control Panel'!B5</f>
        <v>5</v>
      </c>
      <c r="K2" s="18" t="s">
        <v>1555</v>
      </c>
      <c r="L2" s="18">
        <f>stub_quarter+1</f>
        <v>5</v>
      </c>
    </row>
    <row r="3" spans="3:29" s="1" customFormat="1" ht="14.6" hidden="1" customHeight="1" outlineLevel="1"/>
    <row r="4" spans="3:29" s="1" customFormat="1" ht="14.6" hidden="1" customHeight="1" outlineLevel="1">
      <c r="C4" s="1" t="s">
        <v>692</v>
      </c>
      <c r="E4" s="1">
        <v>1</v>
      </c>
      <c r="F4" s="1">
        <f>E4+1</f>
        <v>2</v>
      </c>
      <c r="G4" s="1">
        <f t="shared" ref="G4:AC4" si="0">F4+1</f>
        <v>3</v>
      </c>
      <c r="H4" s="1">
        <f t="shared" si="0"/>
        <v>4</v>
      </c>
      <c r="I4" s="1">
        <f t="shared" si="0"/>
        <v>5</v>
      </c>
      <c r="J4" s="1">
        <f t="shared" si="0"/>
        <v>6</v>
      </c>
      <c r="K4" s="1">
        <f t="shared" si="0"/>
        <v>7</v>
      </c>
      <c r="L4" s="1">
        <f t="shared" si="0"/>
        <v>8</v>
      </c>
      <c r="M4" s="1">
        <f t="shared" si="0"/>
        <v>9</v>
      </c>
      <c r="N4" s="1">
        <f t="shared" si="0"/>
        <v>10</v>
      </c>
      <c r="O4" s="1">
        <f t="shared" si="0"/>
        <v>11</v>
      </c>
      <c r="P4" s="1">
        <f t="shared" si="0"/>
        <v>12</v>
      </c>
      <c r="Q4" s="1">
        <f t="shared" si="0"/>
        <v>13</v>
      </c>
      <c r="R4" s="1">
        <f t="shared" si="0"/>
        <v>14</v>
      </c>
      <c r="S4" s="1">
        <f t="shared" si="0"/>
        <v>15</v>
      </c>
      <c r="T4" s="1">
        <f t="shared" si="0"/>
        <v>16</v>
      </c>
      <c r="U4" s="1">
        <f t="shared" si="0"/>
        <v>17</v>
      </c>
      <c r="V4" s="1">
        <f t="shared" si="0"/>
        <v>18</v>
      </c>
      <c r="W4" s="1">
        <f t="shared" si="0"/>
        <v>19</v>
      </c>
      <c r="X4" s="1">
        <f t="shared" si="0"/>
        <v>20</v>
      </c>
      <c r="Y4" s="1">
        <f t="shared" si="0"/>
        <v>21</v>
      </c>
      <c r="Z4" s="1">
        <f t="shared" si="0"/>
        <v>22</v>
      </c>
      <c r="AA4" s="1">
        <f t="shared" si="0"/>
        <v>23</v>
      </c>
      <c r="AB4" s="1">
        <f t="shared" si="0"/>
        <v>24</v>
      </c>
      <c r="AC4" s="1">
        <f t="shared" si="0"/>
        <v>25</v>
      </c>
    </row>
    <row r="5" spans="3:29" s="1" customFormat="1" ht="14.6" hidden="1" customHeight="1" outlineLevel="1">
      <c r="C5" s="1" t="s">
        <v>719</v>
      </c>
      <c r="E5" s="29">
        <f>DATE('Control Panel'!B4,'Control Panel'!B6,'Control Panel'!B7)</f>
        <v>42004</v>
      </c>
      <c r="F5" s="29">
        <f>F6*EOMONTH(E5,12)+F7*$I$1+F8*$F$1+IF(F9*E8,DATE($D$1,'Control Panel'!$B$6,'Control Panel'!$B$7),F9*EOMONTH(E5,12))</f>
        <v>42369</v>
      </c>
      <c r="G5" s="29">
        <f>G6*EOMONTH(F5,12)+G7*$I$1+G8*$F$1+IF(G9*F8,DATE($D$1,'Control Panel'!$B$6,'Control Panel'!$B$7),G9*EOMONTH(F5,12))</f>
        <v>42735</v>
      </c>
      <c r="H5" s="29">
        <f>H6*EOMONTH(G5,12)+H7*$I$1+H8*$F$1+IF(H9*G8,DATE($D$1,'Control Panel'!$B$6,'Control Panel'!$B$7),H9*EOMONTH(G5,12))</f>
        <v>43100</v>
      </c>
      <c r="I5" s="29">
        <f>I6*EOMONTH(H5,12)+I7*$I$1+I8*$F$1+IF(I9*H8,DATE($D$1,'Control Panel'!$B$6,'Control Panel'!$B$7),I9*EOMONTH(H5,12))</f>
        <v>43465</v>
      </c>
      <c r="J5" s="29">
        <f>J6*EOMONTH(I5,12)+J7*$I$1+J8*$F$1+IF(J9*I8,DATE($D$1,'Control Panel'!$B$6,'Control Panel'!$B$7),J9*EOMONTH(I5,12))</f>
        <v>43466</v>
      </c>
      <c r="K5" s="29">
        <f>K6*EOMONTH(J5,12)+K7*$I$1+K8*$F$1+IF(K9*J8,DATE(YEAR(J5),'Control Panel'!$B$6,'Control Panel'!$B$7),K9*EOMONTH(J5,12))</f>
        <v>43830</v>
      </c>
      <c r="L5" s="29">
        <f>L6*EOMONTH(K5,12)+L7*$I$1+L8*$F$1+IF(L9*K8,DATE(YEAR(K5),'Control Panel'!$B$6,'Control Panel'!$B$7),L9*EOMONTH(K5,12))</f>
        <v>44196</v>
      </c>
      <c r="M5" s="29">
        <f>M6*EOMONTH(L5,12)+M7*$I$1+M8*$F$1+IF(M9*L8,DATE(YEAR(L5),'Control Panel'!$B$6,'Control Panel'!$B$7),M9*EOMONTH(L5,12))</f>
        <v>44561</v>
      </c>
      <c r="N5" s="29">
        <f>N6*EOMONTH(M5,12)+N7*$I$1+N8*$F$1+IF(N9*M8,DATE(YEAR(M5),'Control Panel'!$B$6,'Control Panel'!$B$7),N9*EOMONTH(M5,12))</f>
        <v>44926</v>
      </c>
      <c r="O5" s="29">
        <f>O6*EOMONTH(N5,12)+O7*$I$1+O8*$F$1+IF(O9*N8,DATE(YEAR(N5),'Control Panel'!$B$6,'Control Panel'!$B$7),O9*EOMONTH(N5,12))</f>
        <v>45291</v>
      </c>
      <c r="P5" s="29">
        <f>P6*EOMONTH(O5,12)+P7*$I$1+P8*$F$1+IF(P9*O8,DATE(YEAR(O5),'Control Panel'!$B$6,'Control Panel'!$B$7),P9*EOMONTH(O5,12))</f>
        <v>45657</v>
      </c>
      <c r="Q5" s="29">
        <f>Q6*EOMONTH(P5,12)+Q7*$I$1+Q8*$F$1+IF(Q9*P8,DATE(YEAR(P5),'Control Panel'!$B$6,'Control Panel'!$B$7),Q9*EOMONTH(P5,12))</f>
        <v>0</v>
      </c>
      <c r="R5" s="29">
        <f>R6*EOMONTH(Q5,12)+R7*$I$1+R8*$F$1+IF(R9*Q8,DATE(YEAR(Q5),'Control Panel'!$B$6,'Control Panel'!$B$7),R9*EOMONTH(Q5,12))</f>
        <v>0</v>
      </c>
      <c r="S5" s="29">
        <f>S6*EOMONTH(R5,12)+S7*$I$1+S8*$F$1+IF(S9*R8,DATE(YEAR(R5),'Control Panel'!$B$6,'Control Panel'!$B$7),S9*EOMONTH(R5,12))</f>
        <v>0</v>
      </c>
      <c r="T5" s="29">
        <f>T6*EOMONTH(S5,12)+T7*$I$1+T8*$F$1+IF(T9*S8,DATE(YEAR(S5),'Control Panel'!$B$6,'Control Panel'!$B$7),T9*EOMONTH(S5,12))</f>
        <v>0</v>
      </c>
      <c r="U5" s="29">
        <f>U6*EOMONTH(T5,12)+U7*$I$1+U8*$F$1+IF(U9*T8,DATE(YEAR(T5),'Control Panel'!$B$6,'Control Panel'!$B$7),U9*EOMONTH(T5,12))</f>
        <v>0</v>
      </c>
      <c r="V5" s="29">
        <f>V6*EOMONTH(U5,12)+V7*$I$1+V8*$F$1+IF(V9*U8,DATE(YEAR(U5),'Control Panel'!$B$6,'Control Panel'!$B$7),V9*EOMONTH(U5,12))</f>
        <v>0</v>
      </c>
      <c r="W5" s="29">
        <f>W6*EOMONTH(V5,12)+W7*$I$1+W8*$F$1+IF(W9*V8,DATE(YEAR(V5),'Control Panel'!$B$6,'Control Panel'!$B$7),W9*EOMONTH(V5,12))</f>
        <v>0</v>
      </c>
      <c r="X5" s="29">
        <f>X6*EOMONTH(W5,12)+X7*$I$1+X8*$F$1+IF(X9*W8,DATE(YEAR(W5),'Control Panel'!$B$6,'Control Panel'!$B$7),X9*EOMONTH(W5,12))</f>
        <v>0</v>
      </c>
      <c r="Y5" s="29">
        <f>Y6*EOMONTH(X5,12)+Y7*$I$1+Y8*$F$1+IF(Y9*X8,DATE(YEAR(X5),'Control Panel'!$B$6,'Control Panel'!$B$7),Y9*EOMONTH(X5,12))</f>
        <v>0</v>
      </c>
      <c r="Z5" s="29">
        <f>Z6*EOMONTH(Y5,12)+Z7*$I$1+Z8*$F$1+IF(Z9*Y8,DATE(YEAR(Y5),'Control Panel'!$B$6,'Control Panel'!$B$7),Z9*EOMONTH(Y5,12))</f>
        <v>0</v>
      </c>
      <c r="AA5" s="29">
        <f>AA6*EOMONTH(Z5,12)+AA7*$I$1+AA8*$F$1+IF(AA9*Z8,DATE(YEAR(Z5),'Control Panel'!$B$6,'Control Panel'!$B$7),AA9*EOMONTH(Z5,12))</f>
        <v>0</v>
      </c>
      <c r="AB5" s="29">
        <f>AB6*EOMONTH(AA5,12)+AB7*$I$1+AB8*$F$1+IF(AB9*AA8,DATE(YEAR(AA5),'Control Panel'!$B$6,'Control Panel'!$B$7),AB9*EOMONTH(AA5,12))</f>
        <v>0</v>
      </c>
      <c r="AC5" s="29">
        <f>AC6*EOMONTH(AB5,12)+AC7*$I$1+AC8*$F$1+IF(AC9*AB8,DATE(YEAR(AB5),'Control Panel'!$B$6,'Control Panel'!$B$7),AC9*EOMONTH(AB5,12))</f>
        <v>0</v>
      </c>
    </row>
    <row r="6" spans="3:29" s="1" customFormat="1" ht="14.6" hidden="1" customHeight="1" outlineLevel="1">
      <c r="C6" s="1" t="s">
        <v>686</v>
      </c>
      <c r="E6" s="1" t="b">
        <f t="shared" ref="E6:AC6" si="1">E4&lt;=$I$2</f>
        <v>1</v>
      </c>
      <c r="F6" s="1" t="b">
        <f t="shared" si="1"/>
        <v>1</v>
      </c>
      <c r="G6" s="1" t="b">
        <f t="shared" si="1"/>
        <v>1</v>
      </c>
      <c r="H6" s="1" t="b">
        <f t="shared" si="1"/>
        <v>1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1" t="b">
        <f t="shared" si="1"/>
        <v>0</v>
      </c>
      <c r="S6" s="1" t="b">
        <f t="shared" si="1"/>
        <v>0</v>
      </c>
      <c r="T6" s="1" t="b">
        <f t="shared" si="1"/>
        <v>0</v>
      </c>
      <c r="U6" s="1" t="b">
        <f t="shared" si="1"/>
        <v>0</v>
      </c>
      <c r="V6" s="1" t="b">
        <f t="shared" si="1"/>
        <v>0</v>
      </c>
      <c r="W6" s="1" t="b">
        <f t="shared" si="1"/>
        <v>0</v>
      </c>
      <c r="X6" s="1" t="b">
        <f t="shared" si="1"/>
        <v>0</v>
      </c>
      <c r="Y6" s="1" t="b">
        <f t="shared" si="1"/>
        <v>0</v>
      </c>
      <c r="Z6" s="1" t="b">
        <f t="shared" si="1"/>
        <v>0</v>
      </c>
      <c r="AA6" s="1" t="b">
        <f t="shared" si="1"/>
        <v>0</v>
      </c>
      <c r="AB6" s="1" t="b">
        <f t="shared" si="1"/>
        <v>0</v>
      </c>
      <c r="AC6" s="1" t="b">
        <f t="shared" si="1"/>
        <v>0</v>
      </c>
    </row>
    <row r="7" spans="3:29" s="1" customFormat="1" ht="14.6" hidden="1" customHeight="1" outlineLevel="1">
      <c r="C7" s="1" t="s">
        <v>687</v>
      </c>
      <c r="E7" s="1" t="b">
        <f t="shared" ref="E7:AC7" si="2">(E4=$I$2+1)*stub_switch=1</f>
        <v>0</v>
      </c>
      <c r="F7" s="1" t="b">
        <f t="shared" si="2"/>
        <v>0</v>
      </c>
      <c r="G7" s="1" t="b">
        <f t="shared" si="2"/>
        <v>0</v>
      </c>
      <c r="H7" s="1" t="b">
        <f t="shared" si="2"/>
        <v>0</v>
      </c>
      <c r="I7" s="1" t="b">
        <f t="shared" si="2"/>
        <v>0</v>
      </c>
      <c r="J7" s="1" t="b">
        <f t="shared" si="2"/>
        <v>0</v>
      </c>
      <c r="K7" s="1" t="b">
        <f t="shared" si="2"/>
        <v>0</v>
      </c>
      <c r="L7" s="1" t="b">
        <f t="shared" si="2"/>
        <v>0</v>
      </c>
      <c r="M7" s="1" t="b">
        <f t="shared" si="2"/>
        <v>0</v>
      </c>
      <c r="N7" s="1" t="b">
        <f t="shared" si="2"/>
        <v>0</v>
      </c>
      <c r="O7" s="1" t="b">
        <f t="shared" si="2"/>
        <v>0</v>
      </c>
      <c r="P7" s="1" t="b">
        <f t="shared" si="2"/>
        <v>0</v>
      </c>
      <c r="Q7" s="1" t="b">
        <f t="shared" si="2"/>
        <v>0</v>
      </c>
      <c r="R7" s="1" t="b">
        <f t="shared" si="2"/>
        <v>0</v>
      </c>
      <c r="S7" s="1" t="b">
        <f t="shared" si="2"/>
        <v>0</v>
      </c>
      <c r="T7" s="1" t="b">
        <f t="shared" si="2"/>
        <v>0</v>
      </c>
      <c r="U7" s="1" t="b">
        <f t="shared" si="2"/>
        <v>0</v>
      </c>
      <c r="V7" s="1" t="b">
        <f t="shared" si="2"/>
        <v>0</v>
      </c>
      <c r="W7" s="1" t="b">
        <f t="shared" si="2"/>
        <v>0</v>
      </c>
      <c r="X7" s="1" t="b">
        <f t="shared" si="2"/>
        <v>0</v>
      </c>
      <c r="Y7" s="1" t="b">
        <f t="shared" si="2"/>
        <v>0</v>
      </c>
      <c r="Z7" s="1" t="b">
        <f t="shared" si="2"/>
        <v>0</v>
      </c>
      <c r="AA7" s="1" t="b">
        <f t="shared" si="2"/>
        <v>0</v>
      </c>
      <c r="AB7" s="1" t="b">
        <f t="shared" si="2"/>
        <v>0</v>
      </c>
      <c r="AC7" s="1" t="b">
        <f t="shared" si="2"/>
        <v>0</v>
      </c>
    </row>
    <row r="8" spans="3:29" s="1" customFormat="1" ht="14.6" hidden="1" customHeight="1" outlineLevel="1">
      <c r="C8" s="1" t="s">
        <v>688</v>
      </c>
      <c r="E8" s="1" t="b">
        <f t="shared" ref="E8:AC8" si="3">E4=$I$2+1+1*stub_switch</f>
        <v>0</v>
      </c>
      <c r="F8" s="1" t="b">
        <f t="shared" si="3"/>
        <v>0</v>
      </c>
      <c r="G8" s="1" t="b">
        <f t="shared" si="3"/>
        <v>0</v>
      </c>
      <c r="H8" s="1" t="b">
        <f t="shared" si="3"/>
        <v>0</v>
      </c>
      <c r="I8" s="1" t="b">
        <f t="shared" si="3"/>
        <v>0</v>
      </c>
      <c r="J8" s="1" t="b">
        <f t="shared" si="3"/>
        <v>1</v>
      </c>
      <c r="K8" s="1" t="b">
        <f t="shared" si="3"/>
        <v>0</v>
      </c>
      <c r="L8" s="1" t="b">
        <f t="shared" si="3"/>
        <v>0</v>
      </c>
      <c r="M8" s="1" t="b">
        <f t="shared" si="3"/>
        <v>0</v>
      </c>
      <c r="N8" s="1" t="b">
        <f t="shared" si="3"/>
        <v>0</v>
      </c>
      <c r="O8" s="1" t="b">
        <f t="shared" si="3"/>
        <v>0</v>
      </c>
      <c r="P8" s="1" t="b">
        <f t="shared" si="3"/>
        <v>0</v>
      </c>
      <c r="Q8" s="1" t="b">
        <f t="shared" si="3"/>
        <v>0</v>
      </c>
      <c r="R8" s="1" t="b">
        <f t="shared" si="3"/>
        <v>0</v>
      </c>
      <c r="S8" s="1" t="b">
        <f t="shared" si="3"/>
        <v>0</v>
      </c>
      <c r="T8" s="1" t="b">
        <f t="shared" si="3"/>
        <v>0</v>
      </c>
      <c r="U8" s="1" t="b">
        <f t="shared" si="3"/>
        <v>0</v>
      </c>
      <c r="V8" s="1" t="b">
        <f t="shared" si="3"/>
        <v>0</v>
      </c>
      <c r="W8" s="1" t="b">
        <f t="shared" si="3"/>
        <v>0</v>
      </c>
      <c r="X8" s="1" t="b">
        <f t="shared" si="3"/>
        <v>0</v>
      </c>
      <c r="Y8" s="1" t="b">
        <f t="shared" si="3"/>
        <v>0</v>
      </c>
      <c r="Z8" s="1" t="b">
        <f t="shared" si="3"/>
        <v>0</v>
      </c>
      <c r="AA8" s="1" t="b">
        <f t="shared" si="3"/>
        <v>0</v>
      </c>
      <c r="AB8" s="1" t="b">
        <f t="shared" si="3"/>
        <v>0</v>
      </c>
      <c r="AC8" s="1" t="b">
        <f t="shared" si="3"/>
        <v>0</v>
      </c>
    </row>
    <row r="9" spans="3:29" s="1" customFormat="1" ht="14.6" hidden="1" customHeight="1" outlineLevel="1">
      <c r="C9" s="1" t="s">
        <v>694</v>
      </c>
      <c r="E9" s="1" t="b">
        <f t="shared" ref="E9:AC9" si="4">AND(E4&gt;$I$2+1+1*stub_switch,E4&lt;=$L$1+$I$2+1+1*stub_switch)</f>
        <v>0</v>
      </c>
      <c r="F9" s="1" t="b">
        <f t="shared" si="4"/>
        <v>0</v>
      </c>
      <c r="G9" s="1" t="b">
        <f t="shared" si="4"/>
        <v>0</v>
      </c>
      <c r="H9" s="1" t="b">
        <f t="shared" si="4"/>
        <v>0</v>
      </c>
      <c r="I9" s="1" t="b">
        <f t="shared" si="4"/>
        <v>0</v>
      </c>
      <c r="J9" s="1" t="b">
        <f t="shared" si="4"/>
        <v>0</v>
      </c>
      <c r="K9" s="1" t="b">
        <f t="shared" si="4"/>
        <v>1</v>
      </c>
      <c r="L9" s="1" t="b">
        <f t="shared" si="4"/>
        <v>1</v>
      </c>
      <c r="M9" s="1" t="b">
        <f t="shared" si="4"/>
        <v>1</v>
      </c>
      <c r="N9" s="1" t="b">
        <f t="shared" si="4"/>
        <v>1</v>
      </c>
      <c r="O9" s="1" t="b">
        <f t="shared" si="4"/>
        <v>1</v>
      </c>
      <c r="P9" s="1" t="b">
        <f t="shared" si="4"/>
        <v>1</v>
      </c>
      <c r="Q9" s="1" t="b">
        <f t="shared" si="4"/>
        <v>0</v>
      </c>
      <c r="R9" s="1" t="b">
        <f t="shared" si="4"/>
        <v>0</v>
      </c>
      <c r="S9" s="1" t="b">
        <f t="shared" si="4"/>
        <v>0</v>
      </c>
      <c r="T9" s="1" t="b">
        <f t="shared" si="4"/>
        <v>0</v>
      </c>
      <c r="U9" s="1" t="b">
        <f t="shared" si="4"/>
        <v>0</v>
      </c>
      <c r="V9" s="1" t="b">
        <f t="shared" si="4"/>
        <v>0</v>
      </c>
      <c r="W9" s="1" t="b">
        <f t="shared" si="4"/>
        <v>0</v>
      </c>
      <c r="X9" s="1" t="b">
        <f t="shared" si="4"/>
        <v>0</v>
      </c>
      <c r="Y9" s="1" t="b">
        <f t="shared" si="4"/>
        <v>0</v>
      </c>
      <c r="Z9" s="1" t="b">
        <f t="shared" si="4"/>
        <v>0</v>
      </c>
      <c r="AA9" s="1" t="b">
        <f t="shared" si="4"/>
        <v>0</v>
      </c>
      <c r="AB9" s="1" t="b">
        <f t="shared" si="4"/>
        <v>0</v>
      </c>
      <c r="AC9" s="1" t="b">
        <f t="shared" si="4"/>
        <v>0</v>
      </c>
    </row>
    <row r="10" spans="3:29" s="1" customFormat="1" ht="14.6" hidden="1" customHeight="1" outlineLevel="1">
      <c r="E10" s="110">
        <f>YEAR(E5)</f>
        <v>2014</v>
      </c>
      <c r="F10" s="110">
        <f t="shared" ref="F10:AC10" si="5">YEAR(F5)</f>
        <v>2015</v>
      </c>
      <c r="G10" s="110">
        <f t="shared" si="5"/>
        <v>2016</v>
      </c>
      <c r="H10" s="110">
        <f t="shared" si="5"/>
        <v>2017</v>
      </c>
      <c r="I10" s="110">
        <f t="shared" si="5"/>
        <v>2018</v>
      </c>
      <c r="J10" s="110">
        <f t="shared" si="5"/>
        <v>2019</v>
      </c>
      <c r="K10" s="110">
        <f t="shared" si="5"/>
        <v>2019</v>
      </c>
      <c r="L10" s="110">
        <f t="shared" si="5"/>
        <v>2020</v>
      </c>
      <c r="M10" s="110">
        <f t="shared" si="5"/>
        <v>2021</v>
      </c>
      <c r="N10" s="110">
        <f t="shared" si="5"/>
        <v>2022</v>
      </c>
      <c r="O10" s="110">
        <f t="shared" si="5"/>
        <v>2023</v>
      </c>
      <c r="P10" s="110">
        <f t="shared" si="5"/>
        <v>2024</v>
      </c>
      <c r="Q10" s="110">
        <f t="shared" si="5"/>
        <v>1900</v>
      </c>
      <c r="R10" s="110">
        <f t="shared" si="5"/>
        <v>1900</v>
      </c>
      <c r="S10" s="110">
        <f t="shared" si="5"/>
        <v>1900</v>
      </c>
      <c r="T10" s="110">
        <f t="shared" si="5"/>
        <v>1900</v>
      </c>
      <c r="U10" s="110">
        <f t="shared" si="5"/>
        <v>1900</v>
      </c>
      <c r="V10" s="110">
        <f t="shared" si="5"/>
        <v>1900</v>
      </c>
      <c r="W10" s="110">
        <f t="shared" si="5"/>
        <v>1900</v>
      </c>
      <c r="X10" s="110">
        <f t="shared" si="5"/>
        <v>1900</v>
      </c>
      <c r="Y10" s="110">
        <f t="shared" si="5"/>
        <v>1900</v>
      </c>
      <c r="Z10" s="110">
        <f t="shared" si="5"/>
        <v>1900</v>
      </c>
      <c r="AA10" s="110">
        <f t="shared" si="5"/>
        <v>1900</v>
      </c>
      <c r="AB10" s="110">
        <f t="shared" si="5"/>
        <v>1900</v>
      </c>
      <c r="AC10" s="110">
        <f t="shared" si="5"/>
        <v>1900</v>
      </c>
    </row>
    <row r="11" spans="3:29" s="1" customFormat="1" ht="14.6" hidden="1" customHeight="1" collapsed="1"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3:29" s="1" customFormat="1" ht="14.6" hidden="1" customHeight="1"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3:29" s="1" customFormat="1" ht="14.6" hidden="1" customHeight="1"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3:29" s="1" customFormat="1" ht="14.6" hidden="1" customHeight="1"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3:29" ht="16.600000000000001">
      <c r="C15" s="196" t="str">
        <f>CONCATENATE("Project ",project_name," - Balance Sheet")</f>
        <v>Project  - Balance Sheet</v>
      </c>
    </row>
    <row r="16" spans="3:29">
      <c r="C16" s="194" t="str">
        <f>CONCATENATE("In ",model_curr," thousand unless otherwise stated")</f>
        <v>In USD thousand unless otherwise stated</v>
      </c>
    </row>
    <row r="17" spans="1:29" ht="13.7">
      <c r="C17" s="209"/>
      <c r="D17" s="209"/>
      <c r="E17" s="178" t="str">
        <f>CONCATENATE(YEAR(E5),LEFT(E19,1))</f>
        <v>2014A</v>
      </c>
      <c r="F17" s="178" t="str">
        <f t="shared" ref="F17:AC17" si="6">CONCATENATE(YEAR(F5),LEFT(F19,1))</f>
        <v>2015A</v>
      </c>
      <c r="G17" s="178" t="str">
        <f t="shared" si="6"/>
        <v>2016A</v>
      </c>
      <c r="H17" s="178" t="str">
        <f t="shared" si="6"/>
        <v>2017A</v>
      </c>
      <c r="I17" s="178" t="str">
        <f t="shared" si="6"/>
        <v>2018A</v>
      </c>
      <c r="J17" s="178" t="str">
        <f t="shared" si="6"/>
        <v>2019C</v>
      </c>
      <c r="K17" s="178" t="str">
        <f t="shared" si="6"/>
        <v>2019F</v>
      </c>
      <c r="L17" s="178" t="str">
        <f t="shared" si="6"/>
        <v>2020F</v>
      </c>
      <c r="M17" s="178" t="str">
        <f t="shared" si="6"/>
        <v>2021F</v>
      </c>
      <c r="N17" s="178" t="str">
        <f t="shared" si="6"/>
        <v>2022F</v>
      </c>
      <c r="O17" s="178" t="str">
        <f t="shared" si="6"/>
        <v>2023F</v>
      </c>
      <c r="P17" s="178" t="str">
        <f t="shared" si="6"/>
        <v>2024F</v>
      </c>
      <c r="Q17" s="178" t="e">
        <f t="shared" si="6"/>
        <v>#N/A</v>
      </c>
      <c r="R17" s="178" t="e">
        <f t="shared" si="6"/>
        <v>#N/A</v>
      </c>
      <c r="S17" s="178" t="e">
        <f t="shared" si="6"/>
        <v>#N/A</v>
      </c>
      <c r="T17" s="178" t="e">
        <f t="shared" si="6"/>
        <v>#N/A</v>
      </c>
      <c r="U17" s="178" t="e">
        <f t="shared" si="6"/>
        <v>#N/A</v>
      </c>
      <c r="V17" s="178" t="e">
        <f t="shared" si="6"/>
        <v>#N/A</v>
      </c>
      <c r="W17" s="178" t="e">
        <f t="shared" si="6"/>
        <v>#N/A</v>
      </c>
      <c r="X17" s="178" t="e">
        <f t="shared" si="6"/>
        <v>#N/A</v>
      </c>
      <c r="Y17" s="178" t="e">
        <f t="shared" si="6"/>
        <v>#N/A</v>
      </c>
      <c r="Z17" s="178" t="e">
        <f t="shared" si="6"/>
        <v>#N/A</v>
      </c>
      <c r="AA17" s="178" t="e">
        <f t="shared" si="6"/>
        <v>#N/A</v>
      </c>
      <c r="AB17" s="178" t="e">
        <f t="shared" si="6"/>
        <v>#N/A</v>
      </c>
      <c r="AC17" s="178" t="e">
        <f t="shared" si="6"/>
        <v>#N/A</v>
      </c>
    </row>
    <row r="18" spans="1:29" ht="13.7">
      <c r="C18" s="198"/>
      <c r="D18" s="198"/>
      <c r="E18" s="198">
        <f>E5</f>
        <v>42004</v>
      </c>
      <c r="F18" s="198">
        <f t="shared" ref="F18:AC18" si="7">F5</f>
        <v>42369</v>
      </c>
      <c r="G18" s="198">
        <f t="shared" si="7"/>
        <v>42735</v>
      </c>
      <c r="H18" s="198">
        <f t="shared" si="7"/>
        <v>43100</v>
      </c>
      <c r="I18" s="198">
        <f t="shared" si="7"/>
        <v>43465</v>
      </c>
      <c r="J18" s="198">
        <f t="shared" si="7"/>
        <v>43466</v>
      </c>
      <c r="K18" s="198">
        <f t="shared" si="7"/>
        <v>43830</v>
      </c>
      <c r="L18" s="198">
        <f t="shared" si="7"/>
        <v>44196</v>
      </c>
      <c r="M18" s="198">
        <f t="shared" si="7"/>
        <v>44561</v>
      </c>
      <c r="N18" s="198">
        <f t="shared" si="7"/>
        <v>44926</v>
      </c>
      <c r="O18" s="198">
        <f t="shared" si="7"/>
        <v>45291</v>
      </c>
      <c r="P18" s="198">
        <f t="shared" si="7"/>
        <v>45657</v>
      </c>
      <c r="Q18" s="198">
        <f t="shared" si="7"/>
        <v>0</v>
      </c>
      <c r="R18" s="198">
        <f t="shared" si="7"/>
        <v>0</v>
      </c>
      <c r="S18" s="198">
        <f t="shared" si="7"/>
        <v>0</v>
      </c>
      <c r="T18" s="198">
        <f t="shared" si="7"/>
        <v>0</v>
      </c>
      <c r="U18" s="198">
        <f t="shared" si="7"/>
        <v>0</v>
      </c>
      <c r="V18" s="198">
        <f t="shared" si="7"/>
        <v>0</v>
      </c>
      <c r="W18" s="198">
        <f t="shared" si="7"/>
        <v>0</v>
      </c>
      <c r="X18" s="198">
        <f t="shared" si="7"/>
        <v>0</v>
      </c>
      <c r="Y18" s="198">
        <f t="shared" si="7"/>
        <v>0</v>
      </c>
      <c r="Z18" s="198">
        <f t="shared" si="7"/>
        <v>0</v>
      </c>
      <c r="AA18" s="198">
        <f t="shared" si="7"/>
        <v>0</v>
      </c>
      <c r="AB18" s="198">
        <f t="shared" si="7"/>
        <v>0</v>
      </c>
      <c r="AC18" s="198">
        <f t="shared" si="7"/>
        <v>0</v>
      </c>
    </row>
    <row r="19" spans="1:29" ht="13.7">
      <c r="C19" s="209"/>
      <c r="D19" s="209"/>
      <c r="E19" s="178" t="str">
        <f>INDEX($E$11:$E$14,MATCH(TRUE,E6:E9,0))</f>
        <v>Actual</v>
      </c>
      <c r="F19" s="178" t="str">
        <f t="shared" ref="F19:AC19" si="8">INDEX($E$11:$E$14,MATCH(TRUE,F6:F9,0))</f>
        <v>Actual</v>
      </c>
      <c r="G19" s="178" t="str">
        <f t="shared" si="8"/>
        <v>Actual</v>
      </c>
      <c r="H19" s="178" t="str">
        <f t="shared" si="8"/>
        <v>Actual</v>
      </c>
      <c r="I19" s="178" t="str">
        <f t="shared" si="8"/>
        <v>Actual</v>
      </c>
      <c r="J19" s="178" t="str">
        <f t="shared" si="8"/>
        <v>Combination</v>
      </c>
      <c r="K19" s="178" t="str">
        <f t="shared" si="8"/>
        <v>Forecast</v>
      </c>
      <c r="L19" s="178" t="str">
        <f t="shared" si="8"/>
        <v>Forecast</v>
      </c>
      <c r="M19" s="178" t="str">
        <f t="shared" si="8"/>
        <v>Forecast</v>
      </c>
      <c r="N19" s="178" t="str">
        <f t="shared" si="8"/>
        <v>Forecast</v>
      </c>
      <c r="O19" s="178" t="str">
        <f t="shared" si="8"/>
        <v>Forecast</v>
      </c>
      <c r="P19" s="178" t="str">
        <f t="shared" si="8"/>
        <v>Forecast</v>
      </c>
      <c r="Q19" s="178" t="e">
        <f t="shared" si="8"/>
        <v>#N/A</v>
      </c>
      <c r="R19" s="178" t="e">
        <f t="shared" si="8"/>
        <v>#N/A</v>
      </c>
      <c r="S19" s="178" t="e">
        <f t="shared" si="8"/>
        <v>#N/A</v>
      </c>
      <c r="T19" s="178" t="e">
        <f t="shared" si="8"/>
        <v>#N/A</v>
      </c>
      <c r="U19" s="178" t="e">
        <f t="shared" si="8"/>
        <v>#N/A</v>
      </c>
      <c r="V19" s="178" t="e">
        <f t="shared" si="8"/>
        <v>#N/A</v>
      </c>
      <c r="W19" s="178" t="e">
        <f t="shared" si="8"/>
        <v>#N/A</v>
      </c>
      <c r="X19" s="178" t="e">
        <f t="shared" si="8"/>
        <v>#N/A</v>
      </c>
      <c r="Y19" s="178" t="e">
        <f t="shared" si="8"/>
        <v>#N/A</v>
      </c>
      <c r="Z19" s="178" t="e">
        <f t="shared" si="8"/>
        <v>#N/A</v>
      </c>
      <c r="AA19" s="178" t="e">
        <f t="shared" si="8"/>
        <v>#N/A</v>
      </c>
      <c r="AB19" s="178" t="e">
        <f t="shared" si="8"/>
        <v>#N/A</v>
      </c>
      <c r="AC19" s="178" t="e">
        <f t="shared" si="8"/>
        <v>#N/A</v>
      </c>
    </row>
    <row r="20" spans="1:29" ht="13.7"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</row>
    <row r="21" spans="1:29" ht="13.7">
      <c r="B21" s="32" t="s">
        <v>831</v>
      </c>
      <c r="C21" s="222" t="str">
        <f>CONCATENATE("Balance Sheet (",model_curr,")")</f>
        <v>Balance Sheet (USD)</v>
      </c>
      <c r="D21" s="209"/>
      <c r="E21" s="178" t="str">
        <f>E17</f>
        <v>2014A</v>
      </c>
      <c r="F21" s="178" t="str">
        <f t="shared" ref="F21:L21" si="9">F17</f>
        <v>2015A</v>
      </c>
      <c r="G21" s="178" t="str">
        <f t="shared" si="9"/>
        <v>2016A</v>
      </c>
      <c r="H21" s="178" t="str">
        <f t="shared" si="9"/>
        <v>2017A</v>
      </c>
      <c r="I21" s="178" t="str">
        <f t="shared" si="9"/>
        <v>2018A</v>
      </c>
      <c r="J21" s="178" t="str">
        <f t="shared" si="9"/>
        <v>2019C</v>
      </c>
      <c r="K21" s="178" t="str">
        <f t="shared" si="9"/>
        <v>2019F</v>
      </c>
      <c r="L21" s="178" t="str">
        <f t="shared" si="9"/>
        <v>2020F</v>
      </c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</row>
    <row r="23" spans="1:29" ht="13.7">
      <c r="A23" s="256"/>
      <c r="B23" s="256"/>
      <c r="C23" s="181" t="s">
        <v>4</v>
      </c>
      <c r="D23" s="180"/>
      <c r="E23" s="180">
        <f>+E24+E29+E33+E37+E41+E44+E48</f>
        <v>0</v>
      </c>
      <c r="F23" s="180">
        <f t="shared" ref="F23:P23" si="10">+F24+F29+F33+F37+F41+F44+F48</f>
        <v>0</v>
      </c>
      <c r="G23" s="180">
        <f t="shared" si="10"/>
        <v>0</v>
      </c>
      <c r="H23" s="180">
        <f t="shared" si="10"/>
        <v>0</v>
      </c>
      <c r="I23" s="180">
        <f t="shared" si="10"/>
        <v>0</v>
      </c>
      <c r="J23" s="180">
        <f t="shared" si="10"/>
        <v>0</v>
      </c>
      <c r="K23" s="180">
        <f t="shared" ca="1" si="10"/>
        <v>0</v>
      </c>
      <c r="L23" s="180">
        <f t="shared" ca="1" si="10"/>
        <v>0</v>
      </c>
      <c r="M23" s="180">
        <f t="shared" ca="1" si="10"/>
        <v>0</v>
      </c>
      <c r="N23" s="180">
        <f t="shared" ca="1" si="10"/>
        <v>0</v>
      </c>
      <c r="O23" s="180">
        <f t="shared" ca="1" si="10"/>
        <v>0</v>
      </c>
      <c r="P23" s="180">
        <f t="shared" ca="1" si="10"/>
        <v>0</v>
      </c>
      <c r="Q23" s="180">
        <f t="shared" ref="Q23" si="11">+Q24+Q29+Q33+Q37+Q41+Q44+Q48</f>
        <v>0</v>
      </c>
      <c r="X23" s="39"/>
      <c r="Y23" s="39"/>
      <c r="Z23" s="40"/>
    </row>
    <row r="24" spans="1:29" ht="13.7">
      <c r="A24" s="256"/>
      <c r="B24" s="256"/>
      <c r="C24" s="254" t="s">
        <v>891</v>
      </c>
      <c r="D24" s="255"/>
      <c r="E24" s="255">
        <f t="shared" ref="E24" si="12">SUM(E25:E28)</f>
        <v>0</v>
      </c>
      <c r="F24" s="255">
        <f t="shared" ref="F24:P24" si="13">SUM(F25:F28)</f>
        <v>0</v>
      </c>
      <c r="G24" s="255">
        <f t="shared" si="13"/>
        <v>0</v>
      </c>
      <c r="H24" s="255">
        <f t="shared" si="13"/>
        <v>0</v>
      </c>
      <c r="I24" s="255">
        <f t="shared" si="13"/>
        <v>0</v>
      </c>
      <c r="J24" s="255">
        <f t="shared" si="13"/>
        <v>0</v>
      </c>
      <c r="K24" s="255">
        <f t="shared" ca="1" si="13"/>
        <v>0</v>
      </c>
      <c r="L24" s="255">
        <f t="shared" ca="1" si="13"/>
        <v>0</v>
      </c>
      <c r="M24" s="255">
        <f t="shared" ca="1" si="13"/>
        <v>0</v>
      </c>
      <c r="N24" s="255">
        <f t="shared" ca="1" si="13"/>
        <v>0</v>
      </c>
      <c r="O24" s="255">
        <f t="shared" ca="1" si="13"/>
        <v>0</v>
      </c>
      <c r="P24" s="255">
        <f t="shared" ca="1" si="13"/>
        <v>0</v>
      </c>
      <c r="Q24" s="255">
        <f t="shared" ref="Q24" si="14">SUM(Q25:Q28)</f>
        <v>0</v>
      </c>
      <c r="X24" s="39"/>
      <c r="Y24" s="39"/>
      <c r="Z24" s="40"/>
    </row>
    <row r="25" spans="1:29" ht="13.7" hidden="1" outlineLevel="1">
      <c r="A25" s="256"/>
      <c r="B25" s="256"/>
      <c r="C25" s="254"/>
      <c r="D25" s="340" t="s">
        <v>1466</v>
      </c>
      <c r="E25" s="340">
        <f>IFERROR(E$6*'Historical BU1'!D42,0)*Currency_conversion_BU1-E28</f>
        <v>0</v>
      </c>
      <c r="F25" s="340">
        <f>IFERROR(F$6*'Historical BU1'!E42,0)*Currency_conversion_BU1-F28</f>
        <v>0</v>
      </c>
      <c r="G25" s="340">
        <f>IFERROR(G$6*'Historical BU1'!F42,0)*Currency_conversion_BU1-G28</f>
        <v>0</v>
      </c>
      <c r="H25" s="340">
        <f>IFERROR(H$6*'Historical BU1'!G42,0)*Currency_conversion_BU1-H28</f>
        <v>0</v>
      </c>
      <c r="I25" s="340">
        <f>IFERROR(I$6*'Historical BU1'!H42,0)*Currency_conversion_BU1-I28</f>
        <v>0</v>
      </c>
      <c r="J25" s="340">
        <f>IFERROR(J$6*'Historical BU1'!I42,0)*Currency_conversion_BU1-J28</f>
        <v>0</v>
      </c>
      <c r="K25" s="340">
        <f>IFERROR(K$6*'Historical BU1'!J42,0)*Currency_conversion_BU1-K28</f>
        <v>0</v>
      </c>
      <c r="L25" s="340">
        <f>IFERROR(L$6*'Historical BU1'!K42,0)*Currency_conversion_BU1-L28</f>
        <v>0</v>
      </c>
      <c r="M25" s="340">
        <f>IFERROR(M$6*'Historical BU1'!L42,0)*Currency_conversion_BU1-M28</f>
        <v>0</v>
      </c>
      <c r="N25" s="340">
        <f>IFERROR(N$6*'Historical BU1'!M42,0)*Currency_conversion_BU1-N28</f>
        <v>0</v>
      </c>
      <c r="O25" s="340">
        <f>IFERROR(O$6*'Historical BU1'!N42,0)*Currency_conversion_BU1-O28</f>
        <v>0</v>
      </c>
      <c r="P25" s="340">
        <f>IFERROR(P$6*'Historical BU1'!O42,0)*Currency_conversion_BU1-P28</f>
        <v>0</v>
      </c>
      <c r="Q25" s="340">
        <f>IFERROR(Q$6*'Historical BU1'!P42,0)*Currency_conversion_BU1-Q28</f>
        <v>0</v>
      </c>
      <c r="X25" s="39"/>
      <c r="Y25" s="39"/>
      <c r="Z25" s="40"/>
    </row>
    <row r="26" spans="1:29" ht="13.7" hidden="1" outlineLevel="1">
      <c r="A26" s="256"/>
      <c r="B26" s="256"/>
      <c r="C26" s="254"/>
      <c r="D26" s="340" t="s">
        <v>1095</v>
      </c>
      <c r="E26" s="340">
        <f>IFERROR(E$7*'Acquisition BS adjustments'!$C49,0)+IFERROR(E$8*'Acquisition BS adjustments'!$E49,0)</f>
        <v>0</v>
      </c>
      <c r="F26" s="340">
        <f>IFERROR(F$7*'Acquisition BS adjustments'!$C49,0)+IFERROR(F$8*'Acquisition BS adjustments'!$E49,0)</f>
        <v>0</v>
      </c>
      <c r="G26" s="340">
        <f>IFERROR(G$7*'Acquisition BS adjustments'!$C49,0)+IFERROR(G$8*'Acquisition BS adjustments'!$E49,0)</f>
        <v>0</v>
      </c>
      <c r="H26" s="340">
        <f>IFERROR(H$7*'Acquisition BS adjustments'!$C49,0)+IFERROR(H$8*'Acquisition BS adjustments'!$E49,0)</f>
        <v>0</v>
      </c>
      <c r="I26" s="340">
        <f>IFERROR(I$7*'Acquisition BS adjustments'!$C49,0)+IFERROR(I$8*'Acquisition BS adjustments'!$E49,0)</f>
        <v>0</v>
      </c>
      <c r="J26" s="340">
        <f>IFERROR(J$7*'Acquisition BS adjustments'!$C49,0)+IFERROR(J$8*'Acquisition BS adjustments'!$E49,0)</f>
        <v>0</v>
      </c>
      <c r="K26" s="340">
        <f>IFERROR(K$7*'Acquisition BS adjustments'!$C49,0)+IFERROR(K$8*'Acquisition BS adjustments'!$E49,0)</f>
        <v>0</v>
      </c>
      <c r="L26" s="340">
        <f>IFERROR(L$7*'Acquisition BS adjustments'!$C49,0)+IFERROR(L$8*'Acquisition BS adjustments'!$E49,0)</f>
        <v>0</v>
      </c>
      <c r="M26" s="340">
        <f>IFERROR(M$7*'Acquisition BS adjustments'!$C49,0)+IFERROR(M$8*'Acquisition BS adjustments'!$E49,0)</f>
        <v>0</v>
      </c>
      <c r="N26" s="340">
        <f>IFERROR(N$7*'Acquisition BS adjustments'!$C49,0)+IFERROR(N$8*'Acquisition BS adjustments'!$E49,0)</f>
        <v>0</v>
      </c>
      <c r="O26" s="340">
        <f>IFERROR(O$7*'Acquisition BS adjustments'!$C49,0)+IFERROR(O$8*'Acquisition BS adjustments'!$E49,0)</f>
        <v>0</v>
      </c>
      <c r="P26" s="340">
        <f>IFERROR(P$7*'Acquisition BS adjustments'!$C49,0)+IFERROR(P$8*'Acquisition BS adjustments'!$E49,0)</f>
        <v>0</v>
      </c>
      <c r="Q26" s="340">
        <f>IFERROR(Q$7*'Acquisition BS adjustments'!$C49,0)+IFERROR(Q$8*'Acquisition BS adjustments'!$E49,0)</f>
        <v>0</v>
      </c>
      <c r="X26" s="39"/>
      <c r="Y26" s="39"/>
      <c r="Z26" s="40"/>
    </row>
    <row r="27" spans="1:29" ht="13.7" hidden="1" outlineLevel="1">
      <c r="A27" s="256"/>
      <c r="B27" s="256"/>
      <c r="C27" s="254"/>
      <c r="D27" s="340" t="s">
        <v>1096</v>
      </c>
      <c r="E27" s="340">
        <f>+IFERROR(E9*INDEX('Financial Quarterly offshore'!95:95,MATCH('BS offshore'!E$5,'Financial Quarterly offshore'!4:4,0)),0)</f>
        <v>0</v>
      </c>
      <c r="F27" s="340">
        <f>+IFERROR(F9*INDEX('Financial Quarterly offshore'!95:95,MATCH('BS offshore'!F$5,'Financial Quarterly offshore'!4:4,0)),0)</f>
        <v>0</v>
      </c>
      <c r="G27" s="340">
        <f>+IFERROR(G9*INDEX('Financial Quarterly offshore'!95:95,MATCH('BS offshore'!G$5,'Financial Quarterly offshore'!4:4,0)),0)</f>
        <v>0</v>
      </c>
      <c r="H27" s="340">
        <f>+IFERROR(H9*INDEX('Financial Quarterly offshore'!95:95,MATCH('BS offshore'!H$5,'Financial Quarterly offshore'!4:4,0)),0)</f>
        <v>0</v>
      </c>
      <c r="I27" s="340">
        <f>+IFERROR(I9*INDEX('Financial Quarterly offshore'!95:95,MATCH('BS offshore'!I$5,'Financial Quarterly offshore'!4:4,0)),0)</f>
        <v>0</v>
      </c>
      <c r="J27" s="340">
        <f>+IFERROR(J9*INDEX('Financial Quarterly offshore'!95:95,MATCH('BS offshore'!J$5,'Financial Quarterly offshore'!4:4,0)),0)</f>
        <v>0</v>
      </c>
      <c r="K27" s="340">
        <f ca="1">+IFERROR(K9*INDEX('Financial Quarterly offshore'!95:95,MATCH('BS offshore'!K$5,'Financial Quarterly offshore'!4:4,0)),0)</f>
        <v>0</v>
      </c>
      <c r="L27" s="340">
        <f ca="1">+IFERROR(L9*INDEX('Financial Quarterly offshore'!95:95,MATCH('BS offshore'!L$5,'Financial Quarterly offshore'!4:4,0)),0)</f>
        <v>0</v>
      </c>
      <c r="M27" s="340">
        <f ca="1">+IFERROR(M9*INDEX('Financial Quarterly offshore'!95:95,MATCH('BS offshore'!M$5,'Financial Quarterly offshore'!4:4,0)),0)</f>
        <v>0</v>
      </c>
      <c r="N27" s="340">
        <f ca="1">+IFERROR(N9*INDEX('Financial Quarterly offshore'!95:95,MATCH('BS offshore'!N$5,'Financial Quarterly offshore'!4:4,0)),0)</f>
        <v>0</v>
      </c>
      <c r="O27" s="340">
        <f ca="1">+IFERROR(O9*INDEX('Financial Quarterly offshore'!95:95,MATCH('BS offshore'!O$5,'Financial Quarterly offshore'!4:4,0)),0)</f>
        <v>0</v>
      </c>
      <c r="P27" s="340">
        <f ca="1">+IFERROR(P9*INDEX('Financial Quarterly offshore'!95:95,MATCH('BS offshore'!P$5,'Financial Quarterly offshore'!4:4,0)),0)</f>
        <v>0</v>
      </c>
      <c r="Q27" s="340">
        <f>+IFERROR(Q9*INDEX('Financial Quarterly offshore'!95:95,MATCH('BS offshore'!Q$5,'Financial Quarterly offshore'!4:4,0)),0)</f>
        <v>0</v>
      </c>
      <c r="X27" s="39"/>
      <c r="Y27" s="39"/>
      <c r="Z27" s="40"/>
    </row>
    <row r="28" spans="1:29" s="324" customFormat="1" ht="13.7" hidden="1" outlineLevel="1">
      <c r="A28" s="323"/>
      <c r="B28" s="323"/>
      <c r="D28" s="225" t="s">
        <v>1093</v>
      </c>
      <c r="E28" s="197"/>
      <c r="F28" s="197"/>
      <c r="G28" s="197"/>
      <c r="H28" s="197"/>
      <c r="I28" s="197"/>
      <c r="J28" s="197"/>
      <c r="K28" s="197"/>
      <c r="L28" s="197"/>
      <c r="M28" s="197"/>
      <c r="N28" s="197"/>
      <c r="O28" s="197"/>
      <c r="P28" s="197"/>
      <c r="Q28" s="197"/>
      <c r="X28" s="325"/>
      <c r="Y28" s="325"/>
      <c r="Z28" s="326"/>
    </row>
    <row r="29" spans="1:29" ht="13.7" collapsed="1">
      <c r="A29" s="256"/>
      <c r="B29" s="256"/>
      <c r="C29" s="342" t="s">
        <v>1099</v>
      </c>
      <c r="D29" s="255"/>
      <c r="E29" s="255">
        <f>SUM(E30:E32)</f>
        <v>0</v>
      </c>
      <c r="F29" s="255">
        <f t="shared" ref="F29:P29" si="15">SUM(F30:F32)</f>
        <v>0</v>
      </c>
      <c r="G29" s="255">
        <f t="shared" si="15"/>
        <v>0</v>
      </c>
      <c r="H29" s="255">
        <f t="shared" si="15"/>
        <v>0</v>
      </c>
      <c r="I29" s="255">
        <f t="shared" si="15"/>
        <v>0</v>
      </c>
      <c r="J29" s="255">
        <f t="shared" si="15"/>
        <v>0</v>
      </c>
      <c r="K29" s="255">
        <f t="shared" si="15"/>
        <v>0</v>
      </c>
      <c r="L29" s="255">
        <f t="shared" si="15"/>
        <v>0</v>
      </c>
      <c r="M29" s="255">
        <f t="shared" si="15"/>
        <v>0</v>
      </c>
      <c r="N29" s="255">
        <f t="shared" si="15"/>
        <v>0</v>
      </c>
      <c r="O29" s="255">
        <f t="shared" si="15"/>
        <v>0</v>
      </c>
      <c r="P29" s="255">
        <f t="shared" si="15"/>
        <v>0</v>
      </c>
      <c r="Q29" s="255">
        <f t="shared" ref="Q29" si="16">SUM(Q30:Q32)</f>
        <v>0</v>
      </c>
      <c r="X29" s="42"/>
      <c r="Y29" s="42"/>
      <c r="Z29" s="42"/>
    </row>
    <row r="30" spans="1:29" ht="13.7" hidden="1" outlineLevel="1">
      <c r="A30" s="256"/>
      <c r="B30" s="256"/>
      <c r="C30" s="254"/>
      <c r="D30" s="340" t="s">
        <v>1094</v>
      </c>
      <c r="E30" s="341">
        <f>IFERROR(E$6*'Historical BU1'!D43,0)*Currency_conversion_BU1</f>
        <v>0</v>
      </c>
      <c r="F30" s="341">
        <f>IFERROR(F$6*'Historical BU1'!E43,0)*Currency_conversion_BU1</f>
        <v>0</v>
      </c>
      <c r="G30" s="341">
        <f>IFERROR(G$6*'Historical BU1'!F43,0)*Currency_conversion_BU1</f>
        <v>0</v>
      </c>
      <c r="H30" s="341">
        <f>IFERROR(H$6*'Historical BU1'!G43,0)*Currency_conversion_BU1</f>
        <v>0</v>
      </c>
      <c r="I30" s="341">
        <f>IFERROR(I$6*'Historical BU1'!H43,0)*Currency_conversion_BU1</f>
        <v>0</v>
      </c>
      <c r="J30" s="341">
        <f>IFERROR(J$6*'Historical BU1'!I43,0)*Currency_conversion_BU1</f>
        <v>0</v>
      </c>
      <c r="K30" s="341">
        <f>IFERROR(K$6*'Historical BU1'!J43,0)*Currency_conversion_BU1</f>
        <v>0</v>
      </c>
      <c r="L30" s="341">
        <f>IFERROR(L$6*'Historical BU1'!K43,0)*Currency_conversion_BU1</f>
        <v>0</v>
      </c>
      <c r="M30" s="341">
        <f>IFERROR(M$6*'Historical BU1'!L43,0)*Currency_conversion_BU1</f>
        <v>0</v>
      </c>
      <c r="N30" s="341">
        <f>IFERROR(N$6*'Historical BU1'!M43,0)*Currency_conversion_BU1</f>
        <v>0</v>
      </c>
      <c r="O30" s="341">
        <f>IFERROR(O$6*'Historical BU1'!N43,0)*Currency_conversion_BU1</f>
        <v>0</v>
      </c>
      <c r="P30" s="341">
        <f>IFERROR(P$6*'Historical BU1'!O43,0)*Currency_conversion_BU1</f>
        <v>0</v>
      </c>
      <c r="Q30" s="341">
        <f>IFERROR(Q$6*'Historical BU1'!P43,0)*Currency_conversion_BU1</f>
        <v>0</v>
      </c>
      <c r="X30" s="42"/>
      <c r="Y30" s="42"/>
      <c r="Z30" s="42"/>
    </row>
    <row r="31" spans="1:29" ht="13.7" hidden="1" outlineLevel="1">
      <c r="A31" s="256"/>
      <c r="B31" s="256"/>
      <c r="C31" s="254"/>
      <c r="D31" s="340" t="s">
        <v>1095</v>
      </c>
      <c r="E31" s="341">
        <f>+IFERROR(E$7*'Acquisition BS adjustments'!$C50,0)+IFERROR(E$8*'Acquisition BS adjustments'!$E50,0)</f>
        <v>0</v>
      </c>
      <c r="F31" s="341">
        <f>+IFERROR(F$7*'Acquisition BS adjustments'!$C50,0)+IFERROR(F$8*'Acquisition BS adjustments'!$E50,0)</f>
        <v>0</v>
      </c>
      <c r="G31" s="341">
        <f>+IFERROR(G$7*'Acquisition BS adjustments'!$C50,0)+IFERROR(G$8*'Acquisition BS adjustments'!$E50,0)</f>
        <v>0</v>
      </c>
      <c r="H31" s="341">
        <f>+IFERROR(H$7*'Acquisition BS adjustments'!$C50,0)+IFERROR(H$8*'Acquisition BS adjustments'!$E50,0)</f>
        <v>0</v>
      </c>
      <c r="I31" s="341">
        <f>+IFERROR(I$7*'Acquisition BS adjustments'!$C50,0)+IFERROR(I$8*'Acquisition BS adjustments'!$E50,0)</f>
        <v>0</v>
      </c>
      <c r="J31" s="341">
        <f>+IFERROR(J$7*'Acquisition BS adjustments'!$C50,0)+IFERROR(J$8*'Acquisition BS adjustments'!$E50,0)</f>
        <v>0</v>
      </c>
      <c r="K31" s="341">
        <f>+IFERROR(K$7*'Acquisition BS adjustments'!$C50,0)+IFERROR(K$8*'Acquisition BS adjustments'!$E50,0)</f>
        <v>0</v>
      </c>
      <c r="L31" s="341">
        <f>+IFERROR(L$7*'Acquisition BS adjustments'!$C50,0)+IFERROR(L$8*'Acquisition BS adjustments'!$E50,0)</f>
        <v>0</v>
      </c>
      <c r="M31" s="341">
        <f>+IFERROR(M$7*'Acquisition BS adjustments'!$C50,0)+IFERROR(M$8*'Acquisition BS adjustments'!$E50,0)</f>
        <v>0</v>
      </c>
      <c r="N31" s="341">
        <f>+IFERROR(N$7*'Acquisition BS adjustments'!$C50,0)+IFERROR(N$8*'Acquisition BS adjustments'!$E50,0)</f>
        <v>0</v>
      </c>
      <c r="O31" s="341">
        <f>+IFERROR(O$7*'Acquisition BS adjustments'!$C50,0)+IFERROR(O$8*'Acquisition BS adjustments'!$E50,0)</f>
        <v>0</v>
      </c>
      <c r="P31" s="341">
        <f>+IFERROR(P$7*'Acquisition BS adjustments'!$C50,0)+IFERROR(P$8*'Acquisition BS adjustments'!$E50,0)</f>
        <v>0</v>
      </c>
      <c r="Q31" s="341">
        <f>+IFERROR(Q$7*'Acquisition BS adjustments'!$C50,0)+IFERROR(Q$8*'Acquisition BS adjustments'!$E50,0)</f>
        <v>0</v>
      </c>
      <c r="X31" s="42"/>
      <c r="Y31" s="42"/>
      <c r="Z31" s="42"/>
    </row>
    <row r="32" spans="1:29" ht="13.7" hidden="1" outlineLevel="1">
      <c r="A32" s="256"/>
      <c r="B32" s="256"/>
      <c r="C32" s="254"/>
      <c r="D32" s="339" t="s">
        <v>1097</v>
      </c>
      <c r="E32" s="255">
        <f>+IFERROR(E9*D29,0)</f>
        <v>0</v>
      </c>
      <c r="F32" s="255">
        <f t="shared" ref="F32:Q32" si="17">+IFERROR(F9*E29,0)</f>
        <v>0</v>
      </c>
      <c r="G32" s="255">
        <f t="shared" si="17"/>
        <v>0</v>
      </c>
      <c r="H32" s="255">
        <f t="shared" si="17"/>
        <v>0</v>
      </c>
      <c r="I32" s="255">
        <f t="shared" si="17"/>
        <v>0</v>
      </c>
      <c r="J32" s="255">
        <f t="shared" si="17"/>
        <v>0</v>
      </c>
      <c r="K32" s="255">
        <f t="shared" si="17"/>
        <v>0</v>
      </c>
      <c r="L32" s="255">
        <f t="shared" si="17"/>
        <v>0</v>
      </c>
      <c r="M32" s="255">
        <f t="shared" si="17"/>
        <v>0</v>
      </c>
      <c r="N32" s="255">
        <f t="shared" si="17"/>
        <v>0</v>
      </c>
      <c r="O32" s="255">
        <f t="shared" si="17"/>
        <v>0</v>
      </c>
      <c r="P32" s="255">
        <f t="shared" si="17"/>
        <v>0</v>
      </c>
      <c r="Q32" s="255">
        <f t="shared" si="17"/>
        <v>0</v>
      </c>
      <c r="X32" s="42"/>
      <c r="Y32" s="42"/>
      <c r="Z32" s="42"/>
    </row>
    <row r="33" spans="1:26" ht="13.7" collapsed="1">
      <c r="A33" s="256"/>
      <c r="B33" s="256"/>
      <c r="C33" s="254" t="s">
        <v>215</v>
      </c>
      <c r="D33" s="255"/>
      <c r="E33" s="255">
        <f>SUM(E34:E36)</f>
        <v>0</v>
      </c>
      <c r="F33" s="255">
        <f t="shared" ref="F33:P33" si="18">SUM(F34:F36)</f>
        <v>0</v>
      </c>
      <c r="G33" s="255">
        <f t="shared" si="18"/>
        <v>0</v>
      </c>
      <c r="H33" s="255">
        <f t="shared" si="18"/>
        <v>0</v>
      </c>
      <c r="I33" s="255">
        <f t="shared" si="18"/>
        <v>0</v>
      </c>
      <c r="J33" s="255">
        <f t="shared" si="18"/>
        <v>0</v>
      </c>
      <c r="K33" s="255">
        <f t="shared" si="18"/>
        <v>0</v>
      </c>
      <c r="L33" s="255">
        <f t="shared" si="18"/>
        <v>0</v>
      </c>
      <c r="M33" s="255">
        <f t="shared" si="18"/>
        <v>0</v>
      </c>
      <c r="N33" s="255">
        <f t="shared" si="18"/>
        <v>0</v>
      </c>
      <c r="O33" s="255">
        <f t="shared" si="18"/>
        <v>0</v>
      </c>
      <c r="P33" s="255">
        <f t="shared" si="18"/>
        <v>0</v>
      </c>
      <c r="Q33" s="255">
        <f t="shared" ref="Q33" si="19">SUM(Q34:Q36)</f>
        <v>0</v>
      </c>
      <c r="X33" s="42"/>
      <c r="Y33" s="42"/>
      <c r="Z33" s="42"/>
    </row>
    <row r="34" spans="1:26" ht="13.7" hidden="1" outlineLevel="1">
      <c r="A34" s="256"/>
      <c r="B34" s="256"/>
      <c r="C34" s="254"/>
      <c r="D34" s="340" t="s">
        <v>1094</v>
      </c>
      <c r="E34" s="341">
        <f>IFERROR(E$6*'Historical BU1'!D44,0)*Currency_conversion_BU1</f>
        <v>0</v>
      </c>
      <c r="F34" s="341">
        <f>IFERROR(F$6*'Historical BU1'!E44,0)*Currency_conversion_BU1</f>
        <v>0</v>
      </c>
      <c r="G34" s="341">
        <f>IFERROR(G$6*'Historical BU1'!F44,0)*Currency_conversion_BU1</f>
        <v>0</v>
      </c>
      <c r="H34" s="341">
        <f>IFERROR(H$6*'Historical BU1'!G44,0)*Currency_conversion_BU1</f>
        <v>0</v>
      </c>
      <c r="I34" s="341">
        <f>IFERROR(I$6*'Historical BU1'!H44,0)*Currency_conversion_BU1</f>
        <v>0</v>
      </c>
      <c r="J34" s="341">
        <f>IFERROR(J$6*'Historical BU1'!I44,0)*Currency_conversion_BU1</f>
        <v>0</v>
      </c>
      <c r="K34" s="341">
        <f>IFERROR(K$6*'Historical BU1'!J44,0)*Currency_conversion_BU1</f>
        <v>0</v>
      </c>
      <c r="L34" s="341">
        <f>IFERROR(L$6*'Historical BU1'!K44,0)*Currency_conversion_BU1</f>
        <v>0</v>
      </c>
      <c r="M34" s="341">
        <f>IFERROR(M$6*'Historical BU1'!L44,0)*Currency_conversion_BU1</f>
        <v>0</v>
      </c>
      <c r="N34" s="341">
        <f>IFERROR(N$6*'Historical BU1'!M44,0)*Currency_conversion_BU1</f>
        <v>0</v>
      </c>
      <c r="O34" s="341">
        <f>IFERROR(O$6*'Historical BU1'!N44,0)*Currency_conversion_BU1</f>
        <v>0</v>
      </c>
      <c r="P34" s="341">
        <f>IFERROR(P$6*'Historical BU1'!O44,0)*Currency_conversion_BU1</f>
        <v>0</v>
      </c>
      <c r="Q34" s="341">
        <f>IFERROR(Q$6*'Historical BU1'!P44,0)*Currency_conversion_BU1</f>
        <v>0</v>
      </c>
      <c r="X34" s="42"/>
      <c r="Y34" s="42"/>
      <c r="Z34" s="42"/>
    </row>
    <row r="35" spans="1:26" ht="13.7" hidden="1" outlineLevel="1">
      <c r="A35" s="256"/>
      <c r="B35" s="256"/>
      <c r="C35" s="254"/>
      <c r="D35" s="340" t="s">
        <v>1095</v>
      </c>
      <c r="E35" s="341">
        <f>+IFERROR(E$7*'Acquisition BS adjustments'!$C51,0)+IFERROR(E$8*'Acquisition BS adjustments'!$E51,0)</f>
        <v>0</v>
      </c>
      <c r="F35" s="341">
        <f>+IFERROR(F$7*'Acquisition BS adjustments'!$C51,0)+IFERROR(F$8*'Acquisition BS adjustments'!$E51,0)</f>
        <v>0</v>
      </c>
      <c r="G35" s="341">
        <f>+IFERROR(G$7*'Acquisition BS adjustments'!$C51,0)+IFERROR(G$8*'Acquisition BS adjustments'!$E51,0)</f>
        <v>0</v>
      </c>
      <c r="H35" s="341">
        <f>+IFERROR(H$7*'Acquisition BS adjustments'!$C51,0)+IFERROR(H$8*'Acquisition BS adjustments'!$E51,0)</f>
        <v>0</v>
      </c>
      <c r="I35" s="341">
        <f>+IFERROR(I$7*'Acquisition BS adjustments'!$C51,0)+IFERROR(I$8*'Acquisition BS adjustments'!$E51,0)</f>
        <v>0</v>
      </c>
      <c r="J35" s="341">
        <f>+IFERROR(J$7*'Acquisition BS adjustments'!$C51,0)+IFERROR(J$8*'Acquisition BS adjustments'!$E51,0)</f>
        <v>0</v>
      </c>
      <c r="K35" s="341">
        <f>+IFERROR(K$7*'Acquisition BS adjustments'!$C51,0)+IFERROR(K$8*'Acquisition BS adjustments'!$E51,0)</f>
        <v>0</v>
      </c>
      <c r="L35" s="341">
        <f>+IFERROR(L$7*'Acquisition BS adjustments'!$C51,0)+IFERROR(L$8*'Acquisition BS adjustments'!$E51,0)</f>
        <v>0</v>
      </c>
      <c r="M35" s="341">
        <f>+IFERROR(M$7*'Acquisition BS adjustments'!$C51,0)+IFERROR(M$8*'Acquisition BS adjustments'!$E51,0)</f>
        <v>0</v>
      </c>
      <c r="N35" s="341">
        <f>+IFERROR(N$7*'Acquisition BS adjustments'!$C51,0)+IFERROR(N$8*'Acquisition BS adjustments'!$E51,0)</f>
        <v>0</v>
      </c>
      <c r="O35" s="341">
        <f>+IFERROR(O$7*'Acquisition BS adjustments'!$C51,0)+IFERROR(O$8*'Acquisition BS adjustments'!$E51,0)</f>
        <v>0</v>
      </c>
      <c r="P35" s="341">
        <f>+IFERROR(P$7*'Acquisition BS adjustments'!$C51,0)+IFERROR(P$8*'Acquisition BS adjustments'!$E51,0)</f>
        <v>0</v>
      </c>
      <c r="Q35" s="341">
        <f>+IFERROR(Q$7*'Acquisition BS adjustments'!$C51,0)+IFERROR(Q$8*'Acquisition BS adjustments'!$E51,0)</f>
        <v>0</v>
      </c>
      <c r="X35" s="42"/>
      <c r="Y35" s="42"/>
      <c r="Z35" s="42"/>
    </row>
    <row r="36" spans="1:26" ht="13.7" hidden="1" outlineLevel="1">
      <c r="A36" s="256"/>
      <c r="B36" s="256"/>
      <c r="C36" s="254"/>
      <c r="D36" s="340" t="s">
        <v>1098</v>
      </c>
      <c r="E36" s="341">
        <f>+IFERROR(E$9*INDEX('Scenarios offshore'!222:222,MATCH('BS offshore'!E$5,'Scenarios offshore'!$4:$4,0)),0)*Currency_conversion_BU1</f>
        <v>0</v>
      </c>
      <c r="F36" s="341">
        <f>+IFERROR(F$9*INDEX('Scenarios offshore'!222:222,MATCH('BS offshore'!F$5,'Scenarios offshore'!$4:$4,0)),0)*Currency_conversion_BU1</f>
        <v>0</v>
      </c>
      <c r="G36" s="341">
        <f>+IFERROR(G$9*INDEX('Scenarios offshore'!222:222,MATCH('BS offshore'!G$5,'Scenarios offshore'!$4:$4,0)),0)*Currency_conversion_BU1</f>
        <v>0</v>
      </c>
      <c r="H36" s="341">
        <f>+IFERROR(H$9*INDEX('Scenarios offshore'!222:222,MATCH('BS offshore'!H$5,'Scenarios offshore'!$4:$4,0)),0)*Currency_conversion_BU1</f>
        <v>0</v>
      </c>
      <c r="I36" s="341">
        <f>+IFERROR(I$9*INDEX('Scenarios offshore'!222:222,MATCH('BS offshore'!I$5,'Scenarios offshore'!$4:$4,0)),0)*Currency_conversion_BU1</f>
        <v>0</v>
      </c>
      <c r="J36" s="341">
        <f>+IFERROR(J$9*INDEX('Scenarios offshore'!222:222,MATCH('BS offshore'!J$5,'Scenarios offshore'!$4:$4,0)),0)*Currency_conversion_BU1</f>
        <v>0</v>
      </c>
      <c r="K36" s="341">
        <f>+IFERROR(K$9*INDEX('Scenarios offshore'!222:222,MATCH('BS offshore'!K$5,'Scenarios offshore'!$4:$4,0)),0)*Currency_conversion_BU1</f>
        <v>0</v>
      </c>
      <c r="L36" s="341">
        <f>+IFERROR(L$9*INDEX('Scenarios offshore'!222:222,MATCH('BS offshore'!L$5,'Scenarios offshore'!$4:$4,0)),0)*Currency_conversion_BU1</f>
        <v>0</v>
      </c>
      <c r="M36" s="341">
        <f>+IFERROR(M$9*INDEX('Scenarios offshore'!222:222,MATCH('BS offshore'!M$5,'Scenarios offshore'!$4:$4,0)),0)*Currency_conversion_BU1</f>
        <v>0</v>
      </c>
      <c r="N36" s="341">
        <f>+IFERROR(N$9*INDEX('Scenarios offshore'!222:222,MATCH('BS offshore'!N$5,'Scenarios offshore'!$4:$4,0)),0)*Currency_conversion_BU1</f>
        <v>0</v>
      </c>
      <c r="O36" s="341">
        <f>+IFERROR(O$9*INDEX('Scenarios offshore'!222:222,MATCH('BS offshore'!O$5,'Scenarios offshore'!$4:$4,0)),0)*Currency_conversion_BU1</f>
        <v>0</v>
      </c>
      <c r="P36" s="341">
        <f>+IFERROR(P$9*INDEX('Scenarios offshore'!222:222,MATCH('BS offshore'!P$5,'Scenarios offshore'!$4:$4,0)),0)*Currency_conversion_BU1</f>
        <v>0</v>
      </c>
      <c r="Q36" s="341">
        <f>+IFERROR(Q$9*INDEX('Scenarios offshore'!222:222,MATCH('BS offshore'!Q$5,'Scenarios offshore'!$4:$4,0)),0)*Currency_conversion_BU1</f>
        <v>0</v>
      </c>
      <c r="X36" s="42"/>
      <c r="Y36" s="42"/>
      <c r="Z36" s="42"/>
    </row>
    <row r="37" spans="1:26" ht="13.7" collapsed="1">
      <c r="A37" s="256"/>
      <c r="B37" s="256"/>
      <c r="C37" s="254" t="s">
        <v>6</v>
      </c>
      <c r="D37" s="255"/>
      <c r="E37" s="255">
        <f>SUM(E38:E40)</f>
        <v>0</v>
      </c>
      <c r="F37" s="255">
        <f t="shared" ref="F37:P37" si="20">SUM(F38:F40)</f>
        <v>0</v>
      </c>
      <c r="G37" s="255">
        <f t="shared" si="20"/>
        <v>0</v>
      </c>
      <c r="H37" s="255">
        <f t="shared" si="20"/>
        <v>0</v>
      </c>
      <c r="I37" s="255">
        <f t="shared" si="20"/>
        <v>0</v>
      </c>
      <c r="J37" s="255">
        <f t="shared" si="20"/>
        <v>0</v>
      </c>
      <c r="K37" s="255">
        <f t="shared" si="20"/>
        <v>0</v>
      </c>
      <c r="L37" s="255">
        <f t="shared" si="20"/>
        <v>0</v>
      </c>
      <c r="M37" s="255">
        <f t="shared" si="20"/>
        <v>0</v>
      </c>
      <c r="N37" s="255">
        <f t="shared" si="20"/>
        <v>0</v>
      </c>
      <c r="O37" s="255">
        <f t="shared" si="20"/>
        <v>0</v>
      </c>
      <c r="P37" s="255">
        <f t="shared" si="20"/>
        <v>0</v>
      </c>
      <c r="Q37" s="255">
        <f t="shared" ref="Q37" si="21">SUM(Q38:Q40)</f>
        <v>0</v>
      </c>
      <c r="R37" s="43"/>
      <c r="S37" s="44"/>
      <c r="T37" s="44"/>
      <c r="X37" s="41"/>
      <c r="Y37" s="41"/>
      <c r="Z37" s="40"/>
    </row>
    <row r="38" spans="1:26" ht="13.7" hidden="1" outlineLevel="1">
      <c r="A38" s="256"/>
      <c r="B38" s="256"/>
      <c r="C38" s="254"/>
      <c r="D38" s="340" t="s">
        <v>1094</v>
      </c>
      <c r="E38" s="341">
        <f>IFERROR(E$6*'Historical BU1'!D45,0)*Currency_conversion_BU1</f>
        <v>0</v>
      </c>
      <c r="F38" s="341">
        <f>IFERROR(F$6*'Historical BU1'!E45,0)*Currency_conversion_BU1</f>
        <v>0</v>
      </c>
      <c r="G38" s="341">
        <f>IFERROR(G$6*'Historical BU1'!F45,0)*Currency_conversion_BU1</f>
        <v>0</v>
      </c>
      <c r="H38" s="341">
        <f>IFERROR(H$6*'Historical BU1'!G45,0)*Currency_conversion_BU1</f>
        <v>0</v>
      </c>
      <c r="I38" s="341">
        <f>IFERROR(I$6*'Historical BU1'!H45,0)*Currency_conversion_BU1</f>
        <v>0</v>
      </c>
      <c r="J38" s="341">
        <f>IFERROR(J$6*'Historical BU1'!I45,0)*Currency_conversion_BU1</f>
        <v>0</v>
      </c>
      <c r="K38" s="341">
        <f>IFERROR(K$6*'Historical BU1'!J45,0)*Currency_conversion_BU1</f>
        <v>0</v>
      </c>
      <c r="L38" s="341">
        <f>IFERROR(L$6*'Historical BU1'!K45,0)*Currency_conversion_BU1</f>
        <v>0</v>
      </c>
      <c r="M38" s="341">
        <f>IFERROR(M$6*'Historical BU1'!L45,0)*Currency_conversion_BU1</f>
        <v>0</v>
      </c>
      <c r="N38" s="341">
        <f>IFERROR(N$6*'Historical BU1'!M45,0)*Currency_conversion_BU1</f>
        <v>0</v>
      </c>
      <c r="O38" s="341">
        <f>IFERROR(O$6*'Historical BU1'!N45,0)*Currency_conversion_BU1</f>
        <v>0</v>
      </c>
      <c r="P38" s="341">
        <f>IFERROR(P$6*'Historical BU1'!O45,0)*Currency_conversion_BU1</f>
        <v>0</v>
      </c>
      <c r="Q38" s="341">
        <f>IFERROR(Q$6*'Historical BU1'!P45,0)*Currency_conversion_BU1</f>
        <v>0</v>
      </c>
      <c r="R38" s="43"/>
      <c r="S38" s="44"/>
      <c r="T38" s="44"/>
      <c r="X38" s="41"/>
      <c r="Y38" s="41"/>
      <c r="Z38" s="40"/>
    </row>
    <row r="39" spans="1:26" ht="13.7" hidden="1" outlineLevel="1">
      <c r="A39" s="256"/>
      <c r="B39" s="256"/>
      <c r="C39" s="254"/>
      <c r="D39" s="340" t="s">
        <v>1095</v>
      </c>
      <c r="E39" s="341">
        <f>+IFERROR(E$7*'Acquisition BS adjustments'!$C52,0)+IFERROR(E$8*'Acquisition BS adjustments'!$E52,0)</f>
        <v>0</v>
      </c>
      <c r="F39" s="341">
        <f>+IFERROR(F$7*'Acquisition BS adjustments'!$C52,0)+IFERROR(F$8*'Acquisition BS adjustments'!$E52,0)</f>
        <v>0</v>
      </c>
      <c r="G39" s="341">
        <f>+IFERROR(G$7*'Acquisition BS adjustments'!$C52,0)+IFERROR(G$8*'Acquisition BS adjustments'!$E52,0)</f>
        <v>0</v>
      </c>
      <c r="H39" s="341">
        <f>+IFERROR(H$7*'Acquisition BS adjustments'!$C52,0)+IFERROR(H$8*'Acquisition BS adjustments'!$E52,0)</f>
        <v>0</v>
      </c>
      <c r="I39" s="341">
        <f>+IFERROR(I$7*'Acquisition BS adjustments'!$C52,0)+IFERROR(I$8*'Acquisition BS adjustments'!$E52,0)</f>
        <v>0</v>
      </c>
      <c r="J39" s="341">
        <f>+IFERROR(J$7*'Acquisition BS adjustments'!$C52,0)+IFERROR(J$8*'Acquisition BS adjustments'!$E52,0)</f>
        <v>0</v>
      </c>
      <c r="K39" s="341">
        <f>+IFERROR(K$7*'Acquisition BS adjustments'!$C52,0)+IFERROR(K$8*'Acquisition BS adjustments'!$E52,0)</f>
        <v>0</v>
      </c>
      <c r="L39" s="341">
        <f>+IFERROR(L$7*'Acquisition BS adjustments'!$C52,0)+IFERROR(L$8*'Acquisition BS adjustments'!$E52,0)</f>
        <v>0</v>
      </c>
      <c r="M39" s="341">
        <f>+IFERROR(M$7*'Acquisition BS adjustments'!$C52,0)+IFERROR(M$8*'Acquisition BS adjustments'!$E52,0)</f>
        <v>0</v>
      </c>
      <c r="N39" s="341">
        <f>+IFERROR(N$7*'Acquisition BS adjustments'!$C52,0)+IFERROR(N$8*'Acquisition BS adjustments'!$E52,0)</f>
        <v>0</v>
      </c>
      <c r="O39" s="341">
        <f>+IFERROR(O$7*'Acquisition BS adjustments'!$C52,0)+IFERROR(O$8*'Acquisition BS adjustments'!$E52,0)</f>
        <v>0</v>
      </c>
      <c r="P39" s="341">
        <f>+IFERROR(P$7*'Acquisition BS adjustments'!$C52,0)+IFERROR(P$8*'Acquisition BS adjustments'!$E52,0)</f>
        <v>0</v>
      </c>
      <c r="Q39" s="341">
        <f>+IFERROR(Q$7*'Acquisition BS adjustments'!$C52,0)+IFERROR(Q$8*'Acquisition BS adjustments'!$E52,0)</f>
        <v>0</v>
      </c>
      <c r="R39" s="43"/>
      <c r="S39" s="44"/>
      <c r="T39" s="44"/>
      <c r="X39" s="41"/>
      <c r="Y39" s="41"/>
      <c r="Z39" s="40"/>
    </row>
    <row r="40" spans="1:26" ht="13.7" hidden="1" outlineLevel="1">
      <c r="A40" s="256"/>
      <c r="B40" s="256"/>
      <c r="C40" s="254"/>
      <c r="D40" s="340" t="s">
        <v>1098</v>
      </c>
      <c r="E40" s="341">
        <f>+IFERROR(E$9*INDEX('Scenarios offshore'!224:224,MATCH('BS offshore'!E$5,'Scenarios offshore'!$4:$4,0)),0)*Currency_conversion_BU1</f>
        <v>0</v>
      </c>
      <c r="F40" s="341">
        <f>+IFERROR(F$9*INDEX('Scenarios offshore'!224:224,MATCH('BS offshore'!F$5,'Scenarios offshore'!$4:$4,0)),0)*Currency_conversion_BU1</f>
        <v>0</v>
      </c>
      <c r="G40" s="341">
        <f>+IFERROR(G$9*INDEX('Scenarios offshore'!224:224,MATCH('BS offshore'!G$5,'Scenarios offshore'!$4:$4,0)),0)*Currency_conversion_BU1</f>
        <v>0</v>
      </c>
      <c r="H40" s="341">
        <f>+IFERROR(H$9*INDEX('Scenarios offshore'!224:224,MATCH('BS offshore'!H$5,'Scenarios offshore'!$4:$4,0)),0)*Currency_conversion_BU1</f>
        <v>0</v>
      </c>
      <c r="I40" s="341">
        <f>+IFERROR(I$9*INDEX('Scenarios offshore'!224:224,MATCH('BS offshore'!I$5,'Scenarios offshore'!$4:$4,0)),0)*Currency_conversion_BU1</f>
        <v>0</v>
      </c>
      <c r="J40" s="341">
        <f>+IFERROR(J$9*INDEX('Scenarios offshore'!224:224,MATCH('BS offshore'!J$5,'Scenarios offshore'!$4:$4,0)),0)*Currency_conversion_BU1</f>
        <v>0</v>
      </c>
      <c r="K40" s="341">
        <f>+IFERROR(K$9*INDEX('Scenarios offshore'!224:224,MATCH('BS offshore'!K$5,'Scenarios offshore'!$4:$4,0)),0)*Currency_conversion_BU1</f>
        <v>0</v>
      </c>
      <c r="L40" s="341">
        <f>+IFERROR(L$9*INDEX('Scenarios offshore'!224:224,MATCH('BS offshore'!L$5,'Scenarios offshore'!$4:$4,0)),0)*Currency_conversion_BU1</f>
        <v>0</v>
      </c>
      <c r="M40" s="341">
        <f>+IFERROR(M$9*INDEX('Scenarios offshore'!224:224,MATCH('BS offshore'!M$5,'Scenarios offshore'!$4:$4,0)),0)*Currency_conversion_BU1</f>
        <v>0</v>
      </c>
      <c r="N40" s="341">
        <f>+IFERROR(N$9*INDEX('Scenarios offshore'!224:224,MATCH('BS offshore'!N$5,'Scenarios offshore'!$4:$4,0)),0)*Currency_conversion_BU1</f>
        <v>0</v>
      </c>
      <c r="O40" s="341">
        <f>+IFERROR(O$9*INDEX('Scenarios offshore'!224:224,MATCH('BS offshore'!O$5,'Scenarios offshore'!$4:$4,0)),0)*Currency_conversion_BU1</f>
        <v>0</v>
      </c>
      <c r="P40" s="341">
        <f>+IFERROR(P$9*INDEX('Scenarios offshore'!224:224,MATCH('BS offshore'!P$5,'Scenarios offshore'!$4:$4,0)),0)*Currency_conversion_BU1</f>
        <v>0</v>
      </c>
      <c r="Q40" s="341">
        <f>+IFERROR(Q$9*INDEX('Scenarios offshore'!224:224,MATCH('BS offshore'!Q$5,'Scenarios offshore'!$4:$4,0)),0)*Currency_conversion_BU1</f>
        <v>0</v>
      </c>
      <c r="R40" s="43"/>
      <c r="S40" s="44"/>
      <c r="T40" s="44"/>
      <c r="X40" s="41"/>
      <c r="Y40" s="41"/>
      <c r="Z40" s="40"/>
    </row>
    <row r="41" spans="1:26" ht="13.7" collapsed="1">
      <c r="A41" s="256"/>
      <c r="B41" s="256"/>
      <c r="C41" s="254" t="s">
        <v>582</v>
      </c>
      <c r="D41" s="255"/>
      <c r="E41" s="255">
        <f>SUM(E42:E43)</f>
        <v>0</v>
      </c>
      <c r="F41" s="255">
        <f t="shared" ref="F41:P41" si="22">SUM(F42:F43)</f>
        <v>0</v>
      </c>
      <c r="G41" s="255">
        <f t="shared" si="22"/>
        <v>0</v>
      </c>
      <c r="H41" s="255">
        <f t="shared" si="22"/>
        <v>0</v>
      </c>
      <c r="I41" s="255">
        <f t="shared" si="22"/>
        <v>0</v>
      </c>
      <c r="J41" s="255">
        <f t="shared" si="22"/>
        <v>0</v>
      </c>
      <c r="K41" s="255">
        <f t="shared" si="22"/>
        <v>0</v>
      </c>
      <c r="L41" s="255">
        <f t="shared" si="22"/>
        <v>0</v>
      </c>
      <c r="M41" s="255">
        <f t="shared" si="22"/>
        <v>0</v>
      </c>
      <c r="N41" s="255">
        <f t="shared" si="22"/>
        <v>0</v>
      </c>
      <c r="O41" s="255">
        <f t="shared" si="22"/>
        <v>0</v>
      </c>
      <c r="P41" s="255">
        <f t="shared" si="22"/>
        <v>0</v>
      </c>
      <c r="Q41" s="255">
        <f t="shared" ref="Q41" si="23">SUM(Q42:Q43)</f>
        <v>0</v>
      </c>
      <c r="R41" s="44"/>
      <c r="U41" s="41"/>
      <c r="V41" s="41"/>
      <c r="W41" s="40"/>
    </row>
    <row r="42" spans="1:26" ht="13.7" hidden="1" outlineLevel="1">
      <c r="A42" s="256"/>
      <c r="B42" s="256"/>
      <c r="C42" s="254"/>
      <c r="D42" s="340" t="s">
        <v>1094</v>
      </c>
      <c r="E42" s="341">
        <f>IFERROR(E$6*'Historical BU1'!D46,0)*Currency_conversion_BU1</f>
        <v>0</v>
      </c>
      <c r="F42" s="341">
        <f>IFERROR(F$6*'Historical BU1'!E46,0)*Currency_conversion_BU1</f>
        <v>0</v>
      </c>
      <c r="G42" s="341">
        <f>IFERROR(G$6*'Historical BU1'!F46,0)*Currency_conversion_BU1</f>
        <v>0</v>
      </c>
      <c r="H42" s="341">
        <f>IFERROR(H$6*'Historical BU1'!G46,0)*Currency_conversion_BU1</f>
        <v>0</v>
      </c>
      <c r="I42" s="341">
        <f>IFERROR(I$6*'Historical BU1'!H46,0)*Currency_conversion_BU1</f>
        <v>0</v>
      </c>
      <c r="J42" s="341">
        <f>IFERROR(J$6*'Historical BU1'!I46,0)*Currency_conversion_BU1</f>
        <v>0</v>
      </c>
      <c r="K42" s="341">
        <f>IFERROR(K$6*'Historical BU1'!J46,0)*Currency_conversion_BU1</f>
        <v>0</v>
      </c>
      <c r="L42" s="341">
        <f>IFERROR(L$6*'Historical BU1'!K46,0)*Currency_conversion_BU1</f>
        <v>0</v>
      </c>
      <c r="M42" s="341">
        <f>IFERROR(M$6*'Historical BU1'!L46,0)*Currency_conversion_BU1</f>
        <v>0</v>
      </c>
      <c r="N42" s="341">
        <f>IFERROR(N$6*'Historical BU1'!M46,0)*Currency_conversion_BU1</f>
        <v>0</v>
      </c>
      <c r="O42" s="341">
        <f>IFERROR(O$6*'Historical BU1'!N46,0)*Currency_conversion_BU1</f>
        <v>0</v>
      </c>
      <c r="P42" s="341">
        <f>IFERROR(P$6*'Historical BU1'!O46,0)*Currency_conversion_BU1</f>
        <v>0</v>
      </c>
      <c r="Q42" s="341">
        <f>IFERROR(Q$6*'Historical BU1'!P46,0)*Currency_conversion_BU1</f>
        <v>0</v>
      </c>
      <c r="R42" s="44"/>
      <c r="U42" s="41"/>
      <c r="V42" s="41"/>
      <c r="W42" s="40"/>
    </row>
    <row r="43" spans="1:26" ht="13.7" hidden="1" outlineLevel="1">
      <c r="A43" s="256"/>
      <c r="B43" s="256"/>
      <c r="C43" s="254"/>
      <c r="D43" s="340" t="s">
        <v>1095</v>
      </c>
      <c r="E43" s="341">
        <f>+IFERROR(E$7*'Acquisition BS adjustments'!$C53,0)+IFERROR(E$8*'Acquisition BS adjustments'!$E53,0)</f>
        <v>0</v>
      </c>
      <c r="F43" s="341">
        <f>+IFERROR(F$7*'Acquisition BS adjustments'!$C53,0)+IFERROR(F$8*'Acquisition BS adjustments'!$E53,0)</f>
        <v>0</v>
      </c>
      <c r="G43" s="341">
        <f>+IFERROR(G$7*'Acquisition BS adjustments'!$C53,0)+IFERROR(G$8*'Acquisition BS adjustments'!$E53,0)</f>
        <v>0</v>
      </c>
      <c r="H43" s="341">
        <f>+IFERROR(H$7*'Acquisition BS adjustments'!$C53,0)+IFERROR(H$8*'Acquisition BS adjustments'!$E53,0)</f>
        <v>0</v>
      </c>
      <c r="I43" s="341">
        <f>+IFERROR(I$7*'Acquisition BS adjustments'!$C53,0)+IFERROR(I$8*'Acquisition BS adjustments'!$E53,0)</f>
        <v>0</v>
      </c>
      <c r="J43" s="341">
        <f>+IFERROR(J$7*'Acquisition BS adjustments'!$C53,0)+IFERROR(J$8*'Acquisition BS adjustments'!$E53,0)</f>
        <v>0</v>
      </c>
      <c r="K43" s="341">
        <f>+IFERROR(K$7*'Acquisition BS adjustments'!$C53,0)+IFERROR(K$8*'Acquisition BS adjustments'!$E53,0)</f>
        <v>0</v>
      </c>
      <c r="L43" s="341">
        <f>+IFERROR(L$7*'Acquisition BS adjustments'!$C53,0)+IFERROR(L$8*'Acquisition BS adjustments'!$E53,0)</f>
        <v>0</v>
      </c>
      <c r="M43" s="341">
        <f>+IFERROR(M$7*'Acquisition BS adjustments'!$C53,0)+IFERROR(M$8*'Acquisition BS adjustments'!$E53,0)</f>
        <v>0</v>
      </c>
      <c r="N43" s="341">
        <f>+IFERROR(N$7*'Acquisition BS adjustments'!$C53,0)+IFERROR(N$8*'Acquisition BS adjustments'!$E53,0)</f>
        <v>0</v>
      </c>
      <c r="O43" s="341">
        <f>+IFERROR(O$7*'Acquisition BS adjustments'!$C53,0)+IFERROR(O$8*'Acquisition BS adjustments'!$E53,0)</f>
        <v>0</v>
      </c>
      <c r="P43" s="341">
        <f>+IFERROR(P$7*'Acquisition BS adjustments'!$C53,0)+IFERROR(P$8*'Acquisition BS adjustments'!$E53,0)</f>
        <v>0</v>
      </c>
      <c r="Q43" s="341">
        <f>+IFERROR(Q$7*'Acquisition BS adjustments'!$C53,0)+IFERROR(Q$8*'Acquisition BS adjustments'!$E53,0)</f>
        <v>0</v>
      </c>
      <c r="R43" s="44"/>
      <c r="U43" s="41"/>
      <c r="V43" s="41"/>
      <c r="W43" s="40"/>
    </row>
    <row r="44" spans="1:26" ht="13.7" collapsed="1">
      <c r="A44" s="256"/>
      <c r="B44" s="256"/>
      <c r="C44" s="254" t="s">
        <v>216</v>
      </c>
      <c r="D44" s="255"/>
      <c r="E44" s="255">
        <f>SUM(E45:E47)</f>
        <v>0</v>
      </c>
      <c r="F44" s="255">
        <f t="shared" ref="F44:P44" si="24">SUM(F45:F47)</f>
        <v>0</v>
      </c>
      <c r="G44" s="255">
        <f t="shared" si="24"/>
        <v>0</v>
      </c>
      <c r="H44" s="255">
        <f t="shared" si="24"/>
        <v>0</v>
      </c>
      <c r="I44" s="255">
        <f t="shared" si="24"/>
        <v>0</v>
      </c>
      <c r="J44" s="255">
        <f t="shared" si="24"/>
        <v>0</v>
      </c>
      <c r="K44" s="255">
        <f t="shared" si="24"/>
        <v>0</v>
      </c>
      <c r="L44" s="255">
        <f t="shared" si="24"/>
        <v>0</v>
      </c>
      <c r="M44" s="255">
        <f t="shared" si="24"/>
        <v>0</v>
      </c>
      <c r="N44" s="255">
        <f t="shared" si="24"/>
        <v>0</v>
      </c>
      <c r="O44" s="255">
        <f t="shared" si="24"/>
        <v>0</v>
      </c>
      <c r="P44" s="255">
        <f t="shared" si="24"/>
        <v>0</v>
      </c>
      <c r="Q44" s="255">
        <f t="shared" ref="Q44" si="25">SUM(Q45:Q47)</f>
        <v>0</v>
      </c>
      <c r="R44" s="44"/>
      <c r="U44" s="45"/>
      <c r="V44" s="45"/>
      <c r="W44" s="40"/>
    </row>
    <row r="45" spans="1:26" ht="13.7" hidden="1" outlineLevel="1">
      <c r="A45" s="256"/>
      <c r="B45" s="256"/>
      <c r="C45" s="254"/>
      <c r="D45" s="340" t="s">
        <v>1094</v>
      </c>
      <c r="E45" s="341">
        <f>IFERROR(E$6*'Historical BU1'!D47,0)*Currency_conversion_BU1</f>
        <v>0</v>
      </c>
      <c r="F45" s="341">
        <f>IFERROR(F$6*'Historical BU1'!E47,0)*Currency_conversion_BU1</f>
        <v>0</v>
      </c>
      <c r="G45" s="341">
        <f>IFERROR(G$6*'Historical BU1'!F47,0)*Currency_conversion_BU1</f>
        <v>0</v>
      </c>
      <c r="H45" s="341">
        <f>IFERROR(H$6*'Historical BU1'!G47,0)*Currency_conversion_BU1</f>
        <v>0</v>
      </c>
      <c r="I45" s="341">
        <f>IFERROR(I$6*'Historical BU1'!H47,0)*Currency_conversion_BU1</f>
        <v>0</v>
      </c>
      <c r="J45" s="341">
        <f>IFERROR(J$6*'Historical BU1'!I47,0)*Currency_conversion_BU1</f>
        <v>0</v>
      </c>
      <c r="K45" s="341">
        <f>IFERROR(K$6*'Historical BU1'!J47,0)*Currency_conversion_BU1</f>
        <v>0</v>
      </c>
      <c r="L45" s="341">
        <f>IFERROR(L$6*'Historical BU1'!K47,0)*Currency_conversion_BU1</f>
        <v>0</v>
      </c>
      <c r="M45" s="341">
        <f>IFERROR(M$6*'Historical BU1'!L47,0)*Currency_conversion_BU1</f>
        <v>0</v>
      </c>
      <c r="N45" s="341">
        <f>IFERROR(N$6*'Historical BU1'!M47,0)*Currency_conversion_BU1</f>
        <v>0</v>
      </c>
      <c r="O45" s="341">
        <f>IFERROR(O$6*'Historical BU1'!N47,0)*Currency_conversion_BU1</f>
        <v>0</v>
      </c>
      <c r="P45" s="341">
        <f>IFERROR(P$6*'Historical BU1'!O47,0)*Currency_conversion_BU1</f>
        <v>0</v>
      </c>
      <c r="Q45" s="341">
        <f>IFERROR(Q$6*'Historical BU1'!P47,0)*Currency_conversion_BU1</f>
        <v>0</v>
      </c>
      <c r="R45" s="43"/>
      <c r="S45" s="44"/>
      <c r="T45" s="44"/>
      <c r="X45" s="41"/>
      <c r="Y45" s="41"/>
      <c r="Z45" s="40"/>
    </row>
    <row r="46" spans="1:26" ht="13.7" hidden="1" outlineLevel="1">
      <c r="A46" s="256"/>
      <c r="B46" s="256"/>
      <c r="C46" s="254"/>
      <c r="D46" s="340" t="s">
        <v>1095</v>
      </c>
      <c r="E46" s="341">
        <f>+IFERROR(E$7*'Acquisition BS adjustments'!$C54,0)+IFERROR(E$8*'Acquisition BS adjustments'!$E54,0)</f>
        <v>0</v>
      </c>
      <c r="F46" s="341">
        <f>+IFERROR(F$7*'Acquisition BS adjustments'!$C54,0)+IFERROR(F$8*'Acquisition BS adjustments'!$E54,0)</f>
        <v>0</v>
      </c>
      <c r="G46" s="341">
        <f>+IFERROR(G$7*'Acquisition BS adjustments'!$C54,0)+IFERROR(G$8*'Acquisition BS adjustments'!$E54,0)</f>
        <v>0</v>
      </c>
      <c r="H46" s="341">
        <f>+IFERROR(H$7*'Acquisition BS adjustments'!$C54,0)+IFERROR(H$8*'Acquisition BS adjustments'!$E54,0)</f>
        <v>0</v>
      </c>
      <c r="I46" s="341">
        <f>+IFERROR(I$7*'Acquisition BS adjustments'!$C54,0)+IFERROR(I$8*'Acquisition BS adjustments'!$E54,0)</f>
        <v>0</v>
      </c>
      <c r="J46" s="341">
        <f>+IFERROR(J$7*'Acquisition BS adjustments'!$C54,0)+IFERROR(J$8*'Acquisition BS adjustments'!$E54,0)</f>
        <v>0</v>
      </c>
      <c r="K46" s="341">
        <f>+IFERROR(K$7*'Acquisition BS adjustments'!$C54,0)+IFERROR(K$8*'Acquisition BS adjustments'!$E54,0)</f>
        <v>0</v>
      </c>
      <c r="L46" s="341">
        <f>+IFERROR(L$7*'Acquisition BS adjustments'!$C54,0)+IFERROR(L$8*'Acquisition BS adjustments'!$E54,0)</f>
        <v>0</v>
      </c>
      <c r="M46" s="341">
        <f>+IFERROR(M$7*'Acquisition BS adjustments'!$C54,0)+IFERROR(M$8*'Acquisition BS adjustments'!$E54,0)</f>
        <v>0</v>
      </c>
      <c r="N46" s="341">
        <f>+IFERROR(N$7*'Acquisition BS adjustments'!$C54,0)+IFERROR(N$8*'Acquisition BS adjustments'!$E54,0)</f>
        <v>0</v>
      </c>
      <c r="O46" s="341">
        <f>+IFERROR(O$7*'Acquisition BS adjustments'!$C54,0)+IFERROR(O$8*'Acquisition BS adjustments'!$E54,0)</f>
        <v>0</v>
      </c>
      <c r="P46" s="341">
        <f>+IFERROR(P$7*'Acquisition BS adjustments'!$C54,0)+IFERROR(P$8*'Acquisition BS adjustments'!$E54,0)</f>
        <v>0</v>
      </c>
      <c r="Q46" s="341">
        <f>+IFERROR(Q$7*'Acquisition BS adjustments'!$C54,0)+IFERROR(Q$8*'Acquisition BS adjustments'!$E54,0)</f>
        <v>0</v>
      </c>
      <c r="R46" s="43"/>
      <c r="S46" s="44"/>
      <c r="T46" s="44"/>
      <c r="X46" s="41"/>
      <c r="Y46" s="41"/>
      <c r="Z46" s="40"/>
    </row>
    <row r="47" spans="1:26" ht="13.7" hidden="1" outlineLevel="1">
      <c r="A47" s="256"/>
      <c r="B47" s="256"/>
      <c r="C47" s="254"/>
      <c r="D47" s="340" t="s">
        <v>1098</v>
      </c>
      <c r="E47" s="341">
        <f>+IFERROR(E$9*INDEX('Scenarios offshore'!225:225,MATCH('BS offshore'!E$5,'Scenarios offshore'!$4:$4,0)),0)*Currency_conversion_BU1</f>
        <v>0</v>
      </c>
      <c r="F47" s="341">
        <f>+IFERROR(F$9*INDEX('Scenarios offshore'!225:225,MATCH('BS offshore'!F$5,'Scenarios offshore'!$4:$4,0)),0)*Currency_conversion_BU1</f>
        <v>0</v>
      </c>
      <c r="G47" s="341">
        <f>+IFERROR(G$9*INDEX('Scenarios offshore'!225:225,MATCH('BS offshore'!G$5,'Scenarios offshore'!$4:$4,0)),0)*Currency_conversion_BU1</f>
        <v>0</v>
      </c>
      <c r="H47" s="341">
        <f>+IFERROR(H$9*INDEX('Scenarios offshore'!225:225,MATCH('BS offshore'!H$5,'Scenarios offshore'!$4:$4,0)),0)*Currency_conversion_BU1</f>
        <v>0</v>
      </c>
      <c r="I47" s="341">
        <f>+IFERROR(I$9*INDEX('Scenarios offshore'!225:225,MATCH('BS offshore'!I$5,'Scenarios offshore'!$4:$4,0)),0)*Currency_conversion_BU1</f>
        <v>0</v>
      </c>
      <c r="J47" s="341">
        <f>+IFERROR(J$9*INDEX('Scenarios offshore'!225:225,MATCH('BS offshore'!J$5,'Scenarios offshore'!$4:$4,0)),0)*Currency_conversion_BU1</f>
        <v>0</v>
      </c>
      <c r="K47" s="341">
        <f>+IFERROR(K$9*INDEX('Scenarios offshore'!225:225,MATCH('BS offshore'!K$5,'Scenarios offshore'!$4:$4,0)),0)*Currency_conversion_BU1</f>
        <v>0</v>
      </c>
      <c r="L47" s="341">
        <f>+IFERROR(L$9*INDEX('Scenarios offshore'!225:225,MATCH('BS offshore'!L$5,'Scenarios offshore'!$4:$4,0)),0)*Currency_conversion_BU1</f>
        <v>0</v>
      </c>
      <c r="M47" s="341">
        <f>+IFERROR(M$9*INDEX('Scenarios offshore'!225:225,MATCH('BS offshore'!M$5,'Scenarios offshore'!$4:$4,0)),0)*Currency_conversion_BU1</f>
        <v>0</v>
      </c>
      <c r="N47" s="341">
        <f>+IFERROR(N$9*INDEX('Scenarios offshore'!225:225,MATCH('BS offshore'!N$5,'Scenarios offshore'!$4:$4,0)),0)*Currency_conversion_BU1</f>
        <v>0</v>
      </c>
      <c r="O47" s="341">
        <f>+IFERROR(O$9*INDEX('Scenarios offshore'!225:225,MATCH('BS offshore'!O$5,'Scenarios offshore'!$4:$4,0)),0)*Currency_conversion_BU1</f>
        <v>0</v>
      </c>
      <c r="P47" s="341">
        <f>+IFERROR(P$9*INDEX('Scenarios offshore'!225:225,MATCH('BS offshore'!P$5,'Scenarios offshore'!$4:$4,0)),0)*Currency_conversion_BU1</f>
        <v>0</v>
      </c>
      <c r="Q47" s="341">
        <f>+IFERROR(Q$9*INDEX('Scenarios offshore'!225:225,MATCH('BS offshore'!Q$5,'Scenarios offshore'!$4:$4,0)),0)*Currency_conversion_BU1</f>
        <v>0</v>
      </c>
      <c r="R47" s="43"/>
      <c r="S47" s="44"/>
      <c r="T47" s="44"/>
      <c r="X47" s="41"/>
      <c r="Y47" s="41"/>
      <c r="Z47" s="40"/>
    </row>
    <row r="48" spans="1:26" ht="13.7" collapsed="1">
      <c r="C48" s="377" t="s">
        <v>1469</v>
      </c>
      <c r="D48" s="255"/>
      <c r="E48" s="255"/>
      <c r="F48" s="255"/>
      <c r="G48" s="255"/>
      <c r="H48" s="255"/>
      <c r="I48" s="255"/>
      <c r="J48" s="255"/>
      <c r="K48" s="255"/>
      <c r="L48" s="255"/>
      <c r="M48" s="255"/>
      <c r="N48" s="255"/>
      <c r="O48" s="255"/>
      <c r="P48" s="255"/>
      <c r="Q48" s="255"/>
      <c r="U48" s="39"/>
      <c r="V48" s="39"/>
      <c r="W48" s="40"/>
    </row>
    <row r="49" spans="1:26" ht="13.7">
      <c r="A49" s="256"/>
      <c r="B49" s="256"/>
      <c r="C49" s="46"/>
      <c r="R49" s="44"/>
      <c r="U49" s="45"/>
      <c r="V49" s="45"/>
      <c r="W49" s="40"/>
    </row>
    <row r="50" spans="1:26" ht="13.7">
      <c r="C50" s="181" t="s">
        <v>8</v>
      </c>
      <c r="D50" s="180"/>
      <c r="E50" s="180">
        <f>+E51+E55+E59+E63+E67</f>
        <v>0</v>
      </c>
      <c r="F50" s="180">
        <f t="shared" ref="F50:P50" si="26">+F51+F55+F59+F63+F67</f>
        <v>0</v>
      </c>
      <c r="G50" s="180">
        <f t="shared" si="26"/>
        <v>0</v>
      </c>
      <c r="H50" s="180">
        <f t="shared" si="26"/>
        <v>0</v>
      </c>
      <c r="I50" s="180">
        <f t="shared" si="26"/>
        <v>0</v>
      </c>
      <c r="J50" s="180">
        <f t="shared" si="26"/>
        <v>0</v>
      </c>
      <c r="K50" s="180">
        <f t="shared" si="26"/>
        <v>0</v>
      </c>
      <c r="L50" s="180">
        <f t="shared" si="26"/>
        <v>0</v>
      </c>
      <c r="M50" s="180">
        <f t="shared" si="26"/>
        <v>0</v>
      </c>
      <c r="N50" s="180">
        <f t="shared" si="26"/>
        <v>0</v>
      </c>
      <c r="O50" s="180">
        <f t="shared" si="26"/>
        <v>0</v>
      </c>
      <c r="P50" s="180">
        <f t="shared" si="26"/>
        <v>0</v>
      </c>
      <c r="Q50" s="180">
        <f t="shared" ref="Q50" si="27">+Q51+Q55+Q59+Q63+Q67</f>
        <v>0</v>
      </c>
      <c r="R50" s="44"/>
      <c r="U50" s="45"/>
      <c r="V50" s="45"/>
      <c r="W50" s="40"/>
    </row>
    <row r="51" spans="1:26" ht="13.7">
      <c r="C51" s="254" t="s">
        <v>218</v>
      </c>
      <c r="D51" s="255"/>
      <c r="E51" s="255">
        <f>SUM(E52:E54)</f>
        <v>0</v>
      </c>
      <c r="F51" s="255">
        <f t="shared" ref="F51:P51" si="28">SUM(F52:F54)</f>
        <v>0</v>
      </c>
      <c r="G51" s="255">
        <f t="shared" si="28"/>
        <v>0</v>
      </c>
      <c r="H51" s="255">
        <f t="shared" si="28"/>
        <v>0</v>
      </c>
      <c r="I51" s="255">
        <f t="shared" si="28"/>
        <v>0</v>
      </c>
      <c r="J51" s="255">
        <f t="shared" si="28"/>
        <v>0</v>
      </c>
      <c r="K51" s="255">
        <f t="shared" si="28"/>
        <v>0</v>
      </c>
      <c r="L51" s="255">
        <f t="shared" si="28"/>
        <v>0</v>
      </c>
      <c r="M51" s="255">
        <f t="shared" si="28"/>
        <v>0</v>
      </c>
      <c r="N51" s="255">
        <f t="shared" si="28"/>
        <v>0</v>
      </c>
      <c r="O51" s="255">
        <f t="shared" si="28"/>
        <v>0</v>
      </c>
      <c r="P51" s="255">
        <f t="shared" si="28"/>
        <v>0</v>
      </c>
      <c r="Q51" s="255">
        <f t="shared" ref="Q51" si="29">SUM(Q52:Q54)</f>
        <v>0</v>
      </c>
      <c r="R51" s="44"/>
      <c r="U51" s="45"/>
      <c r="V51" s="45"/>
      <c r="W51" s="40"/>
    </row>
    <row r="52" spans="1:26" ht="13.7" hidden="1" outlineLevel="1">
      <c r="A52" s="256"/>
      <c r="B52" s="256"/>
      <c r="C52" s="254"/>
      <c r="D52" s="340" t="s">
        <v>1094</v>
      </c>
      <c r="E52" s="341">
        <f>IFERROR(E$6*'Historical BU1'!D49,0)*Currency_conversion_BU1</f>
        <v>0</v>
      </c>
      <c r="F52" s="341">
        <f>IFERROR(F$6*'Historical BU1'!E49,0)*Currency_conversion_BU1</f>
        <v>0</v>
      </c>
      <c r="G52" s="341">
        <f>IFERROR(G$6*'Historical BU1'!F49,0)*Currency_conversion_BU1</f>
        <v>0</v>
      </c>
      <c r="H52" s="341">
        <f>IFERROR(H$6*'Historical BU1'!G49,0)*Currency_conversion_BU1</f>
        <v>0</v>
      </c>
      <c r="I52" s="341">
        <f>IFERROR(I$6*'Historical BU1'!H49,0)*Currency_conversion_BU1</f>
        <v>0</v>
      </c>
      <c r="J52" s="341">
        <f>IFERROR(J$6*'Historical BU1'!I49,0)*Currency_conversion_BU1</f>
        <v>0</v>
      </c>
      <c r="K52" s="341">
        <f>IFERROR(K$6*'Historical BU1'!J49,0)*Currency_conversion_BU1</f>
        <v>0</v>
      </c>
      <c r="L52" s="341">
        <f>IFERROR(L$6*'Historical BU1'!K49,0)*Currency_conversion_BU1</f>
        <v>0</v>
      </c>
      <c r="M52" s="341">
        <f>IFERROR(M$6*'Historical BU1'!L49,0)*Currency_conversion_BU1</f>
        <v>0</v>
      </c>
      <c r="N52" s="341">
        <f>IFERROR(N$6*'Historical BU1'!M49,0)*Currency_conversion_BU1</f>
        <v>0</v>
      </c>
      <c r="O52" s="341">
        <f>IFERROR(O$6*'Historical BU1'!N49,0)*Currency_conversion_BU1</f>
        <v>0</v>
      </c>
      <c r="P52" s="341">
        <f>IFERROR(P$6*'Historical BU1'!O49,0)*Currency_conversion_BU1</f>
        <v>0</v>
      </c>
      <c r="Q52" s="341">
        <f>IFERROR(Q$6*'Historical BU1'!P49,0)*Currency_conversion_BU1</f>
        <v>0</v>
      </c>
      <c r="R52" s="43"/>
      <c r="S52" s="44"/>
      <c r="T52" s="44"/>
      <c r="X52" s="41"/>
      <c r="Y52" s="41"/>
      <c r="Z52" s="40"/>
    </row>
    <row r="53" spans="1:26" ht="13.7" hidden="1" outlineLevel="1">
      <c r="A53" s="256"/>
      <c r="B53" s="256"/>
      <c r="C53" s="254"/>
      <c r="D53" s="340" t="s">
        <v>1095</v>
      </c>
      <c r="E53" s="341">
        <f>+IFERROR(E$7*'Acquisition BS adjustments'!$C57,0)+IFERROR(E$8*'Acquisition BS adjustments'!$E57,0)</f>
        <v>0</v>
      </c>
      <c r="F53" s="341">
        <f>+IFERROR(F$7*'Acquisition BS adjustments'!$C57,0)+IFERROR(F$8*'Acquisition BS adjustments'!$E57,0)</f>
        <v>0</v>
      </c>
      <c r="G53" s="341">
        <f>+IFERROR(G$7*'Acquisition BS adjustments'!$C57,0)+IFERROR(G$8*'Acquisition BS adjustments'!$E57,0)</f>
        <v>0</v>
      </c>
      <c r="H53" s="341">
        <f>+IFERROR(H$7*'Acquisition BS adjustments'!$C57,0)+IFERROR(H$8*'Acquisition BS adjustments'!$E57,0)</f>
        <v>0</v>
      </c>
      <c r="I53" s="341">
        <f>+IFERROR(I$7*'Acquisition BS adjustments'!$C57,0)+IFERROR(I$8*'Acquisition BS adjustments'!$E57,0)</f>
        <v>0</v>
      </c>
      <c r="J53" s="341">
        <f>+IFERROR(J$7*'Acquisition BS adjustments'!$C57,0)+IFERROR(J$8*'Acquisition BS adjustments'!$E57,0)</f>
        <v>0</v>
      </c>
      <c r="K53" s="341">
        <f>+IFERROR(K$7*'Acquisition BS adjustments'!$C57,0)+IFERROR(K$8*'Acquisition BS adjustments'!$E57,0)</f>
        <v>0</v>
      </c>
      <c r="L53" s="341">
        <f>+IFERROR(L$7*'Acquisition BS adjustments'!$C57,0)+IFERROR(L$8*'Acquisition BS adjustments'!$E57,0)</f>
        <v>0</v>
      </c>
      <c r="M53" s="341">
        <f>+IFERROR(M$7*'Acquisition BS adjustments'!$C57,0)+IFERROR(M$8*'Acquisition BS adjustments'!$E57,0)</f>
        <v>0</v>
      </c>
      <c r="N53" s="341">
        <f>+IFERROR(N$7*'Acquisition BS adjustments'!$C57,0)+IFERROR(N$8*'Acquisition BS adjustments'!$E57,0)</f>
        <v>0</v>
      </c>
      <c r="O53" s="341">
        <f>+IFERROR(O$7*'Acquisition BS adjustments'!$C57,0)+IFERROR(O$8*'Acquisition BS adjustments'!$E57,0)</f>
        <v>0</v>
      </c>
      <c r="P53" s="341">
        <f>+IFERROR(P$7*'Acquisition BS adjustments'!$C57,0)+IFERROR(P$8*'Acquisition BS adjustments'!$E57,0)</f>
        <v>0</v>
      </c>
      <c r="Q53" s="341">
        <f>+IFERROR(Q$7*'Acquisition BS adjustments'!$C57,0)+IFERROR(Q$8*'Acquisition BS adjustments'!$E57,0)</f>
        <v>0</v>
      </c>
      <c r="R53" s="43"/>
      <c r="S53" s="44"/>
      <c r="T53" s="44"/>
      <c r="X53" s="41"/>
      <c r="Y53" s="41"/>
      <c r="Z53" s="40"/>
    </row>
    <row r="54" spans="1:26" ht="13.7" hidden="1" outlineLevel="1">
      <c r="A54" s="256"/>
      <c r="B54" s="256"/>
      <c r="C54" s="254"/>
      <c r="D54" s="340" t="s">
        <v>1098</v>
      </c>
      <c r="E54" s="341">
        <f>+IFERROR(E$9*INDEX('Scenarios offshore'!214:214,MATCH('BS offshore'!E$5,'Scenarios offshore'!$4:$4,0)),0)*Currency_conversion_BU1</f>
        <v>0</v>
      </c>
      <c r="F54" s="341">
        <f>+IFERROR(F$9*INDEX('Scenarios offshore'!214:214,MATCH('BS offshore'!F$5,'Scenarios offshore'!$4:$4,0)),0)*Currency_conversion_BU1</f>
        <v>0</v>
      </c>
      <c r="G54" s="341">
        <f>+IFERROR(G$9*INDEX('Scenarios offshore'!214:214,MATCH('BS offshore'!G$5,'Scenarios offshore'!$4:$4,0)),0)*Currency_conversion_BU1</f>
        <v>0</v>
      </c>
      <c r="H54" s="341">
        <f>+IFERROR(H$9*INDEX('Scenarios offshore'!214:214,MATCH('BS offshore'!H$5,'Scenarios offshore'!$4:$4,0)),0)*Currency_conversion_BU1</f>
        <v>0</v>
      </c>
      <c r="I54" s="341">
        <f>+IFERROR(I$9*INDEX('Scenarios offshore'!214:214,MATCH('BS offshore'!I$5,'Scenarios offshore'!$4:$4,0)),0)*Currency_conversion_BU1</f>
        <v>0</v>
      </c>
      <c r="J54" s="341">
        <f>+IFERROR(J$9*INDEX('Scenarios offshore'!214:214,MATCH('BS offshore'!J$5,'Scenarios offshore'!$4:$4,0)),0)*Currency_conversion_BU1</f>
        <v>0</v>
      </c>
      <c r="K54" s="341">
        <f>+IFERROR(K$9*INDEX('Scenarios offshore'!214:214,MATCH('BS offshore'!K$5,'Scenarios offshore'!$4:$4,0)),0)*Currency_conversion_BU1</f>
        <v>0</v>
      </c>
      <c r="L54" s="341">
        <f>+IFERROR(L$9*INDEX('Scenarios offshore'!214:214,MATCH('BS offshore'!L$5,'Scenarios offshore'!$4:$4,0)),0)*Currency_conversion_BU1</f>
        <v>0</v>
      </c>
      <c r="M54" s="341">
        <f>+IFERROR(M$9*INDEX('Scenarios offshore'!214:214,MATCH('BS offshore'!M$5,'Scenarios offshore'!$4:$4,0)),0)*Currency_conversion_BU1</f>
        <v>0</v>
      </c>
      <c r="N54" s="341">
        <f>+IFERROR(N$9*INDEX('Scenarios offshore'!214:214,MATCH('BS offshore'!N$5,'Scenarios offshore'!$4:$4,0)),0)*Currency_conversion_BU1</f>
        <v>0</v>
      </c>
      <c r="O54" s="341">
        <f>+IFERROR(O$9*INDEX('Scenarios offshore'!214:214,MATCH('BS offshore'!O$5,'Scenarios offshore'!$4:$4,0)),0)*Currency_conversion_BU1</f>
        <v>0</v>
      </c>
      <c r="P54" s="341">
        <f>+IFERROR(P$9*INDEX('Scenarios offshore'!214:214,MATCH('BS offshore'!P$5,'Scenarios offshore'!$4:$4,0)),0)*Currency_conversion_BU1</f>
        <v>0</v>
      </c>
      <c r="Q54" s="341">
        <f>+IFERROR(Q$9*INDEX('Scenarios offshore'!214:214,MATCH('BS offshore'!Q$5,'Scenarios offshore'!$4:$4,0)),0)*Currency_conversion_BU1</f>
        <v>0</v>
      </c>
      <c r="R54" s="43"/>
      <c r="S54" s="44"/>
      <c r="T54" s="44"/>
      <c r="X54" s="41"/>
      <c r="Y54" s="41"/>
      <c r="Z54" s="40"/>
    </row>
    <row r="55" spans="1:26" ht="13.7" collapsed="1">
      <c r="C55" s="254" t="s">
        <v>219</v>
      </c>
      <c r="D55" s="255"/>
      <c r="E55" s="255">
        <f>SUM(E56:E58)</f>
        <v>0</v>
      </c>
      <c r="F55" s="255">
        <f t="shared" ref="F55:P55" si="30">SUM(F56:F58)</f>
        <v>0</v>
      </c>
      <c r="G55" s="255">
        <f t="shared" si="30"/>
        <v>0</v>
      </c>
      <c r="H55" s="255">
        <f t="shared" si="30"/>
        <v>0</v>
      </c>
      <c r="I55" s="255">
        <f t="shared" si="30"/>
        <v>0</v>
      </c>
      <c r="J55" s="255">
        <f t="shared" si="30"/>
        <v>0</v>
      </c>
      <c r="K55" s="255">
        <f t="shared" si="30"/>
        <v>0</v>
      </c>
      <c r="L55" s="255">
        <f t="shared" si="30"/>
        <v>0</v>
      </c>
      <c r="M55" s="255">
        <f t="shared" si="30"/>
        <v>0</v>
      </c>
      <c r="N55" s="255">
        <f t="shared" si="30"/>
        <v>0</v>
      </c>
      <c r="O55" s="255">
        <f t="shared" si="30"/>
        <v>0</v>
      </c>
      <c r="P55" s="255">
        <f t="shared" si="30"/>
        <v>0</v>
      </c>
      <c r="Q55" s="255">
        <f t="shared" ref="Q55" si="31">SUM(Q56:Q58)</f>
        <v>0</v>
      </c>
      <c r="R55" s="47"/>
      <c r="U55" s="45"/>
      <c r="V55" s="45"/>
      <c r="W55" s="40"/>
    </row>
    <row r="56" spans="1:26" ht="13.7" hidden="1" outlineLevel="1">
      <c r="C56" s="254"/>
      <c r="D56" s="340" t="s">
        <v>1094</v>
      </c>
      <c r="E56" s="341">
        <f>IFERROR(E$6*'Historical BU1'!D50,0)*Currency_conversion_BU1</f>
        <v>0</v>
      </c>
      <c r="F56" s="341">
        <f>IFERROR(F$6*'Historical BU1'!E50,0)*Currency_conversion_BU1</f>
        <v>0</v>
      </c>
      <c r="G56" s="341">
        <f>IFERROR(G$6*'Historical BU1'!F50,0)*Currency_conversion_BU1</f>
        <v>0</v>
      </c>
      <c r="H56" s="341">
        <f>IFERROR(H$6*'Historical BU1'!G50,0)*Currency_conversion_BU1</f>
        <v>0</v>
      </c>
      <c r="I56" s="341">
        <f>IFERROR(I$6*'Historical BU1'!H50,0)*Currency_conversion_BU1</f>
        <v>0</v>
      </c>
      <c r="J56" s="341">
        <f>IFERROR(J$6*'Historical BU1'!I50,0)*Currency_conversion_BU1</f>
        <v>0</v>
      </c>
      <c r="K56" s="341">
        <f>IFERROR(K$6*'Historical BU1'!J50,0)*Currency_conversion_BU1</f>
        <v>0</v>
      </c>
      <c r="L56" s="341">
        <f>IFERROR(L$6*'Historical BU1'!K50,0)*Currency_conversion_BU1</f>
        <v>0</v>
      </c>
      <c r="M56" s="341">
        <f>IFERROR(M$6*'Historical BU1'!L50,0)*Currency_conversion_BU1</f>
        <v>0</v>
      </c>
      <c r="N56" s="341">
        <f>IFERROR(N$6*'Historical BU1'!M50,0)*Currency_conversion_BU1</f>
        <v>0</v>
      </c>
      <c r="O56" s="341">
        <f>IFERROR(O$6*'Historical BU1'!N50,0)*Currency_conversion_BU1</f>
        <v>0</v>
      </c>
      <c r="P56" s="341">
        <f>IFERROR(P$6*'Historical BU1'!O50,0)*Currency_conversion_BU1</f>
        <v>0</v>
      </c>
      <c r="Q56" s="341">
        <f>IFERROR(Q$6*'Historical BU1'!P50,0)*Currency_conversion_BU1</f>
        <v>0</v>
      </c>
      <c r="R56" s="47"/>
      <c r="U56" s="45"/>
      <c r="V56" s="45"/>
      <c r="W56" s="40"/>
    </row>
    <row r="57" spans="1:26" ht="13.7" hidden="1" outlineLevel="1">
      <c r="C57" s="254"/>
      <c r="D57" s="340" t="s">
        <v>1095</v>
      </c>
      <c r="E57" s="341">
        <f>+IFERROR(E$7*'Acquisition BS adjustments'!$C58,0)+IFERROR(E$8*'Acquisition BS adjustments'!$E58,0)</f>
        <v>0</v>
      </c>
      <c r="F57" s="341">
        <f>+IFERROR(F$7*'Acquisition BS adjustments'!$C58,0)+IFERROR(F$8*'Acquisition BS adjustments'!$E58,0)</f>
        <v>0</v>
      </c>
      <c r="G57" s="341">
        <f>+IFERROR(G$7*'Acquisition BS adjustments'!$C58,0)+IFERROR(G$8*'Acquisition BS adjustments'!$E58,0)</f>
        <v>0</v>
      </c>
      <c r="H57" s="341">
        <f>+IFERROR(H$7*'Acquisition BS adjustments'!$C58,0)+IFERROR(H$8*'Acquisition BS adjustments'!$E58,0)</f>
        <v>0</v>
      </c>
      <c r="I57" s="341">
        <f>+IFERROR(I$7*'Acquisition BS adjustments'!$C58,0)+IFERROR(I$8*'Acquisition BS adjustments'!$E58,0)</f>
        <v>0</v>
      </c>
      <c r="J57" s="341">
        <f>+IFERROR(J$7*'Acquisition BS adjustments'!$C58,0)+IFERROR(J$8*'Acquisition BS adjustments'!$E58,0)</f>
        <v>0</v>
      </c>
      <c r="K57" s="341">
        <f>+IFERROR(K$7*'Acquisition BS adjustments'!$C58,0)+IFERROR(K$8*'Acquisition BS adjustments'!$E58,0)</f>
        <v>0</v>
      </c>
      <c r="L57" s="341">
        <f>+IFERROR(L$7*'Acquisition BS adjustments'!$C58,0)+IFERROR(L$8*'Acquisition BS adjustments'!$E58,0)</f>
        <v>0</v>
      </c>
      <c r="M57" s="341">
        <f>+IFERROR(M$7*'Acquisition BS adjustments'!$C58,0)+IFERROR(M$8*'Acquisition BS adjustments'!$E58,0)</f>
        <v>0</v>
      </c>
      <c r="N57" s="341">
        <f>+IFERROR(N$7*'Acquisition BS adjustments'!$C58,0)+IFERROR(N$8*'Acquisition BS adjustments'!$E58,0)</f>
        <v>0</v>
      </c>
      <c r="O57" s="341">
        <f>+IFERROR(O$7*'Acquisition BS adjustments'!$C58,0)+IFERROR(O$8*'Acquisition BS adjustments'!$E58,0)</f>
        <v>0</v>
      </c>
      <c r="P57" s="341">
        <f>+IFERROR(P$7*'Acquisition BS adjustments'!$C58,0)+IFERROR(P$8*'Acquisition BS adjustments'!$E58,0)</f>
        <v>0</v>
      </c>
      <c r="Q57" s="341">
        <f>+IFERROR(Q$7*'Acquisition BS adjustments'!$C58,0)+IFERROR(Q$8*'Acquisition BS adjustments'!$E58,0)</f>
        <v>0</v>
      </c>
      <c r="R57" s="47"/>
      <c r="U57" s="45"/>
      <c r="V57" s="45"/>
      <c r="W57" s="40"/>
    </row>
    <row r="58" spans="1:26" ht="13.7" hidden="1" outlineLevel="1">
      <c r="C58" s="254"/>
      <c r="D58" s="339" t="s">
        <v>1097</v>
      </c>
      <c r="E58" s="255">
        <f>+IFERROR(E$9*D55,0)</f>
        <v>0</v>
      </c>
      <c r="F58" s="255">
        <f t="shared" ref="F58:Q58" si="32">+IFERROR(F$9*E55,0)</f>
        <v>0</v>
      </c>
      <c r="G58" s="255">
        <f t="shared" si="32"/>
        <v>0</v>
      </c>
      <c r="H58" s="255">
        <f t="shared" si="32"/>
        <v>0</v>
      </c>
      <c r="I58" s="255">
        <f t="shared" si="32"/>
        <v>0</v>
      </c>
      <c r="J58" s="255">
        <f t="shared" si="32"/>
        <v>0</v>
      </c>
      <c r="K58" s="255">
        <f t="shared" si="32"/>
        <v>0</v>
      </c>
      <c r="L58" s="255">
        <f t="shared" si="32"/>
        <v>0</v>
      </c>
      <c r="M58" s="255">
        <f t="shared" si="32"/>
        <v>0</v>
      </c>
      <c r="N58" s="255">
        <f t="shared" si="32"/>
        <v>0</v>
      </c>
      <c r="O58" s="255">
        <f t="shared" si="32"/>
        <v>0</v>
      </c>
      <c r="P58" s="255">
        <f t="shared" si="32"/>
        <v>0</v>
      </c>
      <c r="Q58" s="255">
        <f t="shared" si="32"/>
        <v>0</v>
      </c>
      <c r="R58" s="47"/>
      <c r="U58" s="45"/>
      <c r="V58" s="45"/>
      <c r="W58" s="40"/>
    </row>
    <row r="59" spans="1:26" ht="13.7" collapsed="1">
      <c r="C59" s="254" t="s">
        <v>220</v>
      </c>
      <c r="D59" s="255"/>
      <c r="E59" s="255">
        <f>SUM(E60:E62)</f>
        <v>0</v>
      </c>
      <c r="F59" s="255">
        <f t="shared" ref="F59:P59" si="33">SUM(F60:F62)</f>
        <v>0</v>
      </c>
      <c r="G59" s="255">
        <f t="shared" si="33"/>
        <v>0</v>
      </c>
      <c r="H59" s="255">
        <f t="shared" si="33"/>
        <v>0</v>
      </c>
      <c r="I59" s="255">
        <f t="shared" si="33"/>
        <v>0</v>
      </c>
      <c r="J59" s="255">
        <f t="shared" si="33"/>
        <v>0</v>
      </c>
      <c r="K59" s="255">
        <f t="shared" si="33"/>
        <v>0</v>
      </c>
      <c r="L59" s="255">
        <f t="shared" si="33"/>
        <v>0</v>
      </c>
      <c r="M59" s="255">
        <f t="shared" si="33"/>
        <v>0</v>
      </c>
      <c r="N59" s="255">
        <f t="shared" si="33"/>
        <v>0</v>
      </c>
      <c r="O59" s="255">
        <f t="shared" si="33"/>
        <v>0</v>
      </c>
      <c r="P59" s="255">
        <f t="shared" si="33"/>
        <v>0</v>
      </c>
      <c r="Q59" s="255">
        <f t="shared" ref="Q59" si="34">SUM(Q60:Q62)</f>
        <v>0</v>
      </c>
      <c r="U59" s="41"/>
      <c r="V59" s="41"/>
      <c r="W59" s="40"/>
    </row>
    <row r="60" spans="1:26" ht="13.7" hidden="1" outlineLevel="1">
      <c r="C60" s="254"/>
      <c r="D60" s="340" t="s">
        <v>1094</v>
      </c>
      <c r="E60" s="341">
        <f>IFERROR(E$6*'Historical BU1'!D51,0)*Currency_conversion_BU1</f>
        <v>0</v>
      </c>
      <c r="F60" s="341">
        <f>IFERROR(F$6*'Historical BU1'!E51,0)*Currency_conversion_BU1</f>
        <v>0</v>
      </c>
      <c r="G60" s="341">
        <f>IFERROR(G$6*'Historical BU1'!F51,0)*Currency_conversion_BU1</f>
        <v>0</v>
      </c>
      <c r="H60" s="341">
        <f>IFERROR(H$6*'Historical BU1'!G51,0)*Currency_conversion_BU1</f>
        <v>0</v>
      </c>
      <c r="I60" s="341">
        <f>IFERROR(I$6*'Historical BU1'!H51,0)*Currency_conversion_BU1</f>
        <v>0</v>
      </c>
      <c r="J60" s="341">
        <f>IFERROR(J$6*'Historical BU1'!I51,0)*Currency_conversion_BU1</f>
        <v>0</v>
      </c>
      <c r="K60" s="341">
        <f>IFERROR(K$6*'Historical BU1'!J51,0)*Currency_conversion_BU1</f>
        <v>0</v>
      </c>
      <c r="L60" s="341">
        <f>IFERROR(L$6*'Historical BU1'!K51,0)*Currency_conversion_BU1</f>
        <v>0</v>
      </c>
      <c r="M60" s="341">
        <f>IFERROR(M$6*'Historical BU1'!L51,0)*Currency_conversion_BU1</f>
        <v>0</v>
      </c>
      <c r="N60" s="341">
        <f>IFERROR(N$6*'Historical BU1'!M51,0)*Currency_conversion_BU1</f>
        <v>0</v>
      </c>
      <c r="O60" s="341">
        <f>IFERROR(O$6*'Historical BU1'!N51,0)*Currency_conversion_BU1</f>
        <v>0</v>
      </c>
      <c r="P60" s="341">
        <f>IFERROR(P$6*'Historical BU1'!O51,0)*Currency_conversion_BU1</f>
        <v>0</v>
      </c>
      <c r="Q60" s="341">
        <f>IFERROR(Q$6*'Historical BU1'!P51,0)*Currency_conversion_BU1</f>
        <v>0</v>
      </c>
      <c r="R60" s="47"/>
      <c r="U60" s="45"/>
      <c r="V60" s="45"/>
      <c r="W60" s="40"/>
    </row>
    <row r="61" spans="1:26" ht="13.7" hidden="1" outlineLevel="1">
      <c r="C61" s="254"/>
      <c r="D61" s="340" t="s">
        <v>1095</v>
      </c>
      <c r="E61" s="341">
        <f>+IFERROR(E$7*'Acquisition BS adjustments'!$C59,0)+IFERROR(E$8*'Acquisition BS adjustments'!$E59,0)</f>
        <v>0</v>
      </c>
      <c r="F61" s="341">
        <f>+IFERROR(F$7*'Acquisition BS adjustments'!$C59,0)+IFERROR(F$8*'Acquisition BS adjustments'!$E59,0)</f>
        <v>0</v>
      </c>
      <c r="G61" s="341">
        <f>+IFERROR(G$7*'Acquisition BS adjustments'!$C59,0)+IFERROR(G$8*'Acquisition BS adjustments'!$E59,0)</f>
        <v>0</v>
      </c>
      <c r="H61" s="341">
        <f>+IFERROR(H$7*'Acquisition BS adjustments'!$C59,0)+IFERROR(H$8*'Acquisition BS adjustments'!$E59,0)</f>
        <v>0</v>
      </c>
      <c r="I61" s="341">
        <f>+IFERROR(I$7*'Acquisition BS adjustments'!$C59,0)+IFERROR(I$8*'Acquisition BS adjustments'!$E59,0)</f>
        <v>0</v>
      </c>
      <c r="J61" s="341">
        <f>+IFERROR(J$7*'Acquisition BS adjustments'!$C59,0)+IFERROR(J$8*'Acquisition BS adjustments'!$E59,0)</f>
        <v>0</v>
      </c>
      <c r="K61" s="341">
        <f>+IFERROR(K$7*'Acquisition BS adjustments'!$C59,0)+IFERROR(K$8*'Acquisition BS adjustments'!$E59,0)</f>
        <v>0</v>
      </c>
      <c r="L61" s="341">
        <f>+IFERROR(L$7*'Acquisition BS adjustments'!$C59,0)+IFERROR(L$8*'Acquisition BS adjustments'!$E59,0)</f>
        <v>0</v>
      </c>
      <c r="M61" s="341">
        <f>+IFERROR(M$7*'Acquisition BS adjustments'!$C59,0)+IFERROR(M$8*'Acquisition BS adjustments'!$E59,0)</f>
        <v>0</v>
      </c>
      <c r="N61" s="341">
        <f>+IFERROR(N$7*'Acquisition BS adjustments'!$C59,0)+IFERROR(N$8*'Acquisition BS adjustments'!$E59,0)</f>
        <v>0</v>
      </c>
      <c r="O61" s="341">
        <f>+IFERROR(O$7*'Acquisition BS adjustments'!$C59,0)+IFERROR(O$8*'Acquisition BS adjustments'!$E59,0)</f>
        <v>0</v>
      </c>
      <c r="P61" s="341">
        <f>+IFERROR(P$7*'Acquisition BS adjustments'!$C59,0)+IFERROR(P$8*'Acquisition BS adjustments'!$E59,0)</f>
        <v>0</v>
      </c>
      <c r="Q61" s="341">
        <f>+IFERROR(Q$7*'Acquisition BS adjustments'!$C59,0)+IFERROR(Q$8*'Acquisition BS adjustments'!$E59,0)</f>
        <v>0</v>
      </c>
      <c r="R61" s="47"/>
      <c r="U61" s="45"/>
      <c r="V61" s="45"/>
      <c r="W61" s="40"/>
    </row>
    <row r="62" spans="1:26" ht="13.7" hidden="1" outlineLevel="1">
      <c r="C62" s="254"/>
      <c r="D62" s="339" t="s">
        <v>1097</v>
      </c>
      <c r="E62" s="255">
        <f>+IFERROR(E$9*D59,0)</f>
        <v>0</v>
      </c>
      <c r="F62" s="255">
        <f t="shared" ref="F62:Q62" si="35">+IFERROR(F$9*E59,0)</f>
        <v>0</v>
      </c>
      <c r="G62" s="255">
        <f t="shared" si="35"/>
        <v>0</v>
      </c>
      <c r="H62" s="255">
        <f t="shared" si="35"/>
        <v>0</v>
      </c>
      <c r="I62" s="255">
        <f t="shared" si="35"/>
        <v>0</v>
      </c>
      <c r="J62" s="255">
        <f t="shared" si="35"/>
        <v>0</v>
      </c>
      <c r="K62" s="255">
        <f t="shared" si="35"/>
        <v>0</v>
      </c>
      <c r="L62" s="255">
        <f t="shared" si="35"/>
        <v>0</v>
      </c>
      <c r="M62" s="255">
        <f t="shared" si="35"/>
        <v>0</v>
      </c>
      <c r="N62" s="255">
        <f t="shared" si="35"/>
        <v>0</v>
      </c>
      <c r="O62" s="255">
        <f t="shared" si="35"/>
        <v>0</v>
      </c>
      <c r="P62" s="255">
        <f t="shared" si="35"/>
        <v>0</v>
      </c>
      <c r="Q62" s="255">
        <f t="shared" si="35"/>
        <v>0</v>
      </c>
      <c r="R62" s="47"/>
      <c r="U62" s="45"/>
      <c r="V62" s="45"/>
      <c r="W62" s="40"/>
    </row>
    <row r="63" spans="1:26" ht="13.7" collapsed="1">
      <c r="C63" s="254" t="s">
        <v>221</v>
      </c>
      <c r="D63" s="255"/>
      <c r="E63" s="255">
        <f>SUM(E64:E66)</f>
        <v>0</v>
      </c>
      <c r="F63" s="255">
        <f t="shared" ref="F63:P63" si="36">SUM(F64:F66)</f>
        <v>0</v>
      </c>
      <c r="G63" s="255">
        <f t="shared" si="36"/>
        <v>0</v>
      </c>
      <c r="H63" s="255">
        <f t="shared" si="36"/>
        <v>0</v>
      </c>
      <c r="I63" s="255">
        <f t="shared" si="36"/>
        <v>0</v>
      </c>
      <c r="J63" s="255">
        <f t="shared" si="36"/>
        <v>0</v>
      </c>
      <c r="K63" s="255">
        <f t="shared" si="36"/>
        <v>0</v>
      </c>
      <c r="L63" s="255">
        <f t="shared" si="36"/>
        <v>0</v>
      </c>
      <c r="M63" s="255">
        <f t="shared" si="36"/>
        <v>0</v>
      </c>
      <c r="N63" s="255">
        <f t="shared" si="36"/>
        <v>0</v>
      </c>
      <c r="O63" s="255">
        <f t="shared" si="36"/>
        <v>0</v>
      </c>
      <c r="P63" s="255">
        <f t="shared" si="36"/>
        <v>0</v>
      </c>
      <c r="Q63" s="255">
        <f t="shared" ref="Q63" si="37">SUM(Q64:Q66)</f>
        <v>0</v>
      </c>
      <c r="U63" s="40"/>
      <c r="V63" s="40"/>
    </row>
    <row r="64" spans="1:26" ht="13.7" hidden="1" outlineLevel="1">
      <c r="A64" s="256"/>
      <c r="B64" s="256"/>
      <c r="C64" s="254"/>
      <c r="D64" s="340" t="s">
        <v>1094</v>
      </c>
      <c r="E64" s="341">
        <f>IFERROR(E$6*'Historical BU1'!D52,0)*Currency_conversion_BU1</f>
        <v>0</v>
      </c>
      <c r="F64" s="341">
        <f>IFERROR(F$6*'Historical BU1'!E52,0)*Currency_conversion_BU1</f>
        <v>0</v>
      </c>
      <c r="G64" s="341">
        <f>IFERROR(G$6*'Historical BU1'!F52,0)*Currency_conversion_BU1</f>
        <v>0</v>
      </c>
      <c r="H64" s="341">
        <f>IFERROR(H$6*'Historical BU1'!G52,0)*Currency_conversion_BU1</f>
        <v>0</v>
      </c>
      <c r="I64" s="341">
        <f>IFERROR(I$6*'Historical BU1'!H52,0)*Currency_conversion_BU1</f>
        <v>0</v>
      </c>
      <c r="J64" s="341">
        <f>IFERROR(J$6*'Historical BU1'!I52,0)*Currency_conversion_BU1</f>
        <v>0</v>
      </c>
      <c r="K64" s="341">
        <f>IFERROR(K$6*'Historical BU1'!J52,0)*Currency_conversion_BU1</f>
        <v>0</v>
      </c>
      <c r="L64" s="341">
        <f>IFERROR(L$6*'Historical BU1'!K52,0)*Currency_conversion_BU1</f>
        <v>0</v>
      </c>
      <c r="M64" s="341">
        <f>IFERROR(M$6*'Historical BU1'!L52,0)*Currency_conversion_BU1</f>
        <v>0</v>
      </c>
      <c r="N64" s="341">
        <f>IFERROR(N$6*'Historical BU1'!M52,0)*Currency_conversion_BU1</f>
        <v>0</v>
      </c>
      <c r="O64" s="341">
        <f>IFERROR(O$6*'Historical BU1'!N52,0)*Currency_conversion_BU1</f>
        <v>0</v>
      </c>
      <c r="P64" s="341">
        <f>IFERROR(P$6*'Historical BU1'!O52,0)*Currency_conversion_BU1</f>
        <v>0</v>
      </c>
      <c r="Q64" s="341">
        <f>IFERROR(Q$6*'Historical BU1'!P52,0)*Currency_conversion_BU1</f>
        <v>0</v>
      </c>
      <c r="R64" s="43"/>
      <c r="S64" s="44"/>
      <c r="T64" s="44"/>
      <c r="X64" s="41"/>
      <c r="Y64" s="41"/>
      <c r="Z64" s="40"/>
    </row>
    <row r="65" spans="1:26" ht="13.7" hidden="1" outlineLevel="1">
      <c r="A65" s="256"/>
      <c r="B65" s="256"/>
      <c r="C65" s="254"/>
      <c r="D65" s="340" t="s">
        <v>1095</v>
      </c>
      <c r="E65" s="341">
        <f>+IFERROR(E$7*'Acquisition BS adjustments'!$C60,0)+IFERROR(E$8*'Acquisition BS adjustments'!$E60,0)+IFERROR(E$9*('Acquisition BS adjustments'!$D$60),0)</f>
        <v>0</v>
      </c>
      <c r="F65" s="341">
        <f>+IFERROR(F$7*'Acquisition BS adjustments'!$C60,0)+IFERROR(F$8*'Acquisition BS adjustments'!$E60,0)+IFERROR(F$9*('Acquisition BS adjustments'!$D$60),0)</f>
        <v>0</v>
      </c>
      <c r="G65" s="341">
        <f>+IFERROR(G$7*'Acquisition BS adjustments'!$C60,0)+IFERROR(G$8*'Acquisition BS adjustments'!$E60,0)+IFERROR(G$9*('Acquisition BS adjustments'!$D$60),0)</f>
        <v>0</v>
      </c>
      <c r="H65" s="341">
        <f>+IFERROR(H$7*'Acquisition BS adjustments'!$C60,0)+IFERROR(H$8*'Acquisition BS adjustments'!$E60,0)+IFERROR(H$9*('Acquisition BS adjustments'!$D$60),0)</f>
        <v>0</v>
      </c>
      <c r="I65" s="341">
        <f>+IFERROR(I$7*'Acquisition BS adjustments'!$C60,0)+IFERROR(I$8*'Acquisition BS adjustments'!$E60,0)+IFERROR(I$9*('Acquisition BS adjustments'!$D$60),0)</f>
        <v>0</v>
      </c>
      <c r="J65" s="341">
        <f>+IFERROR(J$7*'Acquisition BS adjustments'!$C60,0)+IFERROR(J$8*'Acquisition BS adjustments'!$E60,0)+IFERROR(J$9*('Acquisition BS adjustments'!$D$60),0)</f>
        <v>0</v>
      </c>
      <c r="K65" s="341">
        <f>+IFERROR(K$7*'Acquisition BS adjustments'!$C60,0)+IFERROR(K$8*'Acquisition BS adjustments'!$E60,0)+IFERROR(K$9*('Acquisition BS adjustments'!$D$60),0)</f>
        <v>0</v>
      </c>
      <c r="L65" s="341">
        <f>+IFERROR(L$7*'Acquisition BS adjustments'!$C60,0)+IFERROR(L$8*'Acquisition BS adjustments'!$E60,0)+IFERROR(L$9*('Acquisition BS adjustments'!$D$60),0)</f>
        <v>0</v>
      </c>
      <c r="M65" s="341">
        <f>+IFERROR(M$7*'Acquisition BS adjustments'!$C60,0)+IFERROR(M$8*'Acquisition BS adjustments'!$E60,0)+IFERROR(M$9*('Acquisition BS adjustments'!$D$60),0)</f>
        <v>0</v>
      </c>
      <c r="N65" s="341">
        <f>+IFERROR(N$7*'Acquisition BS adjustments'!$C60,0)+IFERROR(N$8*'Acquisition BS adjustments'!$E60,0)+IFERROR(N$9*('Acquisition BS adjustments'!$D$60),0)</f>
        <v>0</v>
      </c>
      <c r="O65" s="341">
        <f>+IFERROR(O$7*'Acquisition BS adjustments'!$C60,0)+IFERROR(O$8*'Acquisition BS adjustments'!$E60,0)+IFERROR(O$9*('Acquisition BS adjustments'!$D$60),0)</f>
        <v>0</v>
      </c>
      <c r="P65" s="341">
        <f>+IFERROR(P$7*'Acquisition BS adjustments'!$C60,0)+IFERROR(P$8*'Acquisition BS adjustments'!$E60,0)+IFERROR(P$9*('Acquisition BS adjustments'!$D$60),0)</f>
        <v>0</v>
      </c>
      <c r="Q65" s="341">
        <f>+IFERROR(Q$7*'Acquisition BS adjustments'!$C60,0)+IFERROR(Q$8*'Acquisition BS adjustments'!$E60,0)+IFERROR(Q$9*('Acquisition BS adjustments'!$D$60),0)</f>
        <v>0</v>
      </c>
      <c r="R65" s="43"/>
      <c r="S65" s="44"/>
      <c r="T65" s="44"/>
      <c r="X65" s="41"/>
      <c r="Y65" s="41"/>
      <c r="Z65" s="40"/>
    </row>
    <row r="66" spans="1:26" ht="13.7" hidden="1" outlineLevel="1">
      <c r="A66" s="256"/>
      <c r="B66" s="256"/>
      <c r="C66" s="254"/>
      <c r="D66" s="340" t="s">
        <v>1098</v>
      </c>
      <c r="E66" s="341">
        <f>IFERROR(E$9*INDEX('Scenarios offshore'!217:217,MATCH('BS offshore'!E$5,'Scenarios offshore'!4:4,0)),0)*Currency_conversion_BU1</f>
        <v>0</v>
      </c>
      <c r="F66" s="341">
        <f>IFERROR(F$9*INDEX('Scenarios offshore'!217:217,MATCH('BS offshore'!F$5,'Scenarios offshore'!4:4,0)),0)*Currency_conversion_BU1</f>
        <v>0</v>
      </c>
      <c r="G66" s="341">
        <f>IFERROR(G$9*INDEX('Scenarios offshore'!217:217,MATCH('BS offshore'!G$5,'Scenarios offshore'!4:4,0)),0)*Currency_conversion_BU1</f>
        <v>0</v>
      </c>
      <c r="H66" s="341">
        <f>IFERROR(H$9*INDEX('Scenarios offshore'!217:217,MATCH('BS offshore'!H$5,'Scenarios offshore'!4:4,0)),0)*Currency_conversion_BU1</f>
        <v>0</v>
      </c>
      <c r="I66" s="341">
        <f>IFERROR(I$9*INDEX('Scenarios offshore'!217:217,MATCH('BS offshore'!I$5,'Scenarios offshore'!4:4,0)),0)*Currency_conversion_BU1</f>
        <v>0</v>
      </c>
      <c r="J66" s="341">
        <f>IFERROR(J$9*INDEX('Scenarios offshore'!217:217,MATCH('BS offshore'!J$5,'Scenarios offshore'!4:4,0)),0)*Currency_conversion_BU1</f>
        <v>0</v>
      </c>
      <c r="K66" s="341">
        <f>IFERROR(K$9*INDEX('Scenarios offshore'!217:217,MATCH('BS offshore'!K$5,'Scenarios offshore'!4:4,0)),0)*Currency_conversion_BU1</f>
        <v>0</v>
      </c>
      <c r="L66" s="341">
        <f>IFERROR(L$9*INDEX('Scenarios offshore'!217:217,MATCH('BS offshore'!L$5,'Scenarios offshore'!4:4,0)),0)*Currency_conversion_BU1</f>
        <v>0</v>
      </c>
      <c r="M66" s="341">
        <f>IFERROR(M$9*INDEX('Scenarios offshore'!217:217,MATCH('BS offshore'!M$5,'Scenarios offshore'!4:4,0)),0)*Currency_conversion_BU1</f>
        <v>0</v>
      </c>
      <c r="N66" s="341">
        <f>IFERROR(N$9*INDEX('Scenarios offshore'!217:217,MATCH('BS offshore'!N$5,'Scenarios offshore'!4:4,0)),0)*Currency_conversion_BU1</f>
        <v>0</v>
      </c>
      <c r="O66" s="341">
        <f>IFERROR(O$9*INDEX('Scenarios offshore'!217:217,MATCH('BS offshore'!O$5,'Scenarios offshore'!4:4,0)),0)*Currency_conversion_BU1</f>
        <v>0</v>
      </c>
      <c r="P66" s="341">
        <f>IFERROR(P$9*INDEX('Scenarios offshore'!217:217,MATCH('BS offshore'!P$5,'Scenarios offshore'!4:4,0)),0)*Currency_conversion_BU1</f>
        <v>0</v>
      </c>
      <c r="Q66" s="341">
        <f>IFERROR(Q$9*INDEX('Scenarios offshore'!217:217,MATCH('BS offshore'!Q$5,'Scenarios offshore'!4:4,0)),0)*Currency_conversion_BU1</f>
        <v>0</v>
      </c>
      <c r="R66" s="43"/>
      <c r="S66" s="44"/>
      <c r="T66" s="44"/>
      <c r="X66" s="41"/>
      <c r="Y66" s="41"/>
      <c r="Z66" s="40"/>
    </row>
    <row r="67" spans="1:26" ht="13.7" collapsed="1">
      <c r="C67" s="254" t="s">
        <v>222</v>
      </c>
      <c r="D67" s="255"/>
      <c r="E67" s="255">
        <f>SUM(E68:E69)</f>
        <v>0</v>
      </c>
      <c r="F67" s="255">
        <f t="shared" ref="F67:P67" si="38">SUM(F68:F69)</f>
        <v>0</v>
      </c>
      <c r="G67" s="255">
        <f t="shared" si="38"/>
        <v>0</v>
      </c>
      <c r="H67" s="255">
        <f t="shared" si="38"/>
        <v>0</v>
      </c>
      <c r="I67" s="255">
        <f t="shared" si="38"/>
        <v>0</v>
      </c>
      <c r="J67" s="255">
        <f t="shared" si="38"/>
        <v>0</v>
      </c>
      <c r="K67" s="255">
        <f t="shared" si="38"/>
        <v>0</v>
      </c>
      <c r="L67" s="255">
        <f t="shared" si="38"/>
        <v>0</v>
      </c>
      <c r="M67" s="255">
        <f t="shared" si="38"/>
        <v>0</v>
      </c>
      <c r="N67" s="255">
        <f t="shared" si="38"/>
        <v>0</v>
      </c>
      <c r="O67" s="255">
        <f t="shared" si="38"/>
        <v>0</v>
      </c>
      <c r="P67" s="255">
        <f t="shared" si="38"/>
        <v>0</v>
      </c>
      <c r="Q67" s="255">
        <f t="shared" ref="Q67" si="39">SUM(Q68:Q69)</f>
        <v>0</v>
      </c>
      <c r="U67" s="39"/>
      <c r="V67" s="39"/>
      <c r="W67" s="40"/>
    </row>
    <row r="68" spans="1:26" ht="13.7" hidden="1" outlineLevel="1">
      <c r="C68" s="254"/>
      <c r="D68" s="340" t="s">
        <v>1094</v>
      </c>
      <c r="E68" s="341">
        <f>IFERROR(E$6*'Historical BU1'!D53,0)*Currency_conversion_BU1</f>
        <v>0</v>
      </c>
      <c r="F68" s="341">
        <f>IFERROR(F$6*'Historical BU1'!E53,0)*Currency_conversion_BU1</f>
        <v>0</v>
      </c>
      <c r="G68" s="341">
        <f>IFERROR(G$6*'Historical BU1'!F53,0)*Currency_conversion_BU1</f>
        <v>0</v>
      </c>
      <c r="H68" s="341">
        <f>IFERROR(H$6*'Historical BU1'!G53,0)*Currency_conversion_BU1</f>
        <v>0</v>
      </c>
      <c r="I68" s="341">
        <f>IFERROR(I$6*'Historical BU1'!H53,0)*Currency_conversion_BU1</f>
        <v>0</v>
      </c>
      <c r="J68" s="341">
        <f>IFERROR(J$6*'Historical BU1'!I53,0)*Currency_conversion_BU1</f>
        <v>0</v>
      </c>
      <c r="K68" s="341">
        <f>IFERROR(K$6*'Historical BU1'!J53,0)*Currency_conversion_BU1</f>
        <v>0</v>
      </c>
      <c r="L68" s="341">
        <f>IFERROR(L$6*'Historical BU1'!K53,0)*Currency_conversion_BU1</f>
        <v>0</v>
      </c>
      <c r="M68" s="341">
        <f>IFERROR(M$6*'Historical BU1'!L53,0)*Currency_conversion_BU1</f>
        <v>0</v>
      </c>
      <c r="N68" s="341">
        <f>IFERROR(N$6*'Historical BU1'!M53,0)*Currency_conversion_BU1</f>
        <v>0</v>
      </c>
      <c r="O68" s="341">
        <f>IFERROR(O$6*'Historical BU1'!N53,0)*Currency_conversion_BU1</f>
        <v>0</v>
      </c>
      <c r="P68" s="341">
        <f>IFERROR(P$6*'Historical BU1'!O53,0)*Currency_conversion_BU1</f>
        <v>0</v>
      </c>
      <c r="Q68" s="341">
        <f>IFERROR(Q$6*'Historical BU1'!P53,0)*Currency_conversion_BU1</f>
        <v>0</v>
      </c>
      <c r="U68" s="39"/>
      <c r="V68" s="39"/>
      <c r="W68" s="40"/>
    </row>
    <row r="69" spans="1:26" ht="13.7" hidden="1" outlineLevel="1">
      <c r="C69" s="254"/>
      <c r="D69" s="340" t="s">
        <v>1095</v>
      </c>
      <c r="E69" s="341">
        <f>+IFERROR(E$7*'Acquisition BS adjustments'!$C61,0)+IFERROR(E$8*'Acquisition BS adjustments'!$E61,0)</f>
        <v>0</v>
      </c>
      <c r="F69" s="341">
        <f>+IFERROR(F$7*'Acquisition BS adjustments'!$C61,0)+IFERROR(F$8*'Acquisition BS adjustments'!$E61,0)</f>
        <v>0</v>
      </c>
      <c r="G69" s="341">
        <f>+IFERROR(G$7*'Acquisition BS adjustments'!$C61,0)+IFERROR(G$8*'Acquisition BS adjustments'!$E61,0)</f>
        <v>0</v>
      </c>
      <c r="H69" s="341">
        <f>+IFERROR(H$7*'Acquisition BS adjustments'!$C61,0)+IFERROR(H$8*'Acquisition BS adjustments'!$E61,0)</f>
        <v>0</v>
      </c>
      <c r="I69" s="341">
        <f>+IFERROR(I$7*'Acquisition BS adjustments'!$C61,0)+IFERROR(I$8*'Acquisition BS adjustments'!$E61,0)</f>
        <v>0</v>
      </c>
      <c r="J69" s="341">
        <f>+IFERROR(J$7*'Acquisition BS adjustments'!$C61,0)+IFERROR(J$8*'Acquisition BS adjustments'!$E61,0)</f>
        <v>0</v>
      </c>
      <c r="K69" s="341">
        <f>+IFERROR(K$7*'Acquisition BS adjustments'!$C61,0)+IFERROR(K$8*'Acquisition BS adjustments'!$E61,0)</f>
        <v>0</v>
      </c>
      <c r="L69" s="341">
        <f>+IFERROR(L$7*'Acquisition BS adjustments'!$C61,0)+IFERROR(L$8*'Acquisition BS adjustments'!$E61,0)</f>
        <v>0</v>
      </c>
      <c r="M69" s="341">
        <f>+IFERROR(M$7*'Acquisition BS adjustments'!$C61,0)+IFERROR(M$8*'Acquisition BS adjustments'!$E61,0)</f>
        <v>0</v>
      </c>
      <c r="N69" s="341">
        <f>+IFERROR(N$7*'Acquisition BS adjustments'!$C61,0)+IFERROR(N$8*'Acquisition BS adjustments'!$E61,0)</f>
        <v>0</v>
      </c>
      <c r="O69" s="341">
        <f>+IFERROR(O$7*'Acquisition BS adjustments'!$C61,0)+IFERROR(O$8*'Acquisition BS adjustments'!$E61,0)</f>
        <v>0</v>
      </c>
      <c r="P69" s="341">
        <f>+IFERROR(P$7*'Acquisition BS adjustments'!$C61,0)+IFERROR(P$8*'Acquisition BS adjustments'!$E61,0)</f>
        <v>0</v>
      </c>
      <c r="Q69" s="341">
        <f>+IFERROR(Q$7*'Acquisition BS adjustments'!$C61,0)+IFERROR(Q$8*'Acquisition BS adjustments'!$E61,0)</f>
        <v>0</v>
      </c>
      <c r="U69" s="39"/>
      <c r="V69" s="39"/>
      <c r="W69" s="40"/>
    </row>
    <row r="70" spans="1:26" ht="13.7" collapsed="1">
      <c r="C70" s="48"/>
      <c r="U70" s="39"/>
      <c r="V70" s="39"/>
      <c r="W70" s="40"/>
    </row>
    <row r="71" spans="1:26" ht="13.7">
      <c r="C71" s="195" t="s">
        <v>10</v>
      </c>
      <c r="D71" s="195"/>
      <c r="E71" s="195">
        <f>E23+E50</f>
        <v>0</v>
      </c>
      <c r="F71" s="195">
        <f t="shared" ref="F71:P71" si="40">F23+F50</f>
        <v>0</v>
      </c>
      <c r="G71" s="195">
        <f t="shared" si="40"/>
        <v>0</v>
      </c>
      <c r="H71" s="195">
        <f t="shared" si="40"/>
        <v>0</v>
      </c>
      <c r="I71" s="195">
        <f t="shared" si="40"/>
        <v>0</v>
      </c>
      <c r="J71" s="195">
        <f t="shared" si="40"/>
        <v>0</v>
      </c>
      <c r="K71" s="195">
        <f t="shared" ca="1" si="40"/>
        <v>0</v>
      </c>
      <c r="L71" s="195">
        <f t="shared" ca="1" si="40"/>
        <v>0</v>
      </c>
      <c r="M71" s="195">
        <f t="shared" ca="1" si="40"/>
        <v>0</v>
      </c>
      <c r="N71" s="195">
        <f t="shared" ca="1" si="40"/>
        <v>0</v>
      </c>
      <c r="O71" s="195">
        <f t="shared" ca="1" si="40"/>
        <v>0</v>
      </c>
      <c r="P71" s="195">
        <f t="shared" ca="1" si="40"/>
        <v>0</v>
      </c>
      <c r="Q71" s="195">
        <f t="shared" ref="Q71" si="41">Q23+Q50</f>
        <v>0</v>
      </c>
      <c r="X71" s="41"/>
      <c r="Y71" s="41"/>
      <c r="Z71" s="40"/>
    </row>
    <row r="72" spans="1:26">
      <c r="X72" s="41"/>
      <c r="Y72" s="41"/>
      <c r="Z72" s="40"/>
    </row>
    <row r="73" spans="1:26" ht="13.7">
      <c r="A73" s="256"/>
      <c r="B73" s="256"/>
      <c r="C73" s="181" t="s">
        <v>11</v>
      </c>
      <c r="D73" s="180"/>
      <c r="E73" s="180">
        <f>+E74+E77+E81+E84+E87+E90+E94+E98+E102</f>
        <v>0</v>
      </c>
      <c r="F73" s="180">
        <f t="shared" ref="F73:P73" si="42">+F74+F77+F81+F84+F87+F90+F94+F98+F102</f>
        <v>0</v>
      </c>
      <c r="G73" s="180">
        <f t="shared" si="42"/>
        <v>0</v>
      </c>
      <c r="H73" s="180">
        <f t="shared" si="42"/>
        <v>0</v>
      </c>
      <c r="I73" s="180">
        <f t="shared" si="42"/>
        <v>0</v>
      </c>
      <c r="J73" s="180">
        <f t="shared" si="42"/>
        <v>0</v>
      </c>
      <c r="K73" s="180">
        <f t="shared" ca="1" si="42"/>
        <v>0</v>
      </c>
      <c r="L73" s="180">
        <f t="shared" ca="1" si="42"/>
        <v>0</v>
      </c>
      <c r="M73" s="180">
        <f t="shared" ca="1" si="42"/>
        <v>0</v>
      </c>
      <c r="N73" s="180">
        <f t="shared" ca="1" si="42"/>
        <v>0</v>
      </c>
      <c r="O73" s="180">
        <f t="shared" ca="1" si="42"/>
        <v>0</v>
      </c>
      <c r="P73" s="180">
        <f t="shared" ca="1" si="42"/>
        <v>0</v>
      </c>
      <c r="Q73" s="180">
        <f t="shared" ref="Q73" si="43">+Q74+Q77+Q81+Q84+Q87+Q90+Q94+Q98+Q102</f>
        <v>0</v>
      </c>
      <c r="T73" s="44"/>
      <c r="U73" s="44"/>
      <c r="X73" s="41"/>
      <c r="Y73" s="41"/>
      <c r="Z73" s="40"/>
    </row>
    <row r="74" spans="1:26" ht="13.7">
      <c r="A74" s="256"/>
      <c r="B74" s="256"/>
      <c r="C74" s="377" t="s">
        <v>1467</v>
      </c>
      <c r="D74" s="180"/>
      <c r="E74" s="376">
        <f>SUM(E75:E76)</f>
        <v>0</v>
      </c>
      <c r="F74" s="376">
        <f t="shared" ref="F74:P74" si="44">SUM(F75:F76)</f>
        <v>0</v>
      </c>
      <c r="G74" s="376">
        <f t="shared" si="44"/>
        <v>0</v>
      </c>
      <c r="H74" s="376">
        <f t="shared" si="44"/>
        <v>0</v>
      </c>
      <c r="I74" s="376">
        <f t="shared" si="44"/>
        <v>0</v>
      </c>
      <c r="J74" s="376">
        <f t="shared" si="44"/>
        <v>0</v>
      </c>
      <c r="K74" s="376">
        <f t="shared" ca="1" si="44"/>
        <v>0</v>
      </c>
      <c r="L74" s="376">
        <f t="shared" ca="1" si="44"/>
        <v>0</v>
      </c>
      <c r="M74" s="376">
        <f t="shared" ca="1" si="44"/>
        <v>0</v>
      </c>
      <c r="N74" s="376">
        <f t="shared" ca="1" si="44"/>
        <v>0</v>
      </c>
      <c r="O74" s="376">
        <f t="shared" ca="1" si="44"/>
        <v>0</v>
      </c>
      <c r="P74" s="376">
        <f t="shared" ca="1" si="44"/>
        <v>0</v>
      </c>
      <c r="Q74" s="376">
        <f t="shared" ref="Q74" si="45">SUM(Q75:Q76)</f>
        <v>0</v>
      </c>
      <c r="T74" s="44"/>
      <c r="U74" s="44"/>
      <c r="X74" s="41"/>
      <c r="Y74" s="41"/>
      <c r="Z74" s="40"/>
    </row>
    <row r="75" spans="1:26" ht="13.7" hidden="1" outlineLevel="1">
      <c r="A75" s="256"/>
      <c r="B75" s="256"/>
      <c r="C75" s="254"/>
      <c r="D75" s="340" t="s">
        <v>1095</v>
      </c>
      <c r="E75" s="341">
        <f>+IFERROR(E$7*'Acquisition BS adjustments'!$C73,0)+IFERROR(E$8*'Acquisition BS adjustments'!$E73,0)</f>
        <v>0</v>
      </c>
      <c r="F75" s="341">
        <f>+IFERROR(F$7*'Acquisition BS adjustments'!$C73,0)+IFERROR(F$8*'Acquisition BS adjustments'!$E73,0)</f>
        <v>0</v>
      </c>
      <c r="G75" s="341">
        <f>+IFERROR(G$7*'Acquisition BS adjustments'!$C73,0)+IFERROR(G$8*'Acquisition BS adjustments'!$E73,0)</f>
        <v>0</v>
      </c>
      <c r="H75" s="341">
        <f>+IFERROR(H$7*'Acquisition BS adjustments'!$C73,0)+IFERROR(H$8*'Acquisition BS adjustments'!$E73,0)</f>
        <v>0</v>
      </c>
      <c r="I75" s="341">
        <f>+IFERROR(I$7*'Acquisition BS adjustments'!$C73,0)+IFERROR(I$8*'Acquisition BS adjustments'!$E73,0)</f>
        <v>0</v>
      </c>
      <c r="J75" s="341">
        <f>+IFERROR(J$7*'Acquisition BS adjustments'!$C73,0)+IFERROR(J$8*'Acquisition BS adjustments'!$E73,0)</f>
        <v>0</v>
      </c>
      <c r="K75" s="341">
        <f>+IFERROR(K$7*'Acquisition BS adjustments'!$C73,0)+IFERROR(K$8*'Acquisition BS adjustments'!$E73,0)</f>
        <v>0</v>
      </c>
      <c r="L75" s="341">
        <f>+IFERROR(L$7*'Acquisition BS adjustments'!$C73,0)+IFERROR(L$8*'Acquisition BS adjustments'!$E73,0)</f>
        <v>0</v>
      </c>
      <c r="M75" s="341">
        <f>+IFERROR(M$7*'Acquisition BS adjustments'!$C73,0)+IFERROR(M$8*'Acquisition BS adjustments'!$E73,0)</f>
        <v>0</v>
      </c>
      <c r="N75" s="341">
        <f>+IFERROR(N$7*'Acquisition BS adjustments'!$C73,0)+IFERROR(N$8*'Acquisition BS adjustments'!$E73,0)</f>
        <v>0</v>
      </c>
      <c r="O75" s="341">
        <f>+IFERROR(O$7*'Acquisition BS adjustments'!$C73,0)+IFERROR(O$8*'Acquisition BS adjustments'!$E73,0)</f>
        <v>0</v>
      </c>
      <c r="P75" s="341">
        <f>+IFERROR(P$7*'Acquisition BS adjustments'!$C73,0)+IFERROR(P$8*'Acquisition BS adjustments'!$E73,0)</f>
        <v>0</v>
      </c>
      <c r="Q75" s="341">
        <f>+IFERROR(Q$7*'Acquisition BS adjustments'!$C73,0)+IFERROR(Q$8*'Acquisition BS adjustments'!$E73,0)</f>
        <v>0</v>
      </c>
      <c r="R75" s="43"/>
      <c r="S75" s="44"/>
      <c r="T75" s="44"/>
      <c r="X75" s="41"/>
      <c r="Y75" s="41"/>
      <c r="Z75" s="40"/>
    </row>
    <row r="76" spans="1:26" ht="13.7" hidden="1" outlineLevel="1">
      <c r="A76" s="256"/>
      <c r="B76" s="256"/>
      <c r="C76" s="254"/>
      <c r="D76" s="340" t="s">
        <v>1096</v>
      </c>
      <c r="E76" s="340">
        <f>+IFERROR(E9*INDEX('Financial Quarterly offshore'!86:86,MATCH('BS offshore'!E$5,'Financial Quarterly offshore'!4:4,0)),0)</f>
        <v>0</v>
      </c>
      <c r="F76" s="340">
        <f>+IFERROR(F9*INDEX('Financial Quarterly offshore'!86:86,MATCH('BS offshore'!F$5,'Financial Quarterly offshore'!4:4,0)),0)</f>
        <v>0</v>
      </c>
      <c r="G76" s="340">
        <f>+IFERROR(G9*INDEX('Financial Quarterly offshore'!86:86,MATCH('BS offshore'!G$5,'Financial Quarterly offshore'!4:4,0)),0)</f>
        <v>0</v>
      </c>
      <c r="H76" s="340">
        <f>+IFERROR(H9*INDEX('Financial Quarterly offshore'!86:86,MATCH('BS offshore'!H$5,'Financial Quarterly offshore'!4:4,0)),0)</f>
        <v>0</v>
      </c>
      <c r="I76" s="340">
        <f>+IFERROR(I9*INDEX('Financial Quarterly offshore'!86:86,MATCH('BS offshore'!I$5,'Financial Quarterly offshore'!4:4,0)),0)</f>
        <v>0</v>
      </c>
      <c r="J76" s="340">
        <f>+IFERROR(J9*INDEX('Financial Quarterly offshore'!86:86,MATCH('BS offshore'!J$5,'Financial Quarterly offshore'!4:4,0)),0)</f>
        <v>0</v>
      </c>
      <c r="K76" s="340">
        <f ca="1">+IFERROR(K9*INDEX('Financial Quarterly offshore'!86:86,MATCH('BS offshore'!K$5,'Financial Quarterly offshore'!4:4,0)),0)</f>
        <v>0</v>
      </c>
      <c r="L76" s="340">
        <f ca="1">+IFERROR(L9*INDEX('Financial Quarterly offshore'!86:86,MATCH('BS offshore'!L$5,'Financial Quarterly offshore'!4:4,0)),0)</f>
        <v>0</v>
      </c>
      <c r="M76" s="340">
        <f ca="1">+IFERROR(M9*INDEX('Financial Quarterly offshore'!86:86,MATCH('BS offshore'!M$5,'Financial Quarterly offshore'!4:4,0)),0)</f>
        <v>0</v>
      </c>
      <c r="N76" s="340">
        <f ca="1">+IFERROR(N9*INDEX('Financial Quarterly offshore'!86:86,MATCH('BS offshore'!N$5,'Financial Quarterly offshore'!4:4,0)),0)</f>
        <v>0</v>
      </c>
      <c r="O76" s="340">
        <f ca="1">+IFERROR(O9*INDEX('Financial Quarterly offshore'!86:86,MATCH('BS offshore'!O$5,'Financial Quarterly offshore'!4:4,0)),0)</f>
        <v>0</v>
      </c>
      <c r="P76" s="340">
        <f ca="1">+IFERROR(P9*INDEX('Financial Quarterly offshore'!86:86,MATCH('BS offshore'!P$5,'Financial Quarterly offshore'!4:4,0)),0)</f>
        <v>0</v>
      </c>
      <c r="Q76" s="340">
        <f>+IFERROR(Q9*INDEX('Financial Quarterly offshore'!86:86,MATCH('BS offshore'!Q$5,'Financial Quarterly offshore'!4:4,0)),0)</f>
        <v>0</v>
      </c>
      <c r="X76" s="39"/>
      <c r="Y76" s="39"/>
      <c r="Z76" s="40"/>
    </row>
    <row r="77" spans="1:26" ht="13.7" collapsed="1">
      <c r="A77" s="256"/>
      <c r="B77" s="256"/>
      <c r="C77" s="254" t="s">
        <v>225</v>
      </c>
      <c r="D77" s="255"/>
      <c r="E77" s="255">
        <f>SUM(E78:E80)</f>
        <v>0</v>
      </c>
      <c r="F77" s="255">
        <f t="shared" ref="F77:P77" si="46">SUM(F78:F80)</f>
        <v>0</v>
      </c>
      <c r="G77" s="255">
        <f t="shared" si="46"/>
        <v>0</v>
      </c>
      <c r="H77" s="255">
        <f t="shared" si="46"/>
        <v>0</v>
      </c>
      <c r="I77" s="255">
        <f t="shared" si="46"/>
        <v>0</v>
      </c>
      <c r="J77" s="255">
        <f t="shared" si="46"/>
        <v>0</v>
      </c>
      <c r="K77" s="255">
        <f t="shared" si="46"/>
        <v>0</v>
      </c>
      <c r="L77" s="255">
        <f t="shared" si="46"/>
        <v>0</v>
      </c>
      <c r="M77" s="255">
        <f t="shared" si="46"/>
        <v>0</v>
      </c>
      <c r="N77" s="255">
        <f t="shared" si="46"/>
        <v>0</v>
      </c>
      <c r="O77" s="255">
        <f t="shared" si="46"/>
        <v>0</v>
      </c>
      <c r="P77" s="255">
        <f t="shared" si="46"/>
        <v>0</v>
      </c>
      <c r="Q77" s="255">
        <f t="shared" ref="Q77" si="47">SUM(Q78:Q80)</f>
        <v>0</v>
      </c>
      <c r="T77" s="44"/>
      <c r="U77" s="44"/>
      <c r="X77" s="41"/>
      <c r="Y77" s="41"/>
      <c r="Z77" s="40"/>
    </row>
    <row r="78" spans="1:26" ht="13.7" hidden="1" outlineLevel="1">
      <c r="A78" s="256"/>
      <c r="B78" s="256"/>
      <c r="C78" s="254"/>
      <c r="D78" s="340" t="s">
        <v>1094</v>
      </c>
      <c r="E78" s="341">
        <f>IFERROR(E6*'Historical BU1'!D57,0)*Currency_conversion_BU1</f>
        <v>0</v>
      </c>
      <c r="F78" s="341">
        <f>IFERROR(F6*'Historical BU1'!E57,0)*Currency_conversion_BU1</f>
        <v>0</v>
      </c>
      <c r="G78" s="341">
        <f>IFERROR(G6*'Historical BU1'!F57,0)*Currency_conversion_BU1</f>
        <v>0</v>
      </c>
      <c r="H78" s="341">
        <f>IFERROR(H6*'Historical BU1'!G57,0)*Currency_conversion_BU1</f>
        <v>0</v>
      </c>
      <c r="I78" s="341">
        <f>IFERROR(I6*'Historical BU1'!H57,0)*Currency_conversion_BU1</f>
        <v>0</v>
      </c>
      <c r="J78" s="341">
        <f>IFERROR(J6*'Historical BU1'!I57,0)*Currency_conversion_BU1</f>
        <v>0</v>
      </c>
      <c r="K78" s="341">
        <f>IFERROR(K6*'Historical BU1'!J57,0)*Currency_conversion_BU1</f>
        <v>0</v>
      </c>
      <c r="L78" s="341">
        <f>IFERROR(L6*'Historical BU1'!K57,0)*Currency_conversion_BU1</f>
        <v>0</v>
      </c>
      <c r="M78" s="341">
        <f>IFERROR(M6*'Historical BU1'!L57,0)*Currency_conversion_BU1</f>
        <v>0</v>
      </c>
      <c r="N78" s="341">
        <f>IFERROR(N6*'Historical BU1'!M57,0)*Currency_conversion_BU1</f>
        <v>0</v>
      </c>
      <c r="O78" s="341">
        <f>IFERROR(O6*'Historical BU1'!N57,0)*Currency_conversion_BU1</f>
        <v>0</v>
      </c>
      <c r="P78" s="341">
        <f>IFERROR(P6*'Historical BU1'!O57,0)*Currency_conversion_BU1</f>
        <v>0</v>
      </c>
      <c r="Q78" s="341">
        <f>IFERROR(Q6*'Historical BU1'!P57,0)*Currency_conversion_BU1</f>
        <v>0</v>
      </c>
      <c r="R78" s="43"/>
      <c r="S78" s="44"/>
      <c r="T78" s="44"/>
      <c r="X78" s="41"/>
      <c r="Y78" s="41"/>
      <c r="Z78" s="40"/>
    </row>
    <row r="79" spans="1:26" ht="13.7" hidden="1" outlineLevel="1">
      <c r="A79" s="256"/>
      <c r="B79" s="256"/>
      <c r="C79" s="254"/>
      <c r="D79" s="340" t="s">
        <v>1095</v>
      </c>
      <c r="E79" s="341">
        <f>+IFERROR(E$7*'Acquisition BS adjustments'!$C65,0)+IFERROR(E$8*'Acquisition BS adjustments'!$E65,0)</f>
        <v>0</v>
      </c>
      <c r="F79" s="341">
        <f>+IFERROR(F$7*'Acquisition BS adjustments'!$C65,0)+IFERROR(F$8*'Acquisition BS adjustments'!$E65,0)</f>
        <v>0</v>
      </c>
      <c r="G79" s="341">
        <f>+IFERROR(G$7*'Acquisition BS adjustments'!$C65,0)+IFERROR(G$8*'Acquisition BS adjustments'!$E65,0)</f>
        <v>0</v>
      </c>
      <c r="H79" s="341">
        <f>+IFERROR(H$7*'Acquisition BS adjustments'!$C65,0)+IFERROR(H$8*'Acquisition BS adjustments'!$E65,0)</f>
        <v>0</v>
      </c>
      <c r="I79" s="341">
        <f>+IFERROR(I$7*'Acquisition BS adjustments'!$C65,0)+IFERROR(I$8*'Acquisition BS adjustments'!$E65,0)</f>
        <v>0</v>
      </c>
      <c r="J79" s="341">
        <f>+IFERROR(J$7*'Acquisition BS adjustments'!$C65,0)+IFERROR(J$8*'Acquisition BS adjustments'!$E65,0)</f>
        <v>0</v>
      </c>
      <c r="K79" s="341">
        <f>+IFERROR(K$7*'Acquisition BS adjustments'!$C65,0)+IFERROR(K$8*'Acquisition BS adjustments'!$E65,0)</f>
        <v>0</v>
      </c>
      <c r="L79" s="341">
        <f>+IFERROR(L$7*'Acquisition BS adjustments'!$C65,0)+IFERROR(L$8*'Acquisition BS adjustments'!$E65,0)</f>
        <v>0</v>
      </c>
      <c r="M79" s="341">
        <f>+IFERROR(M$7*'Acquisition BS adjustments'!$C65,0)+IFERROR(M$8*'Acquisition BS adjustments'!$E65,0)</f>
        <v>0</v>
      </c>
      <c r="N79" s="341">
        <f>+IFERROR(N$7*'Acquisition BS adjustments'!$C65,0)+IFERROR(N$8*'Acquisition BS adjustments'!$E65,0)</f>
        <v>0</v>
      </c>
      <c r="O79" s="341">
        <f>+IFERROR(O$7*'Acquisition BS adjustments'!$C65,0)+IFERROR(O$8*'Acquisition BS adjustments'!$E65,0)</f>
        <v>0</v>
      </c>
      <c r="P79" s="341">
        <f>+IFERROR(P$7*'Acquisition BS adjustments'!$C65,0)+IFERROR(P$8*'Acquisition BS adjustments'!$E65,0)</f>
        <v>0</v>
      </c>
      <c r="Q79" s="341">
        <f>+IFERROR(Q$7*'Acquisition BS adjustments'!$C65,0)+IFERROR(Q$8*'Acquisition BS adjustments'!$E65,0)</f>
        <v>0</v>
      </c>
      <c r="R79" s="43"/>
      <c r="S79" s="44"/>
      <c r="T79" s="44"/>
      <c r="X79" s="41"/>
      <c r="Y79" s="41"/>
      <c r="Z79" s="40"/>
    </row>
    <row r="80" spans="1:26" ht="13.7" hidden="1" outlineLevel="1">
      <c r="A80" s="256"/>
      <c r="B80" s="256"/>
      <c r="C80" s="254"/>
      <c r="D80" s="340" t="s">
        <v>1098</v>
      </c>
      <c r="E80" s="341">
        <f>+IFERROR(E$9*INDEX('Scenarios offshore'!223:223,MATCH('BS offshore'!E$5,'Scenarios offshore'!$4:$4,0)),0)*Currency_conversion_BU1</f>
        <v>0</v>
      </c>
      <c r="F80" s="341">
        <f>+IFERROR(F$9*INDEX('Scenarios offshore'!223:223,MATCH('BS offshore'!F$5,'Scenarios offshore'!$4:$4,0)),0)*Currency_conversion_BU1</f>
        <v>0</v>
      </c>
      <c r="G80" s="341">
        <f>+IFERROR(G$9*INDEX('Scenarios offshore'!223:223,MATCH('BS offshore'!G$5,'Scenarios offshore'!$4:$4,0)),0)*Currency_conversion_BU1</f>
        <v>0</v>
      </c>
      <c r="H80" s="341">
        <f>+IFERROR(H$9*INDEX('Scenarios offshore'!223:223,MATCH('BS offshore'!H$5,'Scenarios offshore'!$4:$4,0)),0)*Currency_conversion_BU1</f>
        <v>0</v>
      </c>
      <c r="I80" s="341">
        <f>+IFERROR(I$9*INDEX('Scenarios offshore'!223:223,MATCH('BS offshore'!I$5,'Scenarios offshore'!$4:$4,0)),0)*Currency_conversion_BU1</f>
        <v>0</v>
      </c>
      <c r="J80" s="341">
        <f>+IFERROR(J$9*INDEX('Scenarios offshore'!223:223,MATCH('BS offshore'!J$5,'Scenarios offshore'!$4:$4,0)),0)*Currency_conversion_BU1</f>
        <v>0</v>
      </c>
      <c r="K80" s="341">
        <f>+IFERROR(K$9*INDEX('Scenarios offshore'!223:223,MATCH('BS offshore'!K$5,'Scenarios offshore'!$4:$4,0)),0)*Currency_conversion_BU1</f>
        <v>0</v>
      </c>
      <c r="L80" s="341">
        <f>+IFERROR(L$9*INDEX('Scenarios offshore'!223:223,MATCH('BS offshore'!L$5,'Scenarios offshore'!$4:$4,0)),0)*Currency_conversion_BU1</f>
        <v>0</v>
      </c>
      <c r="M80" s="341">
        <f>+IFERROR(M$9*INDEX('Scenarios offshore'!223:223,MATCH('BS offshore'!M$5,'Scenarios offshore'!$4:$4,0)),0)*Currency_conversion_BU1</f>
        <v>0</v>
      </c>
      <c r="N80" s="341">
        <f>+IFERROR(N$9*INDEX('Scenarios offshore'!223:223,MATCH('BS offshore'!N$5,'Scenarios offshore'!$4:$4,0)),0)*Currency_conversion_BU1</f>
        <v>0</v>
      </c>
      <c r="O80" s="341">
        <f>+IFERROR(O$9*INDEX('Scenarios offshore'!223:223,MATCH('BS offshore'!O$5,'Scenarios offshore'!$4:$4,0)),0)*Currency_conversion_BU1</f>
        <v>0</v>
      </c>
      <c r="P80" s="341">
        <f>+IFERROR(P$9*INDEX('Scenarios offshore'!223:223,MATCH('BS offshore'!P$5,'Scenarios offshore'!$4:$4,0)),0)*Currency_conversion_BU1</f>
        <v>0</v>
      </c>
      <c r="Q80" s="341">
        <f>+IFERROR(Q$9*INDEX('Scenarios offshore'!223:223,MATCH('BS offshore'!Q$5,'Scenarios offshore'!$4:$4,0)),0)*Currency_conversion_BU1</f>
        <v>0</v>
      </c>
      <c r="R80" s="43"/>
      <c r="S80" s="44"/>
      <c r="T80" s="44"/>
      <c r="X80" s="41"/>
      <c r="Y80" s="41"/>
      <c r="Z80" s="40"/>
    </row>
    <row r="81" spans="1:26" ht="13.7" collapsed="1">
      <c r="A81" s="256"/>
      <c r="B81" s="256"/>
      <c r="C81" s="254" t="s">
        <v>226</v>
      </c>
      <c r="D81" s="255"/>
      <c r="E81" s="255">
        <f>SUM(E82:E83)</f>
        <v>0</v>
      </c>
      <c r="F81" s="255">
        <f t="shared" ref="F81:P81" si="48">SUM(F82:F83)</f>
        <v>0</v>
      </c>
      <c r="G81" s="255">
        <f t="shared" si="48"/>
        <v>0</v>
      </c>
      <c r="H81" s="255">
        <f t="shared" si="48"/>
        <v>0</v>
      </c>
      <c r="I81" s="255">
        <f t="shared" si="48"/>
        <v>0</v>
      </c>
      <c r="J81" s="255">
        <f t="shared" si="48"/>
        <v>0</v>
      </c>
      <c r="K81" s="255">
        <f t="shared" si="48"/>
        <v>0</v>
      </c>
      <c r="L81" s="255">
        <f t="shared" si="48"/>
        <v>0</v>
      </c>
      <c r="M81" s="255">
        <f t="shared" si="48"/>
        <v>0</v>
      </c>
      <c r="N81" s="255">
        <f t="shared" si="48"/>
        <v>0</v>
      </c>
      <c r="O81" s="255">
        <f t="shared" si="48"/>
        <v>0</v>
      </c>
      <c r="P81" s="255">
        <f t="shared" si="48"/>
        <v>0</v>
      </c>
      <c r="Q81" s="255">
        <f t="shared" ref="Q81" si="49">SUM(Q82:Q83)</f>
        <v>0</v>
      </c>
      <c r="T81" s="44"/>
      <c r="U81" s="44"/>
      <c r="X81" s="41"/>
      <c r="Y81" s="41"/>
      <c r="Z81" s="40"/>
    </row>
    <row r="82" spans="1:26" ht="13.7" hidden="1" outlineLevel="1">
      <c r="C82" s="254"/>
      <c r="D82" s="340" t="s">
        <v>1094</v>
      </c>
      <c r="E82" s="341">
        <f>IFERROR(E$6*'Historical BU1'!D58,0)*Currency_conversion_BU1</f>
        <v>0</v>
      </c>
      <c r="F82" s="341">
        <f>IFERROR(F$6*'Historical BU1'!E58,0)*Currency_conversion_BU1</f>
        <v>0</v>
      </c>
      <c r="G82" s="341">
        <f>IFERROR(G$6*'Historical BU1'!F58,0)*Currency_conversion_BU1</f>
        <v>0</v>
      </c>
      <c r="H82" s="341">
        <f>IFERROR(H$6*'Historical BU1'!G58,0)*Currency_conversion_BU1</f>
        <v>0</v>
      </c>
      <c r="I82" s="341">
        <f>IFERROR(I$6*'Historical BU1'!H58,0)*Currency_conversion_BU1</f>
        <v>0</v>
      </c>
      <c r="J82" s="341">
        <f>IFERROR(J$6*'Historical BU1'!I58,0)*Currency_conversion_BU1</f>
        <v>0</v>
      </c>
      <c r="K82" s="341">
        <f>IFERROR(K$6*'Historical BU1'!J58,0)*Currency_conversion_BU1</f>
        <v>0</v>
      </c>
      <c r="L82" s="341">
        <f>IFERROR(L$6*'Historical BU1'!K58,0)*Currency_conversion_BU1</f>
        <v>0</v>
      </c>
      <c r="M82" s="341">
        <f>IFERROR(M$6*'Historical BU1'!L58,0)*Currency_conversion_BU1</f>
        <v>0</v>
      </c>
      <c r="N82" s="341">
        <f>IFERROR(N$6*'Historical BU1'!M58,0)*Currency_conversion_BU1</f>
        <v>0</v>
      </c>
      <c r="O82" s="341">
        <f>IFERROR(O$6*'Historical BU1'!N58,0)*Currency_conversion_BU1</f>
        <v>0</v>
      </c>
      <c r="P82" s="341">
        <f>IFERROR(P$6*'Historical BU1'!O58,0)*Currency_conversion_BU1</f>
        <v>0</v>
      </c>
      <c r="Q82" s="341">
        <f>IFERROR(Q$6*'Historical BU1'!P58,0)*Currency_conversion_BU1</f>
        <v>0</v>
      </c>
      <c r="R82" s="47"/>
      <c r="U82" s="45"/>
      <c r="V82" s="45"/>
      <c r="W82" s="40"/>
    </row>
    <row r="83" spans="1:26" ht="13.7" hidden="1" outlineLevel="1">
      <c r="C83" s="254"/>
      <c r="D83" s="340" t="s">
        <v>1095</v>
      </c>
      <c r="E83" s="341">
        <f>+IFERROR(E$7*'Acquisition BS adjustments'!$C66,0)+IFERROR(E$8*'Acquisition BS adjustments'!$E66,0)</f>
        <v>0</v>
      </c>
      <c r="F83" s="341">
        <f>+IFERROR(F$7*'Acquisition BS adjustments'!$C66,0)+IFERROR(F$8*'Acquisition BS adjustments'!$E66,0)</f>
        <v>0</v>
      </c>
      <c r="G83" s="341">
        <f>+IFERROR(G$7*'Acquisition BS adjustments'!$C66,0)+IFERROR(G$8*'Acquisition BS adjustments'!$E66,0)</f>
        <v>0</v>
      </c>
      <c r="H83" s="341">
        <f>+IFERROR(H$7*'Acquisition BS adjustments'!$C66,0)+IFERROR(H$8*'Acquisition BS adjustments'!$E66,0)</f>
        <v>0</v>
      </c>
      <c r="I83" s="341">
        <f>+IFERROR(I$7*'Acquisition BS adjustments'!$C66,0)+IFERROR(I$8*'Acquisition BS adjustments'!$E66,0)</f>
        <v>0</v>
      </c>
      <c r="J83" s="341">
        <f>+IFERROR(J$7*'Acquisition BS adjustments'!$C66,0)+IFERROR(J$8*'Acquisition BS adjustments'!$E66,0)</f>
        <v>0</v>
      </c>
      <c r="K83" s="341">
        <f>+IFERROR(K$7*'Acquisition BS adjustments'!$C66,0)+IFERROR(K$8*'Acquisition BS adjustments'!$E66,0)</f>
        <v>0</v>
      </c>
      <c r="L83" s="341">
        <f>+IFERROR(L$7*'Acquisition BS adjustments'!$C66,0)+IFERROR(L$8*'Acquisition BS adjustments'!$E66,0)</f>
        <v>0</v>
      </c>
      <c r="M83" s="341">
        <f>+IFERROR(M$7*'Acquisition BS adjustments'!$C66,0)+IFERROR(M$8*'Acquisition BS adjustments'!$E66,0)</f>
        <v>0</v>
      </c>
      <c r="N83" s="341">
        <f>+IFERROR(N$7*'Acquisition BS adjustments'!$C66,0)+IFERROR(N$8*'Acquisition BS adjustments'!$E66,0)</f>
        <v>0</v>
      </c>
      <c r="O83" s="341">
        <f>+IFERROR(O$7*'Acquisition BS adjustments'!$C66,0)+IFERROR(O$8*'Acquisition BS adjustments'!$E66,0)</f>
        <v>0</v>
      </c>
      <c r="P83" s="341">
        <f>+IFERROR(P$7*'Acquisition BS adjustments'!$C66,0)+IFERROR(P$8*'Acquisition BS adjustments'!$E66,0)</f>
        <v>0</v>
      </c>
      <c r="Q83" s="341">
        <f>+IFERROR(Q$7*'Acquisition BS adjustments'!$C66,0)+IFERROR(Q$8*'Acquisition BS adjustments'!$E66,0)</f>
        <v>0</v>
      </c>
      <c r="R83" s="47"/>
      <c r="U83" s="45"/>
      <c r="V83" s="45"/>
      <c r="W83" s="40"/>
    </row>
    <row r="84" spans="1:26" ht="13.7" collapsed="1">
      <c r="A84" s="256"/>
      <c r="B84" s="256"/>
      <c r="C84" s="254" t="s">
        <v>227</v>
      </c>
      <c r="D84" s="255"/>
      <c r="E84" s="255">
        <f>SUM(E85:E86)</f>
        <v>0</v>
      </c>
      <c r="F84" s="255">
        <f t="shared" ref="F84:P84" si="50">SUM(F85:F86)</f>
        <v>0</v>
      </c>
      <c r="G84" s="255">
        <f t="shared" si="50"/>
        <v>0</v>
      </c>
      <c r="H84" s="255">
        <f t="shared" si="50"/>
        <v>0</v>
      </c>
      <c r="I84" s="255">
        <f t="shared" si="50"/>
        <v>0</v>
      </c>
      <c r="J84" s="255">
        <f t="shared" si="50"/>
        <v>0</v>
      </c>
      <c r="K84" s="255">
        <f t="shared" si="50"/>
        <v>0</v>
      </c>
      <c r="L84" s="255">
        <f t="shared" si="50"/>
        <v>0</v>
      </c>
      <c r="M84" s="255">
        <f t="shared" si="50"/>
        <v>0</v>
      </c>
      <c r="N84" s="255">
        <f t="shared" si="50"/>
        <v>0</v>
      </c>
      <c r="O84" s="255">
        <f t="shared" si="50"/>
        <v>0</v>
      </c>
      <c r="P84" s="255">
        <f t="shared" si="50"/>
        <v>0</v>
      </c>
      <c r="Q84" s="255">
        <f t="shared" ref="Q84" si="51">SUM(Q85:Q86)</f>
        <v>0</v>
      </c>
      <c r="T84" s="44"/>
      <c r="U84" s="44"/>
      <c r="X84" s="41"/>
      <c r="Y84" s="41"/>
      <c r="Z84" s="40"/>
    </row>
    <row r="85" spans="1:26" ht="13.7" hidden="1" outlineLevel="1">
      <c r="C85" s="254"/>
      <c r="D85" s="340" t="s">
        <v>1094</v>
      </c>
      <c r="E85" s="341">
        <f>IFERROR(E$6*'Historical BU1'!D59,0)*Currency_conversion_BU1</f>
        <v>0</v>
      </c>
      <c r="F85" s="341">
        <f>IFERROR(F$6*'Historical BU1'!E59,0)*Currency_conversion_BU1</f>
        <v>0</v>
      </c>
      <c r="G85" s="341">
        <f>IFERROR(G$6*'Historical BU1'!F59,0)*Currency_conversion_BU1</f>
        <v>0</v>
      </c>
      <c r="H85" s="341">
        <f>IFERROR(H$6*'Historical BU1'!G59,0)*Currency_conversion_BU1</f>
        <v>0</v>
      </c>
      <c r="I85" s="341">
        <f>IFERROR(I$6*'Historical BU1'!H59,0)*Currency_conversion_BU1</f>
        <v>0</v>
      </c>
      <c r="J85" s="341">
        <f>IFERROR(J$6*'Historical BU1'!I59,0)*Currency_conversion_BU1</f>
        <v>0</v>
      </c>
      <c r="K85" s="341">
        <f>IFERROR(K$6*'Historical BU1'!J59,0)*Currency_conversion_BU1</f>
        <v>0</v>
      </c>
      <c r="L85" s="341">
        <f>IFERROR(L$6*'Historical BU1'!K59,0)*Currency_conversion_BU1</f>
        <v>0</v>
      </c>
      <c r="M85" s="341">
        <f>IFERROR(M$6*'Historical BU1'!L59,0)*Currency_conversion_BU1</f>
        <v>0</v>
      </c>
      <c r="N85" s="341">
        <f>IFERROR(N$6*'Historical BU1'!M59,0)*Currency_conversion_BU1</f>
        <v>0</v>
      </c>
      <c r="O85" s="341">
        <f>IFERROR(O$6*'Historical BU1'!N59,0)*Currency_conversion_BU1</f>
        <v>0</v>
      </c>
      <c r="P85" s="341">
        <f>IFERROR(P$6*'Historical BU1'!O59,0)*Currency_conversion_BU1</f>
        <v>0</v>
      </c>
      <c r="Q85" s="341">
        <f>IFERROR(Q$6*'Historical BU1'!P59,0)*Currency_conversion_BU1</f>
        <v>0</v>
      </c>
      <c r="R85" s="47"/>
      <c r="U85" s="45"/>
      <c r="V85" s="45"/>
      <c r="W85" s="40"/>
    </row>
    <row r="86" spans="1:26" ht="13.7" hidden="1" outlineLevel="1">
      <c r="C86" s="254"/>
      <c r="D86" s="340" t="s">
        <v>1095</v>
      </c>
      <c r="E86" s="341">
        <f>+IFERROR(E$7*'Acquisition BS adjustments'!$C67,0)+IFERROR(E$8*'Acquisition BS adjustments'!$E67,0)</f>
        <v>0</v>
      </c>
      <c r="F86" s="341">
        <f>+IFERROR(F$7*'Acquisition BS adjustments'!$C67,0)+IFERROR(F$8*'Acquisition BS adjustments'!$E67,0)</f>
        <v>0</v>
      </c>
      <c r="G86" s="341">
        <f>+IFERROR(G$7*'Acquisition BS adjustments'!$C67,0)+IFERROR(G$8*'Acquisition BS adjustments'!$E67,0)</f>
        <v>0</v>
      </c>
      <c r="H86" s="341">
        <f>+IFERROR(H$7*'Acquisition BS adjustments'!$C67,0)+IFERROR(H$8*'Acquisition BS adjustments'!$E67,0)</f>
        <v>0</v>
      </c>
      <c r="I86" s="341">
        <f>+IFERROR(I$7*'Acquisition BS adjustments'!$C67,0)+IFERROR(I$8*'Acquisition BS adjustments'!$E67,0)</f>
        <v>0</v>
      </c>
      <c r="J86" s="341">
        <f>+IFERROR(J$7*'Acquisition BS adjustments'!$C67,0)+IFERROR(J$8*'Acquisition BS adjustments'!$E67,0)</f>
        <v>0</v>
      </c>
      <c r="K86" s="341">
        <f>+IFERROR(K$7*'Acquisition BS adjustments'!$C67,0)+IFERROR(K$8*'Acquisition BS adjustments'!$E67,0)</f>
        <v>0</v>
      </c>
      <c r="L86" s="341">
        <f>+IFERROR(L$7*'Acquisition BS adjustments'!$C67,0)+IFERROR(L$8*'Acquisition BS adjustments'!$E67,0)</f>
        <v>0</v>
      </c>
      <c r="M86" s="341">
        <f>+IFERROR(M$7*'Acquisition BS adjustments'!$C67,0)+IFERROR(M$8*'Acquisition BS adjustments'!$E67,0)</f>
        <v>0</v>
      </c>
      <c r="N86" s="341">
        <f>+IFERROR(N$7*'Acquisition BS adjustments'!$C67,0)+IFERROR(N$8*'Acquisition BS adjustments'!$E67,0)</f>
        <v>0</v>
      </c>
      <c r="O86" s="341">
        <f>+IFERROR(O$7*'Acquisition BS adjustments'!$C67,0)+IFERROR(O$8*'Acquisition BS adjustments'!$E67,0)</f>
        <v>0</v>
      </c>
      <c r="P86" s="341">
        <f>+IFERROR(P$7*'Acquisition BS adjustments'!$C67,0)+IFERROR(P$8*'Acquisition BS adjustments'!$E67,0)</f>
        <v>0</v>
      </c>
      <c r="Q86" s="341">
        <f>+IFERROR(Q$7*'Acquisition BS adjustments'!$C67,0)+IFERROR(Q$8*'Acquisition BS adjustments'!$E67,0)</f>
        <v>0</v>
      </c>
      <c r="R86" s="47"/>
      <c r="U86" s="45"/>
      <c r="V86" s="45"/>
      <c r="W86" s="40"/>
    </row>
    <row r="87" spans="1:26" ht="13.7" collapsed="1">
      <c r="A87" s="256"/>
      <c r="B87" s="256"/>
      <c r="C87" s="254" t="s">
        <v>228</v>
      </c>
      <c r="D87" s="255"/>
      <c r="E87" s="255">
        <f>SUM(E88:E89)</f>
        <v>0</v>
      </c>
      <c r="F87" s="255">
        <f t="shared" ref="F87:P87" si="52">SUM(F88:F89)</f>
        <v>0</v>
      </c>
      <c r="G87" s="255">
        <f t="shared" si="52"/>
        <v>0</v>
      </c>
      <c r="H87" s="255">
        <f t="shared" si="52"/>
        <v>0</v>
      </c>
      <c r="I87" s="255">
        <f t="shared" si="52"/>
        <v>0</v>
      </c>
      <c r="J87" s="255">
        <f t="shared" si="52"/>
        <v>0</v>
      </c>
      <c r="K87" s="255">
        <f t="shared" si="52"/>
        <v>0</v>
      </c>
      <c r="L87" s="255">
        <f t="shared" si="52"/>
        <v>0</v>
      </c>
      <c r="M87" s="255">
        <f t="shared" si="52"/>
        <v>0</v>
      </c>
      <c r="N87" s="255">
        <f t="shared" si="52"/>
        <v>0</v>
      </c>
      <c r="O87" s="255">
        <f t="shared" si="52"/>
        <v>0</v>
      </c>
      <c r="P87" s="255">
        <f t="shared" si="52"/>
        <v>0</v>
      </c>
      <c r="Q87" s="255">
        <f t="shared" ref="Q87" si="53">SUM(Q88:Q89)</f>
        <v>0</v>
      </c>
      <c r="T87" s="44"/>
      <c r="U87" s="44"/>
      <c r="X87" s="41"/>
      <c r="Y87" s="41"/>
      <c r="Z87" s="40"/>
    </row>
    <row r="88" spans="1:26" ht="13.7" hidden="1" outlineLevel="1">
      <c r="C88" s="254"/>
      <c r="D88" s="340" t="s">
        <v>1094</v>
      </c>
      <c r="E88" s="341">
        <f>IFERROR(E$6*'Historical BU1'!D60,0)*Currency_conversion_BU1</f>
        <v>0</v>
      </c>
      <c r="F88" s="341">
        <f>IFERROR(F$6*'Historical BU1'!E60,0)*Currency_conversion_BU1</f>
        <v>0</v>
      </c>
      <c r="G88" s="341">
        <f>IFERROR(G$6*'Historical BU1'!F60,0)*Currency_conversion_BU1</f>
        <v>0</v>
      </c>
      <c r="H88" s="341">
        <f>IFERROR(H$6*'Historical BU1'!G60,0)*Currency_conversion_BU1</f>
        <v>0</v>
      </c>
      <c r="I88" s="341">
        <f>IFERROR(I$6*'Historical BU1'!H60,0)*Currency_conversion_BU1</f>
        <v>0</v>
      </c>
      <c r="J88" s="341">
        <f>IFERROR(J$6*'Historical BU1'!I60,0)*Currency_conversion_BU1</f>
        <v>0</v>
      </c>
      <c r="K88" s="341">
        <f>IFERROR(K$6*'Historical BU1'!J60,0)*Currency_conversion_BU1</f>
        <v>0</v>
      </c>
      <c r="L88" s="341">
        <f>IFERROR(L$6*'Historical BU1'!K60,0)*Currency_conversion_BU1</f>
        <v>0</v>
      </c>
      <c r="M88" s="341">
        <f>IFERROR(M$6*'Historical BU1'!L60,0)*Currency_conversion_BU1</f>
        <v>0</v>
      </c>
      <c r="N88" s="341">
        <f>IFERROR(N$6*'Historical BU1'!M60,0)*Currency_conversion_BU1</f>
        <v>0</v>
      </c>
      <c r="O88" s="341">
        <f>IFERROR(O$6*'Historical BU1'!N60,0)*Currency_conversion_BU1</f>
        <v>0</v>
      </c>
      <c r="P88" s="341">
        <f>IFERROR(P$6*'Historical BU1'!O60,0)*Currency_conversion_BU1</f>
        <v>0</v>
      </c>
      <c r="Q88" s="341">
        <f>IFERROR(Q$6*'Historical BU1'!P60,0)*Currency_conversion_BU1</f>
        <v>0</v>
      </c>
      <c r="R88" s="47"/>
      <c r="U88" s="45"/>
      <c r="V88" s="45"/>
      <c r="W88" s="40"/>
    </row>
    <row r="89" spans="1:26" ht="13.7" hidden="1" outlineLevel="1">
      <c r="C89" s="254"/>
      <c r="D89" s="340" t="s">
        <v>1095</v>
      </c>
      <c r="E89" s="341">
        <f>+IFERROR(E$7*'Acquisition BS adjustments'!$C68,0)+IFERROR(E$8*'Acquisition BS adjustments'!$E68,0)</f>
        <v>0</v>
      </c>
      <c r="F89" s="341">
        <f>+IFERROR(F$7*'Acquisition BS adjustments'!$C68,0)+IFERROR(F$8*'Acquisition BS adjustments'!$E68,0)</f>
        <v>0</v>
      </c>
      <c r="G89" s="341">
        <f>+IFERROR(G$7*'Acquisition BS adjustments'!$C68,0)+IFERROR(G$8*'Acquisition BS adjustments'!$E68,0)</f>
        <v>0</v>
      </c>
      <c r="H89" s="341">
        <f>+IFERROR(H$7*'Acquisition BS adjustments'!$C68,0)+IFERROR(H$8*'Acquisition BS adjustments'!$E68,0)</f>
        <v>0</v>
      </c>
      <c r="I89" s="341">
        <f>+IFERROR(I$7*'Acquisition BS adjustments'!$C68,0)+IFERROR(I$8*'Acquisition BS adjustments'!$E68,0)</f>
        <v>0</v>
      </c>
      <c r="J89" s="341">
        <f>+IFERROR(J$7*'Acquisition BS adjustments'!$C68,0)+IFERROR(J$8*'Acquisition BS adjustments'!$E68,0)</f>
        <v>0</v>
      </c>
      <c r="K89" s="341">
        <f>+IFERROR(K$7*'Acquisition BS adjustments'!$C68,0)+IFERROR(K$8*'Acquisition BS adjustments'!$E68,0)</f>
        <v>0</v>
      </c>
      <c r="L89" s="341">
        <f>+IFERROR(L$7*'Acquisition BS adjustments'!$C68,0)+IFERROR(L$8*'Acquisition BS adjustments'!$E68,0)</f>
        <v>0</v>
      </c>
      <c r="M89" s="341">
        <f>+IFERROR(M$7*'Acquisition BS adjustments'!$C68,0)+IFERROR(M$8*'Acquisition BS adjustments'!$E68,0)</f>
        <v>0</v>
      </c>
      <c r="N89" s="341">
        <f>+IFERROR(N$7*'Acquisition BS adjustments'!$C68,0)+IFERROR(N$8*'Acquisition BS adjustments'!$E68,0)</f>
        <v>0</v>
      </c>
      <c r="O89" s="341">
        <f>+IFERROR(O$7*'Acquisition BS adjustments'!$C68,0)+IFERROR(O$8*'Acquisition BS adjustments'!$E68,0)</f>
        <v>0</v>
      </c>
      <c r="P89" s="341">
        <f>+IFERROR(P$7*'Acquisition BS adjustments'!$C68,0)+IFERROR(P$8*'Acquisition BS adjustments'!$E68,0)</f>
        <v>0</v>
      </c>
      <c r="Q89" s="341">
        <f>+IFERROR(Q$7*'Acquisition BS adjustments'!$C68,0)+IFERROR(Q$8*'Acquisition BS adjustments'!$E68,0)</f>
        <v>0</v>
      </c>
      <c r="R89" s="47"/>
      <c r="U89" s="45"/>
      <c r="V89" s="45"/>
      <c r="W89" s="40"/>
    </row>
    <row r="90" spans="1:26" ht="13.7" collapsed="1">
      <c r="A90" s="256"/>
      <c r="B90" s="256"/>
      <c r="C90" s="254" t="s">
        <v>229</v>
      </c>
      <c r="D90" s="255"/>
      <c r="E90" s="255">
        <f>SUM(E91:E93)</f>
        <v>0</v>
      </c>
      <c r="F90" s="255">
        <f t="shared" ref="F90:P90" si="54">SUM(F91:F93)</f>
        <v>0</v>
      </c>
      <c r="G90" s="255">
        <f t="shared" si="54"/>
        <v>0</v>
      </c>
      <c r="H90" s="255">
        <f t="shared" si="54"/>
        <v>0</v>
      </c>
      <c r="I90" s="255">
        <f t="shared" si="54"/>
        <v>0</v>
      </c>
      <c r="J90" s="255">
        <f t="shared" si="54"/>
        <v>0</v>
      </c>
      <c r="K90" s="255">
        <f t="shared" si="54"/>
        <v>0</v>
      </c>
      <c r="L90" s="255">
        <f t="shared" si="54"/>
        <v>0</v>
      </c>
      <c r="M90" s="255">
        <f t="shared" si="54"/>
        <v>0</v>
      </c>
      <c r="N90" s="255">
        <f t="shared" si="54"/>
        <v>0</v>
      </c>
      <c r="O90" s="255">
        <f t="shared" si="54"/>
        <v>0</v>
      </c>
      <c r="P90" s="255">
        <f t="shared" si="54"/>
        <v>0</v>
      </c>
      <c r="Q90" s="255">
        <f t="shared" ref="Q90" si="55">SUM(Q91:Q93)</f>
        <v>0</v>
      </c>
      <c r="T90" s="44"/>
      <c r="U90" s="44"/>
      <c r="X90" s="41"/>
      <c r="Y90" s="41"/>
      <c r="Z90" s="40"/>
    </row>
    <row r="91" spans="1:26" ht="13.7" hidden="1" outlineLevel="1">
      <c r="A91" s="256"/>
      <c r="B91" s="256"/>
      <c r="C91" s="254"/>
      <c r="D91" s="340" t="s">
        <v>1094</v>
      </c>
      <c r="E91" s="341">
        <f>IFERROR(E$6*'Historical BU1'!D61,0)*Currency_conversion_BU1</f>
        <v>0</v>
      </c>
      <c r="F91" s="341">
        <f>IFERROR(F$6*'Historical BU1'!E61,0)*Currency_conversion_BU1</f>
        <v>0</v>
      </c>
      <c r="G91" s="341">
        <f>IFERROR(G$6*'Historical BU1'!F61,0)*Currency_conversion_BU1</f>
        <v>0</v>
      </c>
      <c r="H91" s="341">
        <f>IFERROR(H$6*'Historical BU1'!G61,0)*Currency_conversion_BU1</f>
        <v>0</v>
      </c>
      <c r="I91" s="341">
        <f>IFERROR(I$6*'Historical BU1'!H61,0)*Currency_conversion_BU1</f>
        <v>0</v>
      </c>
      <c r="J91" s="341">
        <f>IFERROR(J$6*'Historical BU1'!I61,0)*Currency_conversion_BU1</f>
        <v>0</v>
      </c>
      <c r="K91" s="341">
        <f>IFERROR(K$6*'Historical BU1'!J61,0)*Currency_conversion_BU1</f>
        <v>0</v>
      </c>
      <c r="L91" s="341">
        <f>IFERROR(L$6*'Historical BU1'!K61,0)*Currency_conversion_BU1</f>
        <v>0</v>
      </c>
      <c r="M91" s="341">
        <f>IFERROR(M$6*'Historical BU1'!L61,0)*Currency_conversion_BU1</f>
        <v>0</v>
      </c>
      <c r="N91" s="341">
        <f>IFERROR(N$6*'Historical BU1'!M61,0)*Currency_conversion_BU1</f>
        <v>0</v>
      </c>
      <c r="O91" s="341">
        <f>IFERROR(O$6*'Historical BU1'!N61,0)*Currency_conversion_BU1</f>
        <v>0</v>
      </c>
      <c r="P91" s="341">
        <f>IFERROR(P$6*'Historical BU1'!O61,0)*Currency_conversion_BU1</f>
        <v>0</v>
      </c>
      <c r="Q91" s="341">
        <f>IFERROR(Q$6*'Historical BU1'!P61,0)*Currency_conversion_BU1</f>
        <v>0</v>
      </c>
      <c r="R91" s="43"/>
      <c r="S91" s="44"/>
      <c r="T91" s="44"/>
      <c r="X91" s="41"/>
      <c r="Y91" s="41"/>
      <c r="Z91" s="40"/>
    </row>
    <row r="92" spans="1:26" ht="13.7" hidden="1" outlineLevel="1">
      <c r="A92" s="256"/>
      <c r="B92" s="256"/>
      <c r="C92" s="254"/>
      <c r="D92" s="340" t="s">
        <v>1095</v>
      </c>
      <c r="E92" s="341">
        <f>+IFERROR(E$7*'Acquisition BS adjustments'!$C69,0)+IFERROR(E$8*'Acquisition BS adjustments'!$E69,0)</f>
        <v>0</v>
      </c>
      <c r="F92" s="341">
        <f>+IFERROR(F$7*'Acquisition BS adjustments'!$C69,0)+IFERROR(F$8*'Acquisition BS adjustments'!$E69,0)</f>
        <v>0</v>
      </c>
      <c r="G92" s="341">
        <f>+IFERROR(G$7*'Acquisition BS adjustments'!$C69,0)+IFERROR(G$8*'Acquisition BS adjustments'!$E69,0)</f>
        <v>0</v>
      </c>
      <c r="H92" s="341">
        <f>+IFERROR(H$7*'Acquisition BS adjustments'!$C69,0)+IFERROR(H$8*'Acquisition BS adjustments'!$E69,0)</f>
        <v>0</v>
      </c>
      <c r="I92" s="341">
        <f>+IFERROR(I$7*'Acquisition BS adjustments'!$C69,0)+IFERROR(I$8*'Acquisition BS adjustments'!$E69,0)</f>
        <v>0</v>
      </c>
      <c r="J92" s="341">
        <f>+IFERROR(J$7*'Acquisition BS adjustments'!$C69,0)+IFERROR(J$8*'Acquisition BS adjustments'!$E69,0)</f>
        <v>0</v>
      </c>
      <c r="K92" s="341">
        <f>+IFERROR(K$7*'Acquisition BS adjustments'!$C69,0)+IFERROR(K$8*'Acquisition BS adjustments'!$E69,0)</f>
        <v>0</v>
      </c>
      <c r="L92" s="341">
        <f>+IFERROR(L$7*'Acquisition BS adjustments'!$C69,0)+IFERROR(L$8*'Acquisition BS adjustments'!$E69,0)</f>
        <v>0</v>
      </c>
      <c r="M92" s="341">
        <f>+IFERROR(M$7*'Acquisition BS adjustments'!$C69,0)+IFERROR(M$8*'Acquisition BS adjustments'!$E69,0)</f>
        <v>0</v>
      </c>
      <c r="N92" s="341">
        <f>+IFERROR(N$7*'Acquisition BS adjustments'!$C69,0)+IFERROR(N$8*'Acquisition BS adjustments'!$E69,0)</f>
        <v>0</v>
      </c>
      <c r="O92" s="341">
        <f>+IFERROR(O$7*'Acquisition BS adjustments'!$C69,0)+IFERROR(O$8*'Acquisition BS adjustments'!$E69,0)</f>
        <v>0</v>
      </c>
      <c r="P92" s="341">
        <f>+IFERROR(P$7*'Acquisition BS adjustments'!$C69,0)+IFERROR(P$8*'Acquisition BS adjustments'!$E69,0)</f>
        <v>0</v>
      </c>
      <c r="Q92" s="341">
        <f>+IFERROR(Q$7*'Acquisition BS adjustments'!$C69,0)+IFERROR(Q$8*'Acquisition BS adjustments'!$E69,0)</f>
        <v>0</v>
      </c>
      <c r="R92" s="43"/>
      <c r="S92" s="44"/>
      <c r="T92" s="44"/>
      <c r="X92" s="41"/>
      <c r="Y92" s="41"/>
      <c r="Z92" s="40"/>
    </row>
    <row r="93" spans="1:26" ht="13.7" hidden="1" outlineLevel="1">
      <c r="A93" s="256"/>
      <c r="B93" s="256"/>
      <c r="C93" s="254"/>
      <c r="D93" s="340" t="s">
        <v>1098</v>
      </c>
      <c r="E93" s="341">
        <f>+IFERROR(E$9*INDEX('Scenarios offshore'!226:226,MATCH('BS offshore'!E$5,'Scenarios offshore'!$4:$4,0)),0)*Currency_conversion_BU1</f>
        <v>0</v>
      </c>
      <c r="F93" s="341">
        <f>+IFERROR(F$9*INDEX('Scenarios offshore'!226:226,MATCH('BS offshore'!F$5,'Scenarios offshore'!$4:$4,0)),0)*Currency_conversion_BU1</f>
        <v>0</v>
      </c>
      <c r="G93" s="341">
        <f>+IFERROR(G$9*INDEX('Scenarios offshore'!226:226,MATCH('BS offshore'!G$5,'Scenarios offshore'!$4:$4,0)),0)*Currency_conversion_BU1</f>
        <v>0</v>
      </c>
      <c r="H93" s="341">
        <f>+IFERROR(H$9*INDEX('Scenarios offshore'!226:226,MATCH('BS offshore'!H$5,'Scenarios offshore'!$4:$4,0)),0)*Currency_conversion_BU1</f>
        <v>0</v>
      </c>
      <c r="I93" s="341">
        <f>+IFERROR(I$9*INDEX('Scenarios offshore'!226:226,MATCH('BS offshore'!I$5,'Scenarios offshore'!$4:$4,0)),0)*Currency_conversion_BU1</f>
        <v>0</v>
      </c>
      <c r="J93" s="341">
        <f>+IFERROR(J$9*INDEX('Scenarios offshore'!226:226,MATCH('BS offshore'!J$5,'Scenarios offshore'!$4:$4,0)),0)*Currency_conversion_BU1</f>
        <v>0</v>
      </c>
      <c r="K93" s="341">
        <f>+IFERROR(K$9*INDEX('Scenarios offshore'!226:226,MATCH('BS offshore'!K$5,'Scenarios offshore'!$4:$4,0)),0)*Currency_conversion_BU1</f>
        <v>0</v>
      </c>
      <c r="L93" s="341">
        <f>+IFERROR(L$9*INDEX('Scenarios offshore'!226:226,MATCH('BS offshore'!L$5,'Scenarios offshore'!$4:$4,0)),0)*Currency_conversion_BU1</f>
        <v>0</v>
      </c>
      <c r="M93" s="341">
        <f>+IFERROR(M$9*INDEX('Scenarios offshore'!226:226,MATCH('BS offshore'!M$5,'Scenarios offshore'!$4:$4,0)),0)*Currency_conversion_BU1</f>
        <v>0</v>
      </c>
      <c r="N93" s="341">
        <f>+IFERROR(N$9*INDEX('Scenarios offshore'!226:226,MATCH('BS offshore'!N$5,'Scenarios offshore'!$4:$4,0)),0)*Currency_conversion_BU1</f>
        <v>0</v>
      </c>
      <c r="O93" s="341">
        <f>+IFERROR(O$9*INDEX('Scenarios offshore'!226:226,MATCH('BS offshore'!O$5,'Scenarios offshore'!$4:$4,0)),0)*Currency_conversion_BU1</f>
        <v>0</v>
      </c>
      <c r="P93" s="341">
        <f>+IFERROR(P$9*INDEX('Scenarios offshore'!226:226,MATCH('BS offshore'!P$5,'Scenarios offshore'!$4:$4,0)),0)*Currency_conversion_BU1</f>
        <v>0</v>
      </c>
      <c r="Q93" s="341">
        <f>+IFERROR(Q$9*INDEX('Scenarios offshore'!226:226,MATCH('BS offshore'!Q$5,'Scenarios offshore'!$4:$4,0)),0)*Currency_conversion_BU1</f>
        <v>0</v>
      </c>
      <c r="R93" s="43"/>
      <c r="S93" s="44"/>
      <c r="T93" s="44"/>
      <c r="X93" s="41"/>
      <c r="Y93" s="41"/>
      <c r="Z93" s="40"/>
    </row>
    <row r="94" spans="1:26" ht="13.7" collapsed="1">
      <c r="A94" s="256"/>
      <c r="B94" s="256"/>
      <c r="C94" s="254" t="s">
        <v>230</v>
      </c>
      <c r="D94" s="255"/>
      <c r="E94" s="255">
        <f>SUM(E95:E97)</f>
        <v>0</v>
      </c>
      <c r="F94" s="255">
        <f t="shared" ref="F94:P94" si="56">SUM(F95:F97)</f>
        <v>0</v>
      </c>
      <c r="G94" s="255">
        <f t="shared" si="56"/>
        <v>0</v>
      </c>
      <c r="H94" s="255">
        <f t="shared" si="56"/>
        <v>0</v>
      </c>
      <c r="I94" s="255">
        <f t="shared" si="56"/>
        <v>0</v>
      </c>
      <c r="J94" s="255">
        <f t="shared" si="56"/>
        <v>0</v>
      </c>
      <c r="K94" s="255">
        <f t="shared" si="56"/>
        <v>0</v>
      </c>
      <c r="L94" s="255">
        <f t="shared" si="56"/>
        <v>0</v>
      </c>
      <c r="M94" s="255">
        <f t="shared" si="56"/>
        <v>0</v>
      </c>
      <c r="N94" s="255">
        <f t="shared" si="56"/>
        <v>0</v>
      </c>
      <c r="O94" s="255">
        <f t="shared" si="56"/>
        <v>0</v>
      </c>
      <c r="P94" s="255">
        <f t="shared" si="56"/>
        <v>0</v>
      </c>
      <c r="Q94" s="255">
        <f t="shared" ref="Q94" si="57">SUM(Q95:Q97)</f>
        <v>0</v>
      </c>
      <c r="T94" s="44"/>
      <c r="U94" s="44"/>
      <c r="X94" s="41"/>
      <c r="Y94" s="41"/>
      <c r="Z94" s="40"/>
    </row>
    <row r="95" spans="1:26" ht="13.7" hidden="1" outlineLevel="1">
      <c r="C95" s="254"/>
      <c r="D95" s="340" t="s">
        <v>1094</v>
      </c>
      <c r="E95" s="341">
        <f>IFERROR(E$6*'Historical BU1'!D62,0)*Currency_conversion_BU1</f>
        <v>0</v>
      </c>
      <c r="F95" s="341">
        <f>IFERROR(F$6*'Historical BU1'!E62,0)*Currency_conversion_BU1</f>
        <v>0</v>
      </c>
      <c r="G95" s="341">
        <f>IFERROR(G$6*'Historical BU1'!F62,0)*Currency_conversion_BU1</f>
        <v>0</v>
      </c>
      <c r="H95" s="341">
        <f>IFERROR(H$6*'Historical BU1'!G62,0)*Currency_conversion_BU1</f>
        <v>0</v>
      </c>
      <c r="I95" s="341">
        <f>IFERROR(I$6*'Historical BU1'!H62,0)*Currency_conversion_BU1</f>
        <v>0</v>
      </c>
      <c r="J95" s="341">
        <f>IFERROR(J$6*'Historical BU1'!I62,0)*Currency_conversion_BU1</f>
        <v>0</v>
      </c>
      <c r="K95" s="341">
        <f>IFERROR(K$6*'Historical BU1'!J62,0)*Currency_conversion_BU1</f>
        <v>0</v>
      </c>
      <c r="L95" s="341">
        <f>IFERROR(L$6*'Historical BU1'!K62,0)*Currency_conversion_BU1</f>
        <v>0</v>
      </c>
      <c r="M95" s="341">
        <f>IFERROR(M$6*'Historical BU1'!L62,0)*Currency_conversion_BU1</f>
        <v>0</v>
      </c>
      <c r="N95" s="341">
        <f>IFERROR(N$6*'Historical BU1'!M62,0)*Currency_conversion_BU1</f>
        <v>0</v>
      </c>
      <c r="O95" s="341">
        <f>IFERROR(O$6*'Historical BU1'!N62,0)*Currency_conversion_BU1</f>
        <v>0</v>
      </c>
      <c r="P95" s="341">
        <f>IFERROR(P$6*'Historical BU1'!O62,0)*Currency_conversion_BU1</f>
        <v>0</v>
      </c>
      <c r="Q95" s="341">
        <f>IFERROR(Q$6*'Historical BU1'!P62,0)*Currency_conversion_BU1</f>
        <v>0</v>
      </c>
      <c r="R95" s="47"/>
      <c r="U95" s="45"/>
      <c r="V95" s="45"/>
      <c r="W95" s="40"/>
    </row>
    <row r="96" spans="1:26" ht="13.7" hidden="1" outlineLevel="1">
      <c r="C96" s="254"/>
      <c r="D96" s="340" t="s">
        <v>1095</v>
      </c>
      <c r="E96" s="341">
        <f>+IFERROR(E$7*'Acquisition BS adjustments'!$C70,0)+IFERROR(E$8*'Acquisition BS adjustments'!$E70,0)</f>
        <v>0</v>
      </c>
      <c r="F96" s="341">
        <f>+IFERROR(F$7*'Acquisition BS adjustments'!$C70,0)+IFERROR(F$8*'Acquisition BS adjustments'!$E70,0)</f>
        <v>0</v>
      </c>
      <c r="G96" s="341">
        <f>+IFERROR(G$7*'Acquisition BS adjustments'!$C70,0)+IFERROR(G$8*'Acquisition BS adjustments'!$E70,0)</f>
        <v>0</v>
      </c>
      <c r="H96" s="341">
        <f>+IFERROR(H$7*'Acquisition BS adjustments'!$C70,0)+IFERROR(H$8*'Acquisition BS adjustments'!$E70,0)</f>
        <v>0</v>
      </c>
      <c r="I96" s="341">
        <f>+IFERROR(I$7*'Acquisition BS adjustments'!$C70,0)+IFERROR(I$8*'Acquisition BS adjustments'!$E70,0)</f>
        <v>0</v>
      </c>
      <c r="J96" s="341">
        <f>+IFERROR(J$7*'Acquisition BS adjustments'!$C70,0)+IFERROR(J$8*'Acquisition BS adjustments'!$E70,0)</f>
        <v>0</v>
      </c>
      <c r="K96" s="341">
        <f>+IFERROR(K$7*'Acquisition BS adjustments'!$C70,0)+IFERROR(K$8*'Acquisition BS adjustments'!$E70,0)</f>
        <v>0</v>
      </c>
      <c r="L96" s="341">
        <f>+IFERROR(L$7*'Acquisition BS adjustments'!$C70,0)+IFERROR(L$8*'Acquisition BS adjustments'!$E70,0)</f>
        <v>0</v>
      </c>
      <c r="M96" s="341">
        <f>+IFERROR(M$7*'Acquisition BS adjustments'!$C70,0)+IFERROR(M$8*'Acquisition BS adjustments'!$E70,0)</f>
        <v>0</v>
      </c>
      <c r="N96" s="341">
        <f>+IFERROR(N$7*'Acquisition BS adjustments'!$C70,0)+IFERROR(N$8*'Acquisition BS adjustments'!$E70,0)</f>
        <v>0</v>
      </c>
      <c r="O96" s="341">
        <f>+IFERROR(O$7*'Acquisition BS adjustments'!$C70,0)+IFERROR(O$8*'Acquisition BS adjustments'!$E70,0)</f>
        <v>0</v>
      </c>
      <c r="P96" s="341">
        <f>+IFERROR(P$7*'Acquisition BS adjustments'!$C70,0)+IFERROR(P$8*'Acquisition BS adjustments'!$E70,0)</f>
        <v>0</v>
      </c>
      <c r="Q96" s="341">
        <f>+IFERROR(Q$7*'Acquisition BS adjustments'!$C70,0)+IFERROR(Q$8*'Acquisition BS adjustments'!$E70,0)</f>
        <v>0</v>
      </c>
      <c r="R96" s="47"/>
      <c r="U96" s="45"/>
      <c r="V96" s="45"/>
      <c r="W96" s="40"/>
    </row>
    <row r="97" spans="1:26" ht="13.7" hidden="1" outlineLevel="1">
      <c r="C97" s="254"/>
      <c r="D97" s="339" t="s">
        <v>1097</v>
      </c>
      <c r="E97" s="255">
        <f t="shared" ref="E97:Q97" si="58">+IFERROR(E9*D94,0)</f>
        <v>0</v>
      </c>
      <c r="F97" s="255">
        <f t="shared" si="58"/>
        <v>0</v>
      </c>
      <c r="G97" s="255">
        <f t="shared" si="58"/>
        <v>0</v>
      </c>
      <c r="H97" s="255">
        <f t="shared" si="58"/>
        <v>0</v>
      </c>
      <c r="I97" s="255">
        <f t="shared" si="58"/>
        <v>0</v>
      </c>
      <c r="J97" s="255">
        <f t="shared" si="58"/>
        <v>0</v>
      </c>
      <c r="K97" s="255">
        <f t="shared" si="58"/>
        <v>0</v>
      </c>
      <c r="L97" s="255">
        <f t="shared" si="58"/>
        <v>0</v>
      </c>
      <c r="M97" s="255">
        <f t="shared" si="58"/>
        <v>0</v>
      </c>
      <c r="N97" s="255">
        <f t="shared" si="58"/>
        <v>0</v>
      </c>
      <c r="O97" s="255">
        <f t="shared" si="58"/>
        <v>0</v>
      </c>
      <c r="P97" s="255">
        <f t="shared" si="58"/>
        <v>0</v>
      </c>
      <c r="Q97" s="255">
        <f t="shared" si="58"/>
        <v>0</v>
      </c>
      <c r="R97" s="47"/>
      <c r="U97" s="45"/>
      <c r="V97" s="45"/>
      <c r="W97" s="40"/>
    </row>
    <row r="98" spans="1:26" ht="13.7" collapsed="1">
      <c r="A98" s="256"/>
      <c r="B98" s="256"/>
      <c r="C98" s="254" t="s">
        <v>231</v>
      </c>
      <c r="D98" s="255"/>
      <c r="E98" s="255">
        <f>SUM(E99:E101)</f>
        <v>0</v>
      </c>
      <c r="F98" s="255">
        <f t="shared" ref="F98:P98" si="59">SUM(F99:F101)</f>
        <v>0</v>
      </c>
      <c r="G98" s="255">
        <f t="shared" si="59"/>
        <v>0</v>
      </c>
      <c r="H98" s="255">
        <f t="shared" si="59"/>
        <v>0</v>
      </c>
      <c r="I98" s="255">
        <f t="shared" si="59"/>
        <v>0</v>
      </c>
      <c r="J98" s="255">
        <f t="shared" si="59"/>
        <v>0</v>
      </c>
      <c r="K98" s="255">
        <f t="shared" ca="1" si="59"/>
        <v>0</v>
      </c>
      <c r="L98" s="255">
        <f t="shared" ca="1" si="59"/>
        <v>0</v>
      </c>
      <c r="M98" s="255">
        <f t="shared" ca="1" si="59"/>
        <v>0</v>
      </c>
      <c r="N98" s="255">
        <f t="shared" ca="1" si="59"/>
        <v>0</v>
      </c>
      <c r="O98" s="255">
        <f t="shared" ca="1" si="59"/>
        <v>0</v>
      </c>
      <c r="P98" s="255">
        <f t="shared" ca="1" si="59"/>
        <v>0</v>
      </c>
      <c r="Q98" s="255">
        <f t="shared" ref="Q98" si="60">SUM(Q99:Q101)</f>
        <v>0</v>
      </c>
      <c r="T98" s="44"/>
      <c r="U98" s="44"/>
      <c r="X98" s="41"/>
      <c r="Y98" s="41"/>
      <c r="Z98" s="40"/>
    </row>
    <row r="99" spans="1:26" ht="13.7" hidden="1" outlineLevel="1">
      <c r="A99" s="256"/>
      <c r="B99" s="256"/>
      <c r="C99" s="254"/>
      <c r="D99" s="340" t="s">
        <v>1094</v>
      </c>
      <c r="E99" s="340">
        <f>IFERROR(E$6*'Historical BU1'!D63,0)*Currency_conversion_BU1</f>
        <v>0</v>
      </c>
      <c r="F99" s="340">
        <f>IFERROR(F$6*'Historical BU1'!E63,0)*Currency_conversion_BU1</f>
        <v>0</v>
      </c>
      <c r="G99" s="340">
        <f>IFERROR(G$6*'Historical BU1'!F63,0)*Currency_conversion_BU1</f>
        <v>0</v>
      </c>
      <c r="H99" s="340">
        <f>IFERROR(H$6*'Historical BU1'!G63,0)*Currency_conversion_BU1</f>
        <v>0</v>
      </c>
      <c r="I99" s="340">
        <f>IFERROR(I$6*'Historical BU1'!H63,0)*Currency_conversion_BU1</f>
        <v>0</v>
      </c>
      <c r="J99" s="340">
        <f>IFERROR(J$6*'Historical BU1'!I63,0)*Currency_conversion_BU1</f>
        <v>0</v>
      </c>
      <c r="K99" s="340">
        <f>IFERROR(K$6*'Historical BU1'!J63,0)*Currency_conversion_BU1</f>
        <v>0</v>
      </c>
      <c r="L99" s="340">
        <f>IFERROR(L$6*'Historical BU1'!K63,0)*Currency_conversion_BU1</f>
        <v>0</v>
      </c>
      <c r="M99" s="340">
        <f>IFERROR(M$6*'Historical BU1'!L63,0)*Currency_conversion_BU1</f>
        <v>0</v>
      </c>
      <c r="N99" s="340">
        <f>IFERROR(N$6*'Historical BU1'!M63,0)*Currency_conversion_BU1</f>
        <v>0</v>
      </c>
      <c r="O99" s="340">
        <f>IFERROR(O$6*'Historical BU1'!N63,0)*Currency_conversion_BU1</f>
        <v>0</v>
      </c>
      <c r="P99" s="340">
        <f>IFERROR(P$6*'Historical BU1'!O63,0)*Currency_conversion_BU1</f>
        <v>0</v>
      </c>
      <c r="Q99" s="340">
        <f>IFERROR(Q$6*'Historical BU1'!P63,0)*Currency_conversion_BU1</f>
        <v>0</v>
      </c>
      <c r="X99" s="39"/>
      <c r="Y99" s="39"/>
      <c r="Z99" s="40"/>
    </row>
    <row r="100" spans="1:26" ht="13.7" hidden="1" outlineLevel="1">
      <c r="A100" s="256"/>
      <c r="B100" s="256"/>
      <c r="C100" s="254"/>
      <c r="D100" s="340" t="s">
        <v>1095</v>
      </c>
      <c r="E100" s="340">
        <f>+IFERROR(E$7*'Acquisition BS adjustments'!$C71,0)+IFERROR(E$8*'Acquisition BS adjustments'!$E71,0)</f>
        <v>0</v>
      </c>
      <c r="F100" s="340">
        <f>+IFERROR(F$7*'Acquisition BS adjustments'!$C71,0)+IFERROR(F$8*'Acquisition BS adjustments'!$E71,0)</f>
        <v>0</v>
      </c>
      <c r="G100" s="340">
        <f>+IFERROR(G$7*'Acquisition BS adjustments'!$C71,0)+IFERROR(G$8*'Acquisition BS adjustments'!$E71,0)</f>
        <v>0</v>
      </c>
      <c r="H100" s="340">
        <f>+IFERROR(H$7*'Acquisition BS adjustments'!$C71,0)+IFERROR(H$8*'Acquisition BS adjustments'!$E71,0)</f>
        <v>0</v>
      </c>
      <c r="I100" s="340">
        <f>+IFERROR(I$7*'Acquisition BS adjustments'!$C71,0)+IFERROR(I$8*'Acquisition BS adjustments'!$E71,0)</f>
        <v>0</v>
      </c>
      <c r="J100" s="340">
        <f>+IFERROR(J$7*'Acquisition BS adjustments'!$C71,0)+IFERROR(J$8*'Acquisition BS adjustments'!$E71,0)</f>
        <v>0</v>
      </c>
      <c r="K100" s="340">
        <f>+IFERROR(K$7*'Acquisition BS adjustments'!$C71,0)+IFERROR(K$8*'Acquisition BS adjustments'!$E71,0)</f>
        <v>0</v>
      </c>
      <c r="L100" s="340">
        <f>+IFERROR(L$7*'Acquisition BS adjustments'!$C71,0)+IFERROR(L$8*'Acquisition BS adjustments'!$E71,0)</f>
        <v>0</v>
      </c>
      <c r="M100" s="340">
        <f>+IFERROR(M$7*'Acquisition BS adjustments'!$C71,0)+IFERROR(M$8*'Acquisition BS adjustments'!$E71,0)</f>
        <v>0</v>
      </c>
      <c r="N100" s="340">
        <f>+IFERROR(N$7*'Acquisition BS adjustments'!$C71,0)+IFERROR(N$8*'Acquisition BS adjustments'!$E71,0)</f>
        <v>0</v>
      </c>
      <c r="O100" s="340">
        <f>+IFERROR(O$7*'Acquisition BS adjustments'!$C71,0)+IFERROR(O$8*'Acquisition BS adjustments'!$E71,0)</f>
        <v>0</v>
      </c>
      <c r="P100" s="340">
        <f>+IFERROR(P$7*'Acquisition BS adjustments'!$C71,0)+IFERROR(P$8*'Acquisition BS adjustments'!$E71,0)</f>
        <v>0</v>
      </c>
      <c r="Q100" s="340">
        <f>+IFERROR(Q$7*'Acquisition BS adjustments'!$C71,0)+IFERROR(Q$8*'Acquisition BS adjustments'!$E71,0)</f>
        <v>0</v>
      </c>
      <c r="X100" s="39"/>
      <c r="Y100" s="39"/>
      <c r="Z100" s="40"/>
    </row>
    <row r="101" spans="1:26" ht="13.7" hidden="1" outlineLevel="1">
      <c r="A101" s="256"/>
      <c r="B101" s="256"/>
      <c r="C101" s="254"/>
      <c r="D101" s="340" t="s">
        <v>1096</v>
      </c>
      <c r="E101" s="340">
        <f>+IFERROR(E9*INDEX('Financial Quarterly offshore'!80:80,MATCH('BS offshore'!E$5,'Financial Quarterly offshore'!4:4,0)),0)</f>
        <v>0</v>
      </c>
      <c r="F101" s="340">
        <f>+IFERROR(F9*INDEX('Financial Quarterly offshore'!80:80,MATCH('BS offshore'!F$5,'Financial Quarterly offshore'!4:4,0)),0)</f>
        <v>0</v>
      </c>
      <c r="G101" s="340">
        <f>+IFERROR(G9*INDEX('Financial Quarterly offshore'!80:80,MATCH('BS offshore'!G$5,'Financial Quarterly offshore'!4:4,0)),0)</f>
        <v>0</v>
      </c>
      <c r="H101" s="340">
        <f>+IFERROR(H9*INDEX('Financial Quarterly offshore'!80:80,MATCH('BS offshore'!H$5,'Financial Quarterly offshore'!4:4,0)),0)</f>
        <v>0</v>
      </c>
      <c r="I101" s="340">
        <f>+IFERROR(I9*INDEX('Financial Quarterly offshore'!80:80,MATCH('BS offshore'!I$5,'Financial Quarterly offshore'!4:4,0)),0)</f>
        <v>0</v>
      </c>
      <c r="J101" s="340">
        <f>+IFERROR(J9*INDEX('Financial Quarterly offshore'!80:80,MATCH('BS offshore'!J$5,'Financial Quarterly offshore'!4:4,0)),0)</f>
        <v>0</v>
      </c>
      <c r="K101" s="340">
        <f ca="1">+IFERROR(K9*INDEX('Financial Quarterly offshore'!80:80,MATCH('BS offshore'!K$5,'Financial Quarterly offshore'!4:4,0)),0)</f>
        <v>0</v>
      </c>
      <c r="L101" s="340">
        <f ca="1">+IFERROR(L9*INDEX('Financial Quarterly offshore'!80:80,MATCH('BS offshore'!L$5,'Financial Quarterly offshore'!4:4,0)),0)</f>
        <v>0</v>
      </c>
      <c r="M101" s="340">
        <f ca="1">+IFERROR(M9*INDEX('Financial Quarterly offshore'!80:80,MATCH('BS offshore'!M$5,'Financial Quarterly offshore'!4:4,0)),0)</f>
        <v>0</v>
      </c>
      <c r="N101" s="340">
        <f ca="1">+IFERROR(N9*INDEX('Financial Quarterly offshore'!80:80,MATCH('BS offshore'!N$5,'Financial Quarterly offshore'!4:4,0)),0)</f>
        <v>0</v>
      </c>
      <c r="O101" s="340">
        <f ca="1">+IFERROR(O9*INDEX('Financial Quarterly offshore'!80:80,MATCH('BS offshore'!O$5,'Financial Quarterly offshore'!4:4,0)),0)</f>
        <v>0</v>
      </c>
      <c r="P101" s="340">
        <f ca="1">+IFERROR(P9*INDEX('Financial Quarterly offshore'!80:80,MATCH('BS offshore'!P$5,'Financial Quarterly offshore'!4:4,0)),0)</f>
        <v>0</v>
      </c>
      <c r="Q101" s="340">
        <f>+IFERROR(Q9*INDEX('Financial Quarterly offshore'!80:80,MATCH('BS offshore'!Q$5,'Financial Quarterly offshore'!4:4,0)),0)</f>
        <v>0</v>
      </c>
      <c r="X101" s="39"/>
      <c r="Y101" s="39"/>
      <c r="Z101" s="40"/>
    </row>
    <row r="102" spans="1:26" ht="13.7" collapsed="1">
      <c r="A102" s="256"/>
      <c r="B102" s="256"/>
      <c r="C102" s="257" t="s">
        <v>232</v>
      </c>
      <c r="D102" s="255"/>
      <c r="E102" s="255">
        <f>SUM(E103:E104)</f>
        <v>0</v>
      </c>
      <c r="F102" s="255">
        <f t="shared" ref="F102:P102" si="61">SUM(F103:F104)</f>
        <v>0</v>
      </c>
      <c r="G102" s="255">
        <f t="shared" si="61"/>
        <v>0</v>
      </c>
      <c r="H102" s="255">
        <f t="shared" si="61"/>
        <v>0</v>
      </c>
      <c r="I102" s="255">
        <f t="shared" si="61"/>
        <v>0</v>
      </c>
      <c r="J102" s="255">
        <f t="shared" si="61"/>
        <v>0</v>
      </c>
      <c r="K102" s="255">
        <f t="shared" si="61"/>
        <v>0</v>
      </c>
      <c r="L102" s="255">
        <f t="shared" si="61"/>
        <v>0</v>
      </c>
      <c r="M102" s="255">
        <f t="shared" si="61"/>
        <v>0</v>
      </c>
      <c r="N102" s="255">
        <f t="shared" si="61"/>
        <v>0</v>
      </c>
      <c r="O102" s="255">
        <f t="shared" si="61"/>
        <v>0</v>
      </c>
      <c r="P102" s="255">
        <f t="shared" si="61"/>
        <v>0</v>
      </c>
      <c r="Q102" s="255">
        <f t="shared" ref="Q102" si="62">SUM(Q103:Q104)</f>
        <v>0</v>
      </c>
      <c r="T102" s="44"/>
      <c r="U102" s="44"/>
      <c r="X102" s="40"/>
      <c r="Y102" s="40"/>
    </row>
    <row r="103" spans="1:26" ht="13.7" hidden="1" outlineLevel="1">
      <c r="A103" s="256"/>
      <c r="B103" s="256"/>
      <c r="C103" s="254"/>
      <c r="D103" s="340" t="s">
        <v>1094</v>
      </c>
      <c r="E103" s="340">
        <f>IFERROR(E$6*'Historical BU1'!D64,0)*Currency_conversion_BU1</f>
        <v>0</v>
      </c>
      <c r="F103" s="340">
        <f>IFERROR(F$6*'Historical BU1'!E64,0)*Currency_conversion_BU1</f>
        <v>0</v>
      </c>
      <c r="G103" s="340">
        <f>IFERROR(G$6*'Historical BU1'!F64,0)*Currency_conversion_BU1</f>
        <v>0</v>
      </c>
      <c r="H103" s="340">
        <f>IFERROR(H$6*'Historical BU1'!G64,0)*Currency_conversion_BU1</f>
        <v>0</v>
      </c>
      <c r="I103" s="340">
        <f>IFERROR(I$6*'Historical BU1'!H64,0)*Currency_conversion_BU1</f>
        <v>0</v>
      </c>
      <c r="J103" s="340">
        <f>IFERROR(J$6*'Historical BU1'!I64,0)*Currency_conversion_BU1</f>
        <v>0</v>
      </c>
      <c r="K103" s="340">
        <f>IFERROR(K$6*'Historical BU1'!J64,0)*Currency_conversion_BU1</f>
        <v>0</v>
      </c>
      <c r="L103" s="340">
        <f>IFERROR(L$6*'Historical BU1'!K64,0)*Currency_conversion_BU1</f>
        <v>0</v>
      </c>
      <c r="M103" s="340">
        <f>IFERROR(M$6*'Historical BU1'!L64,0)*Currency_conversion_BU1</f>
        <v>0</v>
      </c>
      <c r="N103" s="340">
        <f>IFERROR(N$6*'Historical BU1'!M64,0)*Currency_conversion_BU1</f>
        <v>0</v>
      </c>
      <c r="O103" s="340">
        <f>IFERROR(O$6*'Historical BU1'!N64,0)*Currency_conversion_BU1</f>
        <v>0</v>
      </c>
      <c r="P103" s="340">
        <f>IFERROR(P$6*'Historical BU1'!O64,0)*Currency_conversion_BU1</f>
        <v>0</v>
      </c>
      <c r="Q103" s="340">
        <f>IFERROR(Q$6*'Historical BU1'!P64,0)*Currency_conversion_BU1</f>
        <v>0</v>
      </c>
      <c r="X103" s="39"/>
      <c r="Y103" s="39"/>
      <c r="Z103" s="40"/>
    </row>
    <row r="104" spans="1:26" ht="13.7" hidden="1" outlineLevel="1">
      <c r="A104" s="256"/>
      <c r="B104" s="256"/>
      <c r="C104" s="254"/>
      <c r="D104" s="340" t="s">
        <v>1095</v>
      </c>
      <c r="E104" s="340">
        <f>+IFERROR(E$7*'Acquisition BS adjustments'!$C72,0)+IFERROR(E$8*'Acquisition BS adjustments'!$E72,0)</f>
        <v>0</v>
      </c>
      <c r="F104" s="340">
        <f>+IFERROR(F$7*'Acquisition BS adjustments'!$C72,0)+IFERROR(F$8*'Acquisition BS adjustments'!$E72,0)</f>
        <v>0</v>
      </c>
      <c r="G104" s="340">
        <f>+IFERROR(G$7*'Acquisition BS adjustments'!$C72,0)+IFERROR(G$8*'Acquisition BS adjustments'!$E72,0)</f>
        <v>0</v>
      </c>
      <c r="H104" s="340">
        <f>+IFERROR(H$7*'Acquisition BS adjustments'!$C72,0)+IFERROR(H$8*'Acquisition BS adjustments'!$E72,0)</f>
        <v>0</v>
      </c>
      <c r="I104" s="340">
        <f>+IFERROR(I$7*'Acquisition BS adjustments'!$C72,0)+IFERROR(I$8*'Acquisition BS adjustments'!$E72,0)</f>
        <v>0</v>
      </c>
      <c r="J104" s="340">
        <f>+IFERROR(J$7*'Acquisition BS adjustments'!$C72,0)+IFERROR(J$8*'Acquisition BS adjustments'!$E72,0)</f>
        <v>0</v>
      </c>
      <c r="K104" s="340">
        <f>+IFERROR(K$7*'Acquisition BS adjustments'!$C72,0)+IFERROR(K$8*'Acquisition BS adjustments'!$E72,0)</f>
        <v>0</v>
      </c>
      <c r="L104" s="340">
        <f>+IFERROR(L$7*'Acquisition BS adjustments'!$C72,0)+IFERROR(L$8*'Acquisition BS adjustments'!$E72,0)</f>
        <v>0</v>
      </c>
      <c r="M104" s="340">
        <f>+IFERROR(M$7*'Acquisition BS adjustments'!$C72,0)+IFERROR(M$8*'Acquisition BS adjustments'!$E72,0)</f>
        <v>0</v>
      </c>
      <c r="N104" s="340">
        <f>+IFERROR(N$7*'Acquisition BS adjustments'!$C72,0)+IFERROR(N$8*'Acquisition BS adjustments'!$E72,0)</f>
        <v>0</v>
      </c>
      <c r="O104" s="340">
        <f>+IFERROR(O$7*'Acquisition BS adjustments'!$C72,0)+IFERROR(O$8*'Acquisition BS adjustments'!$E72,0)</f>
        <v>0</v>
      </c>
      <c r="P104" s="340">
        <f>+IFERROR(P$7*'Acquisition BS adjustments'!$C72,0)+IFERROR(P$8*'Acquisition BS adjustments'!$E72,0)</f>
        <v>0</v>
      </c>
      <c r="Q104" s="340">
        <f>+IFERROR(Q$7*'Acquisition BS adjustments'!$C72,0)+IFERROR(Q$8*'Acquisition BS adjustments'!$E72,0)</f>
        <v>0</v>
      </c>
      <c r="X104" s="39"/>
      <c r="Y104" s="39"/>
      <c r="Z104" s="40"/>
    </row>
    <row r="105" spans="1:26" ht="13.7" collapsed="1">
      <c r="C105" s="46"/>
      <c r="T105" s="44"/>
      <c r="U105" s="44"/>
      <c r="X105" s="40"/>
      <c r="Y105" s="40"/>
    </row>
    <row r="106" spans="1:26" ht="13.7">
      <c r="C106" s="181" t="s">
        <v>15</v>
      </c>
      <c r="D106" s="180"/>
      <c r="E106" s="180">
        <f>+E107+E111+E115+E119</f>
        <v>0</v>
      </c>
      <c r="F106" s="180">
        <f t="shared" ref="F106:P106" si="63">+F107+F111+F115+F119</f>
        <v>0</v>
      </c>
      <c r="G106" s="180">
        <f t="shared" si="63"/>
        <v>0</v>
      </c>
      <c r="H106" s="180">
        <f t="shared" si="63"/>
        <v>0</v>
      </c>
      <c r="I106" s="180">
        <f t="shared" si="63"/>
        <v>0</v>
      </c>
      <c r="J106" s="180">
        <f t="shared" si="63"/>
        <v>0</v>
      </c>
      <c r="K106" s="180">
        <f t="shared" ca="1" si="63"/>
        <v>0</v>
      </c>
      <c r="L106" s="180">
        <f t="shared" ca="1" si="63"/>
        <v>0</v>
      </c>
      <c r="M106" s="180">
        <f t="shared" ca="1" si="63"/>
        <v>0</v>
      </c>
      <c r="N106" s="180">
        <f t="shared" ca="1" si="63"/>
        <v>0</v>
      </c>
      <c r="O106" s="180">
        <f t="shared" ca="1" si="63"/>
        <v>0</v>
      </c>
      <c r="P106" s="180">
        <f t="shared" ca="1" si="63"/>
        <v>0</v>
      </c>
      <c r="Q106" s="180">
        <f t="shared" ref="Q106" si="64">+Q107+Q111+Q115+Q119</f>
        <v>0</v>
      </c>
      <c r="T106" s="44"/>
      <c r="U106" s="44"/>
      <c r="X106" s="39"/>
      <c r="Y106" s="39"/>
      <c r="Z106" s="40"/>
    </row>
    <row r="107" spans="1:26" ht="13.7">
      <c r="C107" s="254" t="s">
        <v>234</v>
      </c>
      <c r="D107" s="255"/>
      <c r="E107" s="255">
        <f>SUM(E108:E110)</f>
        <v>0</v>
      </c>
      <c r="F107" s="255">
        <f t="shared" ref="F107:P107" si="65">SUM(F108:F110)</f>
        <v>0</v>
      </c>
      <c r="G107" s="255">
        <f t="shared" si="65"/>
        <v>0</v>
      </c>
      <c r="H107" s="255">
        <f t="shared" si="65"/>
        <v>0</v>
      </c>
      <c r="I107" s="255">
        <f t="shared" si="65"/>
        <v>0</v>
      </c>
      <c r="J107" s="255">
        <f t="shared" si="65"/>
        <v>0</v>
      </c>
      <c r="K107" s="255">
        <f t="shared" si="65"/>
        <v>0</v>
      </c>
      <c r="L107" s="255">
        <f t="shared" si="65"/>
        <v>0</v>
      </c>
      <c r="M107" s="255">
        <f t="shared" si="65"/>
        <v>0</v>
      </c>
      <c r="N107" s="255">
        <f t="shared" si="65"/>
        <v>0</v>
      </c>
      <c r="O107" s="255">
        <f t="shared" si="65"/>
        <v>0</v>
      </c>
      <c r="P107" s="255">
        <f t="shared" si="65"/>
        <v>0</v>
      </c>
      <c r="Q107" s="255">
        <f t="shared" ref="Q107" si="66">SUM(Q108:Q110)</f>
        <v>0</v>
      </c>
      <c r="S107" s="44"/>
      <c r="T107" s="44"/>
      <c r="W107" s="39"/>
      <c r="X107" s="39"/>
      <c r="Y107" s="40"/>
    </row>
    <row r="108" spans="1:26" ht="13.7" hidden="1" outlineLevel="1">
      <c r="C108" s="254"/>
      <c r="D108" s="340" t="s">
        <v>1094</v>
      </c>
      <c r="E108" s="341">
        <f>IFERROR(E$6*'Historical BU1'!D66,0)*Currency_conversion_BU1</f>
        <v>0</v>
      </c>
      <c r="F108" s="341">
        <f>IFERROR(F$6*'Historical BU1'!E66,0)*Currency_conversion_BU1</f>
        <v>0</v>
      </c>
      <c r="G108" s="341">
        <f>IFERROR(G$6*'Historical BU1'!F66,0)*Currency_conversion_BU1</f>
        <v>0</v>
      </c>
      <c r="H108" s="341">
        <f>IFERROR(H$6*'Historical BU1'!G66,0)*Currency_conversion_BU1</f>
        <v>0</v>
      </c>
      <c r="I108" s="341">
        <f>IFERROR(I$6*'Historical BU1'!H66,0)*Currency_conversion_BU1</f>
        <v>0</v>
      </c>
      <c r="J108" s="341">
        <f>IFERROR(J$6*'Historical BU1'!I66,0)*Currency_conversion_BU1</f>
        <v>0</v>
      </c>
      <c r="K108" s="341">
        <f>IFERROR(K$6*'Historical BU1'!J66,0)*Currency_conversion_BU1</f>
        <v>0</v>
      </c>
      <c r="L108" s="341">
        <f>IFERROR(L$6*'Historical BU1'!K66,0)*Currency_conversion_BU1</f>
        <v>0</v>
      </c>
      <c r="M108" s="341">
        <f>IFERROR(M$6*'Historical BU1'!L66,0)*Currency_conversion_BU1</f>
        <v>0</v>
      </c>
      <c r="N108" s="341">
        <f>IFERROR(N$6*'Historical BU1'!M66,0)*Currency_conversion_BU1</f>
        <v>0</v>
      </c>
      <c r="O108" s="341">
        <f>IFERROR(O$6*'Historical BU1'!N66,0)*Currency_conversion_BU1</f>
        <v>0</v>
      </c>
      <c r="P108" s="341">
        <f>IFERROR(P$6*'Historical BU1'!O66,0)*Currency_conversion_BU1</f>
        <v>0</v>
      </c>
      <c r="Q108" s="341">
        <f>IFERROR(Q$6*'Historical BU1'!P66,0)*Currency_conversion_BU1</f>
        <v>0</v>
      </c>
      <c r="R108" s="47"/>
      <c r="U108" s="45"/>
      <c r="V108" s="45"/>
      <c r="W108" s="40"/>
    </row>
    <row r="109" spans="1:26" ht="13.7" hidden="1" outlineLevel="1">
      <c r="C109" s="254"/>
      <c r="D109" s="340" t="s">
        <v>1095</v>
      </c>
      <c r="E109" s="341">
        <f>+IFERROR(E$7*'Acquisition BS adjustments'!$C75,0)+IFERROR(E$8*'Acquisition BS adjustments'!$E75,0)</f>
        <v>0</v>
      </c>
      <c r="F109" s="341">
        <f>+IFERROR(F$7*'Acquisition BS adjustments'!$C75,0)+IFERROR(F$8*'Acquisition BS adjustments'!$E75,0)</f>
        <v>0</v>
      </c>
      <c r="G109" s="341">
        <f>+IFERROR(G$7*'Acquisition BS adjustments'!$C75,0)+IFERROR(G$8*'Acquisition BS adjustments'!$E75,0)</f>
        <v>0</v>
      </c>
      <c r="H109" s="341">
        <f>+IFERROR(H$7*'Acquisition BS adjustments'!$C75,0)+IFERROR(H$8*'Acquisition BS adjustments'!$E75,0)</f>
        <v>0</v>
      </c>
      <c r="I109" s="341">
        <f>+IFERROR(I$7*'Acquisition BS adjustments'!$C75,0)+IFERROR(I$8*'Acquisition BS adjustments'!$E75,0)</f>
        <v>0</v>
      </c>
      <c r="J109" s="341">
        <f>+IFERROR(J$7*'Acquisition BS adjustments'!$C75,0)+IFERROR(J$8*'Acquisition BS adjustments'!$E75,0)</f>
        <v>0</v>
      </c>
      <c r="K109" s="341">
        <f>+IFERROR(K$7*'Acquisition BS adjustments'!$C75,0)+IFERROR(K$8*'Acquisition BS adjustments'!$E75,0)</f>
        <v>0</v>
      </c>
      <c r="L109" s="341">
        <f>+IFERROR(L$7*'Acquisition BS adjustments'!$C75,0)+IFERROR(L$8*'Acquisition BS adjustments'!$E75,0)</f>
        <v>0</v>
      </c>
      <c r="M109" s="341">
        <f>+IFERROR(M$7*'Acquisition BS adjustments'!$C75,0)+IFERROR(M$8*'Acquisition BS adjustments'!$E75,0)</f>
        <v>0</v>
      </c>
      <c r="N109" s="341">
        <f>+IFERROR(N$7*'Acquisition BS adjustments'!$C75,0)+IFERROR(N$8*'Acquisition BS adjustments'!$E75,0)</f>
        <v>0</v>
      </c>
      <c r="O109" s="341">
        <f>+IFERROR(O$7*'Acquisition BS adjustments'!$C75,0)+IFERROR(O$8*'Acquisition BS adjustments'!$E75,0)</f>
        <v>0</v>
      </c>
      <c r="P109" s="341">
        <f>+IFERROR(P$7*'Acquisition BS adjustments'!$C75,0)+IFERROR(P$8*'Acquisition BS adjustments'!$E75,0)</f>
        <v>0</v>
      </c>
      <c r="Q109" s="341">
        <f>+IFERROR(Q$7*'Acquisition BS adjustments'!$C75,0)+IFERROR(Q$8*'Acquisition BS adjustments'!$E75,0)</f>
        <v>0</v>
      </c>
      <c r="R109" s="47"/>
      <c r="U109" s="45"/>
      <c r="V109" s="45"/>
      <c r="W109" s="40"/>
    </row>
    <row r="110" spans="1:26" ht="13.7" hidden="1" outlineLevel="1">
      <c r="C110" s="254"/>
      <c r="D110" s="339" t="s">
        <v>1097</v>
      </c>
      <c r="E110" s="255">
        <f t="shared" ref="E110:Q110" si="67">+IFERROR(D107*E9,0)</f>
        <v>0</v>
      </c>
      <c r="F110" s="255">
        <f t="shared" si="67"/>
        <v>0</v>
      </c>
      <c r="G110" s="255">
        <f t="shared" si="67"/>
        <v>0</v>
      </c>
      <c r="H110" s="255">
        <f t="shared" si="67"/>
        <v>0</v>
      </c>
      <c r="I110" s="255">
        <f t="shared" si="67"/>
        <v>0</v>
      </c>
      <c r="J110" s="255">
        <f t="shared" si="67"/>
        <v>0</v>
      </c>
      <c r="K110" s="255">
        <f t="shared" si="67"/>
        <v>0</v>
      </c>
      <c r="L110" s="255">
        <f t="shared" si="67"/>
        <v>0</v>
      </c>
      <c r="M110" s="255">
        <f t="shared" si="67"/>
        <v>0</v>
      </c>
      <c r="N110" s="255">
        <f t="shared" si="67"/>
        <v>0</v>
      </c>
      <c r="O110" s="255">
        <f t="shared" si="67"/>
        <v>0</v>
      </c>
      <c r="P110" s="255">
        <f t="shared" si="67"/>
        <v>0</v>
      </c>
      <c r="Q110" s="255">
        <f t="shared" si="67"/>
        <v>0</v>
      </c>
      <c r="R110" s="47"/>
      <c r="U110" s="45"/>
      <c r="V110" s="45"/>
      <c r="W110" s="40"/>
    </row>
    <row r="111" spans="1:26" ht="13.7" collapsed="1">
      <c r="C111" s="254" t="s">
        <v>852</v>
      </c>
      <c r="D111" s="255"/>
      <c r="E111" s="255">
        <f>SUM(E112:E114)</f>
        <v>0</v>
      </c>
      <c r="F111" s="255">
        <f t="shared" ref="F111:P111" si="68">SUM(F112:F114)</f>
        <v>0</v>
      </c>
      <c r="G111" s="255">
        <f t="shared" si="68"/>
        <v>0</v>
      </c>
      <c r="H111" s="255">
        <f t="shared" si="68"/>
        <v>0</v>
      </c>
      <c r="I111" s="255">
        <f t="shared" si="68"/>
        <v>0</v>
      </c>
      <c r="J111" s="255">
        <f t="shared" si="68"/>
        <v>0</v>
      </c>
      <c r="K111" s="255">
        <f t="shared" ca="1" si="68"/>
        <v>0</v>
      </c>
      <c r="L111" s="255">
        <f t="shared" ca="1" si="68"/>
        <v>0</v>
      </c>
      <c r="M111" s="255">
        <f t="shared" ca="1" si="68"/>
        <v>0</v>
      </c>
      <c r="N111" s="255">
        <f t="shared" ca="1" si="68"/>
        <v>0</v>
      </c>
      <c r="O111" s="255">
        <f t="shared" ca="1" si="68"/>
        <v>0</v>
      </c>
      <c r="P111" s="255">
        <f t="shared" ca="1" si="68"/>
        <v>0</v>
      </c>
      <c r="Q111" s="255">
        <f t="shared" ref="Q111" si="69">SUM(Q112:Q114)</f>
        <v>0</v>
      </c>
      <c r="T111" s="44"/>
      <c r="U111" s="44"/>
      <c r="X111" s="39"/>
      <c r="Y111" s="39"/>
      <c r="Z111" s="40"/>
    </row>
    <row r="112" spans="1:26" ht="13.7" outlineLevel="1">
      <c r="A112" s="256"/>
      <c r="B112" s="256"/>
      <c r="C112" s="254"/>
      <c r="D112" s="340" t="s">
        <v>1094</v>
      </c>
      <c r="E112" s="340">
        <f>IFERROR(E$6*'Historical BU1'!D67,0)*Currency_conversion_BU1</f>
        <v>0</v>
      </c>
      <c r="F112" s="340">
        <f>IFERROR(F$6*'Historical BU1'!E67,0)*Currency_conversion_BU1</f>
        <v>0</v>
      </c>
      <c r="G112" s="340">
        <f>IFERROR(G$6*'Historical BU1'!F67,0)*Currency_conversion_BU1</f>
        <v>0</v>
      </c>
      <c r="H112" s="340">
        <f>IFERROR(H$6*'Historical BU1'!G67,0)*Currency_conversion_BU1</f>
        <v>0</v>
      </c>
      <c r="I112" s="340">
        <f>IFERROR(I$6*'Historical BU1'!H67,0)*Currency_conversion_BU1</f>
        <v>0</v>
      </c>
      <c r="J112" s="340">
        <f>IFERROR(J$6*'Historical BU1'!I67,0)*Currency_conversion_BU1</f>
        <v>0</v>
      </c>
      <c r="K112" s="340">
        <f>IFERROR(K$6*'Historical BU1'!J67,0)*Currency_conversion_BU1</f>
        <v>0</v>
      </c>
      <c r="L112" s="340">
        <f>IFERROR(L$6*'Historical BU1'!K67,0)*Currency_conversion_BU1</f>
        <v>0</v>
      </c>
      <c r="M112" s="340">
        <f>IFERROR(M$6*'Historical BU1'!L67,0)*Currency_conversion_BU1</f>
        <v>0</v>
      </c>
      <c r="N112" s="340">
        <f>IFERROR(N$6*'Historical BU1'!M67,0)*Currency_conversion_BU1</f>
        <v>0</v>
      </c>
      <c r="O112" s="340">
        <f>IFERROR(O$6*'Historical BU1'!N67,0)*Currency_conversion_BU1</f>
        <v>0</v>
      </c>
      <c r="P112" s="340">
        <f>IFERROR(P$6*'Historical BU1'!O67,0)*Currency_conversion_BU1</f>
        <v>0</v>
      </c>
      <c r="Q112" s="340">
        <f>IFERROR(Q$6*'Historical BU1'!P67,0)*Currency_conversion_BU1</f>
        <v>0</v>
      </c>
      <c r="X112" s="39"/>
      <c r="Y112" s="39"/>
      <c r="Z112" s="40"/>
    </row>
    <row r="113" spans="1:26" ht="13.7" outlineLevel="1">
      <c r="A113" s="256"/>
      <c r="B113" s="256"/>
      <c r="C113" s="254"/>
      <c r="D113" s="340" t="s">
        <v>1095</v>
      </c>
      <c r="E113" s="340">
        <f>+IFERROR(E$7*'Acquisition BS adjustments'!$E76,0)+IFERROR(E$8*'Acquisition BS adjustments'!$E76,0)</f>
        <v>0</v>
      </c>
      <c r="F113" s="340">
        <f>+IFERROR(F$7*'Acquisition BS adjustments'!$E76,0)+IFERROR(F$8*'Acquisition BS adjustments'!$E76,0)</f>
        <v>0</v>
      </c>
      <c r="G113" s="340">
        <f>+IFERROR(G$7*'Acquisition BS adjustments'!$E76,0)+IFERROR(G$8*'Acquisition BS adjustments'!$E76,0)</f>
        <v>0</v>
      </c>
      <c r="H113" s="340">
        <f>+IFERROR(H$7*'Acquisition BS adjustments'!$E76,0)+IFERROR(H$8*'Acquisition BS adjustments'!$E76,0)</f>
        <v>0</v>
      </c>
      <c r="I113" s="340">
        <f>+IFERROR(I$7*'Acquisition BS adjustments'!$E76,0)+IFERROR(I$8*'Acquisition BS adjustments'!$E76,0)</f>
        <v>0</v>
      </c>
      <c r="J113" s="340">
        <f>+IFERROR(J$7*'Acquisition BS adjustments'!$E76,0)+IFERROR(J$8*'Acquisition BS adjustments'!$E76,0)</f>
        <v>0</v>
      </c>
      <c r="K113" s="340">
        <f>+IFERROR(K$7*'Acquisition BS adjustments'!$E76,0)+IFERROR(K$8*'Acquisition BS adjustments'!$E76,0)</f>
        <v>0</v>
      </c>
      <c r="L113" s="340">
        <f>+IFERROR(L$7*'Acquisition BS adjustments'!$E76,0)+IFERROR(L$8*'Acquisition BS adjustments'!$E76,0)</f>
        <v>0</v>
      </c>
      <c r="M113" s="340">
        <f>+IFERROR(M$7*'Acquisition BS adjustments'!$E76,0)+IFERROR(M$8*'Acquisition BS adjustments'!$E76,0)</f>
        <v>0</v>
      </c>
      <c r="N113" s="340">
        <f>+IFERROR(N$7*'Acquisition BS adjustments'!$E76,0)+IFERROR(N$8*'Acquisition BS adjustments'!$E76,0)</f>
        <v>0</v>
      </c>
      <c r="O113" s="340">
        <f>+IFERROR(O$7*'Acquisition BS adjustments'!$E76,0)+IFERROR(O$8*'Acquisition BS adjustments'!$E76,0)</f>
        <v>0</v>
      </c>
      <c r="P113" s="340">
        <f>+IFERROR(P$7*'Acquisition BS adjustments'!$E76,0)+IFERROR(P$8*'Acquisition BS adjustments'!$E76,0)</f>
        <v>0</v>
      </c>
      <c r="Q113" s="340">
        <f>+IFERROR(Q$7*'Acquisition BS adjustments'!$E76,0)+IFERROR(Q$8*'Acquisition BS adjustments'!$E76,0)</f>
        <v>0</v>
      </c>
      <c r="X113" s="39"/>
      <c r="Y113" s="39"/>
      <c r="Z113" s="40"/>
    </row>
    <row r="114" spans="1:26" ht="13.7" outlineLevel="1">
      <c r="A114" s="256"/>
      <c r="B114" s="256"/>
      <c r="C114" s="254"/>
      <c r="D114" s="340" t="s">
        <v>1096</v>
      </c>
      <c r="E114" s="340">
        <f>+IFERROR(E9*INDEX('Financial Quarterly offshore'!105:105,MATCH('BS offshore'!E$5,'Financial Quarterly offshore'!4:4,0)),0)</f>
        <v>0</v>
      </c>
      <c r="F114" s="340">
        <f>+IFERROR(F9*INDEX('Financial Quarterly offshore'!105:105,MATCH('BS offshore'!F$5,'Financial Quarterly offshore'!4:4,0)),0)</f>
        <v>0</v>
      </c>
      <c r="G114" s="340">
        <f>+IFERROR(G9*INDEX('Financial Quarterly offshore'!105:105,MATCH('BS offshore'!G$5,'Financial Quarterly offshore'!4:4,0)),0)</f>
        <v>0</v>
      </c>
      <c r="H114" s="340">
        <f>+IFERROR(H9*INDEX('Financial Quarterly offshore'!105:105,MATCH('BS offshore'!H$5,'Financial Quarterly offshore'!4:4,0)),0)</f>
        <v>0</v>
      </c>
      <c r="I114" s="340">
        <f>+IFERROR(I9*INDEX('Financial Quarterly offshore'!105:105,MATCH('BS offshore'!I$5,'Financial Quarterly offshore'!4:4,0)),0)</f>
        <v>0</v>
      </c>
      <c r="J114" s="340">
        <f>+IFERROR(J9*INDEX('Financial Quarterly offshore'!105:105,MATCH('BS offshore'!J$5,'Financial Quarterly offshore'!4:4,0)),0)</f>
        <v>0</v>
      </c>
      <c r="K114" s="340">
        <f ca="1">+IFERROR(K9*INDEX('Financial Quarterly offshore'!105:105,MATCH('BS offshore'!K$5,'Financial Quarterly offshore'!4:4,0)),0)</f>
        <v>0</v>
      </c>
      <c r="L114" s="340">
        <f ca="1">+IFERROR(L9*INDEX('Financial Quarterly offshore'!105:105,MATCH('BS offshore'!L$5,'Financial Quarterly offshore'!4:4,0)),0)</f>
        <v>0</v>
      </c>
      <c r="M114" s="340">
        <f ca="1">+IFERROR(M9*INDEX('Financial Quarterly offshore'!105:105,MATCH('BS offshore'!M$5,'Financial Quarterly offshore'!4:4,0)),0)</f>
        <v>0</v>
      </c>
      <c r="N114" s="340">
        <f ca="1">+IFERROR(N9*INDEX('Financial Quarterly offshore'!105:105,MATCH('BS offshore'!N$5,'Financial Quarterly offshore'!4:4,0)),0)</f>
        <v>0</v>
      </c>
      <c r="O114" s="340">
        <f ca="1">+IFERROR(O9*INDEX('Financial Quarterly offshore'!105:105,MATCH('BS offshore'!O$5,'Financial Quarterly offshore'!4:4,0)),0)</f>
        <v>0</v>
      </c>
      <c r="P114" s="340">
        <f ca="1">+IFERROR(P9*INDEX('Financial Quarterly offshore'!105:105,MATCH('BS offshore'!P$5,'Financial Quarterly offshore'!4:4,0)),0)</f>
        <v>0</v>
      </c>
      <c r="Q114" s="340">
        <f>+IFERROR(Q9*INDEX('Financial Quarterly offshore'!105:105,MATCH('BS offshore'!Q$5,'Financial Quarterly offshore'!4:4,0)),0)</f>
        <v>0</v>
      </c>
      <c r="X114" s="39"/>
      <c r="Y114" s="39"/>
      <c r="Z114" s="40"/>
    </row>
    <row r="115" spans="1:26" ht="13.7">
      <c r="C115" s="254" t="s">
        <v>237</v>
      </c>
      <c r="D115" s="255"/>
      <c r="E115" s="255">
        <f>SUM(E116:E118)</f>
        <v>0</v>
      </c>
      <c r="F115" s="255">
        <f t="shared" ref="F115:P115" si="70">SUM(F116:F118)</f>
        <v>0</v>
      </c>
      <c r="G115" s="255">
        <f t="shared" si="70"/>
        <v>0</v>
      </c>
      <c r="H115" s="255">
        <f t="shared" si="70"/>
        <v>0</v>
      </c>
      <c r="I115" s="255">
        <f t="shared" si="70"/>
        <v>0</v>
      </c>
      <c r="J115" s="255">
        <f t="shared" si="70"/>
        <v>0</v>
      </c>
      <c r="K115" s="255">
        <f t="shared" si="70"/>
        <v>0</v>
      </c>
      <c r="L115" s="255">
        <f t="shared" si="70"/>
        <v>0</v>
      </c>
      <c r="M115" s="255">
        <f t="shared" si="70"/>
        <v>0</v>
      </c>
      <c r="N115" s="255">
        <f t="shared" si="70"/>
        <v>0</v>
      </c>
      <c r="O115" s="255">
        <f t="shared" si="70"/>
        <v>0</v>
      </c>
      <c r="P115" s="255">
        <f t="shared" si="70"/>
        <v>0</v>
      </c>
      <c r="Q115" s="255">
        <f t="shared" ref="Q115" si="71">SUM(Q116:Q118)</f>
        <v>0</v>
      </c>
      <c r="T115" s="44"/>
      <c r="U115" s="44"/>
      <c r="X115" s="45"/>
      <c r="Y115" s="45"/>
      <c r="Z115" s="40"/>
    </row>
    <row r="116" spans="1:26" ht="13.7" hidden="1" outlineLevel="1">
      <c r="C116" s="254"/>
      <c r="D116" s="340" t="s">
        <v>1094</v>
      </c>
      <c r="E116" s="341">
        <f>IFERROR(E$6*'Historical BU1'!D69,0)*Currency_conversion_BU1</f>
        <v>0</v>
      </c>
      <c r="F116" s="341">
        <f>IFERROR(F$6*'Historical BU1'!E69,0)*Currency_conversion_BU1</f>
        <v>0</v>
      </c>
      <c r="G116" s="341">
        <f>IFERROR(G$6*'Historical BU1'!F69,0)*Currency_conversion_BU1</f>
        <v>0</v>
      </c>
      <c r="H116" s="341">
        <f>IFERROR(H$6*'Historical BU1'!G69,0)*Currency_conversion_BU1</f>
        <v>0</v>
      </c>
      <c r="I116" s="341">
        <f>IFERROR(I$6*'Historical BU1'!H69,0)*Currency_conversion_BU1</f>
        <v>0</v>
      </c>
      <c r="J116" s="341">
        <f>IFERROR(J$6*'Historical BU1'!I69,0)*Currency_conversion_BU1</f>
        <v>0</v>
      </c>
      <c r="K116" s="341">
        <f>IFERROR(K$6*'Historical BU1'!J69,0)*Currency_conversion_BU1</f>
        <v>0</v>
      </c>
      <c r="L116" s="341">
        <f>IFERROR(L$6*'Historical BU1'!K69,0)*Currency_conversion_BU1</f>
        <v>0</v>
      </c>
      <c r="M116" s="341">
        <f>IFERROR(M$6*'Historical BU1'!L69,0)*Currency_conversion_BU1</f>
        <v>0</v>
      </c>
      <c r="N116" s="341">
        <f>IFERROR(N$6*'Historical BU1'!M69,0)*Currency_conversion_BU1</f>
        <v>0</v>
      </c>
      <c r="O116" s="341">
        <f>IFERROR(O$6*'Historical BU1'!N69,0)*Currency_conversion_BU1</f>
        <v>0</v>
      </c>
      <c r="P116" s="341">
        <f>IFERROR(P$6*'Historical BU1'!O69,0)*Currency_conversion_BU1</f>
        <v>0</v>
      </c>
      <c r="Q116" s="341">
        <f>IFERROR(Q$6*'Historical BU1'!P69,0)*Currency_conversion_BU1</f>
        <v>0</v>
      </c>
      <c r="R116" s="47"/>
      <c r="U116" s="45"/>
      <c r="V116" s="45"/>
      <c r="W116" s="40"/>
    </row>
    <row r="117" spans="1:26" ht="13.7" hidden="1" outlineLevel="1">
      <c r="C117" s="254"/>
      <c r="D117" s="340" t="s">
        <v>1095</v>
      </c>
      <c r="E117" s="341">
        <f>+IFERROR(E$7*'Acquisition BS adjustments'!$C78,0)+IFERROR(E$8*'Acquisition BS adjustments'!$E78,0)</f>
        <v>0</v>
      </c>
      <c r="F117" s="341">
        <f>+IFERROR(F$7*'Acquisition BS adjustments'!$C78,0)+IFERROR(F$8*'Acquisition BS adjustments'!$E78,0)</f>
        <v>0</v>
      </c>
      <c r="G117" s="341">
        <f>+IFERROR(G$7*'Acquisition BS adjustments'!$C78,0)+IFERROR(G$8*'Acquisition BS adjustments'!$E78,0)</f>
        <v>0</v>
      </c>
      <c r="H117" s="341">
        <f>+IFERROR(H$7*'Acquisition BS adjustments'!$C78,0)+IFERROR(H$8*'Acquisition BS adjustments'!$E78,0)</f>
        <v>0</v>
      </c>
      <c r="I117" s="341">
        <f>+IFERROR(I$7*'Acquisition BS adjustments'!$C78,0)+IFERROR(I$8*'Acquisition BS adjustments'!$E78,0)</f>
        <v>0</v>
      </c>
      <c r="J117" s="341">
        <f>+IFERROR(J$7*'Acquisition BS adjustments'!$C78,0)+IFERROR(J$8*'Acquisition BS adjustments'!$E78,0)</f>
        <v>0</v>
      </c>
      <c r="K117" s="341">
        <f>+IFERROR(K$7*'Acquisition BS adjustments'!$C78,0)+IFERROR(K$8*'Acquisition BS adjustments'!$E78,0)</f>
        <v>0</v>
      </c>
      <c r="L117" s="341">
        <f>+IFERROR(L$7*'Acquisition BS adjustments'!$C78,0)+IFERROR(L$8*'Acquisition BS adjustments'!$E78,0)</f>
        <v>0</v>
      </c>
      <c r="M117" s="341">
        <f>+IFERROR(M$7*'Acquisition BS adjustments'!$C78,0)+IFERROR(M$8*'Acquisition BS adjustments'!$E78,0)</f>
        <v>0</v>
      </c>
      <c r="N117" s="341">
        <f>+IFERROR(N$7*'Acquisition BS adjustments'!$C78,0)+IFERROR(N$8*'Acquisition BS adjustments'!$E78,0)</f>
        <v>0</v>
      </c>
      <c r="O117" s="341">
        <f>+IFERROR(O$7*'Acquisition BS adjustments'!$C78,0)+IFERROR(O$8*'Acquisition BS adjustments'!$E78,0)</f>
        <v>0</v>
      </c>
      <c r="P117" s="341">
        <f>+IFERROR(P$7*'Acquisition BS adjustments'!$C78,0)+IFERROR(P$8*'Acquisition BS adjustments'!$E78,0)</f>
        <v>0</v>
      </c>
      <c r="Q117" s="341">
        <f>+IFERROR(Q$7*'Acquisition BS adjustments'!$C78,0)+IFERROR(Q$8*'Acquisition BS adjustments'!$E78,0)</f>
        <v>0</v>
      </c>
      <c r="R117" s="47"/>
      <c r="U117" s="45"/>
      <c r="V117" s="45"/>
      <c r="W117" s="40"/>
    </row>
    <row r="118" spans="1:26" ht="13.7" hidden="1" outlineLevel="1">
      <c r="C118" s="254"/>
      <c r="D118" s="339" t="s">
        <v>1097</v>
      </c>
      <c r="E118" s="255">
        <f t="shared" ref="E118:Q118" si="72">+IFERROR(D115*E9,0)</f>
        <v>0</v>
      </c>
      <c r="F118" s="255">
        <f t="shared" si="72"/>
        <v>0</v>
      </c>
      <c r="G118" s="255">
        <f t="shared" si="72"/>
        <v>0</v>
      </c>
      <c r="H118" s="255">
        <f t="shared" si="72"/>
        <v>0</v>
      </c>
      <c r="I118" s="255">
        <f t="shared" si="72"/>
        <v>0</v>
      </c>
      <c r="J118" s="255">
        <f t="shared" si="72"/>
        <v>0</v>
      </c>
      <c r="K118" s="255">
        <f t="shared" si="72"/>
        <v>0</v>
      </c>
      <c r="L118" s="255">
        <f t="shared" si="72"/>
        <v>0</v>
      </c>
      <c r="M118" s="255">
        <f t="shared" si="72"/>
        <v>0</v>
      </c>
      <c r="N118" s="255">
        <f t="shared" si="72"/>
        <v>0</v>
      </c>
      <c r="O118" s="255">
        <f t="shared" si="72"/>
        <v>0</v>
      </c>
      <c r="P118" s="255">
        <f t="shared" si="72"/>
        <v>0</v>
      </c>
      <c r="Q118" s="255">
        <f t="shared" si="72"/>
        <v>0</v>
      </c>
      <c r="R118" s="47"/>
      <c r="U118" s="45"/>
      <c r="V118" s="45"/>
      <c r="W118" s="40"/>
    </row>
    <row r="119" spans="1:26" ht="13.7" collapsed="1">
      <c r="C119" s="258" t="s">
        <v>238</v>
      </c>
      <c r="D119" s="255"/>
      <c r="E119" s="255">
        <f>SUM(E120:E122)</f>
        <v>0</v>
      </c>
      <c r="F119" s="255">
        <f t="shared" ref="F119:P119" si="73">SUM(F120:F122)</f>
        <v>0</v>
      </c>
      <c r="G119" s="255">
        <f t="shared" si="73"/>
        <v>0</v>
      </c>
      <c r="H119" s="255">
        <f t="shared" si="73"/>
        <v>0</v>
      </c>
      <c r="I119" s="255">
        <f t="shared" si="73"/>
        <v>0</v>
      </c>
      <c r="J119" s="255">
        <f t="shared" si="73"/>
        <v>0</v>
      </c>
      <c r="K119" s="255">
        <f t="shared" si="73"/>
        <v>0</v>
      </c>
      <c r="L119" s="255">
        <f t="shared" si="73"/>
        <v>0</v>
      </c>
      <c r="M119" s="255">
        <f t="shared" si="73"/>
        <v>0</v>
      </c>
      <c r="N119" s="255">
        <f t="shared" si="73"/>
        <v>0</v>
      </c>
      <c r="O119" s="255">
        <f t="shared" si="73"/>
        <v>0</v>
      </c>
      <c r="P119" s="255">
        <f t="shared" si="73"/>
        <v>0</v>
      </c>
      <c r="Q119" s="255">
        <f t="shared" ref="Q119" si="74">SUM(Q120:Q122)</f>
        <v>0</v>
      </c>
      <c r="T119" s="44"/>
      <c r="U119" s="44"/>
      <c r="X119" s="45"/>
      <c r="Y119" s="45"/>
      <c r="Z119" s="40"/>
    </row>
    <row r="120" spans="1:26" ht="13.7" hidden="1" outlineLevel="1">
      <c r="C120" s="254"/>
      <c r="D120" s="340" t="s">
        <v>1094</v>
      </c>
      <c r="E120" s="341">
        <f>IFERROR(E$6*'Historical BU1'!D70,0)*Currency_conversion_BU1</f>
        <v>0</v>
      </c>
      <c r="F120" s="341">
        <f>IFERROR(F$6*'Historical BU1'!E70,0)*Currency_conversion_BU1</f>
        <v>0</v>
      </c>
      <c r="G120" s="341">
        <f>IFERROR(G$6*'Historical BU1'!F70,0)*Currency_conversion_BU1</f>
        <v>0</v>
      </c>
      <c r="H120" s="341">
        <f>IFERROR(H$6*'Historical BU1'!G70,0)*Currency_conversion_BU1</f>
        <v>0</v>
      </c>
      <c r="I120" s="341">
        <f>IFERROR(I$6*'Historical BU1'!H70,0)*Currency_conversion_BU1</f>
        <v>0</v>
      </c>
      <c r="J120" s="341">
        <f>IFERROR(J$6*'Historical BU1'!I70,0)*Currency_conversion_BU1</f>
        <v>0</v>
      </c>
      <c r="K120" s="341">
        <f>IFERROR(K$6*'Historical BU1'!J70,0)*Currency_conversion_BU1</f>
        <v>0</v>
      </c>
      <c r="L120" s="341">
        <f>IFERROR(L$6*'Historical BU1'!K70,0)*Currency_conversion_BU1</f>
        <v>0</v>
      </c>
      <c r="M120" s="341">
        <f>IFERROR(M$6*'Historical BU1'!L70,0)*Currency_conversion_BU1</f>
        <v>0</v>
      </c>
      <c r="N120" s="341">
        <f>IFERROR(N$6*'Historical BU1'!M70,0)*Currency_conversion_BU1</f>
        <v>0</v>
      </c>
      <c r="O120" s="341">
        <f>IFERROR(O$6*'Historical BU1'!N70,0)*Currency_conversion_BU1</f>
        <v>0</v>
      </c>
      <c r="P120" s="341">
        <f>IFERROR(P$6*'Historical BU1'!O70,0)*Currency_conversion_BU1</f>
        <v>0</v>
      </c>
      <c r="Q120" s="341">
        <f>IFERROR(Q$6*'Historical BU1'!P70,0)*Currency_conversion_BU1</f>
        <v>0</v>
      </c>
      <c r="R120" s="47"/>
      <c r="U120" s="45"/>
      <c r="V120" s="45"/>
      <c r="W120" s="40"/>
    </row>
    <row r="121" spans="1:26" ht="13.7" hidden="1" outlineLevel="1">
      <c r="C121" s="254"/>
      <c r="D121" s="340" t="s">
        <v>1095</v>
      </c>
      <c r="E121" s="341">
        <f>+IFERROR(E$7*'Acquisition BS adjustments'!$C79,0)+IFERROR(E$8*'Acquisition BS adjustments'!$E79,0)</f>
        <v>0</v>
      </c>
      <c r="F121" s="341">
        <f>+IFERROR(F$7*'Acquisition BS adjustments'!$C79,0)+IFERROR(F$8*'Acquisition BS adjustments'!$E79,0)</f>
        <v>0</v>
      </c>
      <c r="G121" s="341">
        <f>+IFERROR(G$7*'Acquisition BS adjustments'!$C79,0)+IFERROR(G$8*'Acquisition BS adjustments'!$E79,0)</f>
        <v>0</v>
      </c>
      <c r="H121" s="341">
        <f>+IFERROR(H$7*'Acquisition BS adjustments'!$C79,0)+IFERROR(H$8*'Acquisition BS adjustments'!$E79,0)</f>
        <v>0</v>
      </c>
      <c r="I121" s="341">
        <f>+IFERROR(I$7*'Acquisition BS adjustments'!$C79,0)+IFERROR(I$8*'Acquisition BS adjustments'!$E79,0)</f>
        <v>0</v>
      </c>
      <c r="J121" s="341">
        <f>+IFERROR(J$7*'Acquisition BS adjustments'!$C79,0)+IFERROR(J$8*'Acquisition BS adjustments'!$E79,0)</f>
        <v>0</v>
      </c>
      <c r="K121" s="341">
        <f>+IFERROR(K$7*'Acquisition BS adjustments'!$C79,0)+IFERROR(K$8*'Acquisition BS adjustments'!$E79,0)</f>
        <v>0</v>
      </c>
      <c r="L121" s="341">
        <f>+IFERROR(L$7*'Acquisition BS adjustments'!$C79,0)+IFERROR(L$8*'Acquisition BS adjustments'!$E79,0)</f>
        <v>0</v>
      </c>
      <c r="M121" s="341">
        <f>+IFERROR(M$7*'Acquisition BS adjustments'!$C79,0)+IFERROR(M$8*'Acquisition BS adjustments'!$E79,0)</f>
        <v>0</v>
      </c>
      <c r="N121" s="341">
        <f>+IFERROR(N$7*'Acquisition BS adjustments'!$C79,0)+IFERROR(N$8*'Acquisition BS adjustments'!$E79,0)</f>
        <v>0</v>
      </c>
      <c r="O121" s="341">
        <f>+IFERROR(O$7*'Acquisition BS adjustments'!$C79,0)+IFERROR(O$8*'Acquisition BS adjustments'!$E79,0)</f>
        <v>0</v>
      </c>
      <c r="P121" s="341">
        <f>+IFERROR(P$7*'Acquisition BS adjustments'!$C79,0)+IFERROR(P$8*'Acquisition BS adjustments'!$E79,0)</f>
        <v>0</v>
      </c>
      <c r="Q121" s="341">
        <f>+IFERROR(Q$7*'Acquisition BS adjustments'!$C79,0)+IFERROR(Q$8*'Acquisition BS adjustments'!$E79,0)</f>
        <v>0</v>
      </c>
      <c r="R121" s="47"/>
      <c r="U121" s="45"/>
      <c r="V121" s="45"/>
      <c r="W121" s="40"/>
    </row>
    <row r="122" spans="1:26" ht="13.7" hidden="1" outlineLevel="1">
      <c r="C122" s="254"/>
      <c r="D122" s="339" t="s">
        <v>1097</v>
      </c>
      <c r="E122" s="255">
        <f>+E$9*D119</f>
        <v>0</v>
      </c>
      <c r="F122" s="255">
        <f t="shared" ref="F122:Q122" si="75">+F$9*E119</f>
        <v>0</v>
      </c>
      <c r="G122" s="255">
        <f t="shared" si="75"/>
        <v>0</v>
      </c>
      <c r="H122" s="255">
        <f t="shared" si="75"/>
        <v>0</v>
      </c>
      <c r="I122" s="255">
        <f t="shared" si="75"/>
        <v>0</v>
      </c>
      <c r="J122" s="255">
        <f t="shared" si="75"/>
        <v>0</v>
      </c>
      <c r="K122" s="255">
        <f t="shared" si="75"/>
        <v>0</v>
      </c>
      <c r="L122" s="255">
        <f t="shared" si="75"/>
        <v>0</v>
      </c>
      <c r="M122" s="255">
        <f t="shared" si="75"/>
        <v>0</v>
      </c>
      <c r="N122" s="255">
        <f t="shared" si="75"/>
        <v>0</v>
      </c>
      <c r="O122" s="255">
        <f t="shared" si="75"/>
        <v>0</v>
      </c>
      <c r="P122" s="255">
        <f t="shared" si="75"/>
        <v>0</v>
      </c>
      <c r="Q122" s="255">
        <f t="shared" si="75"/>
        <v>0</v>
      </c>
      <c r="R122" s="47"/>
      <c r="U122" s="45"/>
      <c r="V122" s="45"/>
      <c r="W122" s="40"/>
    </row>
    <row r="123" spans="1:26" collapsed="1">
      <c r="C123" s="49"/>
      <c r="T123" s="44"/>
      <c r="U123" s="44"/>
      <c r="X123" s="41"/>
      <c r="Y123" s="41"/>
      <c r="Z123" s="40"/>
    </row>
    <row r="124" spans="1:26" ht="13.7">
      <c r="C124" s="192" t="s">
        <v>17</v>
      </c>
      <c r="D124" s="195"/>
      <c r="E124" s="195">
        <f>E73+E106</f>
        <v>0</v>
      </c>
      <c r="F124" s="195">
        <f t="shared" ref="F124:P124" si="76">F73+F106</f>
        <v>0</v>
      </c>
      <c r="G124" s="195">
        <f t="shared" si="76"/>
        <v>0</v>
      </c>
      <c r="H124" s="195">
        <f t="shared" si="76"/>
        <v>0</v>
      </c>
      <c r="I124" s="195">
        <f t="shared" si="76"/>
        <v>0</v>
      </c>
      <c r="J124" s="195">
        <f t="shared" si="76"/>
        <v>0</v>
      </c>
      <c r="K124" s="195">
        <f t="shared" ca="1" si="76"/>
        <v>0</v>
      </c>
      <c r="L124" s="195">
        <f t="shared" ca="1" si="76"/>
        <v>0</v>
      </c>
      <c r="M124" s="195">
        <f t="shared" ca="1" si="76"/>
        <v>0</v>
      </c>
      <c r="N124" s="195">
        <f t="shared" ca="1" si="76"/>
        <v>0</v>
      </c>
      <c r="O124" s="195">
        <f t="shared" ca="1" si="76"/>
        <v>0</v>
      </c>
      <c r="P124" s="195">
        <f t="shared" ca="1" si="76"/>
        <v>0</v>
      </c>
      <c r="Q124" s="195">
        <f t="shared" ref="Q124" si="77">Q73+Q106</f>
        <v>0</v>
      </c>
      <c r="T124" s="44"/>
      <c r="U124" s="44"/>
      <c r="X124" s="40"/>
      <c r="Y124" s="40"/>
    </row>
    <row r="125" spans="1:26">
      <c r="C125" s="49"/>
      <c r="T125" s="44"/>
      <c r="U125" s="44"/>
      <c r="X125" s="39"/>
      <c r="Y125" s="39"/>
      <c r="Z125" s="40"/>
    </row>
    <row r="126" spans="1:26" ht="13.7">
      <c r="C126" s="192" t="s">
        <v>18</v>
      </c>
      <c r="D126" s="195"/>
      <c r="E126" s="195">
        <f>SUM(E127:E129)</f>
        <v>0</v>
      </c>
      <c r="F126" s="195">
        <f t="shared" ref="F126:P126" ca="1" si="78">SUM(F127:F129)</f>
        <v>0</v>
      </c>
      <c r="G126" s="195">
        <f t="shared" ca="1" si="78"/>
        <v>0</v>
      </c>
      <c r="H126" s="195">
        <f t="shared" ca="1" si="78"/>
        <v>0</v>
      </c>
      <c r="I126" s="195">
        <f t="shared" ca="1" si="78"/>
        <v>0</v>
      </c>
      <c r="J126" s="195">
        <f t="shared" ca="1" si="78"/>
        <v>0</v>
      </c>
      <c r="K126" s="195">
        <f t="shared" ca="1" si="78"/>
        <v>0</v>
      </c>
      <c r="L126" s="195">
        <f t="shared" ca="1" si="78"/>
        <v>0</v>
      </c>
      <c r="M126" s="195">
        <f t="shared" ca="1" si="78"/>
        <v>0</v>
      </c>
      <c r="N126" s="195">
        <f t="shared" ca="1" si="78"/>
        <v>0</v>
      </c>
      <c r="O126" s="195">
        <f t="shared" ca="1" si="78"/>
        <v>0</v>
      </c>
      <c r="P126" s="195">
        <f t="shared" ca="1" si="78"/>
        <v>0</v>
      </c>
      <c r="Q126" s="195">
        <f t="shared" ref="Q126" ca="1" si="79">SUM(Q127:Q129)</f>
        <v>0</v>
      </c>
      <c r="T126" s="44"/>
      <c r="U126" s="44"/>
      <c r="X126" s="41"/>
      <c r="Y126" s="41"/>
      <c r="Z126" s="40"/>
    </row>
    <row r="127" spans="1:26" ht="13.7" hidden="1" outlineLevel="1">
      <c r="C127" s="254"/>
      <c r="D127" s="340" t="s">
        <v>1094</v>
      </c>
      <c r="E127" s="341">
        <f>IFERROR(E$6*'Historical BU1'!D79,0)*Currency_conversion_BU1</f>
        <v>0</v>
      </c>
      <c r="F127" s="341">
        <f>IFERROR(F$6*'Historical BU1'!E79,0)*Currency_conversion_BU1</f>
        <v>0</v>
      </c>
      <c r="G127" s="341">
        <f>IFERROR(G$6*'Historical BU1'!F79,0)*Currency_conversion_BU1</f>
        <v>0</v>
      </c>
      <c r="H127" s="341">
        <f>IFERROR(H$6*'Historical BU1'!G79,0)*Currency_conversion_BU1</f>
        <v>0</v>
      </c>
      <c r="I127" s="341">
        <f>IFERROR(I$6*'Historical BU1'!H79,0)*Currency_conversion_BU1</f>
        <v>0</v>
      </c>
      <c r="J127" s="341">
        <f>IFERROR(J$6*'Historical BU1'!I79,0)*Currency_conversion_BU1</f>
        <v>0</v>
      </c>
      <c r="K127" s="341">
        <f>IFERROR(K$6*'Historical BU1'!J79,0)*Currency_conversion_BU1</f>
        <v>0</v>
      </c>
      <c r="L127" s="341">
        <f>IFERROR(L$6*'Historical BU1'!K79,0)*Currency_conversion_BU1</f>
        <v>0</v>
      </c>
      <c r="M127" s="341">
        <f>IFERROR(M$6*'Historical BU1'!L79,0)*Currency_conversion_BU1</f>
        <v>0</v>
      </c>
      <c r="N127" s="341">
        <f>IFERROR(N$6*'Historical BU1'!M79,0)*Currency_conversion_BU1</f>
        <v>0</v>
      </c>
      <c r="O127" s="341">
        <f>IFERROR(O$6*'Historical BU1'!N79,0)*Currency_conversion_BU1</f>
        <v>0</v>
      </c>
      <c r="P127" s="341">
        <f>IFERROR(P$6*'Historical BU1'!O79,0)*Currency_conversion_BU1</f>
        <v>0</v>
      </c>
      <c r="Q127" s="341">
        <f>IFERROR(Q$6*'Historical BU1'!P79,0)*Currency_conversion_BU1</f>
        <v>0</v>
      </c>
      <c r="R127" s="47"/>
      <c r="U127" s="45"/>
      <c r="V127" s="45"/>
      <c r="W127" s="40"/>
    </row>
    <row r="128" spans="1:26" ht="13.7" hidden="1" outlineLevel="1">
      <c r="C128" s="254"/>
      <c r="D128" s="340" t="s">
        <v>1095</v>
      </c>
      <c r="E128" s="341">
        <f>+IFERROR(E$7*'Acquisition BS adjustments'!$C88,0)+IFERROR(E$8*'Acquisition BS adjustments'!$E88,0)</f>
        <v>0</v>
      </c>
      <c r="F128" s="341">
        <f>+IFERROR(F$7*'Acquisition BS adjustments'!$C88,0)+IFERROR(F$8*'Acquisition BS adjustments'!$E88,0)</f>
        <v>0</v>
      </c>
      <c r="G128" s="341">
        <f>+IFERROR(G$7*'Acquisition BS adjustments'!$C88,0)+IFERROR(G$8*'Acquisition BS adjustments'!$E88,0)</f>
        <v>0</v>
      </c>
      <c r="H128" s="341">
        <f>+IFERROR(H$7*'Acquisition BS adjustments'!$C88,0)+IFERROR(H$8*'Acquisition BS adjustments'!$E88,0)</f>
        <v>0</v>
      </c>
      <c r="I128" s="341">
        <f>+IFERROR(I$7*'Acquisition BS adjustments'!$C88,0)+IFERROR(I$8*'Acquisition BS adjustments'!$E88,0)</f>
        <v>0</v>
      </c>
      <c r="J128" s="341">
        <f>+IFERROR(J$7*'Acquisition BS adjustments'!$C88,0)+IFERROR(J$8*'Acquisition BS adjustments'!$E88,0)</f>
        <v>0</v>
      </c>
      <c r="K128" s="341">
        <f>+IFERROR(K$7*'Acquisition BS adjustments'!$C88,0)+IFERROR(K$8*'Acquisition BS adjustments'!$E88,0)</f>
        <v>0</v>
      </c>
      <c r="L128" s="341">
        <f>+IFERROR(L$7*'Acquisition BS adjustments'!$C88,0)+IFERROR(L$8*'Acquisition BS adjustments'!$E88,0)</f>
        <v>0</v>
      </c>
      <c r="M128" s="341">
        <f>+IFERROR(M$7*'Acquisition BS adjustments'!$C88,0)+IFERROR(M$8*'Acquisition BS adjustments'!$E88,0)</f>
        <v>0</v>
      </c>
      <c r="N128" s="341">
        <f>+IFERROR(N$7*'Acquisition BS adjustments'!$C88,0)+IFERROR(N$8*'Acquisition BS adjustments'!$E88,0)</f>
        <v>0</v>
      </c>
      <c r="O128" s="341">
        <f>+IFERROR(O$7*'Acquisition BS adjustments'!$C88,0)+IFERROR(O$8*'Acquisition BS adjustments'!$E88,0)</f>
        <v>0</v>
      </c>
      <c r="P128" s="341">
        <f>+IFERROR(P$7*'Acquisition BS adjustments'!$C88,0)+IFERROR(P$8*'Acquisition BS adjustments'!$E88,0)</f>
        <v>0</v>
      </c>
      <c r="Q128" s="341">
        <f>+IFERROR(Q$7*'Acquisition BS adjustments'!$C88,0)+IFERROR(Q$8*'Acquisition BS adjustments'!$E88,0)</f>
        <v>0</v>
      </c>
      <c r="R128" s="47"/>
      <c r="U128" s="45"/>
      <c r="V128" s="45"/>
      <c r="W128" s="40"/>
    </row>
    <row r="129" spans="2:26" ht="13.7" hidden="1" outlineLevel="1">
      <c r="C129" s="254"/>
      <c r="D129" s="339" t="s">
        <v>1102</v>
      </c>
      <c r="E129" s="255">
        <f>+IFERROR(E9*(D126+INDEX('IS offshore'!90:90,MATCH('BS offshore'!E5,'IS offshore'!5:5,0))-INDEX('IS offshore'!94:94,MATCH('BS offshore'!E5,'IS offshore'!5:5,0))),0)</f>
        <v>0</v>
      </c>
      <c r="F129" s="255">
        <f ca="1">+IFERROR(F9*(E126+INDEX('IS offshore'!90:90,MATCH('BS offshore'!F5,'IS offshore'!5:5,0))-INDEX('IS offshore'!94:94,MATCH('BS offshore'!F5,'IS offshore'!5:5,0))),0)</f>
        <v>0</v>
      </c>
      <c r="G129" s="255">
        <f ca="1">+IFERROR(G9*(F126+INDEX('IS offshore'!90:90,MATCH('BS offshore'!G5,'IS offshore'!5:5,0))-INDEX('IS offshore'!94:94,MATCH('BS offshore'!G5,'IS offshore'!5:5,0))),0)</f>
        <v>0</v>
      </c>
      <c r="H129" s="255">
        <f ca="1">+IFERROR(H9*(G126+INDEX('IS offshore'!90:90,MATCH('BS offshore'!H5,'IS offshore'!5:5,0))-INDEX('IS offshore'!94:94,MATCH('BS offshore'!H5,'IS offshore'!5:5,0))),0)</f>
        <v>0</v>
      </c>
      <c r="I129" s="255">
        <f ca="1">+IFERROR(I9*(H126+INDEX('IS offshore'!90:90,MATCH('BS offshore'!I5,'IS offshore'!5:5,0))-INDEX('IS offshore'!94:94,MATCH('BS offshore'!I5,'IS offshore'!5:5,0))),0)</f>
        <v>0</v>
      </c>
      <c r="J129" s="255">
        <f ca="1">+IFERROR(J9*(I126+INDEX('IS offshore'!90:90,MATCH('BS offshore'!J5,'IS offshore'!5:5,0))-INDEX('IS offshore'!94:94,MATCH('BS offshore'!J5,'IS offshore'!5:5,0))),0)</f>
        <v>0</v>
      </c>
      <c r="K129" s="255">
        <f ca="1">+IFERROR(K9*(J126+INDEX('IS offshore'!90:90,MATCH('BS offshore'!K5,'IS offshore'!5:5,0))-INDEX('IS offshore'!94:94,MATCH('BS offshore'!K5,'IS offshore'!5:5,0))),0)</f>
        <v>0</v>
      </c>
      <c r="L129" s="255">
        <f ca="1">+IFERROR(L9*(K126+INDEX('IS offshore'!90:90,MATCH('BS offshore'!L5,'IS offshore'!5:5,0))-INDEX('IS offshore'!94:94,MATCH('BS offshore'!L5,'IS offshore'!5:5,0))),0)</f>
        <v>0</v>
      </c>
      <c r="M129" s="255">
        <f ca="1">+IFERROR(M9*(L126+INDEX('IS offshore'!90:90,MATCH('BS offshore'!M5,'IS offshore'!5:5,0))-INDEX('IS offshore'!94:94,MATCH('BS offshore'!M5,'IS offshore'!5:5,0))),0)</f>
        <v>0</v>
      </c>
      <c r="N129" s="255">
        <f ca="1">+IFERROR(N9*(M126+INDEX('IS offshore'!90:90,MATCH('BS offshore'!N5,'IS offshore'!5:5,0))-INDEX('IS offshore'!94:94,MATCH('BS offshore'!N5,'IS offshore'!5:5,0))),0)</f>
        <v>0</v>
      </c>
      <c r="O129" s="255">
        <f ca="1">+IFERROR(O9*(N126+INDEX('IS offshore'!90:90,MATCH('BS offshore'!O5,'IS offshore'!5:5,0))-INDEX('IS offshore'!94:94,MATCH('BS offshore'!O5,'IS offshore'!5:5,0))),0)</f>
        <v>0</v>
      </c>
      <c r="P129" s="255">
        <f ca="1">+IFERROR(P9*(O126+INDEX('IS offshore'!90:90,MATCH('BS offshore'!P5,'IS offshore'!5:5,0))-INDEX('IS offshore'!94:94,MATCH('BS offshore'!P5,'IS offshore'!5:5,0))),0)</f>
        <v>0</v>
      </c>
      <c r="Q129" s="255">
        <f ca="1">+IFERROR(Q9*(P126+INDEX('IS offshore'!90:90,MATCH('BS offshore'!Q5,'IS offshore'!5:5,0))-INDEX('IS offshore'!94:94,MATCH('BS offshore'!Q5,'IS offshore'!5:5,0))),0)</f>
        <v>0</v>
      </c>
      <c r="R129" s="47"/>
      <c r="U129" s="45"/>
      <c r="V129" s="45"/>
      <c r="W129" s="40"/>
    </row>
    <row r="130" spans="2:26" ht="13.7" collapsed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T130" s="44"/>
      <c r="U130" s="44"/>
      <c r="X130" s="41"/>
      <c r="Y130" s="41"/>
      <c r="Z130" s="40"/>
    </row>
    <row r="131" spans="2:26" ht="13.7">
      <c r="C131" s="28"/>
      <c r="D131" s="28"/>
      <c r="E131" s="28"/>
      <c r="F131" s="28"/>
      <c r="G131" s="28"/>
      <c r="H131" s="28"/>
      <c r="I131" s="28"/>
      <c r="J131" s="28"/>
      <c r="K131" s="28"/>
      <c r="L131" s="374"/>
      <c r="M131" s="28"/>
      <c r="N131" s="28"/>
      <c r="O131" s="28"/>
      <c r="P131" s="28"/>
      <c r="Q131" s="28"/>
      <c r="T131" s="44"/>
      <c r="U131" s="44"/>
      <c r="X131" s="41"/>
      <c r="Y131" s="41"/>
      <c r="Z131" s="40"/>
    </row>
    <row r="132" spans="2:26">
      <c r="T132" s="50"/>
      <c r="U132" s="50"/>
      <c r="X132" s="40"/>
      <c r="Y132" s="40"/>
    </row>
    <row r="133" spans="2:26" ht="13.7">
      <c r="C133" s="203" t="s">
        <v>19</v>
      </c>
      <c r="D133" s="203"/>
      <c r="E133" s="204" t="str">
        <f t="shared" ref="E133:P133" si="80">IF(ROUND((E126+E124-E71)/Input_unit,1)=0,"-",E126+E124-E71)</f>
        <v>-</v>
      </c>
      <c r="F133" s="204" t="str">
        <f t="shared" ca="1" si="80"/>
        <v>-</v>
      </c>
      <c r="G133" s="204" t="str">
        <f t="shared" ca="1" si="80"/>
        <v>-</v>
      </c>
      <c r="H133" s="204" t="str">
        <f t="shared" ca="1" si="80"/>
        <v>-</v>
      </c>
      <c r="I133" s="204" t="str">
        <f t="shared" ca="1" si="80"/>
        <v>-</v>
      </c>
      <c r="J133" s="204" t="str">
        <f t="shared" ca="1" si="80"/>
        <v>-</v>
      </c>
      <c r="K133" s="204" t="str">
        <f t="shared" ca="1" si="80"/>
        <v>-</v>
      </c>
      <c r="L133" s="204" t="str">
        <f t="shared" ca="1" si="80"/>
        <v>-</v>
      </c>
      <c r="M133" s="204" t="str">
        <f t="shared" ca="1" si="80"/>
        <v>-</v>
      </c>
      <c r="N133" s="204" t="str">
        <f t="shared" ca="1" si="80"/>
        <v>-</v>
      </c>
      <c r="O133" s="204" t="str">
        <f t="shared" ca="1" si="80"/>
        <v>-</v>
      </c>
      <c r="P133" s="204" t="str">
        <f t="shared" ca="1" si="80"/>
        <v>-</v>
      </c>
      <c r="Q133" s="204" t="str">
        <f t="shared" ref="Q133" ca="1" si="81">IF(ROUND((Q126+Q124-Q71)/Input_unit,1)=0,"-",Q126+Q124-Q71)</f>
        <v>-</v>
      </c>
      <c r="T133" s="44"/>
      <c r="U133" s="44"/>
      <c r="X133" s="39"/>
      <c r="Y133" s="39"/>
      <c r="Z133" s="40"/>
    </row>
    <row r="134" spans="2:26">
      <c r="J134" s="40"/>
      <c r="L134" s="40"/>
      <c r="M134" s="51"/>
      <c r="N134" s="51"/>
      <c r="O134" s="51"/>
      <c r="P134" s="51"/>
      <c r="Q134" s="51"/>
      <c r="U134" s="44"/>
      <c r="V134" s="44"/>
      <c r="Y134" s="40"/>
      <c r="Z134" s="40"/>
    </row>
    <row r="135" spans="2:26" ht="13.7">
      <c r="B135" s="52"/>
    </row>
    <row r="136" spans="2:26" ht="13.7">
      <c r="B136" s="52"/>
    </row>
    <row r="137" spans="2:26" ht="13.7">
      <c r="B137" s="52"/>
    </row>
    <row r="138" spans="2:26" ht="13.7">
      <c r="B138" s="52"/>
    </row>
    <row r="139" spans="2:26" ht="13.7">
      <c r="B139" s="52"/>
    </row>
    <row r="140" spans="2:26" ht="13.7">
      <c r="B140" s="52"/>
    </row>
    <row r="141" spans="2:26" ht="13.7">
      <c r="B141" s="52"/>
    </row>
    <row r="142" spans="2:26" ht="13.7">
      <c r="B142" s="52"/>
    </row>
    <row r="143" spans="2:26" ht="13.7">
      <c r="B143" s="52"/>
    </row>
  </sheetData>
  <phoneticPr fontId="52" type="noConversion"/>
  <conditionalFormatting sqref="E6:AC9">
    <cfRule type="cellIs" dxfId="78" priority="5" operator="equal">
      <formula>TRUE</formula>
    </cfRule>
  </conditionalFormatting>
  <conditionalFormatting sqref="E24:Q28 E99:Q101 E103:Q104 E112:Q114">
    <cfRule type="cellIs" dxfId="77" priority="4" operator="lessThan">
      <formula>0</formula>
    </cfRule>
  </conditionalFormatting>
  <conditionalFormatting sqref="E76:Q76">
    <cfRule type="cellIs" dxfId="76" priority="1" operator="lessThan">
      <formula>0</formula>
    </cfRule>
  </conditionalFormatting>
  <pageMargins left="0.7" right="0.7" top="0.75" bottom="0.75" header="0.3" footer="0.3"/>
  <pageSetup paperSize="9" scale="41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881" r:id="rId4" name="Drop Down 1">
              <controlPr defaultSize="0" autoLine="0" autoPict="0">
                <anchor moveWithCells="1">
                  <from>
                    <xdr:col>4</xdr:col>
                    <xdr:colOff>100584</xdr:colOff>
                    <xdr:row>14</xdr:row>
                    <xdr:rowOff>18288</xdr:rowOff>
                  </from>
                  <to>
                    <xdr:col>5</xdr:col>
                    <xdr:colOff>420624</xdr:colOff>
                    <xdr:row>15</xdr:row>
                    <xdr:rowOff>36576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AD53"/>
  <sheetViews>
    <sheetView topLeftCell="A17" zoomScale="90" zoomScaleNormal="90" workbookViewId="0">
      <selection activeCell="E19" sqref="E19"/>
    </sheetView>
  </sheetViews>
  <sheetFormatPr defaultColWidth="9.140625" defaultRowHeight="13.7" outlineLevelRow="1" outlineLevelCol="1"/>
  <cols>
    <col min="1" max="2" width="3" style="52" customWidth="1"/>
    <col min="3" max="3" width="3.7109375" style="52" customWidth="1"/>
    <col min="4" max="4" width="22.28515625" style="52" customWidth="1"/>
    <col min="5" max="5" width="16.85546875" style="52" customWidth="1"/>
    <col min="6" max="17" width="14.85546875" style="52" customWidth="1"/>
    <col min="18" max="29" width="14.85546875" style="52" hidden="1" customWidth="1" outlineLevel="1"/>
    <col min="30" max="30" width="9.140625" style="28" collapsed="1"/>
    <col min="31" max="16384" width="9.140625" style="28"/>
  </cols>
  <sheetData>
    <row r="1" spans="1:29" ht="14.6" customHeight="1" outlineLevel="1">
      <c r="A1" s="18"/>
      <c r="B1" s="18"/>
      <c r="C1" s="24" t="s">
        <v>870</v>
      </c>
      <c r="D1" s="24">
        <f>'Control Panel'!B12</f>
        <v>2019</v>
      </c>
      <c r="E1" s="18" t="s">
        <v>689</v>
      </c>
      <c r="F1" s="5">
        <f>'Control Panel'!B11</f>
        <v>43466</v>
      </c>
      <c r="G1" s="18"/>
      <c r="H1" s="18" t="s">
        <v>691</v>
      </c>
      <c r="I1" s="5">
        <f>'Control Panel'!B9</f>
        <v>43465</v>
      </c>
      <c r="J1" s="18"/>
      <c r="K1" s="18" t="s">
        <v>705</v>
      </c>
      <c r="L1" s="18">
        <f>'Control Panel'!B13-'Control Panel'!B12+1</f>
        <v>6</v>
      </c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 ht="14.6" customHeight="1" outlineLevel="1">
      <c r="A2" s="18"/>
      <c r="B2" s="18"/>
      <c r="C2" s="24" t="s">
        <v>871</v>
      </c>
      <c r="D2" s="24">
        <f>'Financial summary'!E5</f>
        <v>1</v>
      </c>
      <c r="E2" s="18"/>
      <c r="F2" s="18"/>
      <c r="G2" s="18"/>
      <c r="H2" s="18" t="s">
        <v>693</v>
      </c>
      <c r="I2" s="27">
        <f>'Control Panel'!B5</f>
        <v>5</v>
      </c>
      <c r="J2" s="18"/>
      <c r="K2" s="18" t="s">
        <v>1555</v>
      </c>
      <c r="L2" s="18">
        <f>stub_quarter+1</f>
        <v>5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spans="1:29" ht="14.6" customHeight="1" outlineLevel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4.6" customHeight="1" outlineLevel="1">
      <c r="A4" s="1"/>
      <c r="B4" s="1"/>
      <c r="C4" s="1" t="s">
        <v>692</v>
      </c>
      <c r="D4" s="1"/>
      <c r="E4" s="1">
        <v>1</v>
      </c>
      <c r="F4" s="1">
        <f>E4+1</f>
        <v>2</v>
      </c>
      <c r="G4" s="1">
        <f t="shared" ref="G4:AC4" si="0">F4+1</f>
        <v>3</v>
      </c>
      <c r="H4" s="1">
        <f t="shared" si="0"/>
        <v>4</v>
      </c>
      <c r="I4" s="1">
        <f t="shared" si="0"/>
        <v>5</v>
      </c>
      <c r="J4" s="1">
        <f t="shared" si="0"/>
        <v>6</v>
      </c>
      <c r="K4" s="1">
        <f t="shared" si="0"/>
        <v>7</v>
      </c>
      <c r="L4" s="1">
        <f t="shared" si="0"/>
        <v>8</v>
      </c>
      <c r="M4" s="1">
        <f t="shared" si="0"/>
        <v>9</v>
      </c>
      <c r="N4" s="1">
        <f t="shared" si="0"/>
        <v>10</v>
      </c>
      <c r="O4" s="1">
        <f t="shared" si="0"/>
        <v>11</v>
      </c>
      <c r="P4" s="1">
        <f t="shared" si="0"/>
        <v>12</v>
      </c>
      <c r="Q4" s="1">
        <f t="shared" si="0"/>
        <v>13</v>
      </c>
      <c r="R4" s="1">
        <f t="shared" si="0"/>
        <v>14</v>
      </c>
      <c r="S4" s="1">
        <f t="shared" si="0"/>
        <v>15</v>
      </c>
      <c r="T4" s="1">
        <f t="shared" si="0"/>
        <v>16</v>
      </c>
      <c r="U4" s="1">
        <f t="shared" si="0"/>
        <v>17</v>
      </c>
      <c r="V4" s="1">
        <f t="shared" si="0"/>
        <v>18</v>
      </c>
      <c r="W4" s="1">
        <f t="shared" si="0"/>
        <v>19</v>
      </c>
      <c r="X4" s="1">
        <f t="shared" si="0"/>
        <v>20</v>
      </c>
      <c r="Y4" s="1">
        <f t="shared" si="0"/>
        <v>21</v>
      </c>
      <c r="Z4" s="1">
        <f t="shared" si="0"/>
        <v>22</v>
      </c>
      <c r="AA4" s="1">
        <f t="shared" si="0"/>
        <v>23</v>
      </c>
      <c r="AB4" s="1">
        <f t="shared" si="0"/>
        <v>24</v>
      </c>
      <c r="AC4" s="1">
        <f t="shared" si="0"/>
        <v>25</v>
      </c>
    </row>
    <row r="5" spans="1:29" ht="14.6" customHeight="1" outlineLevel="1">
      <c r="A5" s="1"/>
      <c r="B5" s="1"/>
      <c r="C5" s="1" t="s">
        <v>719</v>
      </c>
      <c r="D5" s="1"/>
      <c r="E5" s="29">
        <f>DATE('Control Panel'!B4,'Control Panel'!B6,'Control Panel'!B7)</f>
        <v>42004</v>
      </c>
      <c r="F5" s="29">
        <f>F6*EOMONTH(E5,12)+F7*$I$1+F8*$F$1+IF(F9*E8,DATE($D$1,'Control Panel'!$B$6,'Control Panel'!$B$7),F9*EOMONTH(E5,12))</f>
        <v>42369</v>
      </c>
      <c r="G5" s="29">
        <f>G6*EOMONTH(F5,12)+G7*$I$1+G8*$F$1+IF(G9*F8,DATE($D$1,'Control Panel'!$B$6,'Control Panel'!$B$7),G9*EOMONTH(F5,12))</f>
        <v>42735</v>
      </c>
      <c r="H5" s="29">
        <f>H6*EOMONTH(G5,12)+H7*$I$1+H8*$F$1+IF(H9*G8,DATE($D$1,'Control Panel'!$B$6,'Control Panel'!$B$7),H9*EOMONTH(G5,12))</f>
        <v>43100</v>
      </c>
      <c r="I5" s="29">
        <f>I6*EOMONTH(H5,12)+I7*$I$1+I8*$F$1+IF(I9*H8,DATE($D$1,'Control Panel'!$B$6,'Control Panel'!$B$7),I9*EOMONTH(H5,12))</f>
        <v>43465</v>
      </c>
      <c r="J5" s="29">
        <f>J6*EOMONTH(I5,12)+J7*$I$1+J8*$F$1+IF(J9*I8,DATE($D$1,'Control Panel'!$B$6,'Control Panel'!$B$7),J9*EOMONTH(I5,12))</f>
        <v>43466</v>
      </c>
      <c r="K5" s="29">
        <f>K6*EOMONTH(J5,12)+K7*$I$1+K8*$F$1+IF(K9*J8,DATE($D$1,'Control Panel'!$B$6,'Control Panel'!$B$7),K9*EOMONTH(J5,12))</f>
        <v>43830</v>
      </c>
      <c r="L5" s="29">
        <f>L6*EOMONTH(K5,12)+L7*$I$1+L8*$F$1+IF(L9*K8,DATE($D$1,'Control Panel'!$B$6,'Control Panel'!$B$7),L9*EOMONTH(K5,12))</f>
        <v>44196</v>
      </c>
      <c r="M5" s="29">
        <f>M6*EOMONTH(L5,12)+M7*$I$1+M8*$F$1+IF(M9*L8,DATE($D$1,'Control Panel'!$B$6,'Control Panel'!$B$7),M9*EOMONTH(L5,12))</f>
        <v>44561</v>
      </c>
      <c r="N5" s="29">
        <f>N6*EOMONTH(M5,12)+N7*$I$1+N8*$F$1+IF(N9*M8,DATE($D$1,'Control Panel'!$B$6,'Control Panel'!$B$7),N9*EOMONTH(M5,12))</f>
        <v>44926</v>
      </c>
      <c r="O5" s="29">
        <f>O6*EOMONTH(N5,12)+O7*$I$1+O8*$F$1+IF(O9*N8,DATE($D$1,'Control Panel'!$B$6,'Control Panel'!$B$7),O9*EOMONTH(N5,12))</f>
        <v>45291</v>
      </c>
      <c r="P5" s="29">
        <f>P6*EOMONTH(O5,12)+P7*$I$1+P8*$F$1+IF(P9*O8,DATE($D$1,'Control Panel'!$B$6,'Control Panel'!$B$7),P9*EOMONTH(O5,12))</f>
        <v>45657</v>
      </c>
      <c r="Q5" s="29">
        <f>Q6*EOMONTH(P5,12)+Q7*$I$1+Q8*$F$1+IF(Q9*P8,DATE($D$1,'Control Panel'!$B$6,'Control Panel'!$B$7),Q9*EOMONTH(P5,12))</f>
        <v>0</v>
      </c>
      <c r="R5" s="29">
        <f>R6*EOMONTH(Q5,12)+R7*$I$1+R8*$F$1+IF(R9*Q8,DATE($D$1,'Control Panel'!$B$6,'Control Panel'!$B$7),R9*EOMONTH(Q5,12))</f>
        <v>0</v>
      </c>
      <c r="S5" s="29">
        <f>S6*EOMONTH(R5,12)+S7*$I$1+S8*$F$1+IF(S9*R8,DATE($D$1,'Control Panel'!$B$6,'Control Panel'!$B$7),S9*EOMONTH(R5,12))</f>
        <v>0</v>
      </c>
      <c r="T5" s="29">
        <f>T6*EOMONTH(S5,12)+T7*$I$1+T8*$F$1+IF(T9*S8,DATE($D$1,'Control Panel'!$B$6,'Control Panel'!$B$7),T9*EOMONTH(S5,12))</f>
        <v>0</v>
      </c>
      <c r="U5" s="29">
        <f>U6*EOMONTH(T5,12)+U7*$I$1+U8*$F$1+IF(U9*T8,DATE($D$1,'Control Panel'!$B$6,'Control Panel'!$B$7),U9*EOMONTH(T5,12))</f>
        <v>0</v>
      </c>
      <c r="V5" s="29">
        <f>V6*EOMONTH(U5,12)+V7*$I$1+V8*$F$1+IF(V9*U8,DATE($D$1,'Control Panel'!$B$6,'Control Panel'!$B$7),V9*EOMONTH(U5,12))</f>
        <v>0</v>
      </c>
      <c r="W5" s="29">
        <f>W6*EOMONTH(V5,12)+W7*$I$1+W8*$F$1+IF(W9*V8,DATE($D$1,'Control Panel'!$B$6,'Control Panel'!$B$7),W9*EOMONTH(V5,12))</f>
        <v>0</v>
      </c>
      <c r="X5" s="29">
        <f>X6*EOMONTH(W5,12)+X7*$I$1+X8*$F$1+IF(X9*W8,DATE($D$1,'Control Panel'!$B$6,'Control Panel'!$B$7),X9*EOMONTH(W5,12))</f>
        <v>0</v>
      </c>
      <c r="Y5" s="29">
        <f>Y6*EOMONTH(X5,12)+Y7*$I$1+Y8*$F$1+IF(Y9*X8,DATE($D$1,'Control Panel'!$B$6,'Control Panel'!$B$7),Y9*EOMONTH(X5,12))</f>
        <v>0</v>
      </c>
      <c r="Z5" s="29">
        <f>Z6*EOMONTH(Y5,12)+Z7*$I$1+Z8*$F$1+IF(Z9*Y8,DATE($D$1,'Control Panel'!$B$6,'Control Panel'!$B$7),Z9*EOMONTH(Y5,12))</f>
        <v>0</v>
      </c>
      <c r="AA5" s="29">
        <f>AA6*EOMONTH(Z5,12)+AA7*$I$1+AA8*$F$1+IF(AA9*Z8,DATE($D$1,'Control Panel'!$B$6,'Control Panel'!$B$7),AA9*EOMONTH(Z5,12))</f>
        <v>0</v>
      </c>
      <c r="AB5" s="29">
        <f>AB6*EOMONTH(AA5,12)+AB7*$I$1+AB8*$F$1+IF(AB9*AA8,DATE($D$1,'Control Panel'!$B$6,'Control Panel'!$B$7),AB9*EOMONTH(AA5,12))</f>
        <v>0</v>
      </c>
      <c r="AC5" s="29">
        <f>AC6*EOMONTH(AB5,12)+AC7*$I$1+AC8*$F$1+IF(AC9*AB8,DATE($D$1,'Control Panel'!$B$6,'Control Panel'!$B$7),AC9*EOMONTH(AB5,12))</f>
        <v>0</v>
      </c>
    </row>
    <row r="6" spans="1:29" ht="14.6" customHeight="1" outlineLevel="1">
      <c r="A6" s="1"/>
      <c r="B6" s="1"/>
      <c r="C6" s="1" t="s">
        <v>686</v>
      </c>
      <c r="D6" s="1"/>
      <c r="E6" s="1" t="b">
        <f t="shared" ref="E6:AC6" si="1">E4&lt;=$I$2</f>
        <v>1</v>
      </c>
      <c r="F6" s="1" t="b">
        <f t="shared" si="1"/>
        <v>1</v>
      </c>
      <c r="G6" s="1" t="b">
        <f t="shared" si="1"/>
        <v>1</v>
      </c>
      <c r="H6" s="1" t="b">
        <f t="shared" si="1"/>
        <v>1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1" t="b">
        <f t="shared" si="1"/>
        <v>0</v>
      </c>
      <c r="S6" s="1" t="b">
        <f t="shared" si="1"/>
        <v>0</v>
      </c>
      <c r="T6" s="1" t="b">
        <f t="shared" si="1"/>
        <v>0</v>
      </c>
      <c r="U6" s="1" t="b">
        <f t="shared" si="1"/>
        <v>0</v>
      </c>
      <c r="V6" s="1" t="b">
        <f t="shared" si="1"/>
        <v>0</v>
      </c>
      <c r="W6" s="1" t="b">
        <f t="shared" si="1"/>
        <v>0</v>
      </c>
      <c r="X6" s="1" t="b">
        <f t="shared" si="1"/>
        <v>0</v>
      </c>
      <c r="Y6" s="1" t="b">
        <f t="shared" si="1"/>
        <v>0</v>
      </c>
      <c r="Z6" s="1" t="b">
        <f t="shared" si="1"/>
        <v>0</v>
      </c>
      <c r="AA6" s="1" t="b">
        <f t="shared" si="1"/>
        <v>0</v>
      </c>
      <c r="AB6" s="1" t="b">
        <f t="shared" si="1"/>
        <v>0</v>
      </c>
      <c r="AC6" s="1" t="b">
        <f t="shared" si="1"/>
        <v>0</v>
      </c>
    </row>
    <row r="7" spans="1:29" ht="14.6" customHeight="1" outlineLevel="1">
      <c r="A7" s="1"/>
      <c r="B7" s="1"/>
      <c r="C7" s="1" t="s">
        <v>687</v>
      </c>
      <c r="D7" s="1"/>
      <c r="E7" s="1" t="b">
        <f t="shared" ref="E7:AC7" si="2">(E4=$I$2+1)*stub_switch=1</f>
        <v>0</v>
      </c>
      <c r="F7" s="1" t="b">
        <f t="shared" si="2"/>
        <v>0</v>
      </c>
      <c r="G7" s="1" t="b">
        <f t="shared" si="2"/>
        <v>0</v>
      </c>
      <c r="H7" s="1" t="b">
        <f t="shared" si="2"/>
        <v>0</v>
      </c>
      <c r="I7" s="1" t="b">
        <f t="shared" si="2"/>
        <v>0</v>
      </c>
      <c r="J7" s="1" t="b">
        <f t="shared" si="2"/>
        <v>0</v>
      </c>
      <c r="K7" s="1" t="b">
        <f t="shared" si="2"/>
        <v>0</v>
      </c>
      <c r="L7" s="1" t="b">
        <f t="shared" si="2"/>
        <v>0</v>
      </c>
      <c r="M7" s="1" t="b">
        <f t="shared" si="2"/>
        <v>0</v>
      </c>
      <c r="N7" s="1" t="b">
        <f t="shared" si="2"/>
        <v>0</v>
      </c>
      <c r="O7" s="1" t="b">
        <f t="shared" si="2"/>
        <v>0</v>
      </c>
      <c r="P7" s="1" t="b">
        <f t="shared" si="2"/>
        <v>0</v>
      </c>
      <c r="Q7" s="1" t="b">
        <f t="shared" si="2"/>
        <v>0</v>
      </c>
      <c r="R7" s="1" t="b">
        <f t="shared" si="2"/>
        <v>0</v>
      </c>
      <c r="S7" s="1" t="b">
        <f t="shared" si="2"/>
        <v>0</v>
      </c>
      <c r="T7" s="1" t="b">
        <f t="shared" si="2"/>
        <v>0</v>
      </c>
      <c r="U7" s="1" t="b">
        <f t="shared" si="2"/>
        <v>0</v>
      </c>
      <c r="V7" s="1" t="b">
        <f t="shared" si="2"/>
        <v>0</v>
      </c>
      <c r="W7" s="1" t="b">
        <f t="shared" si="2"/>
        <v>0</v>
      </c>
      <c r="X7" s="1" t="b">
        <f t="shared" si="2"/>
        <v>0</v>
      </c>
      <c r="Y7" s="1" t="b">
        <f t="shared" si="2"/>
        <v>0</v>
      </c>
      <c r="Z7" s="1" t="b">
        <f t="shared" si="2"/>
        <v>0</v>
      </c>
      <c r="AA7" s="1" t="b">
        <f t="shared" si="2"/>
        <v>0</v>
      </c>
      <c r="AB7" s="1" t="b">
        <f t="shared" si="2"/>
        <v>0</v>
      </c>
      <c r="AC7" s="1" t="b">
        <f t="shared" si="2"/>
        <v>0</v>
      </c>
    </row>
    <row r="8" spans="1:29" ht="14.6" customHeight="1" outlineLevel="1">
      <c r="A8" s="1"/>
      <c r="B8" s="1"/>
      <c r="C8" s="1" t="s">
        <v>688</v>
      </c>
      <c r="D8" s="1"/>
      <c r="E8" s="1" t="b">
        <f t="shared" ref="E8:AC8" si="3">E4=$I$2+1+1*stub_switch</f>
        <v>0</v>
      </c>
      <c r="F8" s="1" t="b">
        <f t="shared" si="3"/>
        <v>0</v>
      </c>
      <c r="G8" s="1" t="b">
        <f t="shared" si="3"/>
        <v>0</v>
      </c>
      <c r="H8" s="1" t="b">
        <f t="shared" si="3"/>
        <v>0</v>
      </c>
      <c r="I8" s="1" t="b">
        <f t="shared" si="3"/>
        <v>0</v>
      </c>
      <c r="J8" s="1" t="b">
        <f t="shared" si="3"/>
        <v>1</v>
      </c>
      <c r="K8" s="1" t="b">
        <f t="shared" si="3"/>
        <v>0</v>
      </c>
      <c r="L8" s="1" t="b">
        <f t="shared" si="3"/>
        <v>0</v>
      </c>
      <c r="M8" s="1" t="b">
        <f t="shared" si="3"/>
        <v>0</v>
      </c>
      <c r="N8" s="1" t="b">
        <f t="shared" si="3"/>
        <v>0</v>
      </c>
      <c r="O8" s="1" t="b">
        <f t="shared" si="3"/>
        <v>0</v>
      </c>
      <c r="P8" s="1" t="b">
        <f t="shared" si="3"/>
        <v>0</v>
      </c>
      <c r="Q8" s="1" t="b">
        <f t="shared" si="3"/>
        <v>0</v>
      </c>
      <c r="R8" s="1" t="b">
        <f t="shared" si="3"/>
        <v>0</v>
      </c>
      <c r="S8" s="1" t="b">
        <f t="shared" si="3"/>
        <v>0</v>
      </c>
      <c r="T8" s="1" t="b">
        <f t="shared" si="3"/>
        <v>0</v>
      </c>
      <c r="U8" s="1" t="b">
        <f t="shared" si="3"/>
        <v>0</v>
      </c>
      <c r="V8" s="1" t="b">
        <f t="shared" si="3"/>
        <v>0</v>
      </c>
      <c r="W8" s="1" t="b">
        <f t="shared" si="3"/>
        <v>0</v>
      </c>
      <c r="X8" s="1" t="b">
        <f t="shared" si="3"/>
        <v>0</v>
      </c>
      <c r="Y8" s="1" t="b">
        <f t="shared" si="3"/>
        <v>0</v>
      </c>
      <c r="Z8" s="1" t="b">
        <f t="shared" si="3"/>
        <v>0</v>
      </c>
      <c r="AA8" s="1" t="b">
        <f t="shared" si="3"/>
        <v>0</v>
      </c>
      <c r="AB8" s="1" t="b">
        <f t="shared" si="3"/>
        <v>0</v>
      </c>
      <c r="AC8" s="1" t="b">
        <f t="shared" si="3"/>
        <v>0</v>
      </c>
    </row>
    <row r="9" spans="1:29" ht="14.6" customHeight="1" outlineLevel="1">
      <c r="A9" s="1"/>
      <c r="B9" s="1"/>
      <c r="C9" s="1" t="s">
        <v>694</v>
      </c>
      <c r="D9" s="1"/>
      <c r="E9" s="1" t="b">
        <f t="shared" ref="E9:AC9" si="4">AND(E4&gt;$I$2+1+1*stub_switch,E4&lt;=$L$1+$I$2+1+1*stub_switch)</f>
        <v>0</v>
      </c>
      <c r="F9" s="1" t="b">
        <f t="shared" si="4"/>
        <v>0</v>
      </c>
      <c r="G9" s="1" t="b">
        <f t="shared" si="4"/>
        <v>0</v>
      </c>
      <c r="H9" s="1" t="b">
        <f t="shared" si="4"/>
        <v>0</v>
      </c>
      <c r="I9" s="1" t="b">
        <f t="shared" si="4"/>
        <v>0</v>
      </c>
      <c r="J9" s="1" t="b">
        <f t="shared" si="4"/>
        <v>0</v>
      </c>
      <c r="K9" s="1" t="b">
        <f t="shared" si="4"/>
        <v>1</v>
      </c>
      <c r="L9" s="1" t="b">
        <f t="shared" si="4"/>
        <v>1</v>
      </c>
      <c r="M9" s="1" t="b">
        <f t="shared" si="4"/>
        <v>1</v>
      </c>
      <c r="N9" s="1" t="b">
        <f t="shared" si="4"/>
        <v>1</v>
      </c>
      <c r="O9" s="1" t="b">
        <f t="shared" si="4"/>
        <v>1</v>
      </c>
      <c r="P9" s="1" t="b">
        <f t="shared" si="4"/>
        <v>1</v>
      </c>
      <c r="Q9" s="1" t="b">
        <f t="shared" si="4"/>
        <v>0</v>
      </c>
      <c r="R9" s="1" t="b">
        <f t="shared" si="4"/>
        <v>0</v>
      </c>
      <c r="S9" s="1" t="b">
        <f t="shared" si="4"/>
        <v>0</v>
      </c>
      <c r="T9" s="1" t="b">
        <f t="shared" si="4"/>
        <v>0</v>
      </c>
      <c r="U9" s="1" t="b">
        <f t="shared" si="4"/>
        <v>0</v>
      </c>
      <c r="V9" s="1" t="b">
        <f t="shared" si="4"/>
        <v>0</v>
      </c>
      <c r="W9" s="1" t="b">
        <f t="shared" si="4"/>
        <v>0</v>
      </c>
      <c r="X9" s="1" t="b">
        <f t="shared" si="4"/>
        <v>0</v>
      </c>
      <c r="Y9" s="1" t="b">
        <f t="shared" si="4"/>
        <v>0</v>
      </c>
      <c r="Z9" s="1" t="b">
        <f t="shared" si="4"/>
        <v>0</v>
      </c>
      <c r="AA9" s="1" t="b">
        <f t="shared" si="4"/>
        <v>0</v>
      </c>
      <c r="AB9" s="1" t="b">
        <f t="shared" si="4"/>
        <v>0</v>
      </c>
      <c r="AC9" s="1" t="b">
        <f t="shared" si="4"/>
        <v>0</v>
      </c>
    </row>
    <row r="10" spans="1:29" ht="14.6" customHeight="1" outlineLevel="1">
      <c r="A10" s="1"/>
      <c r="B10" s="1"/>
      <c r="C10" s="1"/>
      <c r="D10" s="1"/>
      <c r="E10" s="110">
        <f>YEAR(E5)</f>
        <v>2014</v>
      </c>
      <c r="F10" s="110">
        <f t="shared" ref="F10:AC10" si="5">YEAR(F5)</f>
        <v>2015</v>
      </c>
      <c r="G10" s="110">
        <f t="shared" si="5"/>
        <v>2016</v>
      </c>
      <c r="H10" s="110">
        <f t="shared" si="5"/>
        <v>2017</v>
      </c>
      <c r="I10" s="110">
        <f t="shared" si="5"/>
        <v>2018</v>
      </c>
      <c r="J10" s="110">
        <f t="shared" si="5"/>
        <v>2019</v>
      </c>
      <c r="K10" s="110">
        <f t="shared" si="5"/>
        <v>2019</v>
      </c>
      <c r="L10" s="110">
        <f t="shared" si="5"/>
        <v>2020</v>
      </c>
      <c r="M10" s="110">
        <f t="shared" si="5"/>
        <v>2021</v>
      </c>
      <c r="N10" s="110">
        <f t="shared" si="5"/>
        <v>2022</v>
      </c>
      <c r="O10" s="110">
        <f t="shared" si="5"/>
        <v>2023</v>
      </c>
      <c r="P10" s="110">
        <f t="shared" si="5"/>
        <v>2024</v>
      </c>
      <c r="Q10" s="110">
        <f t="shared" si="5"/>
        <v>1900</v>
      </c>
      <c r="R10" s="110">
        <f t="shared" si="5"/>
        <v>1900</v>
      </c>
      <c r="S10" s="110">
        <f t="shared" si="5"/>
        <v>1900</v>
      </c>
      <c r="T10" s="110">
        <f t="shared" si="5"/>
        <v>1900</v>
      </c>
      <c r="U10" s="110">
        <f t="shared" si="5"/>
        <v>1900</v>
      </c>
      <c r="V10" s="110">
        <f t="shared" si="5"/>
        <v>1900</v>
      </c>
      <c r="W10" s="110">
        <f t="shared" si="5"/>
        <v>1900</v>
      </c>
      <c r="X10" s="110">
        <f t="shared" si="5"/>
        <v>1900</v>
      </c>
      <c r="Y10" s="110">
        <f t="shared" si="5"/>
        <v>1900</v>
      </c>
      <c r="Z10" s="110">
        <f t="shared" si="5"/>
        <v>1900</v>
      </c>
      <c r="AA10" s="110">
        <f t="shared" si="5"/>
        <v>1900</v>
      </c>
      <c r="AB10" s="110">
        <f t="shared" si="5"/>
        <v>1900</v>
      </c>
      <c r="AC10" s="110">
        <f t="shared" si="5"/>
        <v>1900</v>
      </c>
    </row>
    <row r="11" spans="1:29" ht="14.6" customHeight="1" outlineLevel="1">
      <c r="A11" s="1"/>
      <c r="B11" s="1"/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1"/>
      <c r="Y11" s="1"/>
      <c r="Z11" s="1"/>
      <c r="AA11" s="1"/>
      <c r="AB11" s="1"/>
      <c r="AC11" s="1"/>
    </row>
    <row r="12" spans="1:29" ht="14.6" customHeight="1" outlineLevel="1">
      <c r="A12" s="1"/>
      <c r="B12" s="1"/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1"/>
      <c r="Y12" s="1"/>
      <c r="Z12" s="1"/>
      <c r="AA12" s="1"/>
      <c r="AB12" s="1"/>
      <c r="AC12" s="1"/>
    </row>
    <row r="13" spans="1:29" ht="14.6" customHeight="1" outlineLevel="1">
      <c r="A13" s="1"/>
      <c r="B13" s="1"/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1"/>
      <c r="Y13" s="1"/>
      <c r="Z13" s="1"/>
      <c r="AA13" s="1"/>
      <c r="AB13" s="1"/>
      <c r="AC13" s="1"/>
    </row>
    <row r="14" spans="1:29" ht="14.6" customHeight="1" outlineLevel="1">
      <c r="A14" s="1"/>
      <c r="B14" s="1"/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1"/>
      <c r="Y14" s="1"/>
      <c r="Z14" s="1"/>
      <c r="AA14" s="1"/>
      <c r="AB14" s="1"/>
      <c r="AC14" s="1"/>
    </row>
    <row r="15" spans="1:29" ht="16.600000000000001">
      <c r="A15" s="32"/>
      <c r="B15" s="32"/>
      <c r="C15" s="196" t="str">
        <f>CONCATENATE("Project ",project_name," - Cash Flow Statement")</f>
        <v>Project  - Cash Flow Statement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>
      <c r="A16" s="32"/>
      <c r="B16" s="32"/>
      <c r="C16" s="194" t="str">
        <f>CONCATENATE("In ",model_curr," thousand unless otherwise stated")</f>
        <v>In USD thousand unless otherwise stated</v>
      </c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>
      <c r="A17" s="32"/>
      <c r="B17" s="32"/>
      <c r="C17" s="209"/>
      <c r="D17" s="209"/>
      <c r="E17" s="178" t="str">
        <f>CONCATENATE(YEAR(E5),LEFT(E19,1))</f>
        <v>2014A</v>
      </c>
      <c r="F17" s="178" t="str">
        <f t="shared" ref="F17:AC17" si="6">CONCATENATE(YEAR(F5),LEFT(F19,1))</f>
        <v>2015A</v>
      </c>
      <c r="G17" s="178" t="str">
        <f t="shared" si="6"/>
        <v>2016A</v>
      </c>
      <c r="H17" s="178" t="str">
        <f t="shared" si="6"/>
        <v>2017A</v>
      </c>
      <c r="I17" s="178" t="str">
        <f t="shared" si="6"/>
        <v>2018A</v>
      </c>
      <c r="J17" s="178" t="str">
        <f t="shared" si="6"/>
        <v>2019C</v>
      </c>
      <c r="K17" s="178" t="str">
        <f t="shared" si="6"/>
        <v>2019F</v>
      </c>
      <c r="L17" s="178" t="str">
        <f t="shared" si="6"/>
        <v>2020F</v>
      </c>
      <c r="M17" s="178" t="str">
        <f t="shared" si="6"/>
        <v>2021F</v>
      </c>
      <c r="N17" s="178" t="str">
        <f t="shared" si="6"/>
        <v>2022F</v>
      </c>
      <c r="O17" s="178" t="str">
        <f t="shared" si="6"/>
        <v>2023F</v>
      </c>
      <c r="P17" s="178" t="str">
        <f t="shared" si="6"/>
        <v>2024F</v>
      </c>
      <c r="Q17" s="178" t="e">
        <f t="shared" si="6"/>
        <v>#N/A</v>
      </c>
      <c r="R17" s="178" t="e">
        <f t="shared" si="6"/>
        <v>#N/A</v>
      </c>
      <c r="S17" s="178" t="e">
        <f t="shared" si="6"/>
        <v>#N/A</v>
      </c>
      <c r="T17" s="178" t="e">
        <f t="shared" si="6"/>
        <v>#N/A</v>
      </c>
      <c r="U17" s="178" t="e">
        <f t="shared" si="6"/>
        <v>#N/A</v>
      </c>
      <c r="V17" s="178" t="e">
        <f t="shared" si="6"/>
        <v>#N/A</v>
      </c>
      <c r="W17" s="178" t="e">
        <f t="shared" si="6"/>
        <v>#N/A</v>
      </c>
      <c r="X17" s="178" t="e">
        <f t="shared" si="6"/>
        <v>#N/A</v>
      </c>
      <c r="Y17" s="178" t="e">
        <f t="shared" si="6"/>
        <v>#N/A</v>
      </c>
      <c r="Z17" s="178" t="e">
        <f t="shared" si="6"/>
        <v>#N/A</v>
      </c>
      <c r="AA17" s="178" t="e">
        <f t="shared" si="6"/>
        <v>#N/A</v>
      </c>
      <c r="AB17" s="178" t="e">
        <f t="shared" si="6"/>
        <v>#N/A</v>
      </c>
      <c r="AC17" s="178" t="e">
        <f t="shared" si="6"/>
        <v>#N/A</v>
      </c>
    </row>
    <row r="18" spans="1:29">
      <c r="A18" s="32"/>
      <c r="B18" s="32"/>
      <c r="C18" s="198"/>
      <c r="D18" s="198"/>
      <c r="E18" s="198">
        <f>E5</f>
        <v>42004</v>
      </c>
      <c r="F18" s="198">
        <f t="shared" ref="F18:AC18" si="7">F5</f>
        <v>42369</v>
      </c>
      <c r="G18" s="198">
        <f t="shared" si="7"/>
        <v>42735</v>
      </c>
      <c r="H18" s="198">
        <f t="shared" si="7"/>
        <v>43100</v>
      </c>
      <c r="I18" s="198">
        <f t="shared" si="7"/>
        <v>43465</v>
      </c>
      <c r="J18" s="198">
        <f t="shared" si="7"/>
        <v>43466</v>
      </c>
      <c r="K18" s="198">
        <f t="shared" si="7"/>
        <v>43830</v>
      </c>
      <c r="L18" s="198">
        <f t="shared" si="7"/>
        <v>44196</v>
      </c>
      <c r="M18" s="198">
        <f t="shared" si="7"/>
        <v>44561</v>
      </c>
      <c r="N18" s="198">
        <f t="shared" si="7"/>
        <v>44926</v>
      </c>
      <c r="O18" s="198">
        <f t="shared" si="7"/>
        <v>45291</v>
      </c>
      <c r="P18" s="198">
        <f t="shared" si="7"/>
        <v>45657</v>
      </c>
      <c r="Q18" s="198">
        <f t="shared" si="7"/>
        <v>0</v>
      </c>
      <c r="R18" s="198">
        <f t="shared" si="7"/>
        <v>0</v>
      </c>
      <c r="S18" s="198">
        <f t="shared" si="7"/>
        <v>0</v>
      </c>
      <c r="T18" s="198">
        <f t="shared" si="7"/>
        <v>0</v>
      </c>
      <c r="U18" s="198">
        <f t="shared" si="7"/>
        <v>0</v>
      </c>
      <c r="V18" s="198">
        <f t="shared" si="7"/>
        <v>0</v>
      </c>
      <c r="W18" s="198">
        <f t="shared" si="7"/>
        <v>0</v>
      </c>
      <c r="X18" s="198">
        <f t="shared" si="7"/>
        <v>0</v>
      </c>
      <c r="Y18" s="198">
        <f t="shared" si="7"/>
        <v>0</v>
      </c>
      <c r="Z18" s="198">
        <f t="shared" si="7"/>
        <v>0</v>
      </c>
      <c r="AA18" s="198">
        <f t="shared" si="7"/>
        <v>0</v>
      </c>
      <c r="AB18" s="198">
        <f t="shared" si="7"/>
        <v>0</v>
      </c>
      <c r="AC18" s="198">
        <f t="shared" si="7"/>
        <v>0</v>
      </c>
    </row>
    <row r="19" spans="1:29" outlineLevel="1">
      <c r="A19" s="32"/>
      <c r="B19" s="32"/>
      <c r="C19" s="209"/>
      <c r="D19" s="209"/>
      <c r="E19" s="178" t="str">
        <f>INDEX($E$11:$E$14,MATCH(TRUE,E6:E9,0))</f>
        <v>Actual</v>
      </c>
      <c r="F19" s="178" t="str">
        <f t="shared" ref="F19:AC19" si="8">INDEX($E$11:$E$14,MATCH(TRUE,F6:F9,0))</f>
        <v>Actual</v>
      </c>
      <c r="G19" s="178" t="str">
        <f t="shared" si="8"/>
        <v>Actual</v>
      </c>
      <c r="H19" s="178" t="str">
        <f t="shared" si="8"/>
        <v>Actual</v>
      </c>
      <c r="I19" s="178" t="str">
        <f t="shared" si="8"/>
        <v>Actual</v>
      </c>
      <c r="J19" s="178" t="str">
        <f t="shared" si="8"/>
        <v>Combination</v>
      </c>
      <c r="K19" s="178" t="str">
        <f t="shared" si="8"/>
        <v>Forecast</v>
      </c>
      <c r="L19" s="178" t="str">
        <f t="shared" si="8"/>
        <v>Forecast</v>
      </c>
      <c r="M19" s="178" t="str">
        <f t="shared" si="8"/>
        <v>Forecast</v>
      </c>
      <c r="N19" s="178" t="str">
        <f t="shared" si="8"/>
        <v>Forecast</v>
      </c>
      <c r="O19" s="178" t="str">
        <f t="shared" si="8"/>
        <v>Forecast</v>
      </c>
      <c r="P19" s="178" t="str">
        <f t="shared" si="8"/>
        <v>Forecast</v>
      </c>
      <c r="Q19" s="178" t="e">
        <f t="shared" si="8"/>
        <v>#N/A</v>
      </c>
      <c r="R19" s="178" t="e">
        <f t="shared" si="8"/>
        <v>#N/A</v>
      </c>
      <c r="S19" s="178" t="e">
        <f t="shared" si="8"/>
        <v>#N/A</v>
      </c>
      <c r="T19" s="178" t="e">
        <f t="shared" si="8"/>
        <v>#N/A</v>
      </c>
      <c r="U19" s="178" t="e">
        <f t="shared" si="8"/>
        <v>#N/A</v>
      </c>
      <c r="V19" s="178" t="e">
        <f t="shared" si="8"/>
        <v>#N/A</v>
      </c>
      <c r="W19" s="178" t="e">
        <f t="shared" si="8"/>
        <v>#N/A</v>
      </c>
      <c r="X19" s="178" t="e">
        <f t="shared" si="8"/>
        <v>#N/A</v>
      </c>
      <c r="Y19" s="178" t="e">
        <f t="shared" si="8"/>
        <v>#N/A</v>
      </c>
      <c r="Z19" s="178" t="e">
        <f t="shared" si="8"/>
        <v>#N/A</v>
      </c>
      <c r="AA19" s="178" t="e">
        <f t="shared" si="8"/>
        <v>#N/A</v>
      </c>
      <c r="AB19" s="178" t="e">
        <f t="shared" si="8"/>
        <v>#N/A</v>
      </c>
      <c r="AC19" s="178" t="e">
        <f t="shared" si="8"/>
        <v>#N/A</v>
      </c>
    </row>
    <row r="21" spans="1:29">
      <c r="C21" s="209" t="s">
        <v>1009</v>
      </c>
      <c r="D21" s="209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</row>
    <row r="23" spans="1:29">
      <c r="C23" s="180" t="s">
        <v>868</v>
      </c>
      <c r="D23" s="180"/>
      <c r="E23" s="180"/>
      <c r="F23" s="180">
        <f>'IS offshore'!F57</f>
        <v>0</v>
      </c>
      <c r="G23" s="180">
        <f>'IS offshore'!G57</f>
        <v>0</v>
      </c>
      <c r="H23" s="180">
        <f>'IS offshore'!H57</f>
        <v>0</v>
      </c>
      <c r="I23" s="180">
        <f>'IS offshore'!I57</f>
        <v>0</v>
      </c>
      <c r="J23" s="180">
        <f>'IS offshore'!J57</f>
        <v>0</v>
      </c>
      <c r="K23" s="180">
        <f>'IS offshore'!K57</f>
        <v>0</v>
      </c>
      <c r="L23" s="180">
        <f>'IS offshore'!L57</f>
        <v>0</v>
      </c>
      <c r="M23" s="180">
        <f>'IS offshore'!M57</f>
        <v>0</v>
      </c>
      <c r="N23" s="180">
        <f>'IS offshore'!N57</f>
        <v>0</v>
      </c>
      <c r="O23" s="180">
        <f>'IS offshore'!O57</f>
        <v>0</v>
      </c>
      <c r="P23" s="180">
        <f>'IS offshore'!P57</f>
        <v>0</v>
      </c>
      <c r="Q23" s="180">
        <f>'IS offshore'!Q57</f>
        <v>0</v>
      </c>
      <c r="R23" s="180">
        <f>'IS offshore'!R57</f>
        <v>0</v>
      </c>
      <c r="S23" s="180">
        <f>'IS offshore'!S57</f>
        <v>0</v>
      </c>
      <c r="T23" s="180">
        <f>'IS offshore'!T57</f>
        <v>0</v>
      </c>
      <c r="U23" s="180">
        <f>'IS offshore'!U57</f>
        <v>0</v>
      </c>
      <c r="V23" s="180">
        <f>'IS offshore'!V57</f>
        <v>0</v>
      </c>
      <c r="W23" s="180">
        <f>'IS offshore'!W57</f>
        <v>0</v>
      </c>
      <c r="X23" s="180">
        <f>'IS offshore'!X57</f>
        <v>0</v>
      </c>
      <c r="Y23" s="180">
        <f>'IS offshore'!Y57</f>
        <v>0</v>
      </c>
      <c r="Z23" s="180">
        <f>'IS offshore'!Z57</f>
        <v>0</v>
      </c>
      <c r="AA23" s="180">
        <f>'IS offshore'!AA57</f>
        <v>0</v>
      </c>
      <c r="AB23" s="180">
        <f>'IS offshore'!AB57</f>
        <v>0</v>
      </c>
      <c r="AC23" s="180">
        <f>'IS offshore'!AC57</f>
        <v>0</v>
      </c>
    </row>
    <row r="24" spans="1:29">
      <c r="C24" s="262" t="s">
        <v>20</v>
      </c>
      <c r="D24" s="263"/>
      <c r="E24" s="263"/>
      <c r="F24" s="263">
        <f>IF(E8,IF(stub_switch,('BS offshore'!D33-'BS offshore'!F33+'BS offshore'!D37-'BS offshore'!F37+'BS offshore'!D41-'BS offshore'!F41+'BS offshore'!D44-'BS offshore'!F44+'BS offshore'!F77-'BS offshore'!D77+'BS offshore'!F81-'BS offshore'!D81+'BS offshore'!F84-'BS offshore'!D84+'BS offshore'!F87-'BS offshore'!D87+'BS offshore'!F90-'BS offshore'!D90+'BS offshore'!F94-'BS offshore'!D94),('BS offshore'!D33-'BS offshore'!F33+'BS offshore'!D37-'BS offshore'!F37+'BS offshore'!D41-'BS offshore'!F41+'BS offshore'!D44-'BS offshore'!F44+'BS offshore'!F77-'BS offshore'!D77+'BS offshore'!F81-'BS offshore'!D81+'BS offshore'!F84-'BS offshore'!D84+'BS offshore'!F87-'BS offshore'!D87+'BS offshore'!F90-'BS offshore'!D90+'BS offshore'!F94-'BS offshore'!D94)),('BS offshore'!E33-'BS offshore'!F33+'BS offshore'!E37-'BS offshore'!F37+'BS offshore'!E41-'BS offshore'!F41+'BS offshore'!E44-'BS offshore'!F44+'BS offshore'!F77-'BS offshore'!E77+'BS offshore'!F81-'BS offshore'!E81+'BS offshore'!F84-'BS offshore'!E84+'BS offshore'!F87-'BS offshore'!E87+'BS offshore'!F90-'BS offshore'!E90+'BS offshore'!F94-'BS offshore'!E94))</f>
        <v>0</v>
      </c>
      <c r="G24" s="263">
        <f>IF(F8,IF(stub_switch,('BS offshore'!E33-'BS offshore'!G33+'BS offshore'!E37-'BS offshore'!G37+'BS offshore'!E41-'BS offshore'!G41+'BS offshore'!E44-'BS offshore'!G44+'BS offshore'!G77-'BS offshore'!E77+'BS offshore'!G81-'BS offshore'!E81+'BS offshore'!G84-'BS offshore'!E84+'BS offshore'!G87-'BS offshore'!E87+'BS offshore'!G90-'BS offshore'!E90+'BS offshore'!G94-'BS offshore'!E94),('BS offshore'!E33-'BS offshore'!G33+'BS offshore'!E37-'BS offshore'!G37+'BS offshore'!E41-'BS offshore'!G41+'BS offshore'!E44-'BS offshore'!G44+'BS offshore'!G77-'BS offshore'!E77+'BS offshore'!G81-'BS offshore'!E81+'BS offshore'!G84-'BS offshore'!E84+'BS offshore'!G87-'BS offshore'!E87+'BS offshore'!G90-'BS offshore'!E90+'BS offshore'!G94-'BS offshore'!E94)),('BS offshore'!F33-'BS offshore'!G33+'BS offshore'!F37-'BS offshore'!G37+'BS offshore'!F41-'BS offshore'!G41+'BS offshore'!F44-'BS offshore'!G44+'BS offshore'!G77-'BS offshore'!F77+'BS offshore'!G81-'BS offshore'!F81+'BS offshore'!G84-'BS offshore'!F84+'BS offshore'!G87-'BS offshore'!F87+'BS offshore'!G90-'BS offshore'!F90+'BS offshore'!G94-'BS offshore'!F94))</f>
        <v>0</v>
      </c>
      <c r="H24" s="263">
        <f>IF(G8,IF(stub_switch,('BS offshore'!F33-'BS offshore'!H33+'BS offshore'!F37-'BS offshore'!H37+'BS offshore'!F41-'BS offshore'!H41+'BS offshore'!F44-'BS offshore'!H44+'BS offshore'!H77-'BS offshore'!F77+'BS offshore'!H81-'BS offshore'!F81+'BS offshore'!H84-'BS offshore'!F84+'BS offshore'!H87-'BS offshore'!F87+'BS offshore'!H90-'BS offshore'!F90+'BS offshore'!H94-'BS offshore'!F94),('BS offshore'!F33-'BS offshore'!H33+'BS offshore'!F37-'BS offshore'!H37+'BS offshore'!F41-'BS offshore'!H41+'BS offshore'!F44-'BS offshore'!H44+'BS offshore'!H77-'BS offshore'!F77+'BS offshore'!H81-'BS offshore'!F81+'BS offshore'!H84-'BS offshore'!F84+'BS offshore'!H87-'BS offshore'!F87+'BS offshore'!H90-'BS offshore'!F90+'BS offshore'!H94-'BS offshore'!F94)),('BS offshore'!G33-'BS offshore'!H33+'BS offshore'!G37-'BS offshore'!H37+'BS offshore'!G41-'BS offshore'!H41+'BS offshore'!G44-'BS offshore'!H44+'BS offshore'!H77-'BS offshore'!G77+'BS offshore'!H81-'BS offshore'!G81+'BS offshore'!H84-'BS offshore'!G84+'BS offshore'!H87-'BS offshore'!G87+'BS offshore'!H90-'BS offshore'!G90+'BS offshore'!H94-'BS offshore'!G94))</f>
        <v>0</v>
      </c>
      <c r="I24" s="263">
        <f>IF(H8,IF(stub_switch,('BS offshore'!G33-'BS offshore'!I33+'BS offshore'!G37-'BS offshore'!I37+'BS offshore'!G41-'BS offshore'!I41+'BS offshore'!G44-'BS offshore'!I44+'BS offshore'!I77-'BS offshore'!G77+'BS offshore'!I81-'BS offshore'!G81+'BS offshore'!I84-'BS offshore'!G84+'BS offshore'!I87-'BS offshore'!G87+'BS offshore'!I90-'BS offshore'!G90+'BS offshore'!I94-'BS offshore'!G94),('BS offshore'!G33-'BS offshore'!I33+'BS offshore'!G37-'BS offshore'!I37+'BS offshore'!G41-'BS offshore'!I41+'BS offshore'!G44-'BS offshore'!I44+'BS offshore'!I77-'BS offshore'!G77+'BS offshore'!I81-'BS offshore'!G81+'BS offshore'!I84-'BS offshore'!G84+'BS offshore'!I87-'BS offshore'!G87+'BS offshore'!I90-'BS offshore'!G90+'BS offshore'!I94-'BS offshore'!G94)),('BS offshore'!H33-'BS offshore'!I33+'BS offshore'!H37-'BS offshore'!I37+'BS offshore'!H41-'BS offshore'!I41+'BS offshore'!H44-'BS offshore'!I44+'BS offshore'!I77-'BS offshore'!H77+'BS offshore'!I81-'BS offshore'!H81+'BS offshore'!I84-'BS offshore'!H84+'BS offshore'!I87-'BS offshore'!H87+'BS offshore'!I90-'BS offshore'!H90+'BS offshore'!I94-'BS offshore'!H94))</f>
        <v>0</v>
      </c>
      <c r="J24" s="263">
        <f>IF(I8,IF(stub_switch,('BS offshore'!H33-'BS offshore'!J33+'BS offshore'!H37-'BS offshore'!J37+'BS offshore'!H41-'BS offshore'!J41+'BS offshore'!H44-'BS offshore'!J44+'BS offshore'!J77-'BS offshore'!H77+'BS offshore'!J81-'BS offshore'!H81+'BS offshore'!J84-'BS offshore'!H84+'BS offshore'!J87-'BS offshore'!H87+'BS offshore'!J90-'BS offshore'!H90+'BS offshore'!J94-'BS offshore'!H94),('BS offshore'!H33-'BS offshore'!J33+'BS offshore'!H37-'BS offshore'!J37+'BS offshore'!H41-'BS offshore'!J41+'BS offshore'!H44-'BS offshore'!J44+'BS offshore'!J77-'BS offshore'!H77+'BS offshore'!J81-'BS offshore'!H81+'BS offshore'!J84-'BS offshore'!H84+'BS offshore'!J87-'BS offshore'!H87+'BS offshore'!J90-'BS offshore'!H90+'BS offshore'!J94-'BS offshore'!H94)),('BS offshore'!I33-'BS offshore'!J33+'BS offshore'!I37-'BS offshore'!J37+'BS offshore'!I41-'BS offshore'!J41+'BS offshore'!I44-'BS offshore'!J44+'BS offshore'!J77-'BS offshore'!I77+'BS offshore'!J81-'BS offshore'!I81+'BS offshore'!J84-'BS offshore'!I84+'BS offshore'!J87-'BS offshore'!I87+'BS offshore'!J90-'BS offshore'!I90+'BS offshore'!J94-'BS offshore'!I94))</f>
        <v>0</v>
      </c>
      <c r="K24" s="263">
        <f>IF(J8,IF(stub_switch,('BS offshore'!I33-'BS offshore'!K33+'BS offshore'!I37-'BS offshore'!K37+'BS offshore'!I41-'BS offshore'!K41+'BS offshore'!I44-'BS offshore'!K44+'BS offshore'!K77-'BS offshore'!I77+'BS offshore'!K81-'BS offshore'!I81+'BS offshore'!K84-'BS offshore'!I84+'BS offshore'!K87-'BS offshore'!I87+'BS offshore'!K90-'BS offshore'!I90+'BS offshore'!K94-'BS offshore'!I94),('BS offshore'!I33-'BS offshore'!K33+'BS offshore'!I37-'BS offshore'!K37+'BS offshore'!I41-'BS offshore'!K41+'BS offshore'!I44-'BS offshore'!K44+'BS offshore'!K77-'BS offshore'!I77+'BS offshore'!K81-'BS offshore'!I81+'BS offshore'!K84-'BS offshore'!I84+'BS offshore'!K87-'BS offshore'!I87+'BS offshore'!K90-'BS offshore'!I90+'BS offshore'!K94-'BS offshore'!I94)),('BS offshore'!J33-'BS offshore'!K33+'BS offshore'!J37-'BS offshore'!K37+'BS offshore'!J41-'BS offshore'!K41+'BS offshore'!J44-'BS offshore'!K44+'BS offshore'!K77-'BS offshore'!J77+'BS offshore'!K81-'BS offshore'!J81+'BS offshore'!K84-'BS offshore'!J84+'BS offshore'!K87-'BS offshore'!J87+'BS offshore'!K90-'BS offshore'!J90+'BS offshore'!K94-'BS offshore'!J94))</f>
        <v>0</v>
      </c>
      <c r="L24" s="263">
        <f>IF(K8,IF(stub_switch,('BS offshore'!J33-'BS offshore'!L33+'BS offshore'!J37-'BS offshore'!L37+'BS offshore'!J41-'BS offshore'!L41+'BS offshore'!J44-'BS offshore'!L44+'BS offshore'!L77-'BS offshore'!J77+'BS offshore'!L81-'BS offshore'!J81+'BS offshore'!L84-'BS offshore'!J84+'BS offshore'!L87-'BS offshore'!J87+'BS offshore'!L90-'BS offshore'!J90+'BS offshore'!L94-'BS offshore'!J94),('BS offshore'!J33-'BS offshore'!L33+'BS offshore'!J37-'BS offshore'!L37+'BS offshore'!J41-'BS offshore'!L41+'BS offshore'!J44-'BS offshore'!L44+'BS offshore'!L77-'BS offshore'!J77+'BS offshore'!L81-'BS offshore'!J81+'BS offshore'!L84-'BS offshore'!J84+'BS offshore'!L87-'BS offshore'!J87+'BS offshore'!L90-'BS offshore'!J90+'BS offshore'!L94-'BS offshore'!J94)),('BS offshore'!K33-'BS offshore'!L33+'BS offshore'!K37-'BS offshore'!L37+'BS offshore'!K41-'BS offshore'!L41+'BS offshore'!K44-'BS offshore'!L44+'BS offshore'!L77-'BS offshore'!K77+'BS offshore'!L81-'BS offshore'!K81+'BS offshore'!L84-'BS offshore'!K84+'BS offshore'!L87-'BS offshore'!K87+'BS offshore'!L90-'BS offshore'!K90+'BS offshore'!L94-'BS offshore'!K94))</f>
        <v>0</v>
      </c>
      <c r="M24" s="263">
        <f>IF(L8,IF(stub_switch,('BS offshore'!K33-'BS offshore'!M33+'BS offshore'!K37-'BS offshore'!M37+'BS offshore'!K41-'BS offshore'!M41+'BS offshore'!K44-'BS offshore'!M44+'BS offshore'!M77-'BS offshore'!K77+'BS offshore'!M81-'BS offshore'!K81+'BS offshore'!M84-'BS offshore'!K84+'BS offshore'!M87-'BS offshore'!K87+'BS offshore'!M90-'BS offshore'!K90+'BS offshore'!M94-'BS offshore'!K94),('BS offshore'!K33-'BS offshore'!M33+'BS offshore'!K37-'BS offshore'!M37+'BS offshore'!K41-'BS offshore'!M41+'BS offshore'!K44-'BS offshore'!M44+'BS offshore'!M77-'BS offshore'!K77+'BS offshore'!M81-'BS offshore'!K81+'BS offshore'!M84-'BS offshore'!K84+'BS offshore'!M87-'BS offshore'!K87+'BS offshore'!M90-'BS offshore'!K90+'BS offshore'!M94-'BS offshore'!K94)),('BS offshore'!L33-'BS offshore'!M33+'BS offshore'!L37-'BS offshore'!M37+'BS offshore'!L41-'BS offshore'!M41+'BS offshore'!L44-'BS offshore'!M44+'BS offshore'!M77-'BS offshore'!L77+'BS offshore'!M81-'BS offshore'!L81+'BS offshore'!M84-'BS offshore'!L84+'BS offshore'!M87-'BS offshore'!L87+'BS offshore'!M90-'BS offshore'!L90+'BS offshore'!M94-'BS offshore'!L94))</f>
        <v>0</v>
      </c>
      <c r="N24" s="263">
        <f>IF(M8,IF(stub_switch,('BS offshore'!L33-'BS offshore'!N33+'BS offshore'!L37-'BS offshore'!N37+'BS offshore'!L41-'BS offshore'!N41+'BS offshore'!L44-'BS offshore'!N44+'BS offshore'!N77-'BS offshore'!L77+'BS offshore'!N81-'BS offshore'!L81+'BS offshore'!N84-'BS offshore'!L84+'BS offshore'!N87-'BS offshore'!L87+'BS offshore'!N90-'BS offshore'!L90+'BS offshore'!N94-'BS offshore'!L94),('BS offshore'!L33-'BS offshore'!N33+'BS offshore'!L37-'BS offshore'!N37+'BS offshore'!L41-'BS offshore'!N41+'BS offshore'!L44-'BS offshore'!N44+'BS offshore'!N77-'BS offshore'!L77+'BS offshore'!N81-'BS offshore'!L81+'BS offshore'!N84-'BS offshore'!L84+'BS offshore'!N87-'BS offshore'!L87+'BS offshore'!N90-'BS offshore'!L90+'BS offshore'!N94-'BS offshore'!L94)),('BS offshore'!M33-'BS offshore'!N33+'BS offshore'!M37-'BS offshore'!N37+'BS offshore'!M41-'BS offshore'!N41+'BS offshore'!M44-'BS offshore'!N44+'BS offshore'!N77-'BS offshore'!M77+'BS offshore'!N81-'BS offshore'!M81+'BS offshore'!N84-'BS offshore'!M84+'BS offshore'!N87-'BS offshore'!M87+'BS offshore'!N90-'BS offshore'!M90+'BS offshore'!N94-'BS offshore'!M94))</f>
        <v>0</v>
      </c>
      <c r="O24" s="263">
        <f>IF(N8,IF(stub_switch,('BS offshore'!M33-'BS offshore'!O33+'BS offshore'!M37-'BS offshore'!O37+'BS offshore'!M41-'BS offshore'!O41+'BS offshore'!M44-'BS offshore'!O44+'BS offshore'!O77-'BS offshore'!M77+'BS offshore'!O81-'BS offshore'!M81+'BS offshore'!O84-'BS offshore'!M84+'BS offshore'!O87-'BS offshore'!M87+'BS offshore'!O90-'BS offshore'!M90+'BS offshore'!O94-'BS offshore'!M94),('BS offshore'!M33-'BS offshore'!O33+'BS offshore'!M37-'BS offshore'!O37+'BS offshore'!M41-'BS offshore'!O41+'BS offshore'!M44-'BS offshore'!O44+'BS offshore'!O77-'BS offshore'!M77+'BS offshore'!O81-'BS offshore'!M81+'BS offshore'!O84-'BS offshore'!M84+'BS offshore'!O87-'BS offshore'!M87+'BS offshore'!O90-'BS offshore'!M90+'BS offshore'!O94-'BS offshore'!M94)),('BS offshore'!N33-'BS offshore'!O33+'BS offshore'!N37-'BS offshore'!O37+'BS offshore'!N41-'BS offshore'!O41+'BS offshore'!N44-'BS offshore'!O44+'BS offshore'!O77-'BS offshore'!N77+'BS offshore'!O81-'BS offshore'!N81+'BS offshore'!O84-'BS offshore'!N84+'BS offshore'!O87-'BS offshore'!N87+'BS offshore'!O90-'BS offshore'!N90+'BS offshore'!O94-'BS offshore'!N94))</f>
        <v>0</v>
      </c>
      <c r="P24" s="263">
        <f>IF(O8,IF(stub_switch,('BS offshore'!N33-'BS offshore'!P33+'BS offshore'!N37-'BS offshore'!P37+'BS offshore'!N41-'BS offshore'!P41+'BS offshore'!N44-'BS offshore'!P44+'BS offshore'!P77-'BS offshore'!N77+'BS offshore'!P81-'BS offshore'!N81+'BS offshore'!P84-'BS offshore'!N84+'BS offshore'!P87-'BS offshore'!N87+'BS offshore'!P90-'BS offshore'!N90+'BS offshore'!P94-'BS offshore'!N94),('BS offshore'!N33-'BS offshore'!P33+'BS offshore'!N37-'BS offshore'!P37+'BS offshore'!N41-'BS offshore'!P41+'BS offshore'!N44-'BS offshore'!P44+'BS offshore'!P77-'BS offshore'!N77+'BS offshore'!P81-'BS offshore'!N81+'BS offshore'!P84-'BS offshore'!N84+'BS offshore'!P87-'BS offshore'!N87+'BS offshore'!P90-'BS offshore'!N90+'BS offshore'!P94-'BS offshore'!N94)),('BS offshore'!O33-'BS offshore'!P33+'BS offshore'!O37-'BS offshore'!P37+'BS offshore'!O41-'BS offshore'!P41+'BS offshore'!O44-'BS offshore'!P44+'BS offshore'!P77-'BS offshore'!O77+'BS offshore'!P81-'BS offshore'!O81+'BS offshore'!P84-'BS offshore'!O84+'BS offshore'!P87-'BS offshore'!O87+'BS offshore'!P90-'BS offshore'!O90+'BS offshore'!P94-'BS offshore'!O94))</f>
        <v>0</v>
      </c>
      <c r="Q24" s="263">
        <f>IF(P8,IF(stub_switch,('BS offshore'!O33-'BS offshore'!Q33+'BS offshore'!O37-'BS offshore'!Q37+'BS offshore'!O41-'BS offshore'!Q41+'BS offshore'!O44-'BS offshore'!Q44+'BS offshore'!Q77-'BS offshore'!O77+'BS offshore'!Q81-'BS offshore'!O81+'BS offshore'!Q84-'BS offshore'!O84+'BS offshore'!Q87-'BS offshore'!O87+'BS offshore'!Q90-'BS offshore'!O90+'BS offshore'!Q94-'BS offshore'!O94),('BS offshore'!O33-'BS offshore'!Q33+'BS offshore'!O37-'BS offshore'!Q37+'BS offshore'!O41-'BS offshore'!Q41+'BS offshore'!O44-'BS offshore'!Q44+'BS offshore'!Q77-'BS offshore'!O77+'BS offshore'!Q81-'BS offshore'!O81+'BS offshore'!Q84-'BS offshore'!O84+'BS offshore'!Q87-'BS offshore'!O87+'BS offshore'!Q90-'BS offshore'!O90+'BS offshore'!Q94-'BS offshore'!O94)),('BS offshore'!P33-'BS offshore'!Q33+'BS offshore'!P37-'BS offshore'!Q37+'BS offshore'!P41-'BS offshore'!Q41+'BS offshore'!P44-'BS offshore'!Q44+'BS offshore'!Q77-'BS offshore'!P77+'BS offshore'!Q81-'BS offshore'!P81+'BS offshore'!Q84-'BS offshore'!P84+'BS offshore'!Q87-'BS offshore'!P87+'BS offshore'!Q90-'BS offshore'!P90+'BS offshore'!Q94-'BS offshore'!P94))</f>
        <v>0</v>
      </c>
      <c r="R24" s="263">
        <f>IF(Q8,IF(stub_switch,('BS offshore'!P33-'BS offshore'!R33+'BS offshore'!P37-'BS offshore'!R37+'BS offshore'!P41-'BS offshore'!R41+'BS offshore'!P44-'BS offshore'!R44+'BS offshore'!R77-'BS offshore'!P77+'BS offshore'!R81-'BS offshore'!P81+'BS offshore'!R84-'BS offshore'!P84+'BS offshore'!R87-'BS offshore'!P87+'BS offshore'!R90-'BS offshore'!P90+'BS offshore'!R94-'BS offshore'!P94),('BS offshore'!P33-'BS offshore'!R33+'BS offshore'!P37-'BS offshore'!R37+'BS offshore'!P41-'BS offshore'!R41+'BS offshore'!P44-'BS offshore'!R44+'BS offshore'!R77-'BS offshore'!P77+'BS offshore'!R81-'BS offshore'!P81+'BS offshore'!R84-'BS offshore'!P84+'BS offshore'!R87-'BS offshore'!P87+'BS offshore'!R90-'BS offshore'!P90+'BS offshore'!R94-'BS offshore'!P94)),('BS offshore'!Q33-'BS offshore'!R33+'BS offshore'!Q37-'BS offshore'!R37+'BS offshore'!Q41-'BS offshore'!R41+'BS offshore'!Q44-'BS offshore'!R44+'BS offshore'!R77-'BS offshore'!Q77+'BS offshore'!R81-'BS offshore'!Q81+'BS offshore'!R84-'BS offshore'!Q84+'BS offshore'!R87-'BS offshore'!Q87+'BS offshore'!R90-'BS offshore'!Q90+'BS offshore'!R94-'BS offshore'!Q94))</f>
        <v>0</v>
      </c>
      <c r="S24" s="263">
        <f>IF(R8,IF(stub_switch,('BS offshore'!Q33-'BS offshore'!S33+'BS offshore'!Q37-'BS offshore'!S37+'BS offshore'!Q41-'BS offshore'!S41+'BS offshore'!Q44-'BS offshore'!S44+'BS offshore'!S77-'BS offshore'!Q77+'BS offshore'!S81-'BS offshore'!Q81+'BS offshore'!S84-'BS offshore'!Q84+'BS offshore'!S87-'BS offshore'!Q87+'BS offshore'!S90-'BS offshore'!Q90+'BS offshore'!S94-'BS offshore'!Q94),('BS offshore'!Q33-'BS offshore'!S33+'BS offshore'!Q37-'BS offshore'!S37+'BS offshore'!Q41-'BS offshore'!S41+'BS offshore'!Q44-'BS offshore'!S44+'BS offshore'!S77-'BS offshore'!Q77+'BS offshore'!S81-'BS offshore'!Q81+'BS offshore'!S84-'BS offshore'!Q84+'BS offshore'!S87-'BS offshore'!Q87+'BS offshore'!S90-'BS offshore'!Q90+'BS offshore'!S94-'BS offshore'!Q94)),('BS offshore'!R33-'BS offshore'!S33+'BS offshore'!R37-'BS offshore'!S37+'BS offshore'!R41-'BS offshore'!S41+'BS offshore'!R44-'BS offshore'!S44+'BS offshore'!S77-'BS offshore'!R77+'BS offshore'!S81-'BS offshore'!R81+'BS offshore'!S84-'BS offshore'!R84+'BS offshore'!S87-'BS offshore'!R87+'BS offshore'!S90-'BS offshore'!R90+'BS offshore'!S94-'BS offshore'!R94))</f>
        <v>0</v>
      </c>
      <c r="T24" s="263">
        <f>IF(S8,IF(stub_switch,('BS offshore'!R33-'BS offshore'!T33+'BS offshore'!R37-'BS offshore'!T37+'BS offshore'!R41-'BS offshore'!T41+'BS offshore'!R44-'BS offshore'!T44+'BS offshore'!T77-'BS offshore'!R77+'BS offshore'!T81-'BS offshore'!R81+'BS offshore'!T84-'BS offshore'!R84+'BS offshore'!T87-'BS offshore'!R87+'BS offshore'!T90-'BS offshore'!R90+'BS offshore'!T94-'BS offshore'!R94),('BS offshore'!R33-'BS offshore'!T33+'BS offshore'!R37-'BS offshore'!T37+'BS offshore'!R41-'BS offshore'!T41+'BS offshore'!R44-'BS offshore'!T44+'BS offshore'!T77-'BS offshore'!R77+'BS offshore'!T81-'BS offshore'!R81+'BS offshore'!T84-'BS offshore'!R84+'BS offshore'!T87-'BS offshore'!R87+'BS offshore'!T90-'BS offshore'!R90+'BS offshore'!T94-'BS offshore'!R94)),('BS offshore'!S33-'BS offshore'!T33+'BS offshore'!S37-'BS offshore'!T37+'BS offshore'!S41-'BS offshore'!T41+'BS offshore'!S44-'BS offshore'!T44+'BS offshore'!T77-'BS offshore'!S77+'BS offshore'!T81-'BS offshore'!S81+'BS offshore'!T84-'BS offshore'!S84+'BS offshore'!T87-'BS offshore'!S87+'BS offshore'!T90-'BS offshore'!S90+'BS offshore'!T94-'BS offshore'!S94))</f>
        <v>0</v>
      </c>
      <c r="U24" s="263">
        <f>IF(T8,IF(stub_switch,('BS offshore'!S33-'BS offshore'!U33+'BS offshore'!S37-'BS offshore'!U37+'BS offshore'!S41-'BS offshore'!U41+'BS offshore'!S44-'BS offshore'!U44+'BS offshore'!U77-'BS offshore'!S77+'BS offshore'!U81-'BS offshore'!S81+'BS offshore'!U84-'BS offshore'!S84+'BS offshore'!U87-'BS offshore'!S87+'BS offshore'!U90-'BS offshore'!S90+'BS offshore'!U94-'BS offshore'!S94),('BS offshore'!S33-'BS offshore'!U33+'BS offshore'!S37-'BS offshore'!U37+'BS offshore'!S41-'BS offshore'!U41+'BS offshore'!S44-'BS offshore'!U44+'BS offshore'!U77-'BS offshore'!S77+'BS offshore'!U81-'BS offshore'!S81+'BS offshore'!U84-'BS offshore'!S84+'BS offshore'!U87-'BS offshore'!S87+'BS offshore'!U90-'BS offshore'!S90+'BS offshore'!U94-'BS offshore'!S94)),('BS offshore'!T33-'BS offshore'!U33+'BS offshore'!T37-'BS offshore'!U37+'BS offshore'!T41-'BS offshore'!U41+'BS offshore'!T44-'BS offshore'!U44+'BS offshore'!U77-'BS offshore'!T77+'BS offshore'!U81-'BS offshore'!T81+'BS offshore'!U84-'BS offshore'!T84+'BS offshore'!U87-'BS offshore'!T87+'BS offshore'!U90-'BS offshore'!T90+'BS offshore'!U94-'BS offshore'!T94))</f>
        <v>0</v>
      </c>
      <c r="V24" s="263">
        <f>IF(U8,IF(stub_switch,('BS offshore'!T33-'BS offshore'!V33+'BS offshore'!T37-'BS offshore'!V37+'BS offshore'!T41-'BS offshore'!V41+'BS offshore'!T44-'BS offshore'!V44+'BS offshore'!V77-'BS offshore'!T77+'BS offshore'!V81-'BS offshore'!T81+'BS offshore'!V84-'BS offshore'!T84+'BS offshore'!V87-'BS offshore'!T87+'BS offshore'!V90-'BS offshore'!T90+'BS offshore'!V94-'BS offshore'!T94),('BS offshore'!T33-'BS offshore'!V33+'BS offshore'!T37-'BS offshore'!V37+'BS offshore'!T41-'BS offshore'!V41+'BS offshore'!T44-'BS offshore'!V44+'BS offshore'!V77-'BS offshore'!T77+'BS offshore'!V81-'BS offshore'!T81+'BS offshore'!V84-'BS offshore'!T84+'BS offshore'!V87-'BS offshore'!T87+'BS offshore'!V90-'BS offshore'!T90+'BS offshore'!V94-'BS offshore'!T94)),('BS offshore'!U33-'BS offshore'!V33+'BS offshore'!U37-'BS offshore'!V37+'BS offshore'!U41-'BS offshore'!V41+'BS offshore'!U44-'BS offshore'!V44+'BS offshore'!V77-'BS offshore'!U77+'BS offshore'!V81-'BS offshore'!U81+'BS offshore'!V84-'BS offshore'!U84+'BS offshore'!V87-'BS offshore'!U87+'BS offshore'!V90-'BS offshore'!U90+'BS offshore'!V94-'BS offshore'!U94))</f>
        <v>0</v>
      </c>
      <c r="W24" s="263">
        <f>IF(V8,IF(stub_switch,('BS offshore'!U33-'BS offshore'!W33+'BS offshore'!U37-'BS offshore'!W37+'BS offshore'!U41-'BS offshore'!W41+'BS offshore'!U44-'BS offshore'!W44+'BS offshore'!W77-'BS offshore'!U77+'BS offshore'!W81-'BS offshore'!U81+'BS offshore'!W84-'BS offshore'!U84+'BS offshore'!W87-'BS offshore'!U87+'BS offshore'!W90-'BS offshore'!U90+'BS offshore'!W94-'BS offshore'!U94),('BS offshore'!U33-'BS offshore'!W33+'BS offshore'!U37-'BS offshore'!W37+'BS offshore'!U41-'BS offshore'!W41+'BS offshore'!U44-'BS offshore'!W44+'BS offshore'!W77-'BS offshore'!U77+'BS offshore'!W81-'BS offshore'!U81+'BS offshore'!W84-'BS offshore'!U84+'BS offshore'!W87-'BS offshore'!U87+'BS offshore'!W90-'BS offshore'!U90+'BS offshore'!W94-'BS offshore'!U94)),('BS offshore'!V33-'BS offshore'!W33+'BS offshore'!V37-'BS offshore'!W37+'BS offshore'!V41-'BS offshore'!W41+'BS offshore'!V44-'BS offshore'!W44+'BS offshore'!W77-'BS offshore'!V77+'BS offshore'!W81-'BS offshore'!V81+'BS offshore'!W84-'BS offshore'!V84+'BS offshore'!W87-'BS offshore'!V87+'BS offshore'!W90-'BS offshore'!V90+'BS offshore'!W94-'BS offshore'!V94))</f>
        <v>0</v>
      </c>
      <c r="X24" s="263">
        <f>IF(W8,IF(stub_switch,('BS offshore'!V33-'BS offshore'!X33+'BS offshore'!V37-'BS offshore'!X37+'BS offshore'!V41-'BS offshore'!X41+'BS offshore'!V44-'BS offshore'!X44+'BS offshore'!X77-'BS offshore'!V77+'BS offshore'!X81-'BS offshore'!V81+'BS offshore'!X84-'BS offshore'!V84+'BS offshore'!X87-'BS offshore'!V87+'BS offshore'!X90-'BS offshore'!V90+'BS offshore'!X94-'BS offshore'!V94),('BS offshore'!V33-'BS offshore'!X33+'BS offshore'!V37-'BS offshore'!X37+'BS offshore'!V41-'BS offshore'!X41+'BS offshore'!V44-'BS offshore'!X44+'BS offshore'!X77-'BS offshore'!V77+'BS offshore'!X81-'BS offshore'!V81+'BS offshore'!X84-'BS offshore'!V84+'BS offshore'!X87-'BS offshore'!V87+'BS offshore'!X90-'BS offshore'!V90+'BS offshore'!X94-'BS offshore'!V94)),('BS offshore'!W33-'BS offshore'!X33+'BS offshore'!W37-'BS offshore'!X37+'BS offshore'!W41-'BS offshore'!X41+'BS offshore'!W44-'BS offshore'!X44+'BS offshore'!X77-'BS offshore'!W77+'BS offshore'!X81-'BS offshore'!W81+'BS offshore'!X84-'BS offshore'!W84+'BS offshore'!X87-'BS offshore'!W87+'BS offshore'!X90-'BS offshore'!W90+'BS offshore'!X94-'BS offshore'!W94))</f>
        <v>0</v>
      </c>
      <c r="Y24" s="263">
        <f>IF(X8,IF(stub_switch,('BS offshore'!W33-'BS offshore'!Y33+'BS offshore'!W37-'BS offshore'!Y37+'BS offshore'!W41-'BS offshore'!Y41+'BS offshore'!W44-'BS offshore'!Y44+'BS offshore'!Y77-'BS offshore'!W77+'BS offshore'!Y81-'BS offshore'!W81+'BS offshore'!Y84-'BS offshore'!W84+'BS offshore'!Y87-'BS offshore'!W87+'BS offshore'!Y90-'BS offshore'!W90+'BS offshore'!Y94-'BS offshore'!W94),('BS offshore'!W33-'BS offshore'!Y33+'BS offshore'!W37-'BS offshore'!Y37+'BS offshore'!W41-'BS offshore'!Y41+'BS offshore'!W44-'BS offshore'!Y44+'BS offshore'!Y77-'BS offshore'!W77+'BS offshore'!Y81-'BS offshore'!W81+'BS offshore'!Y84-'BS offshore'!W84+'BS offshore'!Y87-'BS offshore'!W87+'BS offshore'!Y90-'BS offshore'!W90+'BS offshore'!Y94-'BS offshore'!W94)),('BS offshore'!X33-'BS offshore'!Y33+'BS offshore'!X37-'BS offshore'!Y37+'BS offshore'!X41-'BS offshore'!Y41+'BS offshore'!X44-'BS offshore'!Y44+'BS offshore'!Y77-'BS offshore'!X77+'BS offshore'!Y81-'BS offshore'!X81+'BS offshore'!Y84-'BS offshore'!X84+'BS offshore'!Y87-'BS offshore'!X87+'BS offshore'!Y90-'BS offshore'!X90+'BS offshore'!Y94-'BS offshore'!X94))</f>
        <v>0</v>
      </c>
      <c r="Z24" s="263">
        <f>IF(Y8,IF(stub_switch,('BS offshore'!X33-'BS offshore'!Z33+'BS offshore'!X37-'BS offshore'!Z37+'BS offshore'!X41-'BS offshore'!Z41+'BS offshore'!X44-'BS offshore'!Z44+'BS offshore'!Z77-'BS offshore'!X77+'BS offshore'!Z81-'BS offshore'!X81+'BS offshore'!Z84-'BS offshore'!X84+'BS offshore'!Z87-'BS offshore'!X87+'BS offshore'!Z90-'BS offshore'!X90+'BS offshore'!Z94-'BS offshore'!X94),('BS offshore'!X33-'BS offshore'!Z33+'BS offshore'!X37-'BS offshore'!Z37+'BS offshore'!X41-'BS offshore'!Z41+'BS offshore'!X44-'BS offshore'!Z44+'BS offshore'!Z77-'BS offshore'!X77+'BS offshore'!Z81-'BS offshore'!X81+'BS offshore'!Z84-'BS offshore'!X84+'BS offshore'!Z87-'BS offshore'!X87+'BS offshore'!Z90-'BS offshore'!X90+'BS offshore'!Z94-'BS offshore'!X94)),('BS offshore'!Y33-'BS offshore'!Z33+'BS offshore'!Y37-'BS offshore'!Z37+'BS offshore'!Y41-'BS offshore'!Z41+'BS offshore'!Y44-'BS offshore'!Z44+'BS offshore'!Z77-'BS offshore'!Y77+'BS offshore'!Z81-'BS offshore'!Y81+'BS offshore'!Z84-'BS offshore'!Y84+'BS offshore'!Z87-'BS offshore'!Y87+'BS offshore'!Z90-'BS offshore'!Y90+'BS offshore'!Z94-'BS offshore'!Y94))</f>
        <v>0</v>
      </c>
      <c r="AA24" s="263">
        <f>IF(Z8,IF(stub_switch,('BS offshore'!Y33-'BS offshore'!AA33+'BS offshore'!Y37-'BS offshore'!AA37+'BS offshore'!Y41-'BS offshore'!AA41+'BS offshore'!Y44-'BS offshore'!AA44+'BS offshore'!AA77-'BS offshore'!Y77+'BS offshore'!AA81-'BS offshore'!Y81+'BS offshore'!AA84-'BS offshore'!Y84+'BS offshore'!AA87-'BS offshore'!Y87+'BS offshore'!AA90-'BS offshore'!Y90+'BS offshore'!AA94-'BS offshore'!Y94),('BS offshore'!Y33-'BS offshore'!AA33+'BS offshore'!Y37-'BS offshore'!AA37+'BS offshore'!Y41-'BS offshore'!AA41+'BS offshore'!Y44-'BS offshore'!AA44+'BS offshore'!AA77-'BS offshore'!Y77+'BS offshore'!AA81-'BS offshore'!Y81+'BS offshore'!AA84-'BS offshore'!Y84+'BS offshore'!AA87-'BS offshore'!Y87+'BS offshore'!AA90-'BS offshore'!Y90+'BS offshore'!AA94-'BS offshore'!Y94)),('BS offshore'!Z33-'BS offshore'!AA33+'BS offshore'!Z37-'BS offshore'!AA37+'BS offshore'!Z41-'BS offshore'!AA41+'BS offshore'!Z44-'BS offshore'!AA44+'BS offshore'!AA77-'BS offshore'!Z77+'BS offshore'!AA81-'BS offshore'!Z81+'BS offshore'!AA84-'BS offshore'!Z84+'BS offshore'!AA87-'BS offshore'!Z87+'BS offshore'!AA90-'BS offshore'!Z90+'BS offshore'!AA94-'BS offshore'!Z94))</f>
        <v>0</v>
      </c>
      <c r="AB24" s="263">
        <f>IF(AA8,IF(stub_switch,('BS offshore'!Z33-'BS offshore'!AB33+'BS offshore'!Z37-'BS offshore'!AB37+'BS offshore'!Z41-'BS offshore'!AB41+'BS offshore'!Z44-'BS offshore'!AB44+'BS offshore'!AB77-'BS offshore'!Z77+'BS offshore'!AB81-'BS offshore'!Z81+'BS offshore'!AB84-'BS offshore'!Z84+'BS offshore'!AB87-'BS offshore'!Z87+'BS offshore'!AB90-'BS offshore'!Z90+'BS offshore'!AB94-'BS offshore'!Z94),('BS offshore'!Z33-'BS offshore'!AB33+'BS offshore'!Z37-'BS offshore'!AB37+'BS offshore'!Z41-'BS offshore'!AB41+'BS offshore'!Z44-'BS offshore'!AB44+'BS offshore'!AB77-'BS offshore'!Z77+'BS offshore'!AB81-'BS offshore'!Z81+'BS offshore'!AB84-'BS offshore'!Z84+'BS offshore'!AB87-'BS offshore'!Z87+'BS offshore'!AB90-'BS offshore'!Z90+'BS offshore'!AB94-'BS offshore'!Z94)),('BS offshore'!AA33-'BS offshore'!AB33+'BS offshore'!AA37-'BS offshore'!AB37+'BS offshore'!AA41-'BS offshore'!AB41+'BS offshore'!AA44-'BS offshore'!AB44+'BS offshore'!AB77-'BS offshore'!AA77+'BS offshore'!AB81-'BS offshore'!AA81+'BS offshore'!AB84-'BS offshore'!AA84+'BS offshore'!AB87-'BS offshore'!AA87+'BS offshore'!AB90-'BS offshore'!AA90+'BS offshore'!AB94-'BS offshore'!AA94))</f>
        <v>0</v>
      </c>
      <c r="AC24" s="263">
        <f>IF(AB8,IF(stub_switch,('BS offshore'!AA33-'BS offshore'!AC33+'BS offshore'!AA37-'BS offshore'!AC37+'BS offshore'!AA41-'BS offshore'!AC41+'BS offshore'!AA44-'BS offshore'!AC44+'BS offshore'!AC77-'BS offshore'!AA77+'BS offshore'!AC81-'BS offshore'!AA81+'BS offshore'!AC84-'BS offshore'!AA84+'BS offshore'!AC87-'BS offshore'!AA87+'BS offshore'!AC90-'BS offshore'!AA90+'BS offshore'!AC94-'BS offshore'!AA94),('BS offshore'!AA33-'BS offshore'!AC33+'BS offshore'!AA37-'BS offshore'!AC37+'BS offshore'!AA41-'BS offshore'!AC41+'BS offshore'!AA44-'BS offshore'!AC44+'BS offshore'!AC77-'BS offshore'!AA77+'BS offshore'!AC81-'BS offshore'!AA81+'BS offshore'!AC84-'BS offshore'!AA84+'BS offshore'!AC87-'BS offshore'!AA87+'BS offshore'!AC90-'BS offshore'!AA90+'BS offshore'!AC94-'BS offshore'!AA94)),('BS offshore'!AB33-'BS offshore'!AC33+'BS offshore'!AB37-'BS offshore'!AC37+'BS offshore'!AB41-'BS offshore'!AC41+'BS offshore'!AB44-'BS offshore'!AC44+'BS offshore'!AC77-'BS offshore'!AB77+'BS offshore'!AC81-'BS offshore'!AB81+'BS offshore'!AC84-'BS offshore'!AB84+'BS offshore'!AC87-'BS offshore'!AB87+'BS offshore'!AC90-'BS offshore'!AB90+'BS offshore'!AC94-'BS offshore'!AB94))</f>
        <v>0</v>
      </c>
    </row>
    <row r="25" spans="1:29">
      <c r="C25" s="265" t="s">
        <v>677</v>
      </c>
      <c r="D25" s="263"/>
      <c r="E25" s="263"/>
      <c r="F25" s="263">
        <f>+'IS offshore'!F85</f>
        <v>0</v>
      </c>
      <c r="G25" s="263">
        <f>+'IS offshore'!G85</f>
        <v>0</v>
      </c>
      <c r="H25" s="263">
        <f>+'IS offshore'!H85</f>
        <v>0</v>
      </c>
      <c r="I25" s="263">
        <f>+'IS offshore'!I85</f>
        <v>0</v>
      </c>
      <c r="J25" s="263">
        <f>+'IS offshore'!J85</f>
        <v>0</v>
      </c>
      <c r="K25" s="263">
        <f>+'IS offshore'!K85</f>
        <v>0</v>
      </c>
      <c r="L25" s="263">
        <f>+'IS offshore'!L85</f>
        <v>0</v>
      </c>
      <c r="M25" s="263">
        <f>+'IS offshore'!M85</f>
        <v>0</v>
      </c>
      <c r="N25" s="263">
        <f>+'IS offshore'!N85</f>
        <v>0</v>
      </c>
      <c r="O25" s="263">
        <f>+'IS offshore'!O85</f>
        <v>0</v>
      </c>
      <c r="P25" s="263">
        <f>+'IS offshore'!P85</f>
        <v>0</v>
      </c>
      <c r="Q25" s="263">
        <f>+'IS offshore'!Q85</f>
        <v>0</v>
      </c>
      <c r="R25" s="263">
        <f>+'IS offshore'!R85</f>
        <v>0</v>
      </c>
      <c r="S25" s="263">
        <f>+'IS offshore'!S85</f>
        <v>0</v>
      </c>
      <c r="T25" s="263">
        <f>+'IS offshore'!T85</f>
        <v>0</v>
      </c>
      <c r="U25" s="263">
        <f>+'IS offshore'!U85</f>
        <v>0</v>
      </c>
      <c r="V25" s="263">
        <f>+'IS offshore'!V85</f>
        <v>0</v>
      </c>
      <c r="W25" s="263">
        <f>+'IS offshore'!W85</f>
        <v>0</v>
      </c>
      <c r="X25" s="263">
        <f>+'IS offshore'!X85</f>
        <v>0</v>
      </c>
      <c r="Y25" s="263">
        <f>+'IS offshore'!Y85</f>
        <v>0</v>
      </c>
      <c r="Z25" s="263">
        <f>+'IS offshore'!Z85</f>
        <v>0</v>
      </c>
      <c r="AA25" s="263">
        <f>+'IS offshore'!AA85</f>
        <v>0</v>
      </c>
      <c r="AB25" s="263">
        <f>+'IS offshore'!AB85</f>
        <v>0</v>
      </c>
      <c r="AC25" s="263">
        <f>+'IS offshore'!AC85</f>
        <v>0</v>
      </c>
    </row>
    <row r="26" spans="1:29">
      <c r="C26" s="264" t="s">
        <v>1086</v>
      </c>
      <c r="D26" s="263"/>
      <c r="E26" s="263"/>
      <c r="F26" s="263">
        <f>'BS offshore'!F115-'BS offshore'!E115</f>
        <v>0</v>
      </c>
      <c r="G26" s="263">
        <f>'BS offshore'!G115-'BS offshore'!F115</f>
        <v>0</v>
      </c>
      <c r="H26" s="263">
        <f>'BS offshore'!H115-'BS offshore'!G115</f>
        <v>0</v>
      </c>
      <c r="I26" s="263">
        <f>'BS offshore'!I115-'BS offshore'!H115</f>
        <v>0</v>
      </c>
      <c r="J26" s="263">
        <f>'BS offshore'!J115-'BS offshore'!I115</f>
        <v>0</v>
      </c>
      <c r="K26" s="263">
        <f>'BS offshore'!K115-'BS offshore'!J115</f>
        <v>0</v>
      </c>
      <c r="L26" s="263">
        <f>'BS offshore'!L115-'BS offshore'!K115</f>
        <v>0</v>
      </c>
      <c r="M26" s="263">
        <f>'BS offshore'!M115-'BS offshore'!L115</f>
        <v>0</v>
      </c>
      <c r="N26" s="263">
        <f>'BS offshore'!N115-'BS offshore'!M115</f>
        <v>0</v>
      </c>
      <c r="O26" s="263">
        <f>'BS offshore'!O115-'BS offshore'!N115</f>
        <v>0</v>
      </c>
      <c r="P26" s="263">
        <f>'BS offshore'!P115-'BS offshore'!O115</f>
        <v>0</v>
      </c>
      <c r="Q26" s="263">
        <f>'BS offshore'!Q115-'BS offshore'!P115</f>
        <v>0</v>
      </c>
      <c r="R26" s="263">
        <f>'BS offshore'!R115-'BS offshore'!Q115</f>
        <v>0</v>
      </c>
      <c r="S26" s="263">
        <f>'BS offshore'!S115-'BS offshore'!R115</f>
        <v>0</v>
      </c>
      <c r="T26" s="263">
        <f>'BS offshore'!T115-'BS offshore'!S115</f>
        <v>0</v>
      </c>
      <c r="U26" s="263">
        <f>'BS offshore'!U115-'BS offshore'!T115</f>
        <v>0</v>
      </c>
      <c r="V26" s="263">
        <f>'BS offshore'!V115-'BS offshore'!U115</f>
        <v>0</v>
      </c>
      <c r="W26" s="263">
        <f>'BS offshore'!W115-'BS offshore'!V115</f>
        <v>0</v>
      </c>
      <c r="X26" s="263">
        <f>'BS offshore'!X115-'BS offshore'!W115</f>
        <v>0</v>
      </c>
      <c r="Y26" s="263">
        <f>'BS offshore'!Y115-'BS offshore'!X115</f>
        <v>0</v>
      </c>
      <c r="Z26" s="263">
        <f>'BS offshore'!Z115-'BS offshore'!Y115</f>
        <v>0</v>
      </c>
      <c r="AA26" s="263">
        <f>'BS offshore'!AA115-'BS offshore'!Z115</f>
        <v>0</v>
      </c>
      <c r="AB26" s="263">
        <f>'BS offshore'!AB115-'BS offshore'!AA115</f>
        <v>0</v>
      </c>
      <c r="AC26" s="263">
        <f>'BS offshore'!AC115-'BS offshore'!AB115</f>
        <v>0</v>
      </c>
    </row>
    <row r="27" spans="1:29">
      <c r="C27" s="199" t="s">
        <v>678</v>
      </c>
      <c r="D27" s="199"/>
      <c r="E27" s="199"/>
      <c r="F27" s="199">
        <f t="shared" ref="F27" si="9">SUM(F23:F26)</f>
        <v>0</v>
      </c>
      <c r="G27" s="199">
        <f t="shared" ref="G27:AC27" si="10">SUM(G23:G26)</f>
        <v>0</v>
      </c>
      <c r="H27" s="199">
        <f t="shared" si="10"/>
        <v>0</v>
      </c>
      <c r="I27" s="199">
        <f t="shared" si="10"/>
        <v>0</v>
      </c>
      <c r="J27" s="199">
        <f t="shared" si="10"/>
        <v>0</v>
      </c>
      <c r="K27" s="199">
        <f t="shared" si="10"/>
        <v>0</v>
      </c>
      <c r="L27" s="199">
        <f t="shared" si="10"/>
        <v>0</v>
      </c>
      <c r="M27" s="199">
        <f t="shared" si="10"/>
        <v>0</v>
      </c>
      <c r="N27" s="199">
        <f t="shared" si="10"/>
        <v>0</v>
      </c>
      <c r="O27" s="199">
        <f t="shared" si="10"/>
        <v>0</v>
      </c>
      <c r="P27" s="199">
        <f t="shared" si="10"/>
        <v>0</v>
      </c>
      <c r="Q27" s="199">
        <f t="shared" si="10"/>
        <v>0</v>
      </c>
      <c r="R27" s="199">
        <f t="shared" si="10"/>
        <v>0</v>
      </c>
      <c r="S27" s="199">
        <f t="shared" si="10"/>
        <v>0</v>
      </c>
      <c r="T27" s="199">
        <f t="shared" si="10"/>
        <v>0</v>
      </c>
      <c r="U27" s="199">
        <f t="shared" si="10"/>
        <v>0</v>
      </c>
      <c r="V27" s="199">
        <f t="shared" si="10"/>
        <v>0</v>
      </c>
      <c r="W27" s="199">
        <f t="shared" si="10"/>
        <v>0</v>
      </c>
      <c r="X27" s="199">
        <f t="shared" si="10"/>
        <v>0</v>
      </c>
      <c r="Y27" s="199">
        <f t="shared" si="10"/>
        <v>0</v>
      </c>
      <c r="Z27" s="199">
        <f t="shared" si="10"/>
        <v>0</v>
      </c>
      <c r="AA27" s="199">
        <f t="shared" si="10"/>
        <v>0</v>
      </c>
      <c r="AB27" s="199">
        <f t="shared" si="10"/>
        <v>0</v>
      </c>
      <c r="AC27" s="199">
        <f t="shared" si="10"/>
        <v>0</v>
      </c>
    </row>
    <row r="28" spans="1:29">
      <c r="C28" s="372" t="s">
        <v>1449</v>
      </c>
      <c r="D28" s="263"/>
      <c r="E28" s="263"/>
      <c r="F28" s="263">
        <f>-(OR(F6,F7)*('BS offshore'!F51-'BS offshore'!E51+'BS offshore'!F63-'BS offshore'!E63+'BS offshore'!F67-'BS offshore'!E67-'IS offshore'!F63))-IFERROR('CF offshore'!F9*(INDEX('Scenarios offshore'!106:106,MATCH('CF offshore'!F$5,'Scenarios offshore'!4:4,0))+INDEX('Scenarios offshore'!129:129,MATCH('CF offshore'!F$5,'Scenarios offshore'!4:4,0))),0)*Currency_conversion_BU1</f>
        <v>0</v>
      </c>
      <c r="G28" s="263">
        <f>-(OR(G6,G7)*('BS offshore'!G51-'BS offshore'!F51+'BS offshore'!G63-'BS offshore'!F63+'BS offshore'!G67-'BS offshore'!F67-'IS offshore'!G63))-IFERROR('CF offshore'!G9*(INDEX('Scenarios offshore'!106:106,MATCH('CF offshore'!G$5,'Scenarios offshore'!4:4,0))+INDEX('Scenarios offshore'!129:129,MATCH('CF offshore'!G$5,'Scenarios offshore'!4:4,0))),0)*Currency_conversion_BU1</f>
        <v>0</v>
      </c>
      <c r="H28" s="263">
        <f>-(OR(H6,H7)*('BS offshore'!H51-'BS offshore'!G51+'BS offshore'!H63-'BS offshore'!G63+'BS offshore'!H67-'BS offshore'!G67-'IS offshore'!H63))-IFERROR('CF offshore'!H9*(INDEX('Scenarios offshore'!106:106,MATCH('CF offshore'!H$5,'Scenarios offshore'!4:4,0))+INDEX('Scenarios offshore'!129:129,MATCH('CF offshore'!H$5,'Scenarios offshore'!4:4,0))),0)*Currency_conversion_BU1</f>
        <v>0</v>
      </c>
      <c r="I28" s="263">
        <f>-(OR(I6,I7)*('BS offshore'!I51-'BS offshore'!H51+'BS offshore'!I63-'BS offshore'!H63+'BS offshore'!I67-'BS offshore'!H67-'IS offshore'!I63))-IFERROR('CF offshore'!I9*(INDEX('Scenarios offshore'!106:106,MATCH('CF offshore'!I$5,'Scenarios offshore'!4:4,0))+INDEX('Scenarios offshore'!129:129,MATCH('CF offshore'!I$5,'Scenarios offshore'!4:4,0))),0)*Currency_conversion_BU1</f>
        <v>0</v>
      </c>
      <c r="J28" s="263">
        <f>-(OR(J6,J7)*('BS offshore'!J51-'BS offshore'!I51+'BS offshore'!J63-'BS offshore'!I63+'BS offshore'!J67-'BS offshore'!I67-'IS offshore'!J63))-IFERROR('CF offshore'!J9*(INDEX('Scenarios offshore'!106:106,MATCH('CF offshore'!J$5,'Scenarios offshore'!4:4,0))+INDEX('Scenarios offshore'!129:129,MATCH('CF offshore'!J$5,'Scenarios offshore'!4:4,0))),0)*Currency_conversion_BU1</f>
        <v>0</v>
      </c>
      <c r="K28" s="263">
        <f>-(OR(K6,K7)*('BS offshore'!K51-'BS offshore'!J51+'BS offshore'!K63-'BS offshore'!J63+'BS offshore'!K67-'BS offshore'!J67-'IS offshore'!K63))-IFERROR('CF offshore'!K9*(INDEX('Scenarios offshore'!106:106,MATCH('CF offshore'!K$5,'Scenarios offshore'!4:4,0))+INDEX('Scenarios offshore'!129:129,MATCH('CF offshore'!K$5,'Scenarios offshore'!4:4,0))),0)*Currency_conversion_BU1</f>
        <v>0</v>
      </c>
      <c r="L28" s="263">
        <f>-(OR(L6,L7)*('BS offshore'!L51-'BS offshore'!K51+'BS offshore'!L63-'BS offshore'!K63+'BS offshore'!L67-'BS offshore'!K67-'IS offshore'!L63))-IFERROR('CF offshore'!L9*(INDEX('Scenarios offshore'!106:106,MATCH('CF offshore'!L$5,'Scenarios offshore'!4:4,0))+INDEX('Scenarios offshore'!129:129,MATCH('CF offshore'!L$5,'Scenarios offshore'!4:4,0))),0)*Currency_conversion_BU1</f>
        <v>0</v>
      </c>
      <c r="M28" s="263">
        <f>-(OR(M6,M7)*('BS offshore'!M51-'BS offshore'!L51+'BS offshore'!M63-'BS offshore'!L63+'BS offshore'!M67-'BS offshore'!L67-'IS offshore'!M63))-IFERROR('CF offshore'!M9*(INDEX('Scenarios offshore'!106:106,MATCH('CF offshore'!M$5,'Scenarios offshore'!4:4,0))+INDEX('Scenarios offshore'!129:129,MATCH('CF offshore'!M$5,'Scenarios offshore'!4:4,0))),0)*Currency_conversion_BU1</f>
        <v>0</v>
      </c>
      <c r="N28" s="263">
        <f>-(OR(N6,N7)*('BS offshore'!N51-'BS offshore'!M51+'BS offshore'!N63-'BS offshore'!M63+'BS offshore'!N67-'BS offshore'!M67-'IS offshore'!N63))-IFERROR('CF offshore'!N9*(INDEX('Scenarios offshore'!106:106,MATCH('CF offshore'!N$5,'Scenarios offshore'!4:4,0))+INDEX('Scenarios offshore'!129:129,MATCH('CF offshore'!N$5,'Scenarios offshore'!4:4,0))),0)*Currency_conversion_BU1</f>
        <v>0</v>
      </c>
      <c r="O28" s="263">
        <f>-(OR(O6,O7)*('BS offshore'!O51-'BS offshore'!N51+'BS offshore'!O63-'BS offshore'!N63+'BS offshore'!O67-'BS offshore'!N67-'IS offshore'!O63))-IFERROR('CF offshore'!O9*(INDEX('Scenarios offshore'!106:106,MATCH('CF offshore'!O$5,'Scenarios offshore'!4:4,0))+INDEX('Scenarios offshore'!129:129,MATCH('CF offshore'!O$5,'Scenarios offshore'!4:4,0))),0)*Currency_conversion_BU1</f>
        <v>0</v>
      </c>
      <c r="P28" s="263">
        <f>-(OR(P6,P7)*('BS offshore'!P51-'BS offshore'!O51+'BS offshore'!P63-'BS offshore'!O63+'BS offshore'!P67-'BS offshore'!O67-'IS offshore'!P63))-IFERROR('CF offshore'!P9*(INDEX('Scenarios offshore'!106:106,MATCH('CF offshore'!P$5,'Scenarios offshore'!4:4,0))+INDEX('Scenarios offshore'!129:129,MATCH('CF offshore'!P$5,'Scenarios offshore'!4:4,0))),0)*Currency_conversion_BU1</f>
        <v>0</v>
      </c>
      <c r="Q28" s="263">
        <f>-(OR(Q6,Q7)*('BS offshore'!Q51-'BS offshore'!P51+'BS offshore'!Q63-'BS offshore'!P63+'BS offshore'!Q67-'BS offshore'!P67-'IS offshore'!Q63))-IFERROR('CF offshore'!Q9*(INDEX('Scenarios offshore'!106:106,MATCH('CF offshore'!Q$5,'Scenarios offshore'!4:4,0))+INDEX('Scenarios offshore'!129:129,MATCH('CF offshore'!Q$5,'Scenarios offshore'!4:4,0))),0)*Currency_conversion_BU1</f>
        <v>0</v>
      </c>
      <c r="R28" s="263">
        <f>-(OR(R6,R7)*('BS offshore'!R51-'BS offshore'!Q51+'BS offshore'!R63-'BS offshore'!Q63+'BS offshore'!R67-'BS offshore'!Q67-'IS offshore'!R63))-IFERROR('CF offshore'!R9*(INDEX('Scenarios offshore'!106:106,MATCH('CF offshore'!R$5,'Scenarios offshore'!4:4,0))+INDEX('Scenarios offshore'!129:129,MATCH('CF offshore'!R$5,'Scenarios offshore'!4:4,0))),0)*Currency_conversion_BU1</f>
        <v>0</v>
      </c>
      <c r="S28" s="263">
        <f>-(OR(S6,S7)*('BS offshore'!S51-'BS offshore'!R51+'BS offshore'!S63-'BS offshore'!R63+'BS offshore'!S67-'BS offshore'!R67-'IS offshore'!S63))-IFERROR('CF offshore'!S9*(INDEX('Scenarios offshore'!106:106,MATCH('CF offshore'!S$5,'Scenarios offshore'!4:4,0))+INDEX('Scenarios offshore'!129:129,MATCH('CF offshore'!S$5,'Scenarios offshore'!4:4,0))),0)*Currency_conversion_BU1</f>
        <v>0</v>
      </c>
      <c r="T28" s="263">
        <f>-(OR(T6,T7)*('BS offshore'!T51-'BS offshore'!S51+'BS offshore'!T63-'BS offshore'!S63+'BS offshore'!T67-'BS offshore'!S67-'IS offshore'!T63))-IFERROR('CF offshore'!T9*(INDEX('Scenarios offshore'!106:106,MATCH('CF offshore'!T$5,'Scenarios offshore'!4:4,0))+INDEX('Scenarios offshore'!129:129,MATCH('CF offshore'!T$5,'Scenarios offshore'!4:4,0))),0)*Currency_conversion_BU1</f>
        <v>0</v>
      </c>
      <c r="U28" s="263">
        <f>-(OR(U6,U7)*('BS offshore'!U51-'BS offshore'!T51+'BS offshore'!U63-'BS offshore'!T63+'BS offshore'!U67-'BS offshore'!T67-'IS offshore'!U63))-IFERROR('CF offshore'!U9*(INDEX('Scenarios offshore'!106:106,MATCH('CF offshore'!U$5,'Scenarios offshore'!4:4,0))+INDEX('Scenarios offshore'!129:129,MATCH('CF offshore'!U$5,'Scenarios offshore'!4:4,0))),0)*Currency_conversion_BU1</f>
        <v>0</v>
      </c>
      <c r="V28" s="263">
        <f>-(OR(V6,V7)*('BS offshore'!V51-'BS offshore'!U51+'BS offshore'!V63-'BS offshore'!U63+'BS offshore'!V67-'BS offshore'!U67-'IS offshore'!V63))-IFERROR('CF offshore'!V9*(INDEX('Scenarios offshore'!106:106,MATCH('CF offshore'!V$5,'Scenarios offshore'!4:4,0))+INDEX('Scenarios offshore'!129:129,MATCH('CF offshore'!V$5,'Scenarios offshore'!4:4,0))),0)*Currency_conversion_BU1</f>
        <v>0</v>
      </c>
      <c r="W28" s="263">
        <f>-(OR(W6,W7)*('BS offshore'!W51-'BS offshore'!V51+'BS offshore'!W63-'BS offshore'!V63+'BS offshore'!W67-'BS offshore'!V67-'IS offshore'!W63))-IFERROR('CF offshore'!W9*(INDEX('Scenarios offshore'!106:106,MATCH('CF offshore'!W$5,'Scenarios offshore'!4:4,0))+INDEX('Scenarios offshore'!129:129,MATCH('CF offshore'!W$5,'Scenarios offshore'!4:4,0))),0)*Currency_conversion_BU1</f>
        <v>0</v>
      </c>
      <c r="X28" s="263">
        <f>-(OR(X6,X7)*('BS offshore'!X51-'BS offshore'!W51+'BS offshore'!X63-'BS offshore'!W63+'BS offshore'!X67-'BS offshore'!W67-'IS offshore'!X63))-IFERROR('CF offshore'!X9*(INDEX('Scenarios offshore'!106:106,MATCH('CF offshore'!X$5,'Scenarios offshore'!4:4,0))+INDEX('Scenarios offshore'!129:129,MATCH('CF offshore'!X$5,'Scenarios offshore'!4:4,0))),0)*Currency_conversion_BU1</f>
        <v>0</v>
      </c>
      <c r="Y28" s="263">
        <f>-(OR(Y6,Y7)*('BS offshore'!Y51-'BS offshore'!X51+'BS offshore'!Y63-'BS offshore'!X63+'BS offshore'!Y67-'BS offshore'!X67-'IS offshore'!Y63))-IFERROR('CF offshore'!Y9*(INDEX('Scenarios offshore'!106:106,MATCH('CF offshore'!Y$5,'Scenarios offshore'!4:4,0))+INDEX('Scenarios offshore'!129:129,MATCH('CF offshore'!Y$5,'Scenarios offshore'!4:4,0))),0)*Currency_conversion_BU1</f>
        <v>0</v>
      </c>
      <c r="Z28" s="263">
        <f>-(OR(Z6,Z7)*('BS offshore'!Z51-'BS offshore'!Y51+'BS offshore'!Z63-'BS offshore'!Y63+'BS offshore'!Z67-'BS offshore'!Y67-'IS offshore'!Z63))-IFERROR('CF offshore'!Z9*(INDEX('Scenarios offshore'!106:106,MATCH('CF offshore'!Z$5,'Scenarios offshore'!4:4,0))+INDEX('Scenarios offshore'!129:129,MATCH('CF offshore'!Z$5,'Scenarios offshore'!4:4,0))),0)*Currency_conversion_BU1</f>
        <v>0</v>
      </c>
      <c r="AA28" s="263">
        <f>-(OR(AA6,AA7)*('BS offshore'!AA51-'BS offshore'!Z51+'BS offshore'!AA63-'BS offshore'!Z63+'BS offshore'!AA67-'BS offshore'!Z67-'IS offshore'!AA63))-IFERROR('CF offshore'!AA9*(INDEX('Scenarios offshore'!106:106,MATCH('CF offshore'!AA$5,'Scenarios offshore'!4:4,0))+INDEX('Scenarios offshore'!129:129,MATCH('CF offshore'!AA$5,'Scenarios offshore'!4:4,0))),0)*Currency_conversion_BU1</f>
        <v>0</v>
      </c>
      <c r="AB28" s="263">
        <f>-(OR(AB6,AB7)*('BS offshore'!AB51-'BS offshore'!AA51+'BS offshore'!AB63-'BS offshore'!AA63+'BS offshore'!AB67-'BS offshore'!AA67-'IS offshore'!AB63))-IFERROR('CF offshore'!AB9*(INDEX('Scenarios offshore'!106:106,MATCH('CF offshore'!AB$5,'Scenarios offshore'!4:4,0))+INDEX('Scenarios offshore'!129:129,MATCH('CF offshore'!AB$5,'Scenarios offshore'!4:4,0))),0)*Currency_conversion_BU1</f>
        <v>0</v>
      </c>
      <c r="AC28" s="263">
        <f>-(OR(AC6,AC7)*('BS offshore'!AC51-'BS offshore'!AB51+'BS offshore'!AC63-'BS offshore'!AB63+'BS offshore'!AC67-'BS offshore'!AB67-'IS offshore'!AC63))-IFERROR('CF offshore'!AC9*(INDEX('Scenarios offshore'!106:106,MATCH('CF offshore'!AC$5,'Scenarios offshore'!4:4,0))+INDEX('Scenarios offshore'!129:129,MATCH('CF offshore'!AC$5,'Scenarios offshore'!4:4,0))),0)*Currency_conversion_BU1</f>
        <v>0</v>
      </c>
    </row>
    <row r="29" spans="1:29" outlineLevel="1">
      <c r="C29" s="372"/>
      <c r="D29" s="373" t="s">
        <v>1452</v>
      </c>
      <c r="E29" s="263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</row>
    <row r="30" spans="1:29" outlineLevel="1">
      <c r="C30" s="372"/>
      <c r="D30" s="373" t="s">
        <v>1450</v>
      </c>
      <c r="E30" s="263"/>
      <c r="F30" s="197"/>
      <c r="G30" s="197"/>
      <c r="H30" s="197"/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  <c r="AA30" s="197"/>
      <c r="AB30" s="197"/>
      <c r="AC30" s="197"/>
    </row>
    <row r="31" spans="1:29" outlineLevel="1">
      <c r="C31" s="372"/>
      <c r="D31" s="373" t="s">
        <v>1451</v>
      </c>
      <c r="E31" s="263"/>
      <c r="F31" s="263">
        <f t="shared" ref="F31:AC31" si="11">F28-F29-F30</f>
        <v>0</v>
      </c>
      <c r="G31" s="263">
        <f t="shared" si="11"/>
        <v>0</v>
      </c>
      <c r="H31" s="263">
        <f t="shared" si="11"/>
        <v>0</v>
      </c>
      <c r="I31" s="263">
        <f t="shared" si="11"/>
        <v>0</v>
      </c>
      <c r="J31" s="263">
        <f t="shared" si="11"/>
        <v>0</v>
      </c>
      <c r="K31" s="263">
        <f t="shared" si="11"/>
        <v>0</v>
      </c>
      <c r="L31" s="263">
        <f t="shared" si="11"/>
        <v>0</v>
      </c>
      <c r="M31" s="263">
        <f t="shared" si="11"/>
        <v>0</v>
      </c>
      <c r="N31" s="263">
        <f t="shared" si="11"/>
        <v>0</v>
      </c>
      <c r="O31" s="263">
        <f t="shared" si="11"/>
        <v>0</v>
      </c>
      <c r="P31" s="263">
        <f t="shared" si="11"/>
        <v>0</v>
      </c>
      <c r="Q31" s="263">
        <f t="shared" si="11"/>
        <v>0</v>
      </c>
      <c r="R31" s="263">
        <f t="shared" si="11"/>
        <v>0</v>
      </c>
      <c r="S31" s="263">
        <f t="shared" si="11"/>
        <v>0</v>
      </c>
      <c r="T31" s="263">
        <f t="shared" si="11"/>
        <v>0</v>
      </c>
      <c r="U31" s="263">
        <f t="shared" si="11"/>
        <v>0</v>
      </c>
      <c r="V31" s="263">
        <f t="shared" si="11"/>
        <v>0</v>
      </c>
      <c r="W31" s="263">
        <f t="shared" si="11"/>
        <v>0</v>
      </c>
      <c r="X31" s="263">
        <f t="shared" si="11"/>
        <v>0</v>
      </c>
      <c r="Y31" s="263">
        <f t="shared" si="11"/>
        <v>0</v>
      </c>
      <c r="Z31" s="263">
        <f t="shared" si="11"/>
        <v>0</v>
      </c>
      <c r="AA31" s="263">
        <f t="shared" si="11"/>
        <v>0</v>
      </c>
      <c r="AB31" s="263">
        <f t="shared" si="11"/>
        <v>0</v>
      </c>
      <c r="AC31" s="263">
        <f t="shared" si="11"/>
        <v>0</v>
      </c>
    </row>
    <row r="32" spans="1:29">
      <c r="C32" s="266" t="s">
        <v>853</v>
      </c>
      <c r="D32" s="263"/>
      <c r="E32" s="263"/>
      <c r="F32" s="263">
        <f>'BS offshore'!E29-'BS offshore'!F29+'BS offshore'!E55-'BS offshore'!F55+'BS offshore'!E59-'BS offshore'!F59</f>
        <v>0</v>
      </c>
      <c r="G32" s="263">
        <f>'BS offshore'!F29-'BS offshore'!G29+'BS offshore'!F55-'BS offshore'!G55+'BS offshore'!F59-'BS offshore'!G59</f>
        <v>0</v>
      </c>
      <c r="H32" s="263">
        <f>'BS offshore'!G29-'BS offshore'!H29+'BS offshore'!G55-'BS offshore'!H55+'BS offshore'!G59-'BS offshore'!H59</f>
        <v>0</v>
      </c>
      <c r="I32" s="263">
        <f>'BS offshore'!H29-'BS offshore'!I29+'BS offshore'!H55-'BS offshore'!I55+'BS offshore'!H59-'BS offshore'!I59</f>
        <v>0</v>
      </c>
      <c r="J32" s="263">
        <f>'BS offshore'!I29-'BS offshore'!J29+'BS offshore'!I55-'BS offshore'!J55+'BS offshore'!I59-'BS offshore'!J59</f>
        <v>0</v>
      </c>
      <c r="K32" s="263">
        <f>'BS offshore'!J29-'BS offshore'!K29+'BS offshore'!J55-'BS offshore'!K55+'BS offshore'!J59-'BS offshore'!K59</f>
        <v>0</v>
      </c>
      <c r="L32" s="263">
        <f>'BS offshore'!K29-'BS offshore'!L29+'BS offshore'!K55-'BS offshore'!L55+'BS offshore'!K59-'BS offshore'!L59</f>
        <v>0</v>
      </c>
      <c r="M32" s="263">
        <f>'BS offshore'!L29-'BS offshore'!M29+'BS offshore'!L55-'BS offshore'!M55+'BS offshore'!L59-'BS offshore'!M59</f>
        <v>0</v>
      </c>
      <c r="N32" s="263">
        <f>'BS offshore'!M29-'BS offshore'!N29+'BS offshore'!M55-'BS offshore'!N55+'BS offshore'!M59-'BS offshore'!N59</f>
        <v>0</v>
      </c>
      <c r="O32" s="263">
        <f>'BS offshore'!N29-'BS offshore'!O29+'BS offshore'!N55-'BS offshore'!O55+'BS offshore'!N59-'BS offshore'!O59</f>
        <v>0</v>
      </c>
      <c r="P32" s="263">
        <f>'BS offshore'!O29-'BS offshore'!P29+'BS offshore'!O55-'BS offshore'!P55+'BS offshore'!O59-'BS offshore'!P59</f>
        <v>0</v>
      </c>
      <c r="Q32" s="263">
        <f>'BS offshore'!P29-'BS offshore'!Q29+'BS offshore'!P55-'BS offshore'!Q55+'BS offshore'!P59-'BS offshore'!Q59</f>
        <v>0</v>
      </c>
      <c r="R32" s="263">
        <f>'BS offshore'!Q29-'BS offshore'!R29+'BS offshore'!Q55-'BS offshore'!R55+'BS offshore'!Q59-'BS offshore'!R59</f>
        <v>0</v>
      </c>
      <c r="S32" s="263">
        <f>'BS offshore'!R29-'BS offshore'!S29+'BS offshore'!R55-'BS offshore'!S55+'BS offshore'!R59-'BS offshore'!S59</f>
        <v>0</v>
      </c>
      <c r="T32" s="263">
        <f>'BS offshore'!S29-'BS offshore'!T29+'BS offshore'!S55-'BS offshore'!T55+'BS offshore'!S59-'BS offshore'!T59</f>
        <v>0</v>
      </c>
      <c r="U32" s="263">
        <f>'BS offshore'!T29-'BS offshore'!U29+'BS offshore'!T55-'BS offshore'!U55+'BS offshore'!T59-'BS offshore'!U59</f>
        <v>0</v>
      </c>
      <c r="V32" s="263">
        <f>'BS offshore'!U29-'BS offshore'!V29+'BS offshore'!U55-'BS offshore'!V55+'BS offshore'!U59-'BS offshore'!V59</f>
        <v>0</v>
      </c>
      <c r="W32" s="263">
        <f>'BS offshore'!V29-'BS offshore'!W29+'BS offshore'!V55-'BS offshore'!W55+'BS offshore'!V59-'BS offshore'!W59</f>
        <v>0</v>
      </c>
      <c r="X32" s="263">
        <f>'BS offshore'!W29-'BS offshore'!X29+'BS offshore'!W55-'BS offshore'!X55+'BS offshore'!W59-'BS offshore'!X59</f>
        <v>0</v>
      </c>
      <c r="Y32" s="263">
        <f>'BS offshore'!X29-'BS offshore'!Y29+'BS offshore'!X55-'BS offshore'!Y55+'BS offshore'!X59-'BS offshore'!Y59</f>
        <v>0</v>
      </c>
      <c r="Z32" s="263">
        <f>'BS offshore'!Y29-'BS offshore'!Z29+'BS offshore'!Y55-'BS offshore'!Z55+'BS offshore'!Y59-'BS offshore'!Z59</f>
        <v>0</v>
      </c>
      <c r="AA32" s="263">
        <f>'BS offshore'!Z29-'BS offshore'!AA29+'BS offshore'!Z55-'BS offshore'!AA55+'BS offshore'!Z59-'BS offshore'!AA59</f>
        <v>0</v>
      </c>
      <c r="AB32" s="263">
        <f>'BS offshore'!AA29-'BS offshore'!AB29+'BS offshore'!AA55-'BS offshore'!AB55+'BS offshore'!AA59-'BS offshore'!AB59</f>
        <v>0</v>
      </c>
      <c r="AC32" s="263">
        <f>'BS offshore'!AB29-'BS offshore'!AC29+'BS offshore'!AB55-'BS offshore'!AC55+'BS offshore'!AB59-'BS offshore'!AC59</f>
        <v>0</v>
      </c>
    </row>
    <row r="33" spans="1:29">
      <c r="C33" s="199" t="s">
        <v>679</v>
      </c>
      <c r="D33" s="199"/>
      <c r="E33" s="199"/>
      <c r="F33" s="199">
        <f t="shared" ref="F33:AC33" si="12">F28+F32</f>
        <v>0</v>
      </c>
      <c r="G33" s="199">
        <f t="shared" si="12"/>
        <v>0</v>
      </c>
      <c r="H33" s="199">
        <f t="shared" si="12"/>
        <v>0</v>
      </c>
      <c r="I33" s="199">
        <f t="shared" si="12"/>
        <v>0</v>
      </c>
      <c r="J33" s="199">
        <f t="shared" si="12"/>
        <v>0</v>
      </c>
      <c r="K33" s="199">
        <f t="shared" si="12"/>
        <v>0</v>
      </c>
      <c r="L33" s="199">
        <f t="shared" si="12"/>
        <v>0</v>
      </c>
      <c r="M33" s="199">
        <f t="shared" si="12"/>
        <v>0</v>
      </c>
      <c r="N33" s="199">
        <f t="shared" si="12"/>
        <v>0</v>
      </c>
      <c r="O33" s="199">
        <f t="shared" si="12"/>
        <v>0</v>
      </c>
      <c r="P33" s="199">
        <f t="shared" si="12"/>
        <v>0</v>
      </c>
      <c r="Q33" s="199">
        <f t="shared" si="12"/>
        <v>0</v>
      </c>
      <c r="R33" s="199">
        <f t="shared" si="12"/>
        <v>0</v>
      </c>
      <c r="S33" s="199">
        <f t="shared" si="12"/>
        <v>0</v>
      </c>
      <c r="T33" s="199">
        <f t="shared" si="12"/>
        <v>0</v>
      </c>
      <c r="U33" s="199">
        <f t="shared" si="12"/>
        <v>0</v>
      </c>
      <c r="V33" s="199">
        <f t="shared" si="12"/>
        <v>0</v>
      </c>
      <c r="W33" s="199">
        <f t="shared" si="12"/>
        <v>0</v>
      </c>
      <c r="X33" s="199">
        <f t="shared" si="12"/>
        <v>0</v>
      </c>
      <c r="Y33" s="199">
        <f t="shared" si="12"/>
        <v>0</v>
      </c>
      <c r="Z33" s="199">
        <f t="shared" si="12"/>
        <v>0</v>
      </c>
      <c r="AA33" s="199">
        <f t="shared" si="12"/>
        <v>0</v>
      </c>
      <c r="AB33" s="199">
        <f t="shared" si="12"/>
        <v>0</v>
      </c>
      <c r="AC33" s="199">
        <f t="shared" si="12"/>
        <v>0</v>
      </c>
    </row>
    <row r="34" spans="1:29">
      <c r="C34" s="195" t="s">
        <v>783</v>
      </c>
      <c r="D34" s="195"/>
      <c r="E34" s="195"/>
      <c r="F34" s="195">
        <f>F33+F27</f>
        <v>0</v>
      </c>
      <c r="G34" s="195">
        <f t="shared" ref="G34:AC34" si="13">G33+G27</f>
        <v>0</v>
      </c>
      <c r="H34" s="195">
        <f t="shared" si="13"/>
        <v>0</v>
      </c>
      <c r="I34" s="195">
        <f t="shared" si="13"/>
        <v>0</v>
      </c>
      <c r="J34" s="195">
        <f t="shared" si="13"/>
        <v>0</v>
      </c>
      <c r="K34" s="195">
        <f t="shared" si="13"/>
        <v>0</v>
      </c>
      <c r="L34" s="195">
        <f t="shared" si="13"/>
        <v>0</v>
      </c>
      <c r="M34" s="195">
        <f t="shared" si="13"/>
        <v>0</v>
      </c>
      <c r="N34" s="195">
        <f t="shared" si="13"/>
        <v>0</v>
      </c>
      <c r="O34" s="195">
        <f t="shared" si="13"/>
        <v>0</v>
      </c>
      <c r="P34" s="195">
        <f t="shared" si="13"/>
        <v>0</v>
      </c>
      <c r="Q34" s="195">
        <f t="shared" si="13"/>
        <v>0</v>
      </c>
      <c r="R34" s="195">
        <f t="shared" si="13"/>
        <v>0</v>
      </c>
      <c r="S34" s="195">
        <f t="shared" si="13"/>
        <v>0</v>
      </c>
      <c r="T34" s="195">
        <f t="shared" si="13"/>
        <v>0</v>
      </c>
      <c r="U34" s="195">
        <f t="shared" si="13"/>
        <v>0</v>
      </c>
      <c r="V34" s="195">
        <f t="shared" si="13"/>
        <v>0</v>
      </c>
      <c r="W34" s="195">
        <f t="shared" si="13"/>
        <v>0</v>
      </c>
      <c r="X34" s="195">
        <f t="shared" si="13"/>
        <v>0</v>
      </c>
      <c r="Y34" s="195">
        <f t="shared" si="13"/>
        <v>0</v>
      </c>
      <c r="Z34" s="195">
        <f t="shared" si="13"/>
        <v>0</v>
      </c>
      <c r="AA34" s="195">
        <f t="shared" si="13"/>
        <v>0</v>
      </c>
      <c r="AB34" s="195">
        <f t="shared" si="13"/>
        <v>0</v>
      </c>
      <c r="AC34" s="195">
        <f t="shared" si="13"/>
        <v>0</v>
      </c>
    </row>
    <row r="35" spans="1:29">
      <c r="A35" s="53"/>
      <c r="C35" s="265" t="s">
        <v>847</v>
      </c>
      <c r="D35" s="263"/>
      <c r="E35" s="263"/>
      <c r="F35" s="263">
        <f>+'IS offshore'!F77</f>
        <v>0</v>
      </c>
      <c r="G35" s="263">
        <f>+'IS offshore'!G77</f>
        <v>0</v>
      </c>
      <c r="H35" s="263">
        <f>+'IS offshore'!H77</f>
        <v>0</v>
      </c>
      <c r="I35" s="263">
        <f>+'IS offshore'!I77</f>
        <v>0</v>
      </c>
      <c r="J35" s="263">
        <f ca="1">+'IS offshore'!J77</f>
        <v>0</v>
      </c>
      <c r="K35" s="263">
        <f ca="1">+'IS offshore'!K77</f>
        <v>0</v>
      </c>
      <c r="L35" s="263">
        <f ca="1">+'IS offshore'!L77</f>
        <v>0</v>
      </c>
      <c r="M35" s="263">
        <f ca="1">+'IS offshore'!M77</f>
        <v>0</v>
      </c>
      <c r="N35" s="263">
        <f ca="1">+'IS offshore'!N77</f>
        <v>0</v>
      </c>
      <c r="O35" s="263">
        <f ca="1">+'IS offshore'!O77</f>
        <v>0</v>
      </c>
      <c r="P35" s="263">
        <f ca="1">+'IS offshore'!P77</f>
        <v>0</v>
      </c>
      <c r="Q35" s="263">
        <f>+'IS offshore'!Q77</f>
        <v>0</v>
      </c>
      <c r="R35" s="263">
        <f>+'IS offshore'!R77</f>
        <v>0</v>
      </c>
      <c r="S35" s="263">
        <f>+'IS offshore'!S77</f>
        <v>0</v>
      </c>
      <c r="T35" s="263">
        <f>+'IS offshore'!T77</f>
        <v>0</v>
      </c>
      <c r="U35" s="263">
        <f>+'IS offshore'!U77</f>
        <v>0</v>
      </c>
      <c r="V35" s="263">
        <f>+'IS offshore'!V77</f>
        <v>0</v>
      </c>
      <c r="W35" s="263">
        <f>+'IS offshore'!W77</f>
        <v>0</v>
      </c>
      <c r="X35" s="263">
        <f>+'IS offshore'!X77</f>
        <v>0</v>
      </c>
      <c r="Y35" s="263">
        <f>+'IS offshore'!Y77</f>
        <v>0</v>
      </c>
      <c r="Z35" s="263">
        <f>+'IS offshore'!Z77</f>
        <v>0</v>
      </c>
      <c r="AA35" s="263">
        <f>+'IS offshore'!AA77</f>
        <v>0</v>
      </c>
      <c r="AB35" s="263">
        <f>+'IS offshore'!AB77</f>
        <v>0</v>
      </c>
      <c r="AC35" s="263">
        <f>+'IS offshore'!AC77</f>
        <v>0</v>
      </c>
    </row>
    <row r="36" spans="1:29">
      <c r="C36" s="266" t="s">
        <v>1758</v>
      </c>
      <c r="D36" s="263"/>
      <c r="E36" s="263"/>
      <c r="F36" s="263">
        <f>F9*SUMIF('Financial Quarterly offshore'!7:7,'CF offshore'!F10,'Financial Quarterly offshore'!100:100)-F9*SUMIF('Financial Quarterly offshore'!7:7,'CF offshore'!F10,'Financial Quarterly offshore'!99:99)</f>
        <v>0</v>
      </c>
      <c r="G36" s="263">
        <f>G9*SUMIF('Financial Quarterly offshore'!7:7,'CF offshore'!G10,'Financial Quarterly offshore'!100:100)-G9*SUMIF('Financial Quarterly offshore'!7:7,'CF offshore'!G10,'Financial Quarterly offshore'!99:99)</f>
        <v>0</v>
      </c>
      <c r="H36" s="263">
        <f>H9*SUMIF('Financial Quarterly offshore'!7:7,'CF offshore'!H10,'Financial Quarterly offshore'!100:100)-H9*SUMIF('Financial Quarterly offshore'!7:7,'CF offshore'!H10,'Financial Quarterly offshore'!99:99)</f>
        <v>0</v>
      </c>
      <c r="I36" s="263">
        <f>I9*SUMIF('Financial Quarterly offshore'!7:7,'CF offshore'!I10,'Financial Quarterly offshore'!100:100)-I9*SUMIF('Financial Quarterly offshore'!7:7,'CF offshore'!I10,'Financial Quarterly offshore'!99:99)</f>
        <v>0</v>
      </c>
      <c r="J36" s="263">
        <f ca="1">J9*SUMIF('Financial Quarterly offshore'!7:7,'CF offshore'!J10,'Financial Quarterly offshore'!100:100)-J9*SUMIF('Financial Quarterly offshore'!7:7,'CF offshore'!J10,'Financial Quarterly offshore'!99:99)</f>
        <v>0</v>
      </c>
      <c r="K36" s="263">
        <f ca="1">K9*SUMIF('Financial Quarterly offshore'!7:7,'CF offshore'!K10,'Financial Quarterly offshore'!100:100)-K9*SUMIF('Financial Quarterly offshore'!7:7,'CF offshore'!K10,'Financial Quarterly offshore'!99:99)</f>
        <v>0</v>
      </c>
      <c r="L36" s="263">
        <f ca="1">L9*SUMIF('Financial Quarterly offshore'!7:7,'CF offshore'!L10,'Financial Quarterly offshore'!100:100)-L9*SUMIF('Financial Quarterly offshore'!7:7,'CF offshore'!L10,'Financial Quarterly offshore'!99:99)</f>
        <v>0</v>
      </c>
      <c r="M36" s="263">
        <f ca="1">M9*SUMIF('Financial Quarterly offshore'!7:7,'CF offshore'!M10,'Financial Quarterly offshore'!100:100)-M9*SUMIF('Financial Quarterly offshore'!7:7,'CF offshore'!M10,'Financial Quarterly offshore'!99:99)</f>
        <v>0</v>
      </c>
      <c r="N36" s="263">
        <f ca="1">N9*SUMIF('Financial Quarterly offshore'!7:7,'CF offshore'!N10,'Financial Quarterly offshore'!100:100)-N9*SUMIF('Financial Quarterly offshore'!7:7,'CF offshore'!N10,'Financial Quarterly offshore'!99:99)</f>
        <v>0</v>
      </c>
      <c r="O36" s="263">
        <f ca="1">O9*SUMIF('Financial Quarterly offshore'!7:7,'CF offshore'!O10,'Financial Quarterly offshore'!100:100)-O9*SUMIF('Financial Quarterly offshore'!7:7,'CF offshore'!O10,'Financial Quarterly offshore'!99:99)</f>
        <v>0</v>
      </c>
      <c r="P36" s="263">
        <f ca="1">P9*SUMIF('Financial Quarterly offshore'!7:7,'CF offshore'!P10,'Financial Quarterly offshore'!100:100)-P9*SUMIF('Financial Quarterly offshore'!7:7,'CF offshore'!P10,'Financial Quarterly offshore'!99:99)</f>
        <v>0</v>
      </c>
      <c r="Q36" s="263">
        <f>Q9*SUMIF('Financial Quarterly offshore'!7:7,'CF offshore'!Q10,'Financial Quarterly offshore'!100:100)-Q9*SUMIF('Financial Quarterly offshore'!7:7,'CF offshore'!Q10,'Financial Quarterly offshore'!99:99)</f>
        <v>0</v>
      </c>
      <c r="R36" s="263">
        <f>R9*SUMIF('Financial Quarterly offshore'!7:7,'CF offshore'!R10,'Financial Quarterly offshore'!100:100)-R9*SUMIF('Financial Quarterly offshore'!7:7,'CF offshore'!R10,'Financial Quarterly offshore'!99:99)</f>
        <v>0</v>
      </c>
      <c r="S36" s="263">
        <f>S9*SUMIF('Financial Quarterly offshore'!7:7,'CF offshore'!S10,'Financial Quarterly offshore'!100:100)-S9*SUMIF('Financial Quarterly offshore'!7:7,'CF offshore'!S10,'Financial Quarterly offshore'!99:99)</f>
        <v>0</v>
      </c>
      <c r="T36" s="263">
        <f>T9*SUMIF('Financial Quarterly offshore'!7:7,'CF offshore'!T10,'Financial Quarterly offshore'!100:100)-T9*SUMIF('Financial Quarterly offshore'!7:7,'CF offshore'!T10,'Financial Quarterly offshore'!99:99)</f>
        <v>0</v>
      </c>
      <c r="U36" s="263">
        <f>U9*SUMIF('Financial Quarterly offshore'!7:7,'CF offshore'!U10,'Financial Quarterly offshore'!100:100)-U9*SUMIF('Financial Quarterly offshore'!7:7,'CF offshore'!U10,'Financial Quarterly offshore'!99:99)</f>
        <v>0</v>
      </c>
      <c r="V36" s="263">
        <f>V9*SUMIF('Financial Quarterly offshore'!7:7,'CF offshore'!V10,'Financial Quarterly offshore'!100:100)-V9*SUMIF('Financial Quarterly offshore'!7:7,'CF offshore'!V10,'Financial Quarterly offshore'!99:99)</f>
        <v>0</v>
      </c>
      <c r="W36" s="263">
        <f>W9*SUMIF('Financial Quarterly offshore'!7:7,'CF offshore'!W10,'Financial Quarterly offshore'!100:100)-W9*SUMIF('Financial Quarterly offshore'!7:7,'CF offshore'!W10,'Financial Quarterly offshore'!99:99)</f>
        <v>0</v>
      </c>
      <c r="X36" s="263">
        <f>X9*SUMIF('Financial Quarterly offshore'!7:7,'CF offshore'!X10,'Financial Quarterly offshore'!100:100)-X9*SUMIF('Financial Quarterly offshore'!7:7,'CF offshore'!X10,'Financial Quarterly offshore'!99:99)</f>
        <v>0</v>
      </c>
      <c r="Y36" s="263">
        <f>Y9*SUMIF('Financial Quarterly offshore'!7:7,'CF offshore'!Y10,'Financial Quarterly offshore'!100:100)-Y9*SUMIF('Financial Quarterly offshore'!7:7,'CF offshore'!Y10,'Financial Quarterly offshore'!99:99)</f>
        <v>0</v>
      </c>
      <c r="Z36" s="263">
        <f>Z9*SUMIF('Financial Quarterly offshore'!7:7,'CF offshore'!Z10,'Financial Quarterly offshore'!100:100)-Z9*SUMIF('Financial Quarterly offshore'!7:7,'CF offshore'!Z10,'Financial Quarterly offshore'!99:99)</f>
        <v>0</v>
      </c>
      <c r="AA36" s="263">
        <f>AA9*SUMIF('Financial Quarterly offshore'!7:7,'CF offshore'!AA10,'Financial Quarterly offshore'!100:100)-AA9*SUMIF('Financial Quarterly offshore'!7:7,'CF offshore'!AA10,'Financial Quarterly offshore'!99:99)</f>
        <v>0</v>
      </c>
      <c r="AB36" s="263">
        <f>AB9*SUMIF('Financial Quarterly offshore'!7:7,'CF offshore'!AB10,'Financial Quarterly offshore'!100:100)-AB9*SUMIF('Financial Quarterly offshore'!7:7,'CF offshore'!AB10,'Financial Quarterly offshore'!99:99)</f>
        <v>0</v>
      </c>
      <c r="AC36" s="263">
        <f>AC9*SUMIF('Financial Quarterly offshore'!7:7,'CF offshore'!AC10,'Financial Quarterly offshore'!100:100)-AC9*SUMIF('Financial Quarterly offshore'!7:7,'CF offshore'!AC10,'Financial Quarterly offshore'!99:99)</f>
        <v>0</v>
      </c>
    </row>
    <row r="37" spans="1:29">
      <c r="C37" s="375" t="s">
        <v>1455</v>
      </c>
      <c r="D37" s="263"/>
      <c r="E37" s="263"/>
      <c r="F37" s="263">
        <f>+'IS offshore'!F86</f>
        <v>0</v>
      </c>
      <c r="G37" s="263">
        <f>+'IS offshore'!G86</f>
        <v>0</v>
      </c>
      <c r="H37" s="263">
        <f>+'IS offshore'!H86</f>
        <v>0</v>
      </c>
      <c r="I37" s="263">
        <f>+'IS offshore'!I86</f>
        <v>0</v>
      </c>
      <c r="J37" s="263">
        <f ca="1">+'IS offshore'!J86</f>
        <v>0</v>
      </c>
      <c r="K37" s="263">
        <f ca="1">+'IS offshore'!K86</f>
        <v>0</v>
      </c>
      <c r="L37" s="263">
        <f ca="1">+'IS offshore'!L86</f>
        <v>0</v>
      </c>
      <c r="M37" s="263">
        <f ca="1">+'IS offshore'!M86</f>
        <v>0</v>
      </c>
      <c r="N37" s="263">
        <f ca="1">+'IS offshore'!N86</f>
        <v>0</v>
      </c>
      <c r="O37" s="263">
        <f ca="1">+'IS offshore'!O86</f>
        <v>0</v>
      </c>
      <c r="P37" s="263">
        <f ca="1">+'IS offshore'!P86</f>
        <v>0</v>
      </c>
      <c r="Q37" s="263">
        <f>+'IS offshore'!Q86</f>
        <v>0</v>
      </c>
      <c r="R37" s="263">
        <f>+'IS offshore'!R86</f>
        <v>0</v>
      </c>
      <c r="S37" s="263">
        <f>+'IS offshore'!S86</f>
        <v>0</v>
      </c>
      <c r="T37" s="263">
        <f>+'IS offshore'!T86</f>
        <v>0</v>
      </c>
      <c r="U37" s="263">
        <f>+'IS offshore'!U86</f>
        <v>0</v>
      </c>
      <c r="V37" s="263">
        <f>+'IS offshore'!V86</f>
        <v>0</v>
      </c>
      <c r="W37" s="263">
        <f>+'IS offshore'!W86</f>
        <v>0</v>
      </c>
      <c r="X37" s="263">
        <f>+'IS offshore'!X86</f>
        <v>0</v>
      </c>
      <c r="Y37" s="263">
        <f>+'IS offshore'!Y86</f>
        <v>0</v>
      </c>
      <c r="Z37" s="263">
        <f>+'IS offshore'!Z86</f>
        <v>0</v>
      </c>
      <c r="AA37" s="263">
        <f>+'IS offshore'!AA86</f>
        <v>0</v>
      </c>
      <c r="AB37" s="263">
        <f>+'IS offshore'!AB86</f>
        <v>0</v>
      </c>
      <c r="AC37" s="263">
        <f>+'IS offshore'!AC86</f>
        <v>0</v>
      </c>
    </row>
    <row r="38" spans="1:29">
      <c r="C38" s="267" t="s">
        <v>843</v>
      </c>
      <c r="D38" s="263"/>
      <c r="E38" s="263"/>
      <c r="F38" s="263">
        <f>F9*SUMIF('Financial Quarterly offshore'!7:7,'CF offshore'!F10,'Financial Quarterly offshore'!101:101)</f>
        <v>0</v>
      </c>
      <c r="G38" s="263">
        <f>G9*SUMIF('Financial Quarterly offshore'!7:7,'CF offshore'!G10,'Financial Quarterly offshore'!101:101)</f>
        <v>0</v>
      </c>
      <c r="H38" s="263">
        <f>H9*SUMIF('Financial Quarterly offshore'!7:7,'CF offshore'!H10,'Financial Quarterly offshore'!101:101)</f>
        <v>0</v>
      </c>
      <c r="I38" s="263">
        <f>I9*SUMIF('Financial Quarterly offshore'!7:7,'CF offshore'!I10,'Financial Quarterly offshore'!101:101)</f>
        <v>0</v>
      </c>
      <c r="J38" s="263">
        <f ca="1">J9*SUMIF('Financial Quarterly offshore'!7:7,'CF offshore'!J10,'Financial Quarterly offshore'!101:101)</f>
        <v>0</v>
      </c>
      <c r="K38" s="263">
        <f ca="1">K9*SUMIF('Financial Quarterly offshore'!7:7,'CF offshore'!K10,'Financial Quarterly offshore'!101:101)</f>
        <v>0</v>
      </c>
      <c r="L38" s="263">
        <f ca="1">L9*SUMIF('Financial Quarterly offshore'!7:7,'CF offshore'!L10,'Financial Quarterly offshore'!101:101)</f>
        <v>0</v>
      </c>
      <c r="M38" s="263">
        <f ca="1">M9*SUMIF('Financial Quarterly offshore'!7:7,'CF offshore'!M10,'Financial Quarterly offshore'!101:101)</f>
        <v>0</v>
      </c>
      <c r="N38" s="263">
        <f ca="1">N9*SUMIF('Financial Quarterly offshore'!7:7,'CF offshore'!N10,'Financial Quarterly offshore'!101:101)</f>
        <v>0</v>
      </c>
      <c r="O38" s="263">
        <f ca="1">O9*SUMIF('Financial Quarterly offshore'!7:7,'CF offshore'!O10,'Financial Quarterly offshore'!101:101)</f>
        <v>0</v>
      </c>
      <c r="P38" s="263">
        <f ca="1">P9*SUMIF('Financial Quarterly offshore'!7:7,'CF offshore'!P10,'Financial Quarterly offshore'!101:101)</f>
        <v>0</v>
      </c>
      <c r="Q38" s="263">
        <f>Q9*SUMIF('Financial Quarterly offshore'!7:7,'CF offshore'!Q10,'Financial Quarterly offshore'!101:101)</f>
        <v>0</v>
      </c>
      <c r="R38" s="263">
        <f>R9*SUMIF('Financial Quarterly offshore'!7:7,'CF offshore'!R10,'Financial Quarterly offshore'!101:101)</f>
        <v>0</v>
      </c>
      <c r="S38" s="263">
        <f>S9*SUMIF('Financial Quarterly offshore'!7:7,'CF offshore'!S10,'Financial Quarterly offshore'!101:101)</f>
        <v>0</v>
      </c>
      <c r="T38" s="263">
        <f>T9*SUMIF('Financial Quarterly offshore'!7:7,'CF offshore'!T10,'Financial Quarterly offshore'!101:101)</f>
        <v>0</v>
      </c>
      <c r="U38" s="263">
        <f>U9*SUMIF('Financial Quarterly offshore'!7:7,'CF offshore'!U10,'Financial Quarterly offshore'!101:101)</f>
        <v>0</v>
      </c>
      <c r="V38" s="263">
        <f>V9*SUMIF('Financial Quarterly offshore'!7:7,'CF offshore'!V10,'Financial Quarterly offshore'!101:101)</f>
        <v>0</v>
      </c>
      <c r="W38" s="263">
        <f>W9*SUMIF('Financial Quarterly offshore'!7:7,'CF offshore'!W10,'Financial Quarterly offshore'!101:101)</f>
        <v>0</v>
      </c>
      <c r="X38" s="263">
        <f>X9*SUMIF('Financial Quarterly offshore'!7:7,'CF offshore'!X10,'Financial Quarterly offshore'!101:101)</f>
        <v>0</v>
      </c>
      <c r="Y38" s="263">
        <f>Y9*SUMIF('Financial Quarterly offshore'!7:7,'CF offshore'!Y10,'Financial Quarterly offshore'!101:101)</f>
        <v>0</v>
      </c>
      <c r="Z38" s="263">
        <f>Z9*SUMIF('Financial Quarterly offshore'!7:7,'CF offshore'!Z10,'Financial Quarterly offshore'!101:101)</f>
        <v>0</v>
      </c>
      <c r="AA38" s="263">
        <f>AA9*SUMIF('Financial Quarterly offshore'!7:7,'CF offshore'!AA10,'Financial Quarterly offshore'!101:101)</f>
        <v>0</v>
      </c>
      <c r="AB38" s="263">
        <f>AB9*SUMIF('Financial Quarterly offshore'!7:7,'CF offshore'!AB10,'Financial Quarterly offshore'!101:101)</f>
        <v>0</v>
      </c>
      <c r="AC38" s="263">
        <f>AC9*SUMIF('Financial Quarterly offshore'!7:7,'CF offshore'!AC10,'Financial Quarterly offshore'!101:101)</f>
        <v>0</v>
      </c>
    </row>
    <row r="39" spans="1:29">
      <c r="C39" s="267" t="s">
        <v>680</v>
      </c>
      <c r="D39" s="263"/>
      <c r="E39" s="263"/>
      <c r="F39" s="263">
        <f>OR(F8,F9)*SUMIF('Financial Quarterly offshore'!7:7,'CF offshore'!F10,'Financial Quarterly offshore'!102:102)</f>
        <v>0</v>
      </c>
      <c r="G39" s="263">
        <f>OR(G8,G9)*SUMIF('Financial Quarterly offshore'!7:7,'CF offshore'!G10,'Financial Quarterly offshore'!102:102)</f>
        <v>0</v>
      </c>
      <c r="H39" s="263">
        <f>OR(H8,H9)*SUMIF('Financial Quarterly offshore'!7:7,'CF offshore'!H10,'Financial Quarterly offshore'!102:102)</f>
        <v>0</v>
      </c>
      <c r="I39" s="263">
        <f>OR(I8,I9)*SUMIF('Financial Quarterly offshore'!7:7,'CF offshore'!I10,'Financial Quarterly offshore'!102:102)</f>
        <v>0</v>
      </c>
      <c r="J39" s="263">
        <f ca="1">OR(J8,J9)*SUMIF('Financial Quarterly offshore'!7:7,'CF offshore'!J10,'Financial Quarterly offshore'!102:102)</f>
        <v>0</v>
      </c>
      <c r="K39" s="263">
        <f ca="1">OR(K8,K9)*SUMIF('Financial Quarterly offshore'!7:7,'CF offshore'!K10,'Financial Quarterly offshore'!102:102)</f>
        <v>0</v>
      </c>
      <c r="L39" s="263">
        <f ca="1">OR(L8,L9)*SUMIF('Financial Quarterly offshore'!7:7,'CF offshore'!L10,'Financial Quarterly offshore'!102:102)</f>
        <v>0</v>
      </c>
      <c r="M39" s="263">
        <f ca="1">OR(M8,M9)*SUMIF('Financial Quarterly offshore'!7:7,'CF offshore'!M10,'Financial Quarterly offshore'!102:102)</f>
        <v>0</v>
      </c>
      <c r="N39" s="263">
        <f ca="1">OR(N8,N9)*SUMIF('Financial Quarterly offshore'!7:7,'CF offshore'!N10,'Financial Quarterly offshore'!102:102)</f>
        <v>0</v>
      </c>
      <c r="O39" s="263">
        <f ca="1">OR(O8,O9)*SUMIF('Financial Quarterly offshore'!7:7,'CF offshore'!O10,'Financial Quarterly offshore'!102:102)</f>
        <v>0</v>
      </c>
      <c r="P39" s="263">
        <f ca="1">OR(P8,P9)*SUMIF('Financial Quarterly offshore'!7:7,'CF offshore'!P10,'Financial Quarterly offshore'!102:102)</f>
        <v>0</v>
      </c>
      <c r="Q39" s="263">
        <f>OR(Q8,Q9)*SUMIF('Financial Quarterly offshore'!7:7,'CF offshore'!Q10,'Financial Quarterly offshore'!102:102)</f>
        <v>0</v>
      </c>
      <c r="R39" s="263">
        <f>OR(R8,R9)*SUMIF('Financial Quarterly offshore'!7:7,'CF offshore'!R10,'Financial Quarterly offshore'!102:102)</f>
        <v>0</v>
      </c>
      <c r="S39" s="263">
        <f>OR(S8,S9)*SUMIF('Financial Quarterly offshore'!7:7,'CF offshore'!S10,'Financial Quarterly offshore'!102:102)</f>
        <v>0</v>
      </c>
      <c r="T39" s="263">
        <f>OR(T8,T9)*SUMIF('Financial Quarterly offshore'!7:7,'CF offshore'!T10,'Financial Quarterly offshore'!102:102)</f>
        <v>0</v>
      </c>
      <c r="U39" s="263">
        <f>OR(U8,U9)*SUMIF('Financial Quarterly offshore'!7:7,'CF offshore'!U10,'Financial Quarterly offshore'!102:102)</f>
        <v>0</v>
      </c>
      <c r="V39" s="263">
        <f>OR(V8,V9)*SUMIF('Financial Quarterly offshore'!7:7,'CF offshore'!V10,'Financial Quarterly offshore'!102:102)</f>
        <v>0</v>
      </c>
      <c r="W39" s="263">
        <f>OR(W8,W9)*SUMIF('Financial Quarterly offshore'!7:7,'CF offshore'!W10,'Financial Quarterly offshore'!102:102)</f>
        <v>0</v>
      </c>
      <c r="X39" s="263">
        <f>OR(X8,X9)*SUMIF('Financial Quarterly offshore'!7:7,'CF offshore'!X10,'Financial Quarterly offshore'!102:102)</f>
        <v>0</v>
      </c>
      <c r="Y39" s="263">
        <f>OR(Y8,Y9)*SUMIF('Financial Quarterly offshore'!7:7,'CF offshore'!Y10,'Financial Quarterly offshore'!102:102)</f>
        <v>0</v>
      </c>
      <c r="Z39" s="263">
        <f>OR(Z8,Z9)*SUMIF('Financial Quarterly offshore'!7:7,'CF offshore'!Z10,'Financial Quarterly offshore'!102:102)</f>
        <v>0</v>
      </c>
      <c r="AA39" s="263">
        <f>OR(AA8,AA9)*SUMIF('Financial Quarterly offshore'!7:7,'CF offshore'!AA10,'Financial Quarterly offshore'!102:102)</f>
        <v>0</v>
      </c>
      <c r="AB39" s="263">
        <f>OR(AB8,AB9)*SUMIF('Financial Quarterly offshore'!7:7,'CF offshore'!AB10,'Financial Quarterly offshore'!102:102)</f>
        <v>0</v>
      </c>
      <c r="AC39" s="263">
        <f>OR(AC8,AC9)*SUMIF('Financial Quarterly offshore'!7:7,'CF offshore'!AC10,'Financial Quarterly offshore'!102:102)</f>
        <v>0</v>
      </c>
    </row>
    <row r="40" spans="1:29">
      <c r="C40" s="320" t="s">
        <v>1060</v>
      </c>
      <c r="D40" s="263"/>
      <c r="E40" s="263"/>
      <c r="F40" s="263">
        <f>F8*'Financial Quarterly offshore'!$D$98+F9*SUMIF('Financial Quarterly offshore'!7:7,'CF offshore'!F10,'Financial Quarterly offshore'!98:98)-IFERROR(E8*E40,0)</f>
        <v>0</v>
      </c>
      <c r="G40" s="263">
        <f>G8*'Financial Quarterly offshore'!$D$98+G9*SUMIF('Financial Quarterly offshore'!7:7,'CF offshore'!G10,'Financial Quarterly offshore'!98:98)-IFERROR(F8*F40,0)</f>
        <v>0</v>
      </c>
      <c r="H40" s="263">
        <f>H8*'Financial Quarterly offshore'!$D$98+H9*SUMIF('Financial Quarterly offshore'!7:7,'CF offshore'!H10,'Financial Quarterly offshore'!98:98)-IFERROR(G8*G40,0)</f>
        <v>0</v>
      </c>
      <c r="I40" s="263">
        <f>I8*'Financial Quarterly offshore'!$D$98+I9*SUMIF('Financial Quarterly offshore'!7:7,'CF offshore'!I10,'Financial Quarterly offshore'!98:98)-IFERROR(H8*H40,0)</f>
        <v>0</v>
      </c>
      <c r="J40" s="263">
        <f ca="1">J8*'Financial Quarterly offshore'!$D$98+J9*SUMIF('Financial Quarterly offshore'!7:7,'CF offshore'!J10,'Financial Quarterly offshore'!98:98)-IFERROR(I8*I40,0)</f>
        <v>0</v>
      </c>
      <c r="K40" s="263">
        <f ca="1">K8*'Financial Quarterly offshore'!$D$98+K9*SUMIF('Financial Quarterly offshore'!7:7,'CF offshore'!K10,'Financial Quarterly offshore'!98:98)-IFERROR(J8*J40,0)</f>
        <v>0</v>
      </c>
      <c r="L40" s="263">
        <f ca="1">L8*'Financial Quarterly offshore'!$D$98+L9*SUMIF('Financial Quarterly offshore'!7:7,'CF offshore'!L10,'Financial Quarterly offshore'!98:98)-IFERROR(K8*K40,0)</f>
        <v>0</v>
      </c>
      <c r="M40" s="263">
        <f ca="1">M8*'Financial Quarterly offshore'!$D$98+M9*SUMIF('Financial Quarterly offshore'!7:7,'CF offshore'!M10,'Financial Quarterly offshore'!98:98)-IFERROR(L8*L40,0)</f>
        <v>0</v>
      </c>
      <c r="N40" s="263">
        <f ca="1">N8*'Financial Quarterly offshore'!$D$98+N9*SUMIF('Financial Quarterly offshore'!7:7,'CF offshore'!N10,'Financial Quarterly offshore'!98:98)-IFERROR(M8*M40,0)</f>
        <v>0</v>
      </c>
      <c r="O40" s="263">
        <f ca="1">O8*'Financial Quarterly offshore'!$D$98+O9*SUMIF('Financial Quarterly offshore'!7:7,'CF offshore'!O10,'Financial Quarterly offshore'!98:98)-IFERROR(N8*N40,0)</f>
        <v>0</v>
      </c>
      <c r="P40" s="263">
        <f ca="1">P8*'Financial Quarterly offshore'!$D$98+P9*SUMIF('Financial Quarterly offshore'!7:7,'CF offshore'!P10,'Financial Quarterly offshore'!98:98)-IFERROR(O8*O40,0)</f>
        <v>0</v>
      </c>
      <c r="Q40" s="263">
        <f ca="1">Q8*'Financial Quarterly offshore'!$D$98+Q9*SUMIF('Financial Quarterly offshore'!7:7,'CF offshore'!Q10,'Financial Quarterly offshore'!98:98)-IFERROR(P8*P40,0)</f>
        <v>0</v>
      </c>
      <c r="R40" s="263">
        <f ca="1">R8*'Financial Quarterly offshore'!$D$98+R9*SUMIF('Financial Quarterly offshore'!7:7,'CF offshore'!R10,'Financial Quarterly offshore'!98:98)-IFERROR(Q8*Q40,0)</f>
        <v>0</v>
      </c>
      <c r="S40" s="263">
        <f ca="1">S8*'Financial Quarterly offshore'!$D$98+S9*SUMIF('Financial Quarterly offshore'!7:7,'CF offshore'!S10,'Financial Quarterly offshore'!98:98)-IFERROR(R8*R40,0)</f>
        <v>0</v>
      </c>
      <c r="T40" s="263">
        <f ca="1">T8*'Financial Quarterly offshore'!$D$98+T9*SUMIF('Financial Quarterly offshore'!7:7,'CF offshore'!T10,'Financial Quarterly offshore'!98:98)-IFERROR(S8*S40,0)</f>
        <v>0</v>
      </c>
      <c r="U40" s="263">
        <f ca="1">U8*'Financial Quarterly offshore'!$D$98+U9*SUMIF('Financial Quarterly offshore'!7:7,'CF offshore'!U10,'Financial Quarterly offshore'!98:98)-IFERROR(T8*T40,0)</f>
        <v>0</v>
      </c>
      <c r="V40" s="263">
        <f ca="1">V8*'Financial Quarterly offshore'!$D$98+V9*SUMIF('Financial Quarterly offshore'!7:7,'CF offshore'!V10,'Financial Quarterly offshore'!98:98)-IFERROR(U8*U40,0)</f>
        <v>0</v>
      </c>
      <c r="W40" s="263">
        <f ca="1">W8*'Financial Quarterly offshore'!$D$98+W9*SUMIF('Financial Quarterly offshore'!7:7,'CF offshore'!W10,'Financial Quarterly offshore'!98:98)-IFERROR(V8*V40,0)</f>
        <v>0</v>
      </c>
      <c r="X40" s="263">
        <f ca="1">X8*'Financial Quarterly offshore'!$D$98+X9*SUMIF('Financial Quarterly offshore'!7:7,'CF offshore'!X10,'Financial Quarterly offshore'!98:98)-IFERROR(W8*W40,0)</f>
        <v>0</v>
      </c>
      <c r="Y40" s="263">
        <f ca="1">Y8*'Financial Quarterly offshore'!$D$98+Y9*SUMIF('Financial Quarterly offshore'!7:7,'CF offshore'!Y10,'Financial Quarterly offshore'!98:98)-IFERROR(X8*X40,0)</f>
        <v>0</v>
      </c>
      <c r="Z40" s="263">
        <f ca="1">Z8*'Financial Quarterly offshore'!$D$98+Z9*SUMIF('Financial Quarterly offshore'!7:7,'CF offshore'!Z10,'Financial Quarterly offshore'!98:98)-IFERROR(Y8*Y40,0)</f>
        <v>0</v>
      </c>
      <c r="AA40" s="263">
        <f ca="1">AA8*'Financial Quarterly offshore'!$D$98+AA9*SUMIF('Financial Quarterly offshore'!7:7,'CF offshore'!AA10,'Financial Quarterly offshore'!98:98)-IFERROR(Z8*Z40,0)</f>
        <v>0</v>
      </c>
      <c r="AB40" s="263">
        <f ca="1">AB8*'Financial Quarterly offshore'!$D$98+AB9*SUMIF('Financial Quarterly offshore'!7:7,'CF offshore'!AB10,'Financial Quarterly offshore'!98:98)-IFERROR(AA8*AA40,0)</f>
        <v>0</v>
      </c>
      <c r="AC40" s="263">
        <f ca="1">AC8*'Financial Quarterly offshore'!$D$98+AC9*SUMIF('Financial Quarterly offshore'!7:7,'CF offshore'!AC10,'Financial Quarterly offshore'!98:98)-IFERROR(AB8*AB40,0)</f>
        <v>0</v>
      </c>
    </row>
    <row r="41" spans="1:29">
      <c r="C41" s="320" t="s">
        <v>1476</v>
      </c>
      <c r="D41" s="263"/>
      <c r="E41" s="263"/>
      <c r="F41" s="263">
        <f>+'BS offshore'!F74-'BS offshore'!E74+'BS offshore'!E48-'BS offshore'!F48</f>
        <v>0</v>
      </c>
      <c r="G41" s="263">
        <f>+'BS offshore'!G74-'BS offshore'!F74+'BS offshore'!F48-'BS offshore'!G48</f>
        <v>0</v>
      </c>
      <c r="H41" s="263">
        <f>+'BS offshore'!H74-'BS offshore'!G74+'BS offshore'!G48-'BS offshore'!H48</f>
        <v>0</v>
      </c>
      <c r="I41" s="263">
        <f>+'BS offshore'!I74-'BS offshore'!H74+'BS offshore'!H48-'BS offshore'!I48</f>
        <v>0</v>
      </c>
      <c r="J41" s="263">
        <f>+'BS offshore'!J74-'BS offshore'!I74+'BS offshore'!I48-'BS offshore'!J48</f>
        <v>0</v>
      </c>
      <c r="K41" s="263">
        <f ca="1">+'BS offshore'!K74-'BS offshore'!J74+'BS offshore'!J48-'BS offshore'!K48</f>
        <v>0</v>
      </c>
      <c r="L41" s="263">
        <f ca="1">+'BS offshore'!L74-'BS offshore'!K74+'BS offshore'!K48-'BS offshore'!L48</f>
        <v>0</v>
      </c>
      <c r="M41" s="263">
        <f ca="1">+'BS offshore'!M74-'BS offshore'!L74+'BS offshore'!L48-'BS offshore'!M48</f>
        <v>0</v>
      </c>
      <c r="N41" s="263">
        <f ca="1">+'BS offshore'!N74-'BS offshore'!M74+'BS offshore'!M48-'BS offshore'!N48</f>
        <v>0</v>
      </c>
      <c r="O41" s="263">
        <f ca="1">+'BS offshore'!O74-'BS offshore'!N74+'BS offshore'!N48-'BS offshore'!O48</f>
        <v>0</v>
      </c>
      <c r="P41" s="263">
        <f ca="1">+'BS offshore'!P74-'BS offshore'!O74+'BS offshore'!O48-'BS offshore'!P48</f>
        <v>0</v>
      </c>
      <c r="Q41" s="263">
        <f ca="1">+'BS offshore'!Q74-'BS offshore'!P74+'BS offshore'!P48-'BS offshore'!Q48</f>
        <v>0</v>
      </c>
      <c r="R41" s="263">
        <f>+'BS offshore'!R74-'BS offshore'!Q74+'BS offshore'!Q48-'BS offshore'!R48</f>
        <v>0</v>
      </c>
      <c r="S41" s="263">
        <f>+'BS offshore'!S74-'BS offshore'!R74+'BS offshore'!R48-'BS offshore'!S48</f>
        <v>0</v>
      </c>
      <c r="T41" s="263">
        <f>+'BS offshore'!T74-'BS offshore'!S74+'BS offshore'!S48-'BS offshore'!T48</f>
        <v>0</v>
      </c>
      <c r="U41" s="263">
        <f>+'BS offshore'!U74-'BS offshore'!T74+'BS offshore'!T48-'BS offshore'!U48</f>
        <v>0</v>
      </c>
      <c r="V41" s="263">
        <f>+'BS offshore'!V74-'BS offshore'!U74+'BS offshore'!U48-'BS offshore'!V48</f>
        <v>0</v>
      </c>
      <c r="W41" s="263">
        <f>+'BS offshore'!W74-'BS offshore'!V74+'BS offshore'!V48-'BS offshore'!W48</f>
        <v>0</v>
      </c>
      <c r="X41" s="263">
        <f>+'BS offshore'!X74-'BS offshore'!W74+'BS offshore'!W48-'BS offshore'!X48</f>
        <v>0</v>
      </c>
      <c r="Y41" s="263">
        <f>+'BS offshore'!Y74-'BS offshore'!X74+'BS offshore'!X48-'BS offshore'!Y48</f>
        <v>0</v>
      </c>
      <c r="Z41" s="263">
        <f>+'BS offshore'!Z74-'BS offshore'!Y74+'BS offshore'!Y48-'BS offshore'!Z48</f>
        <v>0</v>
      </c>
      <c r="AA41" s="263">
        <f>+'BS offshore'!AA74-'BS offshore'!Z74+'BS offshore'!Z48-'BS offshore'!AA48</f>
        <v>0</v>
      </c>
      <c r="AB41" s="263">
        <f>+'BS offshore'!AB74-'BS offshore'!AA74+'BS offshore'!AA48-'BS offshore'!AB48</f>
        <v>0</v>
      </c>
      <c r="AC41" s="263">
        <f>+'BS offshore'!AC74-'BS offshore'!AB74+'BS offshore'!AB48-'BS offshore'!AC48</f>
        <v>0</v>
      </c>
    </row>
    <row r="42" spans="1:29">
      <c r="C42" s="266" t="s">
        <v>848</v>
      </c>
      <c r="D42" s="263"/>
      <c r="E42" s="263"/>
      <c r="F42" s="263">
        <f>F9*SUMIF('Financial Quarterly offshore'!7:7,'CF offshore'!F10,'Financial Quarterly offshore'!106:106)</f>
        <v>0</v>
      </c>
      <c r="G42" s="263">
        <f>G9*SUMIF('Financial Quarterly offshore'!7:7,'CF offshore'!G10,'Financial Quarterly offshore'!106:106)</f>
        <v>0</v>
      </c>
      <c r="H42" s="263">
        <f>H9*SUMIF('Financial Quarterly offshore'!7:7,'CF offshore'!H10,'Financial Quarterly offshore'!106:106)</f>
        <v>0</v>
      </c>
      <c r="I42" s="263">
        <f>I9*SUMIF('Financial Quarterly offshore'!7:7,'CF offshore'!I10,'Financial Quarterly offshore'!106:106)</f>
        <v>0</v>
      </c>
      <c r="J42" s="263">
        <f ca="1">J9*SUMIF('Financial Quarterly offshore'!7:7,'CF offshore'!J10,'Financial Quarterly offshore'!106:106)</f>
        <v>0</v>
      </c>
      <c r="K42" s="263">
        <f ca="1">K9*SUMIF('Financial Quarterly offshore'!7:7,'CF offshore'!K10,'Financial Quarterly offshore'!106:106)</f>
        <v>0</v>
      </c>
      <c r="L42" s="263">
        <f ca="1">L9*SUMIF('Financial Quarterly offshore'!7:7,'CF offshore'!L10,'Financial Quarterly offshore'!106:106)</f>
        <v>0</v>
      </c>
      <c r="M42" s="263">
        <f ca="1">M9*SUMIF('Financial Quarterly offshore'!7:7,'CF offshore'!M10,'Financial Quarterly offshore'!106:106)</f>
        <v>0</v>
      </c>
      <c r="N42" s="263">
        <f ca="1">N9*SUMIF('Financial Quarterly offshore'!7:7,'CF offshore'!N10,'Financial Quarterly offshore'!106:106)</f>
        <v>0</v>
      </c>
      <c r="O42" s="263">
        <f ca="1">O9*SUMIF('Financial Quarterly offshore'!7:7,'CF offshore'!O10,'Financial Quarterly offshore'!106:106)</f>
        <v>0</v>
      </c>
      <c r="P42" s="263">
        <f ca="1">P9*SUMIF('Financial Quarterly offshore'!7:7,'CF offshore'!P10,'Financial Quarterly offshore'!106:106)</f>
        <v>0</v>
      </c>
      <c r="Q42" s="263">
        <f>Q9*SUMIF('Financial Quarterly offshore'!7:7,'CF offshore'!Q10,'Financial Quarterly offshore'!106:106)</f>
        <v>0</v>
      </c>
      <c r="R42" s="263">
        <f>R9*SUMIF('Financial Quarterly offshore'!7:7,'CF offshore'!R10,'Financial Quarterly offshore'!106:106)</f>
        <v>0</v>
      </c>
      <c r="S42" s="263">
        <f>S9*SUMIF('Financial Quarterly offshore'!7:7,'CF offshore'!S10,'Financial Quarterly offshore'!106:106)</f>
        <v>0</v>
      </c>
      <c r="T42" s="263">
        <f>T9*SUMIF('Financial Quarterly offshore'!7:7,'CF offshore'!T10,'Financial Quarterly offshore'!106:106)</f>
        <v>0</v>
      </c>
      <c r="U42" s="263">
        <f>U9*SUMIF('Financial Quarterly offshore'!7:7,'CF offshore'!U10,'Financial Quarterly offshore'!106:106)</f>
        <v>0</v>
      </c>
      <c r="V42" s="263">
        <f>V9*SUMIF('Financial Quarterly offshore'!7:7,'CF offshore'!V10,'Financial Quarterly offshore'!106:106)</f>
        <v>0</v>
      </c>
      <c r="W42" s="263">
        <f>W9*SUMIF('Financial Quarterly offshore'!7:7,'CF offshore'!W10,'Financial Quarterly offshore'!106:106)</f>
        <v>0</v>
      </c>
      <c r="X42" s="263">
        <f>X9*SUMIF('Financial Quarterly offshore'!7:7,'CF offshore'!X10,'Financial Quarterly offshore'!106:106)</f>
        <v>0</v>
      </c>
      <c r="Y42" s="263">
        <f>Y9*SUMIF('Financial Quarterly offshore'!7:7,'CF offshore'!Y10,'Financial Quarterly offshore'!106:106)</f>
        <v>0</v>
      </c>
      <c r="Z42" s="263">
        <f>Z9*SUMIF('Financial Quarterly offshore'!7:7,'CF offshore'!Z10,'Financial Quarterly offshore'!106:106)</f>
        <v>0</v>
      </c>
      <c r="AA42" s="263">
        <f>AA9*SUMIF('Financial Quarterly offshore'!7:7,'CF offshore'!AA10,'Financial Quarterly offshore'!106:106)</f>
        <v>0</v>
      </c>
      <c r="AB42" s="263">
        <f>AB9*SUMIF('Financial Quarterly offshore'!7:7,'CF offshore'!AB10,'Financial Quarterly offshore'!106:106)</f>
        <v>0</v>
      </c>
      <c r="AC42" s="263">
        <f>AC9*SUMIF('Financial Quarterly offshore'!7:7,'CF offshore'!AC10,'Financial Quarterly offshore'!106:106)</f>
        <v>0</v>
      </c>
    </row>
    <row r="43" spans="1:29">
      <c r="C43" s="372" t="s">
        <v>1509</v>
      </c>
      <c r="D43" s="263"/>
      <c r="E43" s="263"/>
      <c r="F43" s="263">
        <f>IF(OR(F6,F7),'BS offshore'!F107-'BS offshore'!E107+'BS offshore'!F111-'BS offshore'!E111+'BS offshore'!F119-'BS offshore'!E119+'BS offshore'!F98-'BS offshore'!E98+'BS offshore'!F102-'BS offshore'!E102,0)+F8*('BS offshore'!F98-'BS offshore'!E98+'BS offshore'!F102-'BS offshore'!E102+'BS offshore'!F107-'BS offshore'!E107-'BS offshore'!E111+'BS offshore'!F119-'BS offshore'!E119)</f>
        <v>0</v>
      </c>
      <c r="G43" s="263">
        <f>IF(OR(G6,G7),'BS offshore'!G107-'BS offshore'!F107+'BS offshore'!G111-'BS offshore'!F111+'BS offshore'!G119-'BS offshore'!F119+'BS offshore'!G98-'BS offshore'!F98+'BS offshore'!G102-'BS offshore'!F102,0)+G8*('BS offshore'!G98-'BS offshore'!F98+'BS offshore'!G102-'BS offshore'!F102+'BS offshore'!G107-'BS offshore'!F107-'BS offshore'!F111+'BS offshore'!G119-'BS offshore'!F119)</f>
        <v>0</v>
      </c>
      <c r="H43" s="263">
        <f>IF(OR(H6,H7),'BS offshore'!H107-'BS offshore'!G107+'BS offshore'!H111-'BS offshore'!G111+'BS offshore'!H119-'BS offshore'!G119+'BS offshore'!H98-'BS offshore'!G98+'BS offshore'!H102-'BS offshore'!G102,0)+H8*('BS offshore'!H98-'BS offshore'!G98+'BS offshore'!H102-'BS offshore'!G102+'BS offshore'!H107-'BS offshore'!G107-'BS offshore'!G111+'BS offshore'!H119-'BS offshore'!G119)</f>
        <v>0</v>
      </c>
      <c r="I43" s="263">
        <f>IF(OR(I6,I7),'BS offshore'!I107-'BS offshore'!H107+'BS offshore'!I111-'BS offshore'!H111+'BS offshore'!I119-'BS offshore'!H119+'BS offshore'!I98-'BS offshore'!H98+'BS offshore'!I102-'BS offshore'!H102,0)+I8*('BS offshore'!I98-'BS offshore'!H98+'BS offshore'!I102-'BS offshore'!H102+'BS offshore'!I107-'BS offshore'!H107-'BS offshore'!H111+'BS offshore'!I119-'BS offshore'!H119)</f>
        <v>0</v>
      </c>
      <c r="J43" s="263">
        <f>IF(OR(J6,J7),'BS offshore'!J107-'BS offshore'!I107+'BS offshore'!J111-'BS offshore'!I111+'BS offshore'!J119-'BS offshore'!I119+'BS offshore'!J98-'BS offshore'!I98+'BS offshore'!J102-'BS offshore'!I102,0)+J8*('BS offshore'!J98-'BS offshore'!I98+'BS offshore'!J102-'BS offshore'!I102+'BS offshore'!J107-'BS offshore'!I107-'BS offshore'!I111+'BS offshore'!J119-'BS offshore'!I119)</f>
        <v>0</v>
      </c>
      <c r="K43" s="263">
        <f ca="1">IF(OR(K6,K7),'BS offshore'!K107-'BS offshore'!J107+'BS offshore'!K111-'BS offshore'!J111+'BS offshore'!K119-'BS offshore'!J119+'BS offshore'!K98-'BS offshore'!J98+'BS offshore'!K102-'BS offshore'!J102,0)+K8*('BS offshore'!K98-'BS offshore'!J98+'BS offshore'!K102-'BS offshore'!J102+'BS offshore'!K107-'BS offshore'!J107-'BS offshore'!J111+'BS offshore'!K119-'BS offshore'!J119)</f>
        <v>0</v>
      </c>
      <c r="L43" s="263">
        <f ca="1">IF(OR(L6,L7),'BS offshore'!L107-'BS offshore'!K107+'BS offshore'!L111-'BS offshore'!K111+'BS offshore'!L119-'BS offshore'!K119+'BS offshore'!L98-'BS offshore'!K98+'BS offshore'!L102-'BS offshore'!K102,0)+L8*('BS offshore'!L98-'BS offshore'!K98+'BS offshore'!L102-'BS offshore'!K102+'BS offshore'!L107-'BS offshore'!K107-'BS offshore'!K111+'BS offshore'!L119-'BS offshore'!K119)</f>
        <v>0</v>
      </c>
      <c r="M43" s="263">
        <f ca="1">IF(OR(M6,M7),'BS offshore'!M107-'BS offshore'!L107+'BS offshore'!M111-'BS offshore'!L111+'BS offshore'!M119-'BS offshore'!L119+'BS offshore'!M98-'BS offshore'!L98+'BS offshore'!M102-'BS offshore'!L102,0)+M8*('BS offshore'!M98-'BS offshore'!L98+'BS offshore'!M102-'BS offshore'!L102+'BS offshore'!M107-'BS offshore'!L107-'BS offshore'!L111+'BS offshore'!M119-'BS offshore'!L119)</f>
        <v>0</v>
      </c>
      <c r="N43" s="263">
        <f ca="1">IF(OR(N6,N7),'BS offshore'!N107-'BS offshore'!M107+'BS offshore'!N111-'BS offshore'!M111+'BS offshore'!N119-'BS offshore'!M119+'BS offshore'!N98-'BS offshore'!M98+'BS offshore'!N102-'BS offshore'!M102,0)+N8*('BS offshore'!N98-'BS offshore'!M98+'BS offshore'!N102-'BS offshore'!M102+'BS offshore'!N107-'BS offshore'!M107-'BS offshore'!M111+'BS offshore'!N119-'BS offshore'!M119)</f>
        <v>0</v>
      </c>
      <c r="O43" s="263">
        <f ca="1">IF(OR(O6,O7),'BS offshore'!O107-'BS offshore'!N107+'BS offshore'!O111-'BS offshore'!N111+'BS offshore'!O119-'BS offshore'!N119+'BS offshore'!O98-'BS offshore'!N98+'BS offshore'!O102-'BS offshore'!N102,0)+O8*('BS offshore'!O98-'BS offshore'!N98+'BS offshore'!O102-'BS offshore'!N102+'BS offshore'!O107-'BS offshore'!N107-'BS offshore'!N111+'BS offshore'!O119-'BS offshore'!N119)</f>
        <v>0</v>
      </c>
      <c r="P43" s="263">
        <f ca="1">IF(OR(P6,P7),'BS offshore'!P107-'BS offshore'!O107+'BS offshore'!P111-'BS offshore'!O111+'BS offshore'!P119-'BS offshore'!O119+'BS offshore'!P98-'BS offshore'!O98+'BS offshore'!P102-'BS offshore'!O102,0)+P8*('BS offshore'!P98-'BS offshore'!O98+'BS offshore'!P102-'BS offshore'!O102+'BS offshore'!P107-'BS offshore'!O107-'BS offshore'!O111+'BS offshore'!P119-'BS offshore'!O119)</f>
        <v>0</v>
      </c>
      <c r="Q43" s="263">
        <f ca="1">IF(OR(Q6,Q7),'BS offshore'!Q107-'BS offshore'!P107+'BS offshore'!Q111-'BS offshore'!P111+'BS offshore'!Q119-'BS offshore'!P119+'BS offshore'!Q98-'BS offshore'!P98+'BS offshore'!Q102-'BS offshore'!P102,0)+Q8*('BS offshore'!Q98-'BS offshore'!P98+'BS offshore'!Q102-'BS offshore'!P102+'BS offshore'!Q107-'BS offshore'!P107-'BS offshore'!P111+'BS offshore'!Q119-'BS offshore'!P119)</f>
        <v>0</v>
      </c>
      <c r="R43" s="263">
        <f>IF(OR(R6,R7),'BS offshore'!R107-'BS offshore'!Q107+'BS offshore'!R111-'BS offshore'!Q111+'BS offshore'!R119-'BS offshore'!Q119+'BS offshore'!R98-'BS offshore'!Q98+'BS offshore'!R102-'BS offshore'!Q102,0)+R8*('BS offshore'!R98-'BS offshore'!Q98+'BS offshore'!R102-'BS offshore'!Q102+'BS offshore'!R107-'BS offshore'!Q107-'BS offshore'!Q111+'BS offshore'!R119-'BS offshore'!Q119)</f>
        <v>0</v>
      </c>
      <c r="S43" s="263">
        <f>IF(OR(S6,S7),'BS offshore'!S107-'BS offshore'!R107+'BS offshore'!S111-'BS offshore'!R111+'BS offshore'!S119-'BS offshore'!R119+'BS offshore'!S98-'BS offshore'!R98+'BS offshore'!S102-'BS offshore'!R102,0)+S8*('BS offshore'!S98-'BS offshore'!R98+'BS offshore'!S102-'BS offshore'!R102+'BS offshore'!S107-'BS offshore'!R107-'BS offshore'!R111+'BS offshore'!S119-'BS offshore'!R119)</f>
        <v>0</v>
      </c>
      <c r="T43" s="263">
        <f>IF(OR(T6,T7),'BS offshore'!T107-'BS offshore'!S107+'BS offshore'!T111-'BS offshore'!S111+'BS offshore'!T119-'BS offshore'!S119+'BS offshore'!T98-'BS offshore'!S98+'BS offshore'!T102-'BS offshore'!S102,0)+T8*('BS offshore'!T98-'BS offshore'!S98+'BS offshore'!T102-'BS offshore'!S102+'BS offshore'!T107-'BS offshore'!S107-'BS offshore'!S111+'BS offshore'!T119-'BS offshore'!S119)</f>
        <v>0</v>
      </c>
      <c r="U43" s="263">
        <f>IF(OR(U6,U7),'BS offshore'!U107-'BS offshore'!T107+'BS offshore'!U111-'BS offshore'!T111+'BS offshore'!U119-'BS offshore'!T119+'BS offshore'!U98-'BS offshore'!T98+'BS offshore'!U102-'BS offshore'!T102,0)+U8*('BS offshore'!U98-'BS offshore'!T98+'BS offshore'!U102-'BS offshore'!T102+'BS offshore'!U107-'BS offshore'!T107-'BS offshore'!T111+'BS offshore'!U119-'BS offshore'!T119)</f>
        <v>0</v>
      </c>
      <c r="V43" s="263">
        <f>IF(OR(V6,V7),'BS offshore'!V107-'BS offshore'!U107+'BS offshore'!V111-'BS offshore'!U111+'BS offshore'!V119-'BS offshore'!U119+'BS offshore'!V98-'BS offshore'!U98+'BS offshore'!V102-'BS offshore'!U102,0)+V8*('BS offshore'!V98-'BS offshore'!U98+'BS offshore'!V102-'BS offshore'!U102+'BS offshore'!V107-'BS offshore'!U107-'BS offshore'!U111+'BS offshore'!V119-'BS offshore'!U119)</f>
        <v>0</v>
      </c>
      <c r="W43" s="263">
        <f>IF(OR(W6,W7),'BS offshore'!W107-'BS offshore'!V107+'BS offshore'!W111-'BS offshore'!V111+'BS offshore'!W119-'BS offshore'!V119+'BS offshore'!W98-'BS offshore'!V98+'BS offshore'!W102-'BS offshore'!V102,0)+W8*('BS offshore'!W98-'BS offshore'!V98+'BS offshore'!W102-'BS offshore'!V102+'BS offshore'!W107-'BS offshore'!V107-'BS offshore'!V111+'BS offshore'!W119-'BS offshore'!V119)</f>
        <v>0</v>
      </c>
      <c r="X43" s="263">
        <f>IF(OR(X6,X7),'BS offshore'!X107-'BS offshore'!W107+'BS offshore'!X111-'BS offshore'!W111+'BS offshore'!X119-'BS offshore'!W119+'BS offshore'!X98-'BS offshore'!W98+'BS offshore'!X102-'BS offshore'!W102,0)+X8*('BS offshore'!X98-'BS offshore'!W98+'BS offshore'!X102-'BS offshore'!W102+'BS offshore'!X107-'BS offshore'!W107-'BS offshore'!W111+'BS offshore'!X119-'BS offshore'!W119)</f>
        <v>0</v>
      </c>
      <c r="Y43" s="263">
        <f>IF(OR(Y6,Y7),'BS offshore'!Y107-'BS offshore'!X107+'BS offshore'!Y111-'BS offshore'!X111+'BS offshore'!Y119-'BS offshore'!X119+'BS offshore'!Y98-'BS offshore'!X98+'BS offshore'!Y102-'BS offshore'!X102,0)+Y8*('BS offshore'!Y98-'BS offshore'!X98+'BS offshore'!Y102-'BS offshore'!X102+'BS offshore'!Y107-'BS offshore'!X107-'BS offshore'!X111+'BS offshore'!Y119-'BS offshore'!X119)</f>
        <v>0</v>
      </c>
      <c r="Z43" s="263">
        <f>IF(OR(Z6,Z7),'BS offshore'!Z107-'BS offshore'!Y107+'BS offshore'!Z111-'BS offshore'!Y111+'BS offshore'!Z119-'BS offshore'!Y119+'BS offshore'!Z98-'BS offshore'!Y98+'BS offshore'!Z102-'BS offshore'!Y102,0)+Z8*('BS offshore'!Z98-'BS offshore'!Y98+'BS offshore'!Z102-'BS offshore'!Y102+'BS offshore'!Z107-'BS offshore'!Y107-'BS offshore'!Y111+'BS offshore'!Z119-'BS offshore'!Y119)</f>
        <v>0</v>
      </c>
      <c r="AA43" s="263">
        <f>IF(OR(AA6,AA7),'BS offshore'!AA107-'BS offshore'!Z107+'BS offshore'!AA111-'BS offshore'!Z111+'BS offshore'!AA119-'BS offshore'!Z119+'BS offshore'!AA98-'BS offshore'!Z98+'BS offshore'!AA102-'BS offshore'!Z102,0)+AA8*('BS offshore'!AA98-'BS offshore'!Z98+'BS offshore'!AA102-'BS offshore'!Z102+'BS offshore'!AA107-'BS offshore'!Z107-'BS offshore'!Z111+'BS offshore'!AA119-'BS offshore'!Z119)</f>
        <v>0</v>
      </c>
      <c r="AB43" s="263">
        <f>IF(OR(AB6,AB7),'BS offshore'!AB107-'BS offshore'!AA107+'BS offshore'!AB111-'BS offshore'!AA111+'BS offshore'!AB119-'BS offshore'!AA119+'BS offshore'!AB98-'BS offshore'!AA98+'BS offshore'!AB102-'BS offshore'!AA102,0)+AB8*('BS offshore'!AB98-'BS offshore'!AA98+'BS offshore'!AB102-'BS offshore'!AA102+'BS offshore'!AB107-'BS offshore'!AA107-'BS offshore'!AA111+'BS offshore'!AB119-'BS offshore'!AA119)</f>
        <v>0</v>
      </c>
      <c r="AC43" s="263">
        <f>IF(OR(AC6,AC7),'BS offshore'!AC107-'BS offshore'!AB107+'BS offshore'!AC111-'BS offshore'!AB111+'BS offshore'!AC119-'BS offshore'!AB119+'BS offshore'!AC98-'BS offshore'!AB98+'BS offshore'!AC102-'BS offshore'!AB102,0)+AC8*('BS offshore'!AC98-'BS offshore'!AB98+'BS offshore'!AC102-'BS offshore'!AB102+'BS offshore'!AC107-'BS offshore'!AB107-'BS offshore'!AB111+'BS offshore'!AC119-'BS offshore'!AB119)</f>
        <v>0</v>
      </c>
    </row>
    <row r="44" spans="1:29">
      <c r="C44" s="266" t="s">
        <v>681</v>
      </c>
      <c r="D44" s="263"/>
      <c r="E44" s="263"/>
      <c r="F44" s="263">
        <f ca="1">-'IS offshore'!F94</f>
        <v>0</v>
      </c>
      <c r="G44" s="263">
        <f ca="1">-'IS offshore'!G94</f>
        <v>0</v>
      </c>
      <c r="H44" s="263">
        <f ca="1">-'IS offshore'!H94</f>
        <v>0</v>
      </c>
      <c r="I44" s="263">
        <f ca="1">-'IS offshore'!I94</f>
        <v>0</v>
      </c>
      <c r="J44" s="263">
        <f ca="1">-'IS offshore'!J94</f>
        <v>0</v>
      </c>
      <c r="K44" s="263">
        <f ca="1">-'IS offshore'!K94</f>
        <v>0</v>
      </c>
      <c r="L44" s="263">
        <f ca="1">-'IS offshore'!L94</f>
        <v>0</v>
      </c>
      <c r="M44" s="263">
        <f ca="1">-'IS offshore'!M94</f>
        <v>0</v>
      </c>
      <c r="N44" s="263">
        <f ca="1">-'IS offshore'!N94</f>
        <v>0</v>
      </c>
      <c r="O44" s="263">
        <f ca="1">-'IS offshore'!O94</f>
        <v>0</v>
      </c>
      <c r="P44" s="263">
        <f ca="1">-'IS offshore'!P94</f>
        <v>0</v>
      </c>
      <c r="Q44" s="263">
        <f ca="1">-'IS offshore'!Q94</f>
        <v>0</v>
      </c>
      <c r="R44" s="263">
        <f ca="1">-'IS offshore'!R94</f>
        <v>0</v>
      </c>
      <c r="S44" s="263">
        <f>-'IS offshore'!S94</f>
        <v>0</v>
      </c>
      <c r="T44" s="263">
        <f>-'IS offshore'!T94</f>
        <v>0</v>
      </c>
      <c r="U44" s="263">
        <f>-'IS offshore'!U94</f>
        <v>0</v>
      </c>
      <c r="V44" s="263">
        <f>-'IS offshore'!V94</f>
        <v>0</v>
      </c>
      <c r="W44" s="263">
        <f>-'IS offshore'!W94</f>
        <v>0</v>
      </c>
      <c r="X44" s="263">
        <f>-'IS offshore'!X94</f>
        <v>0</v>
      </c>
      <c r="Y44" s="263">
        <f>-'IS offshore'!Y94</f>
        <v>0</v>
      </c>
      <c r="Z44" s="263">
        <f>-'IS offshore'!Z94</f>
        <v>0</v>
      </c>
      <c r="AA44" s="263">
        <f>-'IS offshore'!AA94</f>
        <v>0</v>
      </c>
      <c r="AB44" s="263">
        <f>-'IS offshore'!AB94</f>
        <v>0</v>
      </c>
      <c r="AC44" s="263">
        <f>-'IS offshore'!AC94</f>
        <v>0</v>
      </c>
    </row>
    <row r="45" spans="1:29">
      <c r="C45" s="199" t="s">
        <v>682</v>
      </c>
      <c r="D45" s="199"/>
      <c r="E45" s="199"/>
      <c r="F45" s="199">
        <f t="shared" ref="F45" ca="1" si="14">SUM(F35:F44)</f>
        <v>0</v>
      </c>
      <c r="G45" s="199">
        <f t="shared" ref="G45:AC45" ca="1" si="15">SUM(G35:G44)</f>
        <v>0</v>
      </c>
      <c r="H45" s="199">
        <f t="shared" ca="1" si="15"/>
        <v>0</v>
      </c>
      <c r="I45" s="199">
        <f t="shared" ca="1" si="15"/>
        <v>0</v>
      </c>
      <c r="J45" s="199">
        <f t="shared" ca="1" si="15"/>
        <v>0</v>
      </c>
      <c r="K45" s="199">
        <f t="shared" ca="1" si="15"/>
        <v>0</v>
      </c>
      <c r="L45" s="199">
        <f t="shared" ca="1" si="15"/>
        <v>0</v>
      </c>
      <c r="M45" s="199">
        <f t="shared" ca="1" si="15"/>
        <v>0</v>
      </c>
      <c r="N45" s="199">
        <f t="shared" ca="1" si="15"/>
        <v>0</v>
      </c>
      <c r="O45" s="199">
        <f t="shared" ca="1" si="15"/>
        <v>0</v>
      </c>
      <c r="P45" s="199">
        <f t="shared" ca="1" si="15"/>
        <v>0</v>
      </c>
      <c r="Q45" s="199">
        <f t="shared" ca="1" si="15"/>
        <v>0</v>
      </c>
      <c r="R45" s="199">
        <f t="shared" ca="1" si="15"/>
        <v>0</v>
      </c>
      <c r="S45" s="199">
        <f t="shared" ca="1" si="15"/>
        <v>0</v>
      </c>
      <c r="T45" s="199">
        <f t="shared" ca="1" si="15"/>
        <v>0</v>
      </c>
      <c r="U45" s="199">
        <f t="shared" ca="1" si="15"/>
        <v>0</v>
      </c>
      <c r="V45" s="199">
        <f t="shared" ca="1" si="15"/>
        <v>0</v>
      </c>
      <c r="W45" s="199">
        <f t="shared" ca="1" si="15"/>
        <v>0</v>
      </c>
      <c r="X45" s="199">
        <f t="shared" ca="1" si="15"/>
        <v>0</v>
      </c>
      <c r="Y45" s="199">
        <f t="shared" ca="1" si="15"/>
        <v>0</v>
      </c>
      <c r="Z45" s="199">
        <f t="shared" ca="1" si="15"/>
        <v>0</v>
      </c>
      <c r="AA45" s="199">
        <f t="shared" ca="1" si="15"/>
        <v>0</v>
      </c>
      <c r="AB45" s="199">
        <f t="shared" ca="1" si="15"/>
        <v>0</v>
      </c>
      <c r="AC45" s="199">
        <f t="shared" ca="1" si="15"/>
        <v>0</v>
      </c>
    </row>
    <row r="46" spans="1:29">
      <c r="C46" s="266" t="s">
        <v>844</v>
      </c>
      <c r="D46" s="263"/>
      <c r="E46" s="263"/>
      <c r="F46" s="263">
        <f>'IS offshore'!F68</f>
        <v>0</v>
      </c>
      <c r="G46" s="263">
        <f>'IS offshore'!G68</f>
        <v>0</v>
      </c>
      <c r="H46" s="263">
        <f>'IS offshore'!H68</f>
        <v>0</v>
      </c>
      <c r="I46" s="263">
        <f>'IS offshore'!I68</f>
        <v>0</v>
      </c>
      <c r="J46" s="263">
        <f>'IS offshore'!J68</f>
        <v>0</v>
      </c>
      <c r="K46" s="263">
        <f>'IS offshore'!K68</f>
        <v>0</v>
      </c>
      <c r="L46" s="263">
        <f>'IS offshore'!L68</f>
        <v>0</v>
      </c>
      <c r="M46" s="263">
        <f>'IS offshore'!M68</f>
        <v>0</v>
      </c>
      <c r="N46" s="263">
        <f>'IS offshore'!N68</f>
        <v>0</v>
      </c>
      <c r="O46" s="263">
        <f>'IS offshore'!O68</f>
        <v>0</v>
      </c>
      <c r="P46" s="263">
        <f>'IS offshore'!P68</f>
        <v>0</v>
      </c>
      <c r="Q46" s="263">
        <f>'IS offshore'!Q68</f>
        <v>0</v>
      </c>
      <c r="R46" s="263">
        <f>'IS offshore'!R68</f>
        <v>0</v>
      </c>
      <c r="S46" s="263">
        <f>'IS offshore'!S68</f>
        <v>0</v>
      </c>
      <c r="T46" s="263">
        <f>'IS offshore'!T68</f>
        <v>0</v>
      </c>
      <c r="U46" s="263">
        <f>'IS offshore'!U68</f>
        <v>0</v>
      </c>
      <c r="V46" s="263">
        <f>'IS offshore'!V68</f>
        <v>0</v>
      </c>
      <c r="W46" s="263">
        <f>'IS offshore'!W68</f>
        <v>0</v>
      </c>
      <c r="X46" s="263">
        <f>'IS offshore'!X68</f>
        <v>0</v>
      </c>
      <c r="Y46" s="263">
        <f>'IS offshore'!Y68</f>
        <v>0</v>
      </c>
      <c r="Z46" s="263">
        <f>'IS offshore'!Z68</f>
        <v>0</v>
      </c>
      <c r="AA46" s="263">
        <f>'IS offshore'!AA68</f>
        <v>0</v>
      </c>
      <c r="AB46" s="263">
        <f>'IS offshore'!AB68</f>
        <v>0</v>
      </c>
      <c r="AC46" s="263">
        <f>'IS offshore'!AC68</f>
        <v>0</v>
      </c>
    </row>
    <row r="47" spans="1:29">
      <c r="C47" s="266" t="s">
        <v>845</v>
      </c>
      <c r="D47" s="263"/>
      <c r="E47" s="263"/>
      <c r="F47" s="263">
        <f>F8*('Acquisition BS adjustments'!$D49-F40)-F8*F43-F8*F41</f>
        <v>0</v>
      </c>
      <c r="G47" s="263">
        <f>G8*('Acquisition BS adjustments'!$D49-G40)-G8*G43-G8*G41</f>
        <v>0</v>
      </c>
      <c r="H47" s="263">
        <f>H8*('Acquisition BS adjustments'!$D49-H40)-H8*H43-H8*H41</f>
        <v>0</v>
      </c>
      <c r="I47" s="263">
        <f>I8*('Acquisition BS adjustments'!$D49-I40)-I8*I43-I8*I41</f>
        <v>0</v>
      </c>
      <c r="J47" s="263">
        <f ca="1">J8*('Acquisition BS adjustments'!$D49-J40)-J8*J43-J8*J41</f>
        <v>0</v>
      </c>
      <c r="K47" s="263">
        <f ca="1">K8*('Acquisition BS adjustments'!$D49-K40)-K8*K43-K8*K41</f>
        <v>0</v>
      </c>
      <c r="L47" s="263">
        <f ca="1">L8*('Acquisition BS adjustments'!$D49-L40)-L8*L43-L8*L41</f>
        <v>0</v>
      </c>
      <c r="M47" s="263">
        <f ca="1">M8*('Acquisition BS adjustments'!$D49-M40)-M8*M43-M8*M41</f>
        <v>0</v>
      </c>
      <c r="N47" s="263">
        <f ca="1">N8*('Acquisition BS adjustments'!$D49-N40)-N8*N43-N8*N41</f>
        <v>0</v>
      </c>
      <c r="O47" s="263">
        <f ca="1">O8*('Acquisition BS adjustments'!$D49-O40)-O8*O43-O8*O41</f>
        <v>0</v>
      </c>
      <c r="P47" s="263">
        <f ca="1">P8*('Acquisition BS adjustments'!$D49-P40)-P8*P43-P8*P41</f>
        <v>0</v>
      </c>
      <c r="Q47" s="263">
        <f ca="1">Q8*('Acquisition BS adjustments'!$D49-Q40)-Q8*Q43-Q8*Q41</f>
        <v>0</v>
      </c>
      <c r="R47" s="263">
        <f ca="1">R8*('Acquisition BS adjustments'!$D49-R40)-R8*R43-R8*R41</f>
        <v>0</v>
      </c>
      <c r="S47" s="263">
        <f ca="1">S8*('Acquisition BS adjustments'!$D49-S40)-S8*S43-S8*S41</f>
        <v>0</v>
      </c>
      <c r="T47" s="263">
        <f ca="1">T8*('Acquisition BS adjustments'!$D49-T40)-T8*T43-T8*T41</f>
        <v>0</v>
      </c>
      <c r="U47" s="263">
        <f ca="1">U8*('Acquisition BS adjustments'!$D49-U40)-U8*U43-U8*U41</f>
        <v>0</v>
      </c>
      <c r="V47" s="263">
        <f ca="1">V8*('Acquisition BS adjustments'!$D49-V40)-V8*V43-V8*V41</f>
        <v>0</v>
      </c>
      <c r="W47" s="263">
        <f ca="1">W8*('Acquisition BS adjustments'!$D49-W40)-W8*W43-W8*W41</f>
        <v>0</v>
      </c>
      <c r="X47" s="263">
        <f ca="1">X8*('Acquisition BS adjustments'!$D49-X40)-X8*X43-X8*X41</f>
        <v>0</v>
      </c>
      <c r="Y47" s="263">
        <f ca="1">Y8*('Acquisition BS adjustments'!$D49-Y40)-Y8*Y43-Y8*Y41</f>
        <v>0</v>
      </c>
      <c r="Z47" s="263">
        <f ca="1">Z8*('Acquisition BS adjustments'!$D49-Z40)-Z8*Z43-Z8*Z41</f>
        <v>0</v>
      </c>
      <c r="AA47" s="263">
        <f ca="1">AA8*('Acquisition BS adjustments'!$D49-AA40)-AA8*AA43-AA8*AA41</f>
        <v>0</v>
      </c>
      <c r="AB47" s="263">
        <f ca="1">AB8*('Acquisition BS adjustments'!$D49-AB40)-AB8*AB43-AB8*AB41</f>
        <v>0</v>
      </c>
      <c r="AC47" s="263">
        <f ca="1">AC8*('Acquisition BS adjustments'!$D49-AC40)-AC8*AC43-AC8*AC41</f>
        <v>0</v>
      </c>
    </row>
    <row r="48" spans="1:29">
      <c r="C48" s="195" t="s">
        <v>1004</v>
      </c>
      <c r="D48" s="195"/>
      <c r="E48" s="195"/>
      <c r="F48" s="195">
        <f t="shared" ref="F48:AC48" ca="1" si="16">F27+F33+F45+F46+F47</f>
        <v>0</v>
      </c>
      <c r="G48" s="195">
        <f t="shared" ca="1" si="16"/>
        <v>0</v>
      </c>
      <c r="H48" s="195">
        <f t="shared" ca="1" si="16"/>
        <v>0</v>
      </c>
      <c r="I48" s="195">
        <f t="shared" ca="1" si="16"/>
        <v>0</v>
      </c>
      <c r="J48" s="195">
        <f t="shared" ca="1" si="16"/>
        <v>0</v>
      </c>
      <c r="K48" s="195">
        <f t="shared" ca="1" si="16"/>
        <v>0</v>
      </c>
      <c r="L48" s="195">
        <f t="shared" ca="1" si="16"/>
        <v>0</v>
      </c>
      <c r="M48" s="195">
        <f t="shared" ca="1" si="16"/>
        <v>0</v>
      </c>
      <c r="N48" s="195">
        <f t="shared" ca="1" si="16"/>
        <v>0</v>
      </c>
      <c r="O48" s="195">
        <f t="shared" ca="1" si="16"/>
        <v>0</v>
      </c>
      <c r="P48" s="195">
        <f t="shared" ca="1" si="16"/>
        <v>0</v>
      </c>
      <c r="Q48" s="195">
        <f t="shared" ca="1" si="16"/>
        <v>0</v>
      </c>
      <c r="R48" s="195">
        <f t="shared" ca="1" si="16"/>
        <v>0</v>
      </c>
      <c r="S48" s="195">
        <f t="shared" ca="1" si="16"/>
        <v>0</v>
      </c>
      <c r="T48" s="195">
        <f t="shared" ca="1" si="16"/>
        <v>0</v>
      </c>
      <c r="U48" s="195">
        <f t="shared" ca="1" si="16"/>
        <v>0</v>
      </c>
      <c r="V48" s="195">
        <f t="shared" ca="1" si="16"/>
        <v>0</v>
      </c>
      <c r="W48" s="195">
        <f t="shared" ca="1" si="16"/>
        <v>0</v>
      </c>
      <c r="X48" s="195">
        <f t="shared" ca="1" si="16"/>
        <v>0</v>
      </c>
      <c r="Y48" s="195">
        <f t="shared" ca="1" si="16"/>
        <v>0</v>
      </c>
      <c r="Z48" s="195">
        <f t="shared" ca="1" si="16"/>
        <v>0</v>
      </c>
      <c r="AA48" s="195">
        <f t="shared" ca="1" si="16"/>
        <v>0</v>
      </c>
      <c r="AB48" s="195">
        <f t="shared" ca="1" si="16"/>
        <v>0</v>
      </c>
      <c r="AC48" s="195">
        <f t="shared" ca="1" si="16"/>
        <v>0</v>
      </c>
    </row>
    <row r="49" spans="3:29">
      <c r="C49" s="22" t="s">
        <v>21</v>
      </c>
      <c r="D49" s="25"/>
      <c r="E49" s="25"/>
      <c r="F49" s="197">
        <v>0</v>
      </c>
      <c r="G49" s="197">
        <v>0</v>
      </c>
      <c r="H49" s="197">
        <v>0</v>
      </c>
      <c r="I49" s="197">
        <v>0</v>
      </c>
      <c r="J49" s="197">
        <v>0</v>
      </c>
      <c r="K49" s="197">
        <v>0</v>
      </c>
      <c r="L49" s="197">
        <v>0</v>
      </c>
      <c r="M49" s="197">
        <v>0</v>
      </c>
      <c r="N49" s="197">
        <v>0</v>
      </c>
      <c r="O49" s="197">
        <v>0</v>
      </c>
      <c r="P49" s="197">
        <v>0</v>
      </c>
      <c r="Q49" s="197">
        <v>0</v>
      </c>
      <c r="R49" s="197">
        <v>0</v>
      </c>
      <c r="S49" s="197">
        <v>0</v>
      </c>
      <c r="T49" s="197">
        <v>0</v>
      </c>
      <c r="U49" s="197">
        <v>0</v>
      </c>
      <c r="V49" s="197">
        <v>0</v>
      </c>
      <c r="W49" s="197">
        <v>0</v>
      </c>
      <c r="X49" s="197">
        <v>0</v>
      </c>
      <c r="Y49" s="197">
        <v>0</v>
      </c>
      <c r="Z49" s="197">
        <v>0</v>
      </c>
      <c r="AA49" s="197">
        <v>0</v>
      </c>
      <c r="AB49" s="197">
        <v>0</v>
      </c>
      <c r="AC49" s="197">
        <v>0</v>
      </c>
    </row>
    <row r="50" spans="3:29">
      <c r="C50" s="268" t="s">
        <v>683</v>
      </c>
      <c r="D50" s="263"/>
      <c r="E50" s="263"/>
      <c r="F50" s="263">
        <f t="shared" ref="F50:AC50" si="17">E52</f>
        <v>0</v>
      </c>
      <c r="G50" s="263">
        <f t="shared" si="17"/>
        <v>0</v>
      </c>
      <c r="H50" s="263">
        <f t="shared" si="17"/>
        <v>0</v>
      </c>
      <c r="I50" s="263">
        <f t="shared" si="17"/>
        <v>0</v>
      </c>
      <c r="J50" s="263">
        <f t="shared" si="17"/>
        <v>0</v>
      </c>
      <c r="K50" s="263">
        <f t="shared" si="17"/>
        <v>0</v>
      </c>
      <c r="L50" s="263">
        <f t="shared" ca="1" si="17"/>
        <v>0</v>
      </c>
      <c r="M50" s="263">
        <f t="shared" ca="1" si="17"/>
        <v>0</v>
      </c>
      <c r="N50" s="263">
        <f t="shared" ca="1" si="17"/>
        <v>0</v>
      </c>
      <c r="O50" s="263">
        <f t="shared" ca="1" si="17"/>
        <v>0</v>
      </c>
      <c r="P50" s="263">
        <f t="shared" ca="1" si="17"/>
        <v>0</v>
      </c>
      <c r="Q50" s="263">
        <f t="shared" ca="1" si="17"/>
        <v>0</v>
      </c>
      <c r="R50" s="263">
        <f t="shared" si="17"/>
        <v>0</v>
      </c>
      <c r="S50" s="263">
        <f t="shared" si="17"/>
        <v>0</v>
      </c>
      <c r="T50" s="263">
        <f t="shared" si="17"/>
        <v>0</v>
      </c>
      <c r="U50" s="263">
        <f t="shared" si="17"/>
        <v>0</v>
      </c>
      <c r="V50" s="263">
        <f t="shared" si="17"/>
        <v>0</v>
      </c>
      <c r="W50" s="263">
        <f t="shared" si="17"/>
        <v>0</v>
      </c>
      <c r="X50" s="263">
        <f t="shared" si="17"/>
        <v>0</v>
      </c>
      <c r="Y50" s="263">
        <f t="shared" si="17"/>
        <v>0</v>
      </c>
      <c r="Z50" s="263">
        <f t="shared" si="17"/>
        <v>0</v>
      </c>
      <c r="AA50" s="263">
        <f t="shared" si="17"/>
        <v>0</v>
      </c>
      <c r="AB50" s="263">
        <f t="shared" si="17"/>
        <v>0</v>
      </c>
      <c r="AC50" s="263">
        <f t="shared" si="17"/>
        <v>0</v>
      </c>
    </row>
    <row r="51" spans="3:29">
      <c r="C51" s="192" t="s">
        <v>22</v>
      </c>
      <c r="D51" s="195"/>
      <c r="E51" s="195">
        <f>'BS offshore'!E24</f>
        <v>0</v>
      </c>
      <c r="F51" s="195">
        <f t="shared" ref="F51:AC51" ca="1" si="18">F48+F49+F50</f>
        <v>0</v>
      </c>
      <c r="G51" s="195">
        <f t="shared" ca="1" si="18"/>
        <v>0</v>
      </c>
      <c r="H51" s="195">
        <f t="shared" ca="1" si="18"/>
        <v>0</v>
      </c>
      <c r="I51" s="195">
        <f t="shared" ca="1" si="18"/>
        <v>0</v>
      </c>
      <c r="J51" s="195">
        <f t="shared" ca="1" si="18"/>
        <v>0</v>
      </c>
      <c r="K51" s="195">
        <f t="shared" ca="1" si="18"/>
        <v>0</v>
      </c>
      <c r="L51" s="195">
        <f t="shared" ca="1" si="18"/>
        <v>0</v>
      </c>
      <c r="M51" s="195">
        <f t="shared" ca="1" si="18"/>
        <v>0</v>
      </c>
      <c r="N51" s="195">
        <f t="shared" ca="1" si="18"/>
        <v>0</v>
      </c>
      <c r="O51" s="195">
        <f t="shared" ca="1" si="18"/>
        <v>0</v>
      </c>
      <c r="P51" s="195">
        <f t="shared" ca="1" si="18"/>
        <v>0</v>
      </c>
      <c r="Q51" s="195">
        <f t="shared" ca="1" si="18"/>
        <v>0</v>
      </c>
      <c r="R51" s="195">
        <f t="shared" ca="1" si="18"/>
        <v>0</v>
      </c>
      <c r="S51" s="195">
        <f t="shared" ca="1" si="18"/>
        <v>0</v>
      </c>
      <c r="T51" s="195">
        <f t="shared" ca="1" si="18"/>
        <v>0</v>
      </c>
      <c r="U51" s="195">
        <f t="shared" ca="1" si="18"/>
        <v>0</v>
      </c>
      <c r="V51" s="195">
        <f t="shared" ca="1" si="18"/>
        <v>0</v>
      </c>
      <c r="W51" s="195">
        <f t="shared" ca="1" si="18"/>
        <v>0</v>
      </c>
      <c r="X51" s="195">
        <f t="shared" ca="1" si="18"/>
        <v>0</v>
      </c>
      <c r="Y51" s="195">
        <f t="shared" ca="1" si="18"/>
        <v>0</v>
      </c>
      <c r="Z51" s="195">
        <f t="shared" ca="1" si="18"/>
        <v>0</v>
      </c>
      <c r="AA51" s="195">
        <f t="shared" ca="1" si="18"/>
        <v>0</v>
      </c>
      <c r="AB51" s="195">
        <f t="shared" ca="1" si="18"/>
        <v>0</v>
      </c>
      <c r="AC51" s="195">
        <f t="shared" ca="1" si="18"/>
        <v>0</v>
      </c>
    </row>
    <row r="52" spans="3:29">
      <c r="C52" s="255" t="s">
        <v>846</v>
      </c>
      <c r="D52" s="255"/>
      <c r="E52" s="255">
        <f>'BS offshore'!E24</f>
        <v>0</v>
      </c>
      <c r="F52" s="255">
        <f>'BS offshore'!F24</f>
        <v>0</v>
      </c>
      <c r="G52" s="255">
        <f>'BS offshore'!G24</f>
        <v>0</v>
      </c>
      <c r="H52" s="255">
        <f>'BS offshore'!H24</f>
        <v>0</v>
      </c>
      <c r="I52" s="255">
        <f>'BS offshore'!I24</f>
        <v>0</v>
      </c>
      <c r="J52" s="255">
        <f>'BS offshore'!J24</f>
        <v>0</v>
      </c>
      <c r="K52" s="255">
        <f ca="1">'BS offshore'!K24</f>
        <v>0</v>
      </c>
      <c r="L52" s="255">
        <f ca="1">'BS offshore'!L24</f>
        <v>0</v>
      </c>
      <c r="M52" s="255">
        <f ca="1">'BS offshore'!M24</f>
        <v>0</v>
      </c>
      <c r="N52" s="255">
        <f ca="1">'BS offshore'!N24</f>
        <v>0</v>
      </c>
      <c r="O52" s="255">
        <f ca="1">'BS offshore'!O24</f>
        <v>0</v>
      </c>
      <c r="P52" s="255">
        <f ca="1">'BS offshore'!P24</f>
        <v>0</v>
      </c>
      <c r="Q52" s="255">
        <f>'BS offshore'!Q24</f>
        <v>0</v>
      </c>
      <c r="R52" s="255">
        <f>'BS offshore'!R24</f>
        <v>0</v>
      </c>
      <c r="S52" s="255">
        <f>'BS offshore'!S24</f>
        <v>0</v>
      </c>
      <c r="T52" s="255">
        <f>'BS offshore'!T24</f>
        <v>0</v>
      </c>
      <c r="U52" s="255">
        <f>'BS offshore'!U24</f>
        <v>0</v>
      </c>
      <c r="V52" s="255">
        <f>'BS offshore'!V24</f>
        <v>0</v>
      </c>
      <c r="W52" s="255">
        <f>'BS offshore'!W24</f>
        <v>0</v>
      </c>
      <c r="X52" s="255">
        <f>'BS offshore'!X24</f>
        <v>0</v>
      </c>
      <c r="Y52" s="255">
        <f>'BS offshore'!Y24</f>
        <v>0</v>
      </c>
      <c r="Z52" s="255">
        <f>'BS offshore'!Z24</f>
        <v>0</v>
      </c>
      <c r="AA52" s="255">
        <f>'BS offshore'!AA24</f>
        <v>0</v>
      </c>
      <c r="AB52" s="255">
        <f>'BS offshore'!AB24</f>
        <v>0</v>
      </c>
      <c r="AC52" s="255">
        <f>'BS offshore'!AC24</f>
        <v>0</v>
      </c>
    </row>
    <row r="53" spans="3:29">
      <c r="C53" s="269" t="s">
        <v>1010</v>
      </c>
      <c r="D53" s="269"/>
      <c r="E53" s="269"/>
      <c r="F53" s="269">
        <f ca="1">OR(F6,F7,F8,F9)*IFERROR((F52-F51),1)</f>
        <v>0</v>
      </c>
      <c r="G53" s="269">
        <f t="shared" ref="G53:AC53" ca="1" si="19">OR(G6,G7,G8,G9)*IFERROR((G52-G51),1)</f>
        <v>0</v>
      </c>
      <c r="H53" s="269">
        <f t="shared" ca="1" si="19"/>
        <v>0</v>
      </c>
      <c r="I53" s="269">
        <f t="shared" ca="1" si="19"/>
        <v>0</v>
      </c>
      <c r="J53" s="269">
        <f t="shared" ca="1" si="19"/>
        <v>0</v>
      </c>
      <c r="K53" s="269">
        <f t="shared" ca="1" si="19"/>
        <v>0</v>
      </c>
      <c r="L53" s="269">
        <f t="shared" ca="1" si="19"/>
        <v>0</v>
      </c>
      <c r="M53" s="269">
        <f t="shared" ca="1" si="19"/>
        <v>0</v>
      </c>
      <c r="N53" s="269">
        <f t="shared" ca="1" si="19"/>
        <v>0</v>
      </c>
      <c r="O53" s="269">
        <f t="shared" ca="1" si="19"/>
        <v>0</v>
      </c>
      <c r="P53" s="269">
        <f t="shared" ca="1" si="19"/>
        <v>0</v>
      </c>
      <c r="Q53" s="269">
        <f t="shared" ca="1" si="19"/>
        <v>0</v>
      </c>
      <c r="R53" s="269">
        <f t="shared" ca="1" si="19"/>
        <v>0</v>
      </c>
      <c r="S53" s="269">
        <f t="shared" ca="1" si="19"/>
        <v>0</v>
      </c>
      <c r="T53" s="269">
        <f t="shared" ca="1" si="19"/>
        <v>0</v>
      </c>
      <c r="U53" s="269">
        <f t="shared" ca="1" si="19"/>
        <v>0</v>
      </c>
      <c r="V53" s="269">
        <f t="shared" ca="1" si="19"/>
        <v>0</v>
      </c>
      <c r="W53" s="269">
        <f t="shared" ca="1" si="19"/>
        <v>0</v>
      </c>
      <c r="X53" s="269">
        <f t="shared" ca="1" si="19"/>
        <v>0</v>
      </c>
      <c r="Y53" s="269">
        <f t="shared" ca="1" si="19"/>
        <v>0</v>
      </c>
      <c r="Z53" s="269">
        <f t="shared" ca="1" si="19"/>
        <v>0</v>
      </c>
      <c r="AA53" s="269">
        <f t="shared" ca="1" si="19"/>
        <v>0</v>
      </c>
      <c r="AB53" s="269">
        <f t="shared" ca="1" si="19"/>
        <v>0</v>
      </c>
      <c r="AC53" s="269">
        <f t="shared" ca="1" si="19"/>
        <v>0</v>
      </c>
    </row>
  </sheetData>
  <phoneticPr fontId="52" type="noConversion"/>
  <conditionalFormatting sqref="E6:AC9">
    <cfRule type="cellIs" dxfId="75" priority="3" operator="equal">
      <formula>TRUE</formula>
    </cfRule>
  </conditionalFormatting>
  <conditionalFormatting sqref="F42:AC42">
    <cfRule type="cellIs" dxfId="74" priority="2" operator="notEqual">
      <formula>0</formula>
    </cfRule>
  </conditionalFormatting>
  <conditionalFormatting sqref="F53:AC53">
    <cfRule type="cellIs" dxfId="73" priority="1" operator="notBetween">
      <formula>-0.01</formula>
      <formula>0.01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3905" r:id="rId3" name="Drop Down 1">
              <controlPr defaultSize="0" autoLine="0" autoPict="0">
                <anchor moveWithCells="1">
                  <from>
                    <xdr:col>4</xdr:col>
                    <xdr:colOff>557784</xdr:colOff>
                    <xdr:row>0</xdr:row>
                    <xdr:rowOff>0</xdr:rowOff>
                  </from>
                  <to>
                    <xdr:col>5</xdr:col>
                    <xdr:colOff>777240</xdr:colOff>
                    <xdr:row>1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4"/>
  </sheetPr>
  <dimension ref="B1:F11"/>
  <sheetViews>
    <sheetView topLeftCell="B1" workbookViewId="0">
      <selection activeCell="F4" sqref="F4"/>
    </sheetView>
  </sheetViews>
  <sheetFormatPr defaultRowHeight="13.7"/>
  <sheetData>
    <row r="1" spans="2:6">
      <c r="B1" s="328" t="s">
        <v>1519</v>
      </c>
      <c r="F1" s="328" t="s">
        <v>1520</v>
      </c>
    </row>
    <row r="2" spans="2:6">
      <c r="B2" t="s">
        <v>767</v>
      </c>
      <c r="F2" s="28" t="s">
        <v>1523</v>
      </c>
    </row>
    <row r="3" spans="2:6">
      <c r="B3" t="s">
        <v>764</v>
      </c>
      <c r="F3" s="28" t="s">
        <v>1521</v>
      </c>
    </row>
    <row r="4" spans="2:6">
      <c r="B4" t="s">
        <v>768</v>
      </c>
    </row>
    <row r="5" spans="2:6">
      <c r="B5" t="s">
        <v>769</v>
      </c>
    </row>
    <row r="6" spans="2:6">
      <c r="B6" t="s">
        <v>777</v>
      </c>
    </row>
    <row r="7" spans="2:6">
      <c r="B7" t="s">
        <v>779</v>
      </c>
    </row>
    <row r="8" spans="2:6">
      <c r="B8" t="s">
        <v>787</v>
      </c>
    </row>
    <row r="9" spans="2:6">
      <c r="B9" t="s">
        <v>778</v>
      </c>
    </row>
    <row r="10" spans="2:6">
      <c r="B10" t="s">
        <v>780</v>
      </c>
    </row>
    <row r="11" spans="2:6">
      <c r="B11" t="s">
        <v>788</v>
      </c>
    </row>
  </sheetData>
  <phoneticPr fontId="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theme="0"/>
  </sheetPr>
  <dimension ref="B1:AG54"/>
  <sheetViews>
    <sheetView zoomScale="90" zoomScaleNormal="90" workbookViewId="0">
      <selection activeCell="E19" sqref="E19"/>
    </sheetView>
  </sheetViews>
  <sheetFormatPr defaultColWidth="9.140625" defaultRowHeight="14.4" outlineLevelRow="1"/>
  <cols>
    <col min="1" max="1" width="2.7109375" style="1" customWidth="1"/>
    <col min="2" max="2" width="8" style="1" customWidth="1"/>
    <col min="3" max="3" width="45.140625" style="1" customWidth="1"/>
    <col min="4" max="7" width="18" style="1" customWidth="1"/>
    <col min="8" max="11" width="16.7109375" style="1" customWidth="1"/>
    <col min="12" max="12" width="16.85546875" style="1" customWidth="1"/>
    <col min="13" max="24" width="16.7109375" style="1" customWidth="1"/>
    <col min="25" max="27" width="10.5703125" style="1" customWidth="1"/>
    <col min="28" max="28" width="11.7109375" style="1" customWidth="1"/>
    <col min="29" max="16384" width="9.140625" style="1"/>
  </cols>
  <sheetData>
    <row r="1" spans="2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2:33" s="209" customFormat="1" ht="14.6" customHeight="1">
      <c r="C2" s="209" t="s">
        <v>871</v>
      </c>
      <c r="D2" s="209">
        <f>'Financial summary'!E5</f>
        <v>1</v>
      </c>
      <c r="E2" s="209" t="e">
        <f>INDEX('Scenarios offshore'!#REF!,D2)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2:33" ht="14.6" customHeight="1" outlineLevel="1"/>
    <row r="4" spans="2:33" s="34" customFormat="1" ht="14.6" customHeight="1" outlineLevel="1">
      <c r="C4" s="307" t="s">
        <v>719</v>
      </c>
      <c r="D4" s="307">
        <f>EOMONTH('Control Panel'!B11,2)</f>
        <v>43555</v>
      </c>
      <c r="E4" s="307">
        <f>EOMONTH(D4,3)</f>
        <v>43646</v>
      </c>
      <c r="F4" s="307">
        <f t="shared" ref="F4:AB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ref="AC4" si="1">EOMONTH(AB4,3)</f>
        <v>45838</v>
      </c>
      <c r="AD4" s="307">
        <f t="shared" ref="AD4" si="2">EOMONTH(AC4,3)</f>
        <v>45930</v>
      </c>
      <c r="AE4" s="307">
        <f t="shared" ref="AE4" si="3">EOMONTH(AD4,3)</f>
        <v>46022</v>
      </c>
      <c r="AF4" s="307">
        <f t="shared" ref="AF4:AG4" si="4">EOMONTH(AE4,3)</f>
        <v>46112</v>
      </c>
      <c r="AG4" s="307">
        <f t="shared" si="4"/>
        <v>46203</v>
      </c>
    </row>
    <row r="5" spans="2:33" s="28" customFormat="1" ht="14.6" customHeight="1" outlineLevel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2:33" s="28" customFormat="1" ht="14.6" customHeight="1" outlineLevel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2:33" s="28" customFormat="1" ht="14.6" customHeight="1" outlineLevel="1">
      <c r="C7" s="28" t="s">
        <v>794</v>
      </c>
      <c r="D7" s="28" t="b">
        <f ca="1">IFERROR(AND(OR(D4=('Financing assumptions offshore'!$F$65),OFFSET(D7,0,-'Financing assumptions offshore'!$F$66,1,1)),'Financing assumptions offshore'!$F$63),FALSE)</f>
        <v>0</v>
      </c>
      <c r="E7" s="28" t="b">
        <f ca="1">IFERROR(AND(OR(E4=('Financing assumptions offshore'!$F$65),OFFSET(E7,0,-'Financing assumptions offshore'!$F$66,1,1)),'Financing assumptions offshore'!$F$63),FALSE)</f>
        <v>0</v>
      </c>
      <c r="F7" s="28" t="b">
        <f ca="1">IFERROR(AND(OR(F4=('Financing assumptions offshore'!$F$65),OFFSET(F7,0,-'Financing assumptions offshore'!$F$66,1,1)),'Financing assumptions offshore'!$F$63),FALSE)</f>
        <v>0</v>
      </c>
      <c r="G7" s="28" t="b">
        <f ca="1">IFERROR(AND(OR(G4=('Financing assumptions offshore'!$F$65),OFFSET(G7,0,-'Financing assumptions offshore'!$F$66,1,1)),'Financing assumptions offshore'!$F$63),FALSE)</f>
        <v>0</v>
      </c>
      <c r="H7" s="28" t="b">
        <f ca="1">IFERROR(AND(OR(H4=('Financing assumptions offshore'!$F$65),OFFSET(H7,0,-'Financing assumptions offshore'!$F$66,1,1)),'Financing assumptions offshore'!$F$63),FALSE)</f>
        <v>0</v>
      </c>
      <c r="I7" s="28" t="b">
        <f ca="1">IFERROR(AND(OR(I4=('Financing assumptions offshore'!$F$65),OFFSET(I7,0,-'Financing assumptions offshore'!$F$66,1,1)),'Financing assumptions offshore'!$F$63),FALSE)</f>
        <v>0</v>
      </c>
      <c r="J7" s="28" t="b">
        <f ca="1">IFERROR(AND(OR(J4=('Financing assumptions offshore'!$F$65),OFFSET(J7,0,-'Financing assumptions offshore'!$F$66,1,1)),'Financing assumptions offshore'!$F$63),FALSE)</f>
        <v>0</v>
      </c>
      <c r="K7" s="28" t="b">
        <f ca="1">IFERROR(AND(OR(K4=('Financing assumptions offshore'!$F$65),OFFSET(K7,0,-'Financing assumptions offshore'!$F$66,1,1)),'Financing assumptions offshore'!$F$63),FALSE)</f>
        <v>0</v>
      </c>
      <c r="L7" s="28" t="b">
        <f ca="1">IFERROR(AND(OR(L4=('Financing assumptions offshore'!$F$65),OFFSET(L7,0,-'Financing assumptions offshore'!$F$66,1,1)),'Financing assumptions offshore'!$F$63),FALSE)</f>
        <v>0</v>
      </c>
      <c r="M7" s="28" t="b">
        <f ca="1">IFERROR(AND(OR(M4=('Financing assumptions offshore'!$F$65),OFFSET(M7,0,-'Financing assumptions offshore'!$F$66,1,1)),'Financing assumptions offshore'!$F$63),FALSE)</f>
        <v>0</v>
      </c>
      <c r="N7" s="28" t="b">
        <f ca="1">IFERROR(AND(OR(N4=('Financing assumptions offshore'!$F$65),OFFSET(N7,0,-'Financing assumptions offshore'!$F$66,1,1)),'Financing assumptions offshore'!$F$63),FALSE)</f>
        <v>0</v>
      </c>
      <c r="O7" s="28" t="b">
        <f ca="1">IFERROR(AND(OR(O4=('Financing assumptions offshore'!$F$65),OFFSET(O7,0,-'Financing assumptions offshore'!$F$66,1,1)),'Financing assumptions offshore'!$F$63),FALSE)</f>
        <v>0</v>
      </c>
      <c r="P7" s="28" t="b">
        <f ca="1">IFERROR(AND(OR(P4=('Financing assumptions offshore'!$F$65),OFFSET(P7,0,-'Financing assumptions offshore'!$F$66,1,1)),'Financing assumptions offshore'!$F$63),FALSE)</f>
        <v>0</v>
      </c>
      <c r="Q7" s="28" t="b">
        <f ca="1">IFERROR(AND(OR(Q4=('Financing assumptions offshore'!$F$65),OFFSET(Q7,0,-'Financing assumptions offshore'!$F$66,1,1)),'Financing assumptions offshore'!$F$63),FALSE)</f>
        <v>0</v>
      </c>
      <c r="R7" s="28" t="b">
        <f ca="1">IFERROR(AND(OR(R4=('Financing assumptions offshore'!$F$65),OFFSET(R7,0,-'Financing assumptions offshore'!$F$66,1,1)),'Financing assumptions offshore'!$F$63),FALSE)</f>
        <v>0</v>
      </c>
      <c r="S7" s="28" t="b">
        <f ca="1">IFERROR(AND(OR(S4=('Financing assumptions offshore'!$F$65),OFFSET(S7,0,-'Financing assumptions offshore'!$F$66,1,1)),'Financing assumptions offshore'!$F$63),FALSE)</f>
        <v>0</v>
      </c>
      <c r="T7" s="28" t="b">
        <f ca="1">IFERROR(AND(OR(T4=('Financing assumptions offshore'!$F$65),OFFSET(T7,0,-'Financing assumptions offshore'!$F$66,1,1)),'Financing assumptions offshore'!$F$63),FALSE)</f>
        <v>0</v>
      </c>
      <c r="U7" s="28" t="b">
        <f ca="1">IFERROR(AND(OR(U4=('Financing assumptions offshore'!$F$65),OFFSET(U7,0,-'Financing assumptions offshore'!$F$66,1,1)),'Financing assumptions offshore'!$F$63),FALSE)</f>
        <v>0</v>
      </c>
      <c r="V7" s="28" t="b">
        <f ca="1">IFERROR(AND(OR(V4=('Financing assumptions offshore'!$F$65),OFFSET(V7,0,-'Financing assumptions offshore'!$F$66,1,1)),'Financing assumptions offshore'!$F$63),FALSE)</f>
        <v>0</v>
      </c>
      <c r="W7" s="28" t="b">
        <f ca="1">IFERROR(AND(OR(W4=('Financing assumptions offshore'!$F$65),OFFSET(W7,0,-'Financing assumptions offshore'!$F$66,1,1)),'Financing assumptions offshore'!$F$63),FALSE)</f>
        <v>0</v>
      </c>
      <c r="X7" s="28" t="b">
        <f ca="1">IFERROR(AND(OR(X4=('Financing assumptions offshore'!$F$65),OFFSET(X7,0,-'Financing assumptions offshore'!$F$66,1,1)),'Financing assumptions offshore'!$F$63),FALSE)</f>
        <v>0</v>
      </c>
      <c r="Y7" s="28" t="b">
        <f ca="1">IFERROR(AND(OR(Y4=('Financing assumptions offshore'!$F$65),OFFSET(Y7,0,-'Financing assumptions offshore'!$F$66,1,1)),'Financing assumptions offshore'!$F$63),FALSE)</f>
        <v>0</v>
      </c>
      <c r="Z7" s="28" t="b">
        <f ca="1">IFERROR(AND(OR(Z4=('Financing assumptions offshore'!$F$65),OFFSET(Z7,0,-'Financing assumptions offshore'!$F$66,1,1)),'Financing assumptions offshore'!$F$63),FALSE)</f>
        <v>0</v>
      </c>
      <c r="AA7" s="28" t="b">
        <f ca="1">IFERROR(AND(OR(AA4=('Financing assumptions offshore'!$F$65),OFFSET(AA7,0,-'Financing assumptions offshore'!$F$66,1,1)),'Financing assumptions offshore'!$F$63),FALSE)</f>
        <v>0</v>
      </c>
      <c r="AB7" s="28" t="b">
        <f ca="1">IFERROR(AND(OR(AB4=('Financing assumptions offshore'!$F$65),OFFSET(AB7,0,-'Financing assumptions offshore'!$F$66,1,1)),'Financing assumptions offshore'!$F$63),FALSE)</f>
        <v>0</v>
      </c>
      <c r="AC7" s="28" t="b">
        <f ca="1">IFERROR(AND(OR(AC4=('Financing assumptions offshore'!$F$65),OFFSET(AC7,0,-'Financing assumptions offshore'!$F$66,1,1)),'Financing assumptions offshore'!$F$63),FALSE)</f>
        <v>0</v>
      </c>
      <c r="AD7" s="28" t="b">
        <f ca="1">IFERROR(AND(OR(AD4=('Financing assumptions offshore'!$F$65),OFFSET(AD7,0,-'Financing assumptions offshore'!$F$66,1,1)),'Financing assumptions offshore'!$F$63),FALSE)</f>
        <v>0</v>
      </c>
      <c r="AE7" s="28" t="b">
        <f ca="1">IFERROR(AND(OR(AE4=('Financing assumptions offshore'!$F$65),OFFSET(AE7,0,-'Financing assumptions offshore'!$F$66,1,1)),'Financing assumptions offshore'!$F$63),FALSE)</f>
        <v>0</v>
      </c>
      <c r="AF7" s="28" t="b">
        <f ca="1">IFERROR(AND(OR(AF4=('Financing assumptions offshore'!$F$65),OFFSET(AF7,0,-'Financing assumptions offshore'!$F$66,1,1)),'Financing assumptions offshore'!$F$63),FALSE)</f>
        <v>0</v>
      </c>
      <c r="AG7" s="28" t="b">
        <f ca="1">IFERROR(AND(OR(AG4=('Financing assumptions offshore'!$F$65),OFFSET(AG7,0,-'Financing assumptions offshore'!$F$66,1,1)),'Financing assumptions offshore'!$F$63),FALSE)</f>
        <v>0</v>
      </c>
    </row>
    <row r="8" spans="2:33" ht="14.6" customHeight="1" outlineLevel="1">
      <c r="D8" s="31">
        <f>YEAR(D4)</f>
        <v>2019</v>
      </c>
      <c r="E8" s="31">
        <f t="shared" ref="E8:AB8" si="5">YEAR(E4)</f>
        <v>2019</v>
      </c>
      <c r="F8" s="31">
        <f t="shared" si="5"/>
        <v>2019</v>
      </c>
      <c r="G8" s="31">
        <f t="shared" si="5"/>
        <v>2019</v>
      </c>
      <c r="H8" s="31">
        <f t="shared" si="5"/>
        <v>2020</v>
      </c>
      <c r="I8" s="31">
        <f t="shared" si="5"/>
        <v>2020</v>
      </c>
      <c r="J8" s="31">
        <f t="shared" si="5"/>
        <v>2020</v>
      </c>
      <c r="K8" s="31">
        <f t="shared" si="5"/>
        <v>2020</v>
      </c>
      <c r="L8" s="31">
        <f t="shared" si="5"/>
        <v>2021</v>
      </c>
      <c r="M8" s="31">
        <f t="shared" si="5"/>
        <v>2021</v>
      </c>
      <c r="N8" s="31">
        <f t="shared" si="5"/>
        <v>2021</v>
      </c>
      <c r="O8" s="31">
        <f t="shared" si="5"/>
        <v>2021</v>
      </c>
      <c r="P8" s="31">
        <f t="shared" si="5"/>
        <v>2022</v>
      </c>
      <c r="Q8" s="31">
        <f t="shared" si="5"/>
        <v>2022</v>
      </c>
      <c r="R8" s="31">
        <f t="shared" si="5"/>
        <v>2022</v>
      </c>
      <c r="S8" s="31">
        <f t="shared" si="5"/>
        <v>2022</v>
      </c>
      <c r="T8" s="31">
        <f t="shared" si="5"/>
        <v>2023</v>
      </c>
      <c r="U8" s="31">
        <f t="shared" si="5"/>
        <v>2023</v>
      </c>
      <c r="V8" s="31">
        <f t="shared" si="5"/>
        <v>2023</v>
      </c>
      <c r="W8" s="31">
        <f t="shared" si="5"/>
        <v>2023</v>
      </c>
      <c r="X8" s="31">
        <f t="shared" si="5"/>
        <v>2024</v>
      </c>
      <c r="Y8" s="31">
        <f t="shared" si="5"/>
        <v>2024</v>
      </c>
      <c r="Z8" s="31">
        <f t="shared" si="5"/>
        <v>2024</v>
      </c>
      <c r="AA8" s="31">
        <f t="shared" si="5"/>
        <v>2024</v>
      </c>
      <c r="AB8" s="31">
        <f t="shared" si="5"/>
        <v>2025</v>
      </c>
      <c r="AC8" s="110">
        <f t="shared" ref="AC8:AF8" si="6">YEAR(AC4)</f>
        <v>2025</v>
      </c>
      <c r="AD8" s="110">
        <f t="shared" si="6"/>
        <v>2025</v>
      </c>
      <c r="AE8" s="110">
        <f t="shared" si="6"/>
        <v>2025</v>
      </c>
      <c r="AF8" s="110">
        <f t="shared" si="6"/>
        <v>2026</v>
      </c>
      <c r="AG8" s="110">
        <f t="shared" ref="AG8" si="7">YEAR(AG4)</f>
        <v>2026</v>
      </c>
    </row>
    <row r="9" spans="2:33" ht="14.6" customHeight="1" outlineLevel="1">
      <c r="D9" s="30">
        <f>M2</f>
        <v>1</v>
      </c>
      <c r="E9" s="30">
        <f>IF(D9=4,1,D9+1)</f>
        <v>2</v>
      </c>
      <c r="F9" s="30">
        <f>IF(E9=4,1,E9+1)</f>
        <v>3</v>
      </c>
      <c r="G9" s="30">
        <f>IF(F9=4,1,F9+1)</f>
        <v>4</v>
      </c>
      <c r="H9" s="30">
        <f>IF(G9=4,1,G9+1)</f>
        <v>1</v>
      </c>
      <c r="I9" s="30">
        <f t="shared" ref="I9:AB9" si="8">IF(H9=4,1,H9+1)</f>
        <v>2</v>
      </c>
      <c r="J9" s="30">
        <f t="shared" si="8"/>
        <v>3</v>
      </c>
      <c r="K9" s="30">
        <f t="shared" si="8"/>
        <v>4</v>
      </c>
      <c r="L9" s="30">
        <f t="shared" si="8"/>
        <v>1</v>
      </c>
      <c r="M9" s="30">
        <f t="shared" si="8"/>
        <v>2</v>
      </c>
      <c r="N9" s="30">
        <f t="shared" si="8"/>
        <v>3</v>
      </c>
      <c r="O9" s="30">
        <f t="shared" si="8"/>
        <v>4</v>
      </c>
      <c r="P9" s="30">
        <f t="shared" si="8"/>
        <v>1</v>
      </c>
      <c r="Q9" s="30">
        <f t="shared" si="8"/>
        <v>2</v>
      </c>
      <c r="R9" s="30">
        <f t="shared" si="8"/>
        <v>3</v>
      </c>
      <c r="S9" s="30">
        <f t="shared" si="8"/>
        <v>4</v>
      </c>
      <c r="T9" s="30">
        <f t="shared" si="8"/>
        <v>1</v>
      </c>
      <c r="U9" s="30">
        <f t="shared" si="8"/>
        <v>2</v>
      </c>
      <c r="V9" s="30">
        <f t="shared" si="8"/>
        <v>3</v>
      </c>
      <c r="W9" s="30">
        <f t="shared" si="8"/>
        <v>4</v>
      </c>
      <c r="X9" s="30">
        <f t="shared" si="8"/>
        <v>1</v>
      </c>
      <c r="Y9" s="30">
        <f t="shared" si="8"/>
        <v>2</v>
      </c>
      <c r="Z9" s="30">
        <f t="shared" si="8"/>
        <v>3</v>
      </c>
      <c r="AA9" s="30">
        <f t="shared" si="8"/>
        <v>4</v>
      </c>
      <c r="AB9" s="30">
        <f t="shared" si="8"/>
        <v>1</v>
      </c>
      <c r="AC9" s="30">
        <f t="shared" ref="AC9" si="9">IF(AB9=4,1,AB9+1)</f>
        <v>2</v>
      </c>
      <c r="AD9" s="30">
        <f t="shared" ref="AD9" si="10">IF(AC9=4,1,AC9+1)</f>
        <v>3</v>
      </c>
      <c r="AE9" s="30">
        <f t="shared" ref="AE9" si="11">IF(AD9=4,1,AD9+1)</f>
        <v>4</v>
      </c>
      <c r="AF9" s="30">
        <f t="shared" ref="AF9:AG9" si="12">IF(AE9=4,1,AE9+1)</f>
        <v>1</v>
      </c>
      <c r="AG9" s="30">
        <f t="shared" si="12"/>
        <v>2</v>
      </c>
    </row>
    <row r="10" spans="2:33" outlineLevel="1" collapsed="1"/>
    <row r="11" spans="2:33" ht="16.600000000000001">
      <c r="B11" s="196" t="str">
        <f>CONCATENATE("Project ",project_name," sources and uses")</f>
        <v>Project  sources and uses</v>
      </c>
    </row>
    <row r="12" spans="2:33">
      <c r="B12" s="209" t="str">
        <f>CONCATENATE("Cash Sweep calculation (cash flows on rolling ",'Covenants offshore'!D11," quarter basis)")</f>
        <v>Cash Sweep calculation (cash flows on rolling 1 quarter basis)</v>
      </c>
      <c r="C12" s="209"/>
      <c r="D12" s="198">
        <f>D4</f>
        <v>43555</v>
      </c>
      <c r="E12" s="198">
        <f t="shared" ref="E12:AB12" si="13">E4</f>
        <v>43646</v>
      </c>
      <c r="F12" s="198">
        <f t="shared" si="13"/>
        <v>43738</v>
      </c>
      <c r="G12" s="198">
        <f t="shared" si="13"/>
        <v>43830</v>
      </c>
      <c r="H12" s="198">
        <f t="shared" si="13"/>
        <v>43921</v>
      </c>
      <c r="I12" s="198">
        <f t="shared" si="13"/>
        <v>44012</v>
      </c>
      <c r="J12" s="198">
        <f t="shared" si="13"/>
        <v>44104</v>
      </c>
      <c r="K12" s="198">
        <f t="shared" si="13"/>
        <v>44196</v>
      </c>
      <c r="L12" s="198">
        <f t="shared" si="13"/>
        <v>44286</v>
      </c>
      <c r="M12" s="198">
        <f t="shared" si="13"/>
        <v>44377</v>
      </c>
      <c r="N12" s="198">
        <f t="shared" si="13"/>
        <v>44469</v>
      </c>
      <c r="O12" s="198">
        <f t="shared" si="13"/>
        <v>44561</v>
      </c>
      <c r="P12" s="198">
        <f t="shared" si="13"/>
        <v>44651</v>
      </c>
      <c r="Q12" s="198">
        <f t="shared" si="13"/>
        <v>44742</v>
      </c>
      <c r="R12" s="198">
        <f t="shared" si="13"/>
        <v>44834</v>
      </c>
      <c r="S12" s="198">
        <f t="shared" si="13"/>
        <v>44926</v>
      </c>
      <c r="T12" s="198">
        <f t="shared" si="13"/>
        <v>45016</v>
      </c>
      <c r="U12" s="198">
        <f t="shared" si="13"/>
        <v>45107</v>
      </c>
      <c r="V12" s="198">
        <f t="shared" si="13"/>
        <v>45199</v>
      </c>
      <c r="W12" s="198">
        <f t="shared" si="13"/>
        <v>45291</v>
      </c>
      <c r="X12" s="198">
        <f t="shared" si="13"/>
        <v>45382</v>
      </c>
      <c r="Y12" s="198">
        <f t="shared" si="13"/>
        <v>45473</v>
      </c>
      <c r="Z12" s="198">
        <f t="shared" si="13"/>
        <v>45565</v>
      </c>
      <c r="AA12" s="198">
        <f t="shared" si="13"/>
        <v>45657</v>
      </c>
      <c r="AB12" s="198">
        <f t="shared" si="13"/>
        <v>45747</v>
      </c>
      <c r="AC12" s="198">
        <f t="shared" ref="AC12:AF12" si="14">AC4</f>
        <v>45838</v>
      </c>
      <c r="AD12" s="198">
        <f t="shared" si="14"/>
        <v>45930</v>
      </c>
      <c r="AE12" s="198">
        <f t="shared" si="14"/>
        <v>46022</v>
      </c>
      <c r="AF12" s="198">
        <f t="shared" si="14"/>
        <v>46112</v>
      </c>
      <c r="AG12" s="198">
        <f t="shared" ref="AG12" si="15">AG4</f>
        <v>46203</v>
      </c>
    </row>
    <row r="13" spans="2:33">
      <c r="B13" s="197" t="b">
        <v>1</v>
      </c>
      <c r="C13" s="180" t="s">
        <v>789</v>
      </c>
      <c r="D13" s="180">
        <f ca="1">IFERROR(OFFSET('Covenants offshore'!D18,0,-'Covenants offshore'!$D$11+1)*$B13,0)</f>
        <v>0</v>
      </c>
      <c r="E13" s="180">
        <f ca="1">IFERROR(OFFSET('Covenants offshore'!E18,0,-'Covenants offshore'!$D$11+1)*$B13,0)</f>
        <v>0</v>
      </c>
      <c r="F13" s="180">
        <f ca="1">IFERROR(OFFSET('Covenants offshore'!F18,0,-'Covenants offshore'!$D$11+1)*$B13,0)</f>
        <v>0</v>
      </c>
      <c r="G13" s="180">
        <f ca="1">IFERROR(OFFSET('Covenants offshore'!G18,0,-'Covenants offshore'!$D$11+1)*$B13,0)</f>
        <v>0</v>
      </c>
      <c r="H13" s="180">
        <f ca="1">IFERROR(OFFSET('Covenants offshore'!H18,0,-'Covenants offshore'!$D$11+1)*$B13,0)</f>
        <v>0</v>
      </c>
      <c r="I13" s="180">
        <f ca="1">IFERROR(OFFSET('Covenants offshore'!I18,0,-'Covenants offshore'!$D$11+1)*$B13,0)</f>
        <v>0</v>
      </c>
      <c r="J13" s="180">
        <f ca="1">IFERROR(OFFSET('Covenants offshore'!J18,0,-'Covenants offshore'!$D$11+1)*$B13,0)</f>
        <v>0</v>
      </c>
      <c r="K13" s="180">
        <f ca="1">IFERROR(OFFSET('Covenants offshore'!K18,0,-'Covenants offshore'!$D$11+1)*$B13,0)</f>
        <v>0</v>
      </c>
      <c r="L13" s="180">
        <f ca="1">IFERROR(OFFSET('Covenants offshore'!L18,0,-'Covenants offshore'!$D$11+1)*$B13,0)</f>
        <v>0</v>
      </c>
      <c r="M13" s="180">
        <f ca="1">IFERROR(OFFSET('Covenants offshore'!M18,0,-'Covenants offshore'!$D$11+1)*$B13,0)</f>
        <v>0</v>
      </c>
      <c r="N13" s="180">
        <f ca="1">IFERROR(OFFSET('Covenants offshore'!N18,0,-'Covenants offshore'!$D$11+1)*$B13,0)</f>
        <v>0</v>
      </c>
      <c r="O13" s="180">
        <f ca="1">IFERROR(OFFSET('Covenants offshore'!O18,0,-'Covenants offshore'!$D$11+1)*$B13,0)</f>
        <v>0</v>
      </c>
      <c r="P13" s="180">
        <f ca="1">IFERROR(OFFSET('Covenants offshore'!P18,0,-'Covenants offshore'!$D$11+1)*$B13,0)</f>
        <v>0</v>
      </c>
      <c r="Q13" s="180">
        <f ca="1">IFERROR(OFFSET('Covenants offshore'!Q18,0,-'Covenants offshore'!$D$11+1)*$B13,0)</f>
        <v>0</v>
      </c>
      <c r="R13" s="180">
        <f ca="1">IFERROR(OFFSET('Covenants offshore'!R18,0,-'Covenants offshore'!$D$11+1)*$B13,0)</f>
        <v>0</v>
      </c>
      <c r="S13" s="180">
        <f ca="1">IFERROR(OFFSET('Covenants offshore'!S18,0,-'Covenants offshore'!$D$11+1)*$B13,0)</f>
        <v>0</v>
      </c>
      <c r="T13" s="180">
        <f ca="1">IFERROR(OFFSET('Covenants offshore'!T18,0,-'Covenants offshore'!$D$11+1)*$B13,0)</f>
        <v>0</v>
      </c>
      <c r="U13" s="180">
        <f ca="1">IFERROR(OFFSET('Covenants offshore'!U18,0,-'Covenants offshore'!$D$11+1)*$B13,0)</f>
        <v>0</v>
      </c>
      <c r="V13" s="180">
        <f ca="1">IFERROR(OFFSET('Covenants offshore'!V18,0,-'Covenants offshore'!$D$11+1)*$B13,0)</f>
        <v>0</v>
      </c>
      <c r="W13" s="180">
        <f ca="1">IFERROR(OFFSET('Covenants offshore'!W18,0,-'Covenants offshore'!$D$11+1)*$B13,0)</f>
        <v>0</v>
      </c>
      <c r="X13" s="180">
        <f ca="1">IFERROR(OFFSET('Covenants offshore'!X18,0,-'Covenants offshore'!$D$11+1)*$B13,0)</f>
        <v>0</v>
      </c>
      <c r="Y13" s="180">
        <f ca="1">IFERROR(OFFSET('Covenants offshore'!Y18,0,-'Covenants offshore'!$D$11+1)*$B13,0)</f>
        <v>0</v>
      </c>
      <c r="Z13" s="180">
        <f ca="1">IFERROR(OFFSET('Covenants offshore'!Z18,0,-'Covenants offshore'!$D$11+1)*$B13,0)</f>
        <v>0</v>
      </c>
      <c r="AA13" s="180">
        <f ca="1">IFERROR(OFFSET('Covenants offshore'!AA18,0,-'Covenants offshore'!$D$11+1)*$B13,0)</f>
        <v>0</v>
      </c>
      <c r="AB13" s="180">
        <f ca="1">IFERROR(OFFSET('Covenants offshore'!AB18,0,-'Covenants offshore'!$D$11+1)*$B13,0)</f>
        <v>0</v>
      </c>
      <c r="AC13" s="180">
        <f ca="1">IFERROR(OFFSET('Covenants offshore'!AC18,0,-'Covenants offshore'!$D$11+1)*$B13,0)</f>
        <v>0</v>
      </c>
      <c r="AD13" s="180">
        <f ca="1">IFERROR(OFFSET('Covenants offshore'!AD18,0,-'Covenants offshore'!$D$11+1)*$B13,0)</f>
        <v>0</v>
      </c>
      <c r="AE13" s="180">
        <f ca="1">IFERROR(OFFSET('Covenants offshore'!AE18,0,-'Covenants offshore'!$D$11+1)*$B13,0)</f>
        <v>0</v>
      </c>
      <c r="AF13" s="180">
        <f ca="1">IFERROR(OFFSET('Covenants offshore'!AF18,0,-'Covenants offshore'!$D$11+1)*$B13,0)</f>
        <v>0</v>
      </c>
      <c r="AG13" s="180">
        <f ca="1">IFERROR(OFFSET('Covenants offshore'!AG18,0,-'Covenants offshore'!$D$11+1)*$B13,0)</f>
        <v>0</v>
      </c>
    </row>
    <row r="14" spans="2:33">
      <c r="B14" s="197" t="b">
        <v>1</v>
      </c>
      <c r="C14" s="302" t="s">
        <v>813</v>
      </c>
      <c r="D14" s="303">
        <f>-'Financing assumptions offshore'!$F$67*1000*$B14</f>
        <v>0</v>
      </c>
      <c r="E14" s="303">
        <f>-'Financing assumptions offshore'!$F$67*1000*$B14</f>
        <v>0</v>
      </c>
      <c r="F14" s="303">
        <f>-'Financing assumptions offshore'!$F$67*1000*$B14</f>
        <v>0</v>
      </c>
      <c r="G14" s="303">
        <f>-'Financing assumptions offshore'!$F$67*1000*$B14</f>
        <v>0</v>
      </c>
      <c r="H14" s="303">
        <f>-'Financing assumptions offshore'!$F$67*1000*$B14</f>
        <v>0</v>
      </c>
      <c r="I14" s="303">
        <f>-'Financing assumptions offshore'!$F$67*1000*$B14</f>
        <v>0</v>
      </c>
      <c r="J14" s="303">
        <f>-'Financing assumptions offshore'!$F$67*1000*$B14</f>
        <v>0</v>
      </c>
      <c r="K14" s="303">
        <f>-'Financing assumptions offshore'!$F$67*1000*$B14</f>
        <v>0</v>
      </c>
      <c r="L14" s="303">
        <f>-'Financing assumptions offshore'!$F$67*1000*$B14</f>
        <v>0</v>
      </c>
      <c r="M14" s="303">
        <f>-'Financing assumptions offshore'!$F$67*1000*$B14</f>
        <v>0</v>
      </c>
      <c r="N14" s="303">
        <f>-'Financing assumptions offshore'!$F$67*1000*$B14</f>
        <v>0</v>
      </c>
      <c r="O14" s="303">
        <f>-'Financing assumptions offshore'!$F$67*1000*$B14</f>
        <v>0</v>
      </c>
      <c r="P14" s="303">
        <f>-'Financing assumptions offshore'!$F$67*1000*$B14</f>
        <v>0</v>
      </c>
      <c r="Q14" s="303">
        <f>-'Financing assumptions offshore'!$F$67*1000*$B14</f>
        <v>0</v>
      </c>
      <c r="R14" s="303">
        <f>-'Financing assumptions offshore'!$F$67*1000*$B14</f>
        <v>0</v>
      </c>
      <c r="S14" s="303">
        <f>-'Financing assumptions offshore'!$F$67*1000*$B14</f>
        <v>0</v>
      </c>
      <c r="T14" s="303">
        <f>-'Financing assumptions offshore'!$F$67*1000*$B14</f>
        <v>0</v>
      </c>
      <c r="U14" s="303">
        <f>-'Financing assumptions offshore'!$F$67*1000*$B14</f>
        <v>0</v>
      </c>
      <c r="V14" s="303">
        <f>-'Financing assumptions offshore'!$F$67*1000*$B14</f>
        <v>0</v>
      </c>
      <c r="W14" s="303">
        <f>-'Financing assumptions offshore'!$F$67*1000*$B14</f>
        <v>0</v>
      </c>
      <c r="X14" s="303">
        <f>-'Financing assumptions offshore'!$F$67*1000*$B14</f>
        <v>0</v>
      </c>
      <c r="Y14" s="303">
        <f>-'Financing assumptions offshore'!$F$67*1000*$B14</f>
        <v>0</v>
      </c>
      <c r="Z14" s="303">
        <f>-'Financing assumptions offshore'!$F$67*1000*$B14</f>
        <v>0</v>
      </c>
      <c r="AA14" s="303">
        <f>-'Financing assumptions offshore'!$F$67*1000*$B14</f>
        <v>0</v>
      </c>
      <c r="AB14" s="303">
        <f>-'Financing assumptions offshore'!$F$67*1000*$B14</f>
        <v>0</v>
      </c>
      <c r="AC14" s="303">
        <f>-'Financing assumptions offshore'!$F$67*1000*$B14</f>
        <v>0</v>
      </c>
      <c r="AD14" s="303">
        <f>-'Financing assumptions offshore'!$F$67*1000*$B14</f>
        <v>0</v>
      </c>
      <c r="AE14" s="303">
        <f>-'Financing assumptions offshore'!$F$67*1000*$B14</f>
        <v>0</v>
      </c>
      <c r="AF14" s="303">
        <f>-'Financing assumptions offshore'!$F$67*1000*$B14</f>
        <v>0</v>
      </c>
      <c r="AG14" s="303">
        <f>-'Financing assumptions offshore'!$F$67*1000*$B14</f>
        <v>0</v>
      </c>
    </row>
    <row r="15" spans="2:33">
      <c r="B15" s="197" t="b">
        <v>1</v>
      </c>
      <c r="C15" s="180" t="s">
        <v>684</v>
      </c>
      <c r="D15" s="180">
        <f ca="1">'Covenants offshore'!D34*$B15</f>
        <v>0</v>
      </c>
      <c r="E15" s="180">
        <f ca="1">'Covenants offshore'!E34*$B15</f>
        <v>0</v>
      </c>
      <c r="F15" s="180">
        <f ca="1">'Covenants offshore'!F34*$B15</f>
        <v>0</v>
      </c>
      <c r="G15" s="180">
        <f ca="1">'Covenants offshore'!G34*$B15</f>
        <v>0</v>
      </c>
      <c r="H15" s="180">
        <f ca="1">'Covenants offshore'!H34*$B15</f>
        <v>0</v>
      </c>
      <c r="I15" s="180">
        <f ca="1">'Covenants offshore'!I34*$B15</f>
        <v>0</v>
      </c>
      <c r="J15" s="180">
        <f ca="1">'Covenants offshore'!J34*$B15</f>
        <v>0</v>
      </c>
      <c r="K15" s="180">
        <f ca="1">'Covenants offshore'!K34*$B15</f>
        <v>0</v>
      </c>
      <c r="L15" s="180">
        <f ca="1">'Covenants offshore'!L34*$B15</f>
        <v>0</v>
      </c>
      <c r="M15" s="180">
        <f ca="1">'Covenants offshore'!M34*$B15</f>
        <v>0</v>
      </c>
      <c r="N15" s="180">
        <f ca="1">'Covenants offshore'!N34*$B15</f>
        <v>0</v>
      </c>
      <c r="O15" s="180">
        <f ca="1">'Covenants offshore'!O34*$B15</f>
        <v>0</v>
      </c>
      <c r="P15" s="180">
        <f ca="1">'Covenants offshore'!P34*$B15</f>
        <v>0</v>
      </c>
      <c r="Q15" s="180">
        <f ca="1">'Covenants offshore'!Q34*$B15</f>
        <v>0</v>
      </c>
      <c r="R15" s="180">
        <f ca="1">'Covenants offshore'!R34*$B15</f>
        <v>0</v>
      </c>
      <c r="S15" s="180">
        <f ca="1">'Covenants offshore'!S34*$B15</f>
        <v>0</v>
      </c>
      <c r="T15" s="180">
        <f ca="1">'Covenants offshore'!T34*$B15</f>
        <v>0</v>
      </c>
      <c r="U15" s="180">
        <f ca="1">'Covenants offshore'!U34*$B15</f>
        <v>0</v>
      </c>
      <c r="V15" s="180">
        <f ca="1">'Covenants offshore'!V34*$B15</f>
        <v>0</v>
      </c>
      <c r="W15" s="180">
        <f ca="1">'Covenants offshore'!W34*$B15</f>
        <v>0</v>
      </c>
      <c r="X15" s="180">
        <f ca="1">'Covenants offshore'!X34*$B15</f>
        <v>0</v>
      </c>
      <c r="Y15" s="180">
        <f ca="1">'Covenants offshore'!Y34*$B15</f>
        <v>0</v>
      </c>
      <c r="Z15" s="180">
        <f ca="1">'Covenants offshore'!Z34*$B15</f>
        <v>0</v>
      </c>
      <c r="AA15" s="180">
        <f ca="1">'Covenants offshore'!AA34*$B15</f>
        <v>0</v>
      </c>
      <c r="AB15" s="180" t="e">
        <f ca="1">'Covenants offshore'!AB34*$B15</f>
        <v>#VALUE!</v>
      </c>
      <c r="AC15" s="180" t="e">
        <f ca="1">'Covenants offshore'!AC34*$B15</f>
        <v>#VALUE!</v>
      </c>
      <c r="AD15" s="180" t="e">
        <f ca="1">'Covenants offshore'!AD34*$B15</f>
        <v>#VALUE!</v>
      </c>
      <c r="AE15" s="180" t="e">
        <f ca="1">'Covenants offshore'!AE34*$B15</f>
        <v>#VALUE!</v>
      </c>
      <c r="AF15" s="180" t="e">
        <f ca="1">'Covenants offshore'!AF34*$B15</f>
        <v>#VALUE!</v>
      </c>
      <c r="AG15" s="180" t="e">
        <f ca="1">'Covenants offshore'!AG34*$B15</f>
        <v>#VALUE!</v>
      </c>
    </row>
    <row r="16" spans="2:33">
      <c r="B16" s="197" t="b">
        <v>1</v>
      </c>
      <c r="C16" s="302" t="s">
        <v>809</v>
      </c>
      <c r="D16" s="291"/>
      <c r="E16" s="291"/>
      <c r="F16" s="291"/>
      <c r="G16" s="291"/>
      <c r="H16" s="291"/>
      <c r="I16" s="291"/>
      <c r="J16" s="291"/>
      <c r="K16" s="291"/>
      <c r="L16" s="291"/>
      <c r="M16" s="291"/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</row>
    <row r="17" spans="2:33">
      <c r="B17" s="197" t="b">
        <v>1</v>
      </c>
      <c r="C17" s="302" t="s">
        <v>810</v>
      </c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</row>
    <row r="18" spans="2:33">
      <c r="B18" s="197" t="b">
        <v>1</v>
      </c>
      <c r="C18" s="302" t="s">
        <v>863</v>
      </c>
      <c r="D18" s="291">
        <f>SUM('Financial Quarterly offshore'!A100:'Financial Quarterly offshore'!D100)</f>
        <v>0</v>
      </c>
      <c r="E18" s="291">
        <f>SUM('Financial Quarterly offshore'!B100:'Financial Quarterly offshore'!E100)</f>
        <v>0</v>
      </c>
      <c r="F18" s="291">
        <f ca="1">SUM('Financial Quarterly offshore'!C100:'Financial Quarterly offshore'!F100)</f>
        <v>0</v>
      </c>
      <c r="G18" s="291">
        <f ca="1">SUM('Financial Quarterly offshore'!D100:'Financial Quarterly offshore'!G100)</f>
        <v>0</v>
      </c>
      <c r="H18" s="291">
        <f ca="1">SUM('Financial Quarterly offshore'!E100:'Financial Quarterly offshore'!H100)</f>
        <v>0</v>
      </c>
      <c r="I18" s="291">
        <f ca="1">SUM('Financial Quarterly offshore'!F100:'Financial Quarterly offshore'!I100)</f>
        <v>0</v>
      </c>
      <c r="J18" s="291">
        <f ca="1">SUM('Financial Quarterly offshore'!G100:'Financial Quarterly offshore'!J100)</f>
        <v>0</v>
      </c>
      <c r="K18" s="291">
        <f ca="1">SUM('Financial Quarterly offshore'!H100:'Financial Quarterly offshore'!K100)</f>
        <v>0</v>
      </c>
      <c r="L18" s="291">
        <f ca="1">SUM('Financial Quarterly offshore'!I100:'Financial Quarterly offshore'!L100)</f>
        <v>0</v>
      </c>
      <c r="M18" s="291">
        <f ca="1">SUM('Financial Quarterly offshore'!J100:'Financial Quarterly offshore'!M100)</f>
        <v>0</v>
      </c>
      <c r="N18" s="291">
        <f ca="1">SUM('Financial Quarterly offshore'!K100:'Financial Quarterly offshore'!N100)</f>
        <v>0</v>
      </c>
      <c r="O18" s="291">
        <f ca="1">SUM('Financial Quarterly offshore'!L100:'Financial Quarterly offshore'!O100)</f>
        <v>0</v>
      </c>
      <c r="P18" s="291">
        <f ca="1">SUM('Financial Quarterly offshore'!M100:'Financial Quarterly offshore'!P100)</f>
        <v>0</v>
      </c>
      <c r="Q18" s="291">
        <f ca="1">SUM('Financial Quarterly offshore'!N100:'Financial Quarterly offshore'!Q100)</f>
        <v>0</v>
      </c>
      <c r="R18" s="291">
        <f ca="1">SUM('Financial Quarterly offshore'!O100:'Financial Quarterly offshore'!R100)</f>
        <v>0</v>
      </c>
      <c r="S18" s="291">
        <f ca="1">SUM('Financial Quarterly offshore'!P100:'Financial Quarterly offshore'!S100)</f>
        <v>0</v>
      </c>
      <c r="T18" s="291">
        <f ca="1">SUM('Financial Quarterly offshore'!Q100:'Financial Quarterly offshore'!T100)</f>
        <v>0</v>
      </c>
      <c r="U18" s="291">
        <f ca="1">SUM('Financial Quarterly offshore'!R100:'Financial Quarterly offshore'!U100)</f>
        <v>0</v>
      </c>
      <c r="V18" s="291">
        <f ca="1">SUM('Financial Quarterly offshore'!S100:'Financial Quarterly offshore'!V100)</f>
        <v>0</v>
      </c>
      <c r="W18" s="291">
        <f ca="1">SUM('Financial Quarterly offshore'!T100:'Financial Quarterly offshore'!W100)</f>
        <v>0</v>
      </c>
      <c r="X18" s="291">
        <f ca="1">SUM('Financial Quarterly offshore'!U100:'Financial Quarterly offshore'!X100)</f>
        <v>0</v>
      </c>
      <c r="Y18" s="291">
        <f ca="1">SUM('Financial Quarterly offshore'!V100:'Financial Quarterly offshore'!Y100)</f>
        <v>0</v>
      </c>
      <c r="Z18" s="291">
        <f ca="1">SUM('Financial Quarterly offshore'!W100:'Financial Quarterly offshore'!Z100)</f>
        <v>0</v>
      </c>
      <c r="AA18" s="291">
        <f ca="1">SUM('Financial Quarterly offshore'!X100:'Financial Quarterly offshore'!AA100)</f>
        <v>0</v>
      </c>
      <c r="AB18" s="291">
        <f ca="1">SUM('Financial Quarterly offshore'!Y100:'Financial Quarterly offshore'!AB100)</f>
        <v>0</v>
      </c>
      <c r="AC18" s="291" t="e">
        <f ca="1">SUM('Financial Quarterly offshore'!Z100:'Financial Quarterly offshore'!AC100)</f>
        <v>#N/A</v>
      </c>
      <c r="AD18" s="291" t="e">
        <f ca="1">SUM('Financial Quarterly offshore'!AA100:'Financial Quarterly offshore'!AD100)</f>
        <v>#N/A</v>
      </c>
      <c r="AE18" s="291" t="e">
        <f ca="1">SUM('Financial Quarterly offshore'!AB100:'Financial Quarterly offshore'!AE100)</f>
        <v>#N/A</v>
      </c>
      <c r="AF18" s="291" t="e">
        <f ca="1">SUM('Financial Quarterly offshore'!AC100:'Financial Quarterly offshore'!AF100)</f>
        <v>#N/A</v>
      </c>
      <c r="AG18" s="291" t="e">
        <f ca="1">SUM('Financial Quarterly offshore'!AD100:'Financial Quarterly offshore'!AG100)</f>
        <v>#N/A</v>
      </c>
    </row>
    <row r="19" spans="2:33">
      <c r="B19" s="197" t="b">
        <v>1</v>
      </c>
      <c r="C19" s="302" t="s">
        <v>862</v>
      </c>
      <c r="D19" s="291">
        <f>SUM('Financial Quarterly offshore'!D101:'Financial Quarterly offshore'!A101)</f>
        <v>0</v>
      </c>
      <c r="E19" s="291">
        <f>SUM('Financial Quarterly offshore'!E101:'Financial Quarterly offshore'!B101)</f>
        <v>0</v>
      </c>
      <c r="F19" s="291">
        <f ca="1">SUM('Financial Quarterly offshore'!F101:'Financial Quarterly offshore'!C101)</f>
        <v>0</v>
      </c>
      <c r="G19" s="291">
        <f ca="1">SUM('Financial Quarterly offshore'!G101:'Financial Quarterly offshore'!D101)</f>
        <v>0</v>
      </c>
      <c r="H19" s="291">
        <f ca="1">SUM('Financial Quarterly offshore'!H101:'Financial Quarterly offshore'!E101)</f>
        <v>0</v>
      </c>
      <c r="I19" s="291">
        <f ca="1">SUM('Financial Quarterly offshore'!I101:'Financial Quarterly offshore'!F101)</f>
        <v>0</v>
      </c>
      <c r="J19" s="291">
        <f ca="1">SUM('Financial Quarterly offshore'!J101:'Financial Quarterly offshore'!G101)</f>
        <v>0</v>
      </c>
      <c r="K19" s="291">
        <f ca="1">SUM('Financial Quarterly offshore'!K101:'Financial Quarterly offshore'!H101)</f>
        <v>0</v>
      </c>
      <c r="L19" s="291">
        <f ca="1">SUM('Financial Quarterly offshore'!L101:'Financial Quarterly offshore'!I101)</f>
        <v>0</v>
      </c>
      <c r="M19" s="291">
        <f ca="1">SUM('Financial Quarterly offshore'!M101:'Financial Quarterly offshore'!J101)</f>
        <v>0</v>
      </c>
      <c r="N19" s="291">
        <f ca="1">SUM('Financial Quarterly offshore'!N101:'Financial Quarterly offshore'!K101)</f>
        <v>0</v>
      </c>
      <c r="O19" s="291">
        <f ca="1">SUM('Financial Quarterly offshore'!O101:'Financial Quarterly offshore'!L101)</f>
        <v>0</v>
      </c>
      <c r="P19" s="291">
        <f ca="1">SUM('Financial Quarterly offshore'!P101:'Financial Quarterly offshore'!M101)</f>
        <v>0</v>
      </c>
      <c r="Q19" s="291">
        <f ca="1">SUM('Financial Quarterly offshore'!Q101:'Financial Quarterly offshore'!N101)</f>
        <v>0</v>
      </c>
      <c r="R19" s="291">
        <f ca="1">SUM('Financial Quarterly offshore'!R101:'Financial Quarterly offshore'!O101)</f>
        <v>0</v>
      </c>
      <c r="S19" s="291">
        <f ca="1">SUM('Financial Quarterly offshore'!S101:'Financial Quarterly offshore'!P101)</f>
        <v>0</v>
      </c>
      <c r="T19" s="291">
        <f ca="1">SUM('Financial Quarterly offshore'!T101:'Financial Quarterly offshore'!Q101)</f>
        <v>0</v>
      </c>
      <c r="U19" s="291">
        <f ca="1">SUM('Financial Quarterly offshore'!U101:'Financial Quarterly offshore'!R101)</f>
        <v>0</v>
      </c>
      <c r="V19" s="291">
        <f ca="1">SUM('Financial Quarterly offshore'!V101:'Financial Quarterly offshore'!S101)</f>
        <v>0</v>
      </c>
      <c r="W19" s="291">
        <f ca="1">SUM('Financial Quarterly offshore'!W101:'Financial Quarterly offshore'!T101)</f>
        <v>0</v>
      </c>
      <c r="X19" s="291">
        <f ca="1">SUM('Financial Quarterly offshore'!X101:'Financial Quarterly offshore'!U101)</f>
        <v>0</v>
      </c>
      <c r="Y19" s="291">
        <f ca="1">SUM('Financial Quarterly offshore'!Y101:'Financial Quarterly offshore'!V101)</f>
        <v>0</v>
      </c>
      <c r="Z19" s="291">
        <f ca="1">SUM('Financial Quarterly offshore'!Z101:'Financial Quarterly offshore'!W101)</f>
        <v>0</v>
      </c>
      <c r="AA19" s="291">
        <f ca="1">SUM('Financial Quarterly offshore'!AA101:'Financial Quarterly offshore'!X101)</f>
        <v>0</v>
      </c>
      <c r="AB19" s="291">
        <f ca="1">SUM('Financial Quarterly offshore'!AB101:'Financial Quarterly offshore'!Y101)</f>
        <v>0</v>
      </c>
      <c r="AC19" s="291" t="e">
        <f ca="1">SUM('Financial Quarterly offshore'!AC101:'Financial Quarterly offshore'!Z101)</f>
        <v>#N/A</v>
      </c>
      <c r="AD19" s="291" t="e">
        <f ca="1">SUM('Financial Quarterly offshore'!AD101:'Financial Quarterly offshore'!AA101)</f>
        <v>#N/A</v>
      </c>
      <c r="AE19" s="291" t="e">
        <f ca="1">SUM('Financial Quarterly offshore'!AE101:'Financial Quarterly offshore'!AB101)</f>
        <v>#N/A</v>
      </c>
      <c r="AF19" s="291" t="e">
        <f ca="1">SUM('Financial Quarterly offshore'!AF101:'Financial Quarterly offshore'!AC101)</f>
        <v>#N/A</v>
      </c>
      <c r="AG19" s="291" t="e">
        <f ca="1">SUM('Financial Quarterly offshore'!AG101:'Financial Quarterly offshore'!AD101)</f>
        <v>#N/A</v>
      </c>
    </row>
    <row r="20" spans="2:33">
      <c r="B20" s="197" t="b">
        <v>1</v>
      </c>
      <c r="C20" s="302" t="s">
        <v>811</v>
      </c>
      <c r="D20" s="291">
        <f ca="1">-'Covenants offshore'!D35*$B20</f>
        <v>0</v>
      </c>
      <c r="E20" s="291">
        <f ca="1">-'Covenants offshore'!E35*$B20</f>
        <v>0</v>
      </c>
      <c r="F20" s="291">
        <f ca="1">-'Covenants offshore'!F35*$B20</f>
        <v>0</v>
      </c>
      <c r="G20" s="291">
        <f ca="1">-'Covenants offshore'!G35*$B20</f>
        <v>0</v>
      </c>
      <c r="H20" s="291">
        <f ca="1">-'Covenants offshore'!H35*$B20</f>
        <v>0</v>
      </c>
      <c r="I20" s="291">
        <f ca="1">-'Covenants offshore'!I35*$B20</f>
        <v>0</v>
      </c>
      <c r="J20" s="291">
        <f ca="1">-'Covenants offshore'!J35*$B20</f>
        <v>0</v>
      </c>
      <c r="K20" s="291">
        <f ca="1">-'Covenants offshore'!K35*$B20</f>
        <v>0</v>
      </c>
      <c r="L20" s="291">
        <f ca="1">-'Covenants offshore'!L35*$B20</f>
        <v>0</v>
      </c>
      <c r="M20" s="291">
        <f ca="1">-'Covenants offshore'!M35*$B20</f>
        <v>0</v>
      </c>
      <c r="N20" s="291">
        <f ca="1">-'Covenants offshore'!N35*$B20</f>
        <v>0</v>
      </c>
      <c r="O20" s="291">
        <f ca="1">-'Covenants offshore'!O35*$B20</f>
        <v>0</v>
      </c>
      <c r="P20" s="291">
        <f ca="1">-'Covenants offshore'!P35*$B20</f>
        <v>0</v>
      </c>
      <c r="Q20" s="291">
        <f ca="1">-'Covenants offshore'!Q35*$B20</f>
        <v>0</v>
      </c>
      <c r="R20" s="291">
        <f ca="1">-'Covenants offshore'!R35*$B20</f>
        <v>0</v>
      </c>
      <c r="S20" s="291">
        <f ca="1">-'Covenants offshore'!S35*$B20</f>
        <v>0</v>
      </c>
      <c r="T20" s="291">
        <f ca="1">-'Covenants offshore'!T35*$B20</f>
        <v>0</v>
      </c>
      <c r="U20" s="291">
        <f ca="1">-'Covenants offshore'!U35*$B20</f>
        <v>0</v>
      </c>
      <c r="V20" s="291">
        <f ca="1">-'Covenants offshore'!V35*$B20</f>
        <v>0</v>
      </c>
      <c r="W20" s="291">
        <f ca="1">-'Covenants offshore'!W35*$B20</f>
        <v>0</v>
      </c>
      <c r="X20" s="291">
        <f ca="1">-'Covenants offshore'!X35*$B20</f>
        <v>0</v>
      </c>
      <c r="Y20" s="291">
        <f ca="1">-'Covenants offshore'!Y35*$B20</f>
        <v>0</v>
      </c>
      <c r="Z20" s="291">
        <f ca="1">-'Covenants offshore'!Z35*$B20</f>
        <v>0</v>
      </c>
      <c r="AA20" s="291">
        <f ca="1">-'Covenants offshore'!AA35*$B20</f>
        <v>0</v>
      </c>
      <c r="AB20" s="291" t="e">
        <f ca="1">-'Covenants offshore'!AB35*$B20</f>
        <v>#VALUE!</v>
      </c>
      <c r="AC20" s="291" t="e">
        <f ca="1">-'Covenants offshore'!AC35*$B20</f>
        <v>#VALUE!</v>
      </c>
      <c r="AD20" s="291" t="e">
        <f ca="1">-'Covenants offshore'!AD35*$B20</f>
        <v>#VALUE!</v>
      </c>
      <c r="AE20" s="291" t="e">
        <f ca="1">-'Covenants offshore'!AE35*$B20</f>
        <v>#VALUE!</v>
      </c>
      <c r="AF20" s="291" t="e">
        <f ca="1">-'Covenants offshore'!AF35*$B20</f>
        <v>#VALUE!</v>
      </c>
      <c r="AG20" s="291" t="e">
        <f ca="1">-'Covenants offshore'!AG35*$B20</f>
        <v>#VALUE!</v>
      </c>
    </row>
    <row r="21" spans="2:33">
      <c r="B21" s="197" t="b">
        <v>1</v>
      </c>
      <c r="C21" s="302" t="s">
        <v>685</v>
      </c>
      <c r="D21" s="291">
        <f ca="1">$B21*SUM(OFFSET('Financial Quarterly offshore'!D91,0,0,1,-'Covenants offshore'!$D$11),OFFSET('Operating quarterly offshore'!L25,0,0,1,-'Covenants offshore'!$D$11))</f>
        <v>0</v>
      </c>
      <c r="E21" s="291">
        <f ca="1">$B21*SUM(OFFSET('Financial Quarterly offshore'!E91,0,0,1,-'Covenants offshore'!$D$11),OFFSET('Operating quarterly offshore'!M25,0,0,1,-'Covenants offshore'!$D$11))</f>
        <v>0</v>
      </c>
      <c r="F21" s="291">
        <f ca="1">$B21*SUM(OFFSET('Financial Quarterly offshore'!F91,0,0,1,-'Covenants offshore'!$D$11),OFFSET('Operating quarterly offshore'!N25,0,0,1,-'Covenants offshore'!$D$11))</f>
        <v>0</v>
      </c>
      <c r="G21" s="291">
        <f ca="1">$B21*SUM(OFFSET('Financial Quarterly offshore'!G91,0,0,1,-'Covenants offshore'!$D$11),OFFSET('Operating quarterly offshore'!O25,0,0,1,-'Covenants offshore'!$D$11))</f>
        <v>0</v>
      </c>
      <c r="H21" s="291">
        <f ca="1">$B21*SUM(OFFSET('Financial Quarterly offshore'!H91,0,0,1,-'Covenants offshore'!$D$11),OFFSET('Operating quarterly offshore'!P25,0,0,1,-'Covenants offshore'!$D$11))</f>
        <v>0</v>
      </c>
      <c r="I21" s="291">
        <f ca="1">$B21*SUM(OFFSET('Financial Quarterly offshore'!I91,0,0,1,-'Covenants offshore'!$D$11),OFFSET('Operating quarterly offshore'!Q25,0,0,1,-'Covenants offshore'!$D$11))</f>
        <v>0</v>
      </c>
      <c r="J21" s="291">
        <f ca="1">$B21*SUM(OFFSET('Financial Quarterly offshore'!J91,0,0,1,-'Covenants offshore'!$D$11),OFFSET('Operating quarterly offshore'!R25,0,0,1,-'Covenants offshore'!$D$11))</f>
        <v>0</v>
      </c>
      <c r="K21" s="291">
        <f ca="1">$B21*SUM(OFFSET('Financial Quarterly offshore'!K91,0,0,1,-'Covenants offshore'!$D$11),OFFSET('Operating quarterly offshore'!S25,0,0,1,-'Covenants offshore'!$D$11))</f>
        <v>0</v>
      </c>
      <c r="L21" s="291">
        <f ca="1">$B21*SUM(OFFSET('Financial Quarterly offshore'!L91,0,0,1,-'Covenants offshore'!$D$11),OFFSET('Operating quarterly offshore'!T25,0,0,1,-'Covenants offshore'!$D$11))</f>
        <v>0</v>
      </c>
      <c r="M21" s="291">
        <f ca="1">$B21*SUM(OFFSET('Financial Quarterly offshore'!M91,0,0,1,-'Covenants offshore'!$D$11),OFFSET('Operating quarterly offshore'!U25,0,0,1,-'Covenants offshore'!$D$11))</f>
        <v>0</v>
      </c>
      <c r="N21" s="291">
        <f ca="1">$B21*SUM(OFFSET('Financial Quarterly offshore'!N91,0,0,1,-'Covenants offshore'!$D$11),OFFSET('Operating quarterly offshore'!V25,0,0,1,-'Covenants offshore'!$D$11))</f>
        <v>0</v>
      </c>
      <c r="O21" s="291">
        <f ca="1">$B21*SUM(OFFSET('Financial Quarterly offshore'!O91,0,0,1,-'Covenants offshore'!$D$11),OFFSET('Operating quarterly offshore'!W25,0,0,1,-'Covenants offshore'!$D$11))</f>
        <v>0</v>
      </c>
      <c r="P21" s="291">
        <f ca="1">$B21*SUM(OFFSET('Financial Quarterly offshore'!P91,0,0,1,-'Covenants offshore'!$D$11),OFFSET('Operating quarterly offshore'!X25,0,0,1,-'Covenants offshore'!$D$11))</f>
        <v>0</v>
      </c>
      <c r="Q21" s="291">
        <f ca="1">$B21*SUM(OFFSET('Financial Quarterly offshore'!Q91,0,0,1,-'Covenants offshore'!$D$11),OFFSET('Operating quarterly offshore'!Y25,0,0,1,-'Covenants offshore'!$D$11))</f>
        <v>0</v>
      </c>
      <c r="R21" s="291">
        <f ca="1">$B21*SUM(OFFSET('Financial Quarterly offshore'!R91,0,0,1,-'Covenants offshore'!$D$11),OFFSET('Operating quarterly offshore'!Z25,0,0,1,-'Covenants offshore'!$D$11))</f>
        <v>0</v>
      </c>
      <c r="S21" s="291">
        <f ca="1">$B21*SUM(OFFSET('Financial Quarterly offshore'!S91,0,0,1,-'Covenants offshore'!$D$11),OFFSET('Operating quarterly offshore'!AA25,0,0,1,-'Covenants offshore'!$D$11))</f>
        <v>0</v>
      </c>
      <c r="T21" s="291">
        <f ca="1">$B21*SUM(OFFSET('Financial Quarterly offshore'!T91,0,0,1,-'Covenants offshore'!$D$11),OFFSET('Operating quarterly offshore'!AB25,0,0,1,-'Covenants offshore'!$D$11))</f>
        <v>0</v>
      </c>
      <c r="U21" s="291">
        <f ca="1">$B21*SUM(OFFSET('Financial Quarterly offshore'!U91,0,0,1,-'Covenants offshore'!$D$11),OFFSET('Operating quarterly offshore'!AC25,0,0,1,-'Covenants offshore'!$D$11))</f>
        <v>0</v>
      </c>
      <c r="V21" s="291">
        <f ca="1">$B21*SUM(OFFSET('Financial Quarterly offshore'!V91,0,0,1,-'Covenants offshore'!$D$11),OFFSET('Operating quarterly offshore'!AD25,0,0,1,-'Covenants offshore'!$D$11))</f>
        <v>0</v>
      </c>
      <c r="W21" s="291">
        <f ca="1">$B21*SUM(OFFSET('Financial Quarterly offshore'!W91,0,0,1,-'Covenants offshore'!$D$11),OFFSET('Operating quarterly offshore'!AE25,0,0,1,-'Covenants offshore'!$D$11))</f>
        <v>0</v>
      </c>
      <c r="X21" s="291">
        <f ca="1">$B21*SUM(OFFSET('Financial Quarterly offshore'!X91,0,0,1,-'Covenants offshore'!$D$11),OFFSET('Operating quarterly offshore'!AF25,0,0,1,-'Covenants offshore'!$D$11))</f>
        <v>0</v>
      </c>
      <c r="Y21" s="291">
        <f ca="1">$B21*SUM(OFFSET('Financial Quarterly offshore'!Y91,0,0,1,-'Covenants offshore'!$D$11),OFFSET('Operating quarterly offshore'!AG25,0,0,1,-'Covenants offshore'!$D$11))</f>
        <v>0</v>
      </c>
      <c r="Z21" s="291">
        <f ca="1">$B21*SUM(OFFSET('Financial Quarterly offshore'!Z91,0,0,1,-'Covenants offshore'!$D$11),OFFSET('Operating quarterly offshore'!AH25,0,0,1,-'Covenants offshore'!$D$11))</f>
        <v>0</v>
      </c>
      <c r="AA21" s="291">
        <f ca="1">$B21*SUM(OFFSET('Financial Quarterly offshore'!AA91,0,0,1,-'Covenants offshore'!$D$11),OFFSET('Operating quarterly offshore'!AI25,0,0,1,-'Covenants offshore'!$D$11))</f>
        <v>0</v>
      </c>
      <c r="AB21" s="291" t="e">
        <f ca="1">$B21*SUM(OFFSET('Financial Quarterly offshore'!AB91,0,0,1,-'Covenants offshore'!$D$11),OFFSET('Operating quarterly offshore'!AJ25,0,0,1,-'Covenants offshore'!$D$11))</f>
        <v>#N/A</v>
      </c>
      <c r="AC21" s="291" t="e">
        <f ca="1">$B21*SUM(OFFSET('Financial Quarterly offshore'!AC91,0,0,1,-'Covenants offshore'!$D$11),OFFSET('Operating quarterly offshore'!AK25,0,0,1,-'Covenants offshore'!$D$11))</f>
        <v>#N/A</v>
      </c>
      <c r="AD21" s="291" t="e">
        <f ca="1">$B21*SUM(OFFSET('Financial Quarterly offshore'!AD91,0,0,1,-'Covenants offshore'!$D$11),OFFSET('Operating quarterly offshore'!AL25,0,0,1,-'Covenants offshore'!$D$11))</f>
        <v>#N/A</v>
      </c>
      <c r="AE21" s="291" t="e">
        <f ca="1">$B21*SUM(OFFSET('Financial Quarterly offshore'!AE91,0,0,1,-'Covenants offshore'!$D$11),OFFSET('Operating quarterly offshore'!AM25,0,0,1,-'Covenants offshore'!$D$11))</f>
        <v>#N/A</v>
      </c>
      <c r="AF21" s="291" t="e">
        <f ca="1">$B21*SUM(OFFSET('Financial Quarterly offshore'!AF91,0,0,1,-'Covenants offshore'!$D$11),OFFSET('Operating quarterly offshore'!AN25,0,0,1,-'Covenants offshore'!$D$11))</f>
        <v>#N/A</v>
      </c>
      <c r="AG21" s="291" t="e">
        <f ca="1">$B21*SUM(OFFSET('Financial Quarterly offshore'!AG91,0,0,1,-'Covenants offshore'!$D$11),OFFSET('Operating quarterly offshore'!AO25,0,0,1,-'Covenants offshore'!$D$11))</f>
        <v>#N/A</v>
      </c>
    </row>
    <row r="22" spans="2:33">
      <c r="B22" s="197" t="b">
        <v>1</v>
      </c>
      <c r="C22" s="333" t="s">
        <v>1087</v>
      </c>
      <c r="D22" s="291">
        <f ca="1">$B22*SUM(OFFSET('Operating quarterly offshore'!L26,0,0,1,-'Covenants offshore'!$D$11))</f>
        <v>0</v>
      </c>
      <c r="E22" s="291">
        <f ca="1">$B22*SUM(OFFSET('Operating quarterly offshore'!M26,0,0,1,-'Covenants offshore'!$D$11))</f>
        <v>0</v>
      </c>
      <c r="F22" s="291">
        <f ca="1">$B22*SUM(OFFSET('Operating quarterly offshore'!N26,0,0,1,-'Covenants offshore'!$D$11))</f>
        <v>0</v>
      </c>
      <c r="G22" s="291">
        <f ca="1">$B22*SUM(OFFSET('Operating quarterly offshore'!O26,0,0,1,-'Covenants offshore'!$D$11))</f>
        <v>0</v>
      </c>
      <c r="H22" s="291">
        <f ca="1">$B22*SUM(OFFSET('Operating quarterly offshore'!P26,0,0,1,-'Covenants offshore'!$D$11))</f>
        <v>0</v>
      </c>
      <c r="I22" s="291">
        <f ca="1">$B22*SUM(OFFSET('Operating quarterly offshore'!Q26,0,0,1,-'Covenants offshore'!$D$11))</f>
        <v>0</v>
      </c>
      <c r="J22" s="291">
        <f ca="1">$B22*SUM(OFFSET('Operating quarterly offshore'!R26,0,0,1,-'Covenants offshore'!$D$11))</f>
        <v>0</v>
      </c>
      <c r="K22" s="291">
        <f ca="1">$B22*SUM(OFFSET('Operating quarterly offshore'!S26,0,0,1,-'Covenants offshore'!$D$11))</f>
        <v>0</v>
      </c>
      <c r="L22" s="291">
        <f ca="1">$B22*SUM(OFFSET('Operating quarterly offshore'!T26,0,0,1,-'Covenants offshore'!$D$11))</f>
        <v>0</v>
      </c>
      <c r="M22" s="291">
        <f ca="1">$B22*SUM(OFFSET('Operating quarterly offshore'!U26,0,0,1,-'Covenants offshore'!$D$11))</f>
        <v>0</v>
      </c>
      <c r="N22" s="291">
        <f ca="1">$B22*SUM(OFFSET('Operating quarterly offshore'!V26,0,0,1,-'Covenants offshore'!$D$11))</f>
        <v>0</v>
      </c>
      <c r="O22" s="291">
        <f ca="1">$B22*SUM(OFFSET('Operating quarterly offshore'!W26,0,0,1,-'Covenants offshore'!$D$11))</f>
        <v>0</v>
      </c>
      <c r="P22" s="291">
        <f ca="1">$B22*SUM(OFFSET('Operating quarterly offshore'!X26,0,0,1,-'Covenants offshore'!$D$11))</f>
        <v>0</v>
      </c>
      <c r="Q22" s="291">
        <f ca="1">$B22*SUM(OFFSET('Operating quarterly offshore'!Y26,0,0,1,-'Covenants offshore'!$D$11))</f>
        <v>0</v>
      </c>
      <c r="R22" s="291">
        <f ca="1">$B22*SUM(OFFSET('Operating quarterly offshore'!Z26,0,0,1,-'Covenants offshore'!$D$11))</f>
        <v>0</v>
      </c>
      <c r="S22" s="291">
        <f ca="1">$B22*SUM(OFFSET('Operating quarterly offshore'!AA26,0,0,1,-'Covenants offshore'!$D$11))</f>
        <v>0</v>
      </c>
      <c r="T22" s="291">
        <f ca="1">$B22*SUM(OFFSET('Operating quarterly offshore'!AB26,0,0,1,-'Covenants offshore'!$D$11))</f>
        <v>0</v>
      </c>
      <c r="U22" s="291">
        <f ca="1">$B22*SUM(OFFSET('Operating quarterly offshore'!AC26,0,0,1,-'Covenants offshore'!$D$11))</f>
        <v>0</v>
      </c>
      <c r="V22" s="291">
        <f ca="1">$B22*SUM(OFFSET('Operating quarterly offshore'!AD26,0,0,1,-'Covenants offshore'!$D$11))</f>
        <v>0</v>
      </c>
      <c r="W22" s="291">
        <f ca="1">$B22*SUM(OFFSET('Operating quarterly offshore'!AE26,0,0,1,-'Covenants offshore'!$D$11))</f>
        <v>0</v>
      </c>
      <c r="X22" s="291">
        <f ca="1">$B22*SUM(OFFSET('Operating quarterly offshore'!AF26,0,0,1,-'Covenants offshore'!$D$11))</f>
        <v>0</v>
      </c>
      <c r="Y22" s="291">
        <f ca="1">$B22*SUM(OFFSET('Operating quarterly offshore'!AG26,0,0,1,-'Covenants offshore'!$D$11))</f>
        <v>0</v>
      </c>
      <c r="Z22" s="291">
        <f ca="1">$B22*SUM(OFFSET('Operating quarterly offshore'!AH26,0,0,1,-'Covenants offshore'!$D$11))</f>
        <v>0</v>
      </c>
      <c r="AA22" s="291">
        <f ca="1">$B22*SUM(OFFSET('Operating quarterly offshore'!AI26,0,0,1,-'Covenants offshore'!$D$11))</f>
        <v>0</v>
      </c>
      <c r="AB22" s="291" t="e">
        <f ca="1">$B22*SUM(OFFSET('Operating quarterly offshore'!AJ26,0,0,1,-'Covenants offshore'!$D$11))</f>
        <v>#N/A</v>
      </c>
      <c r="AC22" s="291" t="e">
        <f ca="1">$B22*SUM(OFFSET('Operating quarterly offshore'!AK26,0,0,1,-'Covenants offshore'!$D$11))</f>
        <v>#N/A</v>
      </c>
      <c r="AD22" s="291" t="e">
        <f ca="1">$B22*SUM(OFFSET('Operating quarterly offshore'!AL26,0,0,1,-'Covenants offshore'!$D$11))</f>
        <v>#N/A</v>
      </c>
      <c r="AE22" s="291" t="e">
        <f ca="1">$B22*SUM(OFFSET('Operating quarterly offshore'!AM26,0,0,1,-'Covenants offshore'!$D$11))</f>
        <v>#N/A</v>
      </c>
      <c r="AF22" s="291" t="e">
        <f ca="1">$B22*SUM(OFFSET('Operating quarterly offshore'!AN26,0,0,1,-'Covenants offshore'!$D$11))</f>
        <v>#N/A</v>
      </c>
      <c r="AG22" s="291" t="e">
        <f ca="1">$B22*SUM(OFFSET('Operating quarterly offshore'!AO26,0,0,1,-'Covenants offshore'!$D$11))</f>
        <v>#N/A</v>
      </c>
    </row>
    <row r="23" spans="2:33">
      <c r="B23" s="197" t="b">
        <v>1</v>
      </c>
      <c r="C23" s="302" t="s">
        <v>812</v>
      </c>
      <c r="D23" s="291">
        <f ca="1">$B23*SUM(OFFSET('Operating quarterly offshore'!L24,0,0,1,-'Covenants offshore'!$D$11))</f>
        <v>0</v>
      </c>
      <c r="E23" s="291">
        <f ca="1">$B23*SUM(OFFSET('Operating quarterly offshore'!M24,0,0,1,-'Covenants offshore'!$D$11))</f>
        <v>0</v>
      </c>
      <c r="F23" s="291">
        <f ca="1">$B23*SUM(OFFSET('Operating quarterly offshore'!N24,0,0,1,-'Covenants offshore'!$D$11))</f>
        <v>0</v>
      </c>
      <c r="G23" s="291">
        <f ca="1">$B23*SUM(OFFSET('Operating quarterly offshore'!O24,0,0,1,-'Covenants offshore'!$D$11))</f>
        <v>0</v>
      </c>
      <c r="H23" s="291">
        <f ca="1">$B23*SUM(OFFSET('Operating quarterly offshore'!P24,0,0,1,-'Covenants offshore'!$D$11))</f>
        <v>0</v>
      </c>
      <c r="I23" s="291">
        <f ca="1">$B23*SUM(OFFSET('Operating quarterly offshore'!Q24,0,0,1,-'Covenants offshore'!$D$11))</f>
        <v>0</v>
      </c>
      <c r="J23" s="291">
        <f ca="1">$B23*SUM(OFFSET('Operating quarterly offshore'!R24,0,0,1,-'Covenants offshore'!$D$11))</f>
        <v>0</v>
      </c>
      <c r="K23" s="291">
        <f ca="1">$B23*SUM(OFFSET('Operating quarterly offshore'!S24,0,0,1,-'Covenants offshore'!$D$11))</f>
        <v>0</v>
      </c>
      <c r="L23" s="291">
        <f ca="1">$B23*SUM(OFFSET('Operating quarterly offshore'!T24,0,0,1,-'Covenants offshore'!$D$11))</f>
        <v>0</v>
      </c>
      <c r="M23" s="291">
        <f ca="1">$B23*SUM(OFFSET('Operating quarterly offshore'!U24,0,0,1,-'Covenants offshore'!$D$11))</f>
        <v>0</v>
      </c>
      <c r="N23" s="291">
        <f ca="1">$B23*SUM(OFFSET('Operating quarterly offshore'!V24,0,0,1,-'Covenants offshore'!$D$11))</f>
        <v>0</v>
      </c>
      <c r="O23" s="291">
        <f ca="1">$B23*SUM(OFFSET('Operating quarterly offshore'!W24,0,0,1,-'Covenants offshore'!$D$11))</f>
        <v>0</v>
      </c>
      <c r="P23" s="291">
        <f ca="1">$B23*SUM(OFFSET('Operating quarterly offshore'!X24,0,0,1,-'Covenants offshore'!$D$11))</f>
        <v>0</v>
      </c>
      <c r="Q23" s="291">
        <f ca="1">$B23*SUM(OFFSET('Operating quarterly offshore'!Y24,0,0,1,-'Covenants offshore'!$D$11))</f>
        <v>0</v>
      </c>
      <c r="R23" s="291">
        <f ca="1">$B23*SUM(OFFSET('Operating quarterly offshore'!Z24,0,0,1,-'Covenants offshore'!$D$11))</f>
        <v>0</v>
      </c>
      <c r="S23" s="291">
        <f ca="1">$B23*SUM(OFFSET('Operating quarterly offshore'!AA24,0,0,1,-'Covenants offshore'!$D$11))</f>
        <v>0</v>
      </c>
      <c r="T23" s="291">
        <f ca="1">$B23*SUM(OFFSET('Operating quarterly offshore'!AB24,0,0,1,-'Covenants offshore'!$D$11))</f>
        <v>0</v>
      </c>
      <c r="U23" s="291">
        <f ca="1">$B23*SUM(OFFSET('Operating quarterly offshore'!AC24,0,0,1,-'Covenants offshore'!$D$11))</f>
        <v>0</v>
      </c>
      <c r="V23" s="291">
        <f ca="1">$B23*SUM(OFFSET('Operating quarterly offshore'!AD24,0,0,1,-'Covenants offshore'!$D$11))</f>
        <v>0</v>
      </c>
      <c r="W23" s="291">
        <f ca="1">$B23*SUM(OFFSET('Operating quarterly offshore'!AE24,0,0,1,-'Covenants offshore'!$D$11))</f>
        <v>0</v>
      </c>
      <c r="X23" s="291">
        <f ca="1">$B23*SUM(OFFSET('Operating quarterly offshore'!AF24,0,0,1,-'Covenants offshore'!$D$11))</f>
        <v>0</v>
      </c>
      <c r="Y23" s="291">
        <f ca="1">$B23*SUM(OFFSET('Operating quarterly offshore'!AG24,0,0,1,-'Covenants offshore'!$D$11))</f>
        <v>0</v>
      </c>
      <c r="Z23" s="291">
        <f ca="1">$B23*SUM(OFFSET('Operating quarterly offshore'!AH24,0,0,1,-'Covenants offshore'!$D$11))</f>
        <v>0</v>
      </c>
      <c r="AA23" s="291">
        <f ca="1">$B23*SUM(OFFSET('Operating quarterly offshore'!AI24,0,0,1,-'Covenants offshore'!$D$11))</f>
        <v>0</v>
      </c>
      <c r="AB23" s="291" t="e">
        <f ca="1">$B23*SUM(OFFSET('Operating quarterly offshore'!AJ24,0,0,1,-'Covenants offshore'!$D$11))</f>
        <v>#N/A</v>
      </c>
      <c r="AC23" s="291" t="e">
        <f ca="1">$B23*SUM(OFFSET('Operating quarterly offshore'!AK24,0,0,1,-'Covenants offshore'!$D$11))</f>
        <v>#N/A</v>
      </c>
      <c r="AD23" s="291" t="e">
        <f ca="1">$B23*SUM(OFFSET('Operating quarterly offshore'!AL24,0,0,1,-'Covenants offshore'!$D$11))</f>
        <v>#N/A</v>
      </c>
      <c r="AE23" s="291" t="e">
        <f ca="1">$B23*SUM(OFFSET('Operating quarterly offshore'!AM24,0,0,1,-'Covenants offshore'!$D$11))</f>
        <v>#N/A</v>
      </c>
      <c r="AF23" s="291" t="e">
        <f ca="1">$B23*SUM(OFFSET('Operating quarterly offshore'!AN24,0,0,1,-'Covenants offshore'!$D$11))</f>
        <v>#N/A</v>
      </c>
      <c r="AG23" s="291" t="e">
        <f ca="1">$B23*SUM(OFFSET('Operating quarterly offshore'!AO24,0,0,1,-'Covenants offshore'!$D$11))</f>
        <v>#N/A</v>
      </c>
    </row>
    <row r="24" spans="2:33">
      <c r="B24" s="197" t="b">
        <v>1</v>
      </c>
      <c r="C24" s="302" t="s">
        <v>864</v>
      </c>
      <c r="D24" s="291">
        <f>-'Financial Quarterly offshore'!D80</f>
        <v>0</v>
      </c>
      <c r="E24" s="291">
        <f ca="1">-'Financial Quarterly offshore'!E80</f>
        <v>0</v>
      </c>
      <c r="F24" s="291">
        <f ca="1">-'Financial Quarterly offshore'!F80</f>
        <v>0</v>
      </c>
      <c r="G24" s="291">
        <f ca="1">-'Financial Quarterly offshore'!G80</f>
        <v>0</v>
      </c>
      <c r="H24" s="291">
        <f ca="1">-'Financial Quarterly offshore'!H80</f>
        <v>0</v>
      </c>
      <c r="I24" s="291">
        <f ca="1">-'Financial Quarterly offshore'!I80</f>
        <v>0</v>
      </c>
      <c r="J24" s="291">
        <f ca="1">-'Financial Quarterly offshore'!J80</f>
        <v>0</v>
      </c>
      <c r="K24" s="291">
        <f ca="1">-'Financial Quarterly offshore'!K80</f>
        <v>0</v>
      </c>
      <c r="L24" s="291">
        <f ca="1">-'Financial Quarterly offshore'!L80</f>
        <v>0</v>
      </c>
      <c r="M24" s="291">
        <f ca="1">-'Financial Quarterly offshore'!M80</f>
        <v>0</v>
      </c>
      <c r="N24" s="291">
        <f ca="1">-'Financial Quarterly offshore'!N80</f>
        <v>0</v>
      </c>
      <c r="O24" s="291">
        <f ca="1">-'Financial Quarterly offshore'!O80</f>
        <v>0</v>
      </c>
      <c r="P24" s="291">
        <f ca="1">-'Financial Quarterly offshore'!P80</f>
        <v>0</v>
      </c>
      <c r="Q24" s="291">
        <f ca="1">-'Financial Quarterly offshore'!Q80</f>
        <v>0</v>
      </c>
      <c r="R24" s="291">
        <f ca="1">-'Financial Quarterly offshore'!R80</f>
        <v>0</v>
      </c>
      <c r="S24" s="291">
        <f ca="1">-'Financial Quarterly offshore'!S80</f>
        <v>0</v>
      </c>
      <c r="T24" s="291">
        <f ca="1">-'Financial Quarterly offshore'!T80</f>
        <v>0</v>
      </c>
      <c r="U24" s="291">
        <f ca="1">-'Financial Quarterly offshore'!U80</f>
        <v>0</v>
      </c>
      <c r="V24" s="291">
        <f ca="1">-'Financial Quarterly offshore'!V80</f>
        <v>0</v>
      </c>
      <c r="W24" s="291">
        <f ca="1">-'Financial Quarterly offshore'!W80</f>
        <v>0</v>
      </c>
      <c r="X24" s="291">
        <f ca="1">-'Financial Quarterly offshore'!X80</f>
        <v>0</v>
      </c>
      <c r="Y24" s="291">
        <f ca="1">-'Financial Quarterly offshore'!Y80</f>
        <v>0</v>
      </c>
      <c r="Z24" s="291">
        <f ca="1">-'Financial Quarterly offshore'!Z80</f>
        <v>0</v>
      </c>
      <c r="AA24" s="291">
        <f ca="1">-'Financial Quarterly offshore'!AA80</f>
        <v>0</v>
      </c>
      <c r="AB24" s="291" t="e">
        <f ca="1">-'Financial Quarterly offshore'!AB80</f>
        <v>#N/A</v>
      </c>
      <c r="AC24" s="291" t="e">
        <f ca="1">-'Financial Quarterly offshore'!AC80</f>
        <v>#N/A</v>
      </c>
      <c r="AD24" s="291" t="e">
        <f ca="1">-'Financial Quarterly offshore'!AD80</f>
        <v>#N/A</v>
      </c>
      <c r="AE24" s="291" t="e">
        <f ca="1">-'Financial Quarterly offshore'!AE80</f>
        <v>#N/A</v>
      </c>
      <c r="AF24" s="291" t="e">
        <f ca="1">-'Financial Quarterly offshore'!AF80</f>
        <v>#N/A</v>
      </c>
      <c r="AG24" s="291" t="e">
        <f ca="1">-'Financial Quarterly offshore'!AG80</f>
        <v>#N/A</v>
      </c>
    </row>
    <row r="25" spans="2:33">
      <c r="B25" s="197" t="b">
        <v>1</v>
      </c>
      <c r="C25" s="303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</row>
    <row r="26" spans="2:33">
      <c r="C26" s="199" t="s">
        <v>806</v>
      </c>
      <c r="D26" s="199">
        <f ca="1">SUM(D13:D25)</f>
        <v>0</v>
      </c>
      <c r="E26" s="199">
        <f t="shared" ref="E26:AB26" ca="1" si="16">SUM(E13:E25)</f>
        <v>0</v>
      </c>
      <c r="F26" s="199">
        <f t="shared" ca="1" si="16"/>
        <v>0</v>
      </c>
      <c r="G26" s="199">
        <f t="shared" ca="1" si="16"/>
        <v>0</v>
      </c>
      <c r="H26" s="199">
        <f t="shared" ca="1" si="16"/>
        <v>0</v>
      </c>
      <c r="I26" s="199">
        <f t="shared" ca="1" si="16"/>
        <v>0</v>
      </c>
      <c r="J26" s="199">
        <f t="shared" ca="1" si="16"/>
        <v>0</v>
      </c>
      <c r="K26" s="199">
        <f t="shared" ca="1" si="16"/>
        <v>0</v>
      </c>
      <c r="L26" s="199">
        <f t="shared" ca="1" si="16"/>
        <v>0</v>
      </c>
      <c r="M26" s="199">
        <f t="shared" ca="1" si="16"/>
        <v>0</v>
      </c>
      <c r="N26" s="199">
        <f t="shared" ca="1" si="16"/>
        <v>0</v>
      </c>
      <c r="O26" s="199">
        <f t="shared" ca="1" si="16"/>
        <v>0</v>
      </c>
      <c r="P26" s="199">
        <f t="shared" ca="1" si="16"/>
        <v>0</v>
      </c>
      <c r="Q26" s="199">
        <f t="shared" ca="1" si="16"/>
        <v>0</v>
      </c>
      <c r="R26" s="199">
        <f t="shared" ca="1" si="16"/>
        <v>0</v>
      </c>
      <c r="S26" s="199">
        <f t="shared" ca="1" si="16"/>
        <v>0</v>
      </c>
      <c r="T26" s="199">
        <f t="shared" ca="1" si="16"/>
        <v>0</v>
      </c>
      <c r="U26" s="199">
        <f t="shared" ca="1" si="16"/>
        <v>0</v>
      </c>
      <c r="V26" s="199">
        <f t="shared" ca="1" si="16"/>
        <v>0</v>
      </c>
      <c r="W26" s="199">
        <f t="shared" ca="1" si="16"/>
        <v>0</v>
      </c>
      <c r="X26" s="199">
        <f t="shared" ca="1" si="16"/>
        <v>0</v>
      </c>
      <c r="Y26" s="199">
        <f t="shared" ca="1" si="16"/>
        <v>0</v>
      </c>
      <c r="Z26" s="199">
        <f t="shared" ca="1" si="16"/>
        <v>0</v>
      </c>
      <c r="AA26" s="199">
        <f t="shared" ca="1" si="16"/>
        <v>0</v>
      </c>
      <c r="AB26" s="199" t="e">
        <f t="shared" ca="1" si="16"/>
        <v>#VALUE!</v>
      </c>
      <c r="AC26" s="199" t="e">
        <f t="shared" ref="AC26:AF26" ca="1" si="17">SUM(AC13:AC25)</f>
        <v>#VALUE!</v>
      </c>
      <c r="AD26" s="199" t="e">
        <f t="shared" ca="1" si="17"/>
        <v>#VALUE!</v>
      </c>
      <c r="AE26" s="199" t="e">
        <f t="shared" ca="1" si="17"/>
        <v>#VALUE!</v>
      </c>
      <c r="AF26" s="199" t="e">
        <f t="shared" ca="1" si="17"/>
        <v>#VALUE!</v>
      </c>
      <c r="AG26" s="199" t="e">
        <f t="shared" ref="AG26" ca="1" si="18">SUM(AG13:AG25)</f>
        <v>#VALUE!</v>
      </c>
    </row>
    <row r="27" spans="2:33">
      <c r="C27" s="214" t="str">
        <f>'Financing assumptions offshore'!H64</f>
        <v>Senior Gross leverage</v>
      </c>
      <c r="D27" s="261" t="str">
        <f>INDEX('Covenants offshore'!D$43:D$87,MATCH('Financing assumptions offshore'!$H51,'Covenants offshore'!$C$43:$C$87,0))</f>
        <v>na</v>
      </c>
      <c r="E27" s="261" t="str">
        <f>INDEX('Covenants offshore'!E$43:E$87,MATCH('Financing assumptions offshore'!$H51,'Covenants offshore'!$C$43:$C$87,0))</f>
        <v>na</v>
      </c>
      <c r="F27" s="261" t="str">
        <f>INDEX('Covenants offshore'!F$43:F$87,MATCH('Financing assumptions offshore'!$H51,'Covenants offshore'!$C$43:$C$87,0))</f>
        <v>na</v>
      </c>
      <c r="G27" s="261" t="e">
        <f ca="1">INDEX('Covenants offshore'!G$43:G$87,MATCH('Financing assumptions offshore'!$H51,'Covenants offshore'!$C$43:$C$87,0))</f>
        <v>#DIV/0!</v>
      </c>
      <c r="H27" s="261" t="e">
        <f ca="1">INDEX('Covenants offshore'!H$43:H$87,MATCH('Financing assumptions offshore'!$H51,'Covenants offshore'!$C$43:$C$87,0))</f>
        <v>#DIV/0!</v>
      </c>
      <c r="I27" s="261" t="e">
        <f ca="1">INDEX('Covenants offshore'!I$43:I$87,MATCH('Financing assumptions offshore'!$H51,'Covenants offshore'!$C$43:$C$87,0))</f>
        <v>#DIV/0!</v>
      </c>
      <c r="J27" s="261" t="e">
        <f ca="1">INDEX('Covenants offshore'!J$43:J$87,MATCH('Financing assumptions offshore'!$H51,'Covenants offshore'!$C$43:$C$87,0))</f>
        <v>#DIV/0!</v>
      </c>
      <c r="K27" s="261" t="e">
        <f ca="1">INDEX('Covenants offshore'!K$43:K$87,MATCH('Financing assumptions offshore'!$H51,'Covenants offshore'!$C$43:$C$87,0))</f>
        <v>#DIV/0!</v>
      </c>
      <c r="L27" s="261" t="e">
        <f ca="1">INDEX('Covenants offshore'!L$43:L$87,MATCH('Financing assumptions offshore'!$H51,'Covenants offshore'!$C$43:$C$87,0))</f>
        <v>#DIV/0!</v>
      </c>
      <c r="M27" s="261" t="e">
        <f ca="1">INDEX('Covenants offshore'!M$43:M$87,MATCH('Financing assumptions offshore'!$H51,'Covenants offshore'!$C$43:$C$87,0))</f>
        <v>#DIV/0!</v>
      </c>
      <c r="N27" s="261" t="e">
        <f ca="1">INDEX('Covenants offshore'!N$43:N$87,MATCH('Financing assumptions offshore'!$H51,'Covenants offshore'!$C$43:$C$87,0))</f>
        <v>#DIV/0!</v>
      </c>
      <c r="O27" s="261" t="e">
        <f ca="1">INDEX('Covenants offshore'!O$43:O$87,MATCH('Financing assumptions offshore'!$H51,'Covenants offshore'!$C$43:$C$87,0))</f>
        <v>#DIV/0!</v>
      </c>
      <c r="P27" s="261" t="e">
        <f ca="1">INDEX('Covenants offshore'!P$43:P$87,MATCH('Financing assumptions offshore'!$H51,'Covenants offshore'!$C$43:$C$87,0))</f>
        <v>#DIV/0!</v>
      </c>
      <c r="Q27" s="261" t="e">
        <f ca="1">INDEX('Covenants offshore'!Q$43:Q$87,MATCH('Financing assumptions offshore'!$H51,'Covenants offshore'!$C$43:$C$87,0))</f>
        <v>#DIV/0!</v>
      </c>
      <c r="R27" s="261" t="e">
        <f ca="1">INDEX('Covenants offshore'!R$43:R$87,MATCH('Financing assumptions offshore'!$H51,'Covenants offshore'!$C$43:$C$87,0))</f>
        <v>#DIV/0!</v>
      </c>
      <c r="S27" s="261" t="e">
        <f ca="1">INDEX('Covenants offshore'!S$43:S$87,MATCH('Financing assumptions offshore'!$H51,'Covenants offshore'!$C$43:$C$87,0))</f>
        <v>#DIV/0!</v>
      </c>
      <c r="T27" s="261" t="e">
        <f ca="1">INDEX('Covenants offshore'!T$43:T$87,MATCH('Financing assumptions offshore'!$H51,'Covenants offshore'!$C$43:$C$87,0))</f>
        <v>#DIV/0!</v>
      </c>
      <c r="U27" s="261" t="e">
        <f ca="1">INDEX('Covenants offshore'!U$43:U$87,MATCH('Financing assumptions offshore'!$H51,'Covenants offshore'!$C$43:$C$87,0))</f>
        <v>#DIV/0!</v>
      </c>
      <c r="V27" s="261" t="e">
        <f ca="1">INDEX('Covenants offshore'!V$43:V$87,MATCH('Financing assumptions offshore'!$H51,'Covenants offshore'!$C$43:$C$87,0))</f>
        <v>#DIV/0!</v>
      </c>
      <c r="W27" s="261" t="e">
        <f ca="1">INDEX('Covenants offshore'!W$43:W$87,MATCH('Financing assumptions offshore'!$H51,'Covenants offshore'!$C$43:$C$87,0))</f>
        <v>#DIV/0!</v>
      </c>
      <c r="X27" s="261" t="e">
        <f ca="1">INDEX('Covenants offshore'!X$43:X$87,MATCH('Financing assumptions offshore'!$H51,'Covenants offshore'!$C$43:$C$87,0))</f>
        <v>#DIV/0!</v>
      </c>
      <c r="Y27" s="261" t="e">
        <f ca="1">INDEX('Covenants offshore'!Y$43:Y$87,MATCH('Financing assumptions offshore'!$H51,'Covenants offshore'!$C$43:$C$87,0))</f>
        <v>#DIV/0!</v>
      </c>
      <c r="Z27" s="261" t="e">
        <f ca="1">INDEX('Covenants offshore'!Z$43:Z$87,MATCH('Financing assumptions offshore'!$H51,'Covenants offshore'!$C$43:$C$87,0))</f>
        <v>#DIV/0!</v>
      </c>
      <c r="AA27" s="261" t="e">
        <f ca="1">INDEX('Covenants offshore'!AA$43:AA$87,MATCH('Financing assumptions offshore'!$H51,'Covenants offshore'!$C$43:$C$87,0))</f>
        <v>#DIV/0!</v>
      </c>
      <c r="AB27" s="261" t="e">
        <f ca="1">INDEX('Covenants offshore'!AB$43:AB$87,MATCH('Financing assumptions offshore'!$H51,'Covenants offshore'!$C$43:$C$87,0))</f>
        <v>#N/A</v>
      </c>
      <c r="AC27" s="261" t="e">
        <f ca="1">INDEX('Covenants offshore'!AC$43:AC$87,MATCH('Financing assumptions offshore'!$H51,'Covenants offshore'!$C$43:$C$87,0))</f>
        <v>#N/A</v>
      </c>
      <c r="AD27" s="261" t="e">
        <f ca="1">INDEX('Covenants offshore'!AD$43:AD$87,MATCH('Financing assumptions offshore'!$H51,'Covenants offshore'!$C$43:$C$87,0))</f>
        <v>#N/A</v>
      </c>
      <c r="AE27" s="261" t="e">
        <f ca="1">INDEX('Covenants offshore'!AE$43:AE$87,MATCH('Financing assumptions offshore'!$H51,'Covenants offshore'!$C$43:$C$87,0))</f>
        <v>#N/A</v>
      </c>
      <c r="AF27" s="261" t="e">
        <f ca="1">INDEX('Covenants offshore'!AF$43:AF$87,MATCH('Financing assumptions offshore'!$H51,'Covenants offshore'!$C$43:$C$87,0))</f>
        <v>#N/A</v>
      </c>
      <c r="AG27" s="261" t="e">
        <f ca="1">INDEX('Covenants offshore'!AG$43:AG$87,MATCH('Financing assumptions offshore'!$H51,'Covenants offshore'!$C$43:$C$87,0))</f>
        <v>#N/A</v>
      </c>
    </row>
    <row r="28" spans="2:33">
      <c r="C28" s="221" t="s">
        <v>807</v>
      </c>
      <c r="D28" s="185" t="str">
        <f>IFERROR(INDEX('Financing assumptions offshore'!$J$65:$J$68,MATCH('Cash sweep &amp; dividend offshore'!D27,'Financing assumptions offshore'!$I$65:$I$68,-1)),"na")</f>
        <v>na</v>
      </c>
      <c r="E28" s="185" t="str">
        <f>IFERROR(INDEX('Financing assumptions offshore'!$J$65:$J$68,MATCH('Cash sweep &amp; dividend offshore'!E27,'Financing assumptions offshore'!$I$65:$I$68,-1)),"na")</f>
        <v>na</v>
      </c>
      <c r="F28" s="185" t="str">
        <f>IFERROR(INDEX('Financing assumptions offshore'!$J$65:$J$68,MATCH('Cash sweep &amp; dividend offshore'!F27,'Financing assumptions offshore'!$I$65:$I$68,-1)),"na")</f>
        <v>na</v>
      </c>
      <c r="G28" s="185" t="str">
        <f ca="1">IFERROR(INDEX('Financing assumptions offshore'!$J$65:$J$68,MATCH('Cash sweep &amp; dividend offshore'!G27,'Financing assumptions offshore'!$I$65:$I$68,-1)),"na")</f>
        <v>na</v>
      </c>
      <c r="H28" s="185" t="str">
        <f ca="1">IFERROR(INDEX('Financing assumptions offshore'!$J$65:$J$68,MATCH('Cash sweep &amp; dividend offshore'!H27,'Financing assumptions offshore'!$I$65:$I$68,-1)),"na")</f>
        <v>na</v>
      </c>
      <c r="I28" s="185" t="str">
        <f ca="1">IFERROR(INDEX('Financing assumptions offshore'!$J$65:$J$68,MATCH('Cash sweep &amp; dividend offshore'!I27,'Financing assumptions offshore'!$I$65:$I$68,-1)),"na")</f>
        <v>na</v>
      </c>
      <c r="J28" s="185" t="str">
        <f ca="1">IFERROR(INDEX('Financing assumptions offshore'!$J$65:$J$68,MATCH('Cash sweep &amp; dividend offshore'!J27,'Financing assumptions offshore'!$I$65:$I$68,-1)),"na")</f>
        <v>na</v>
      </c>
      <c r="K28" s="185" t="str">
        <f ca="1">IFERROR(INDEX('Financing assumptions offshore'!$J$65:$J$68,MATCH('Cash sweep &amp; dividend offshore'!K27,'Financing assumptions offshore'!$I$65:$I$68,-1)),"na")</f>
        <v>na</v>
      </c>
      <c r="L28" s="185" t="str">
        <f ca="1">IFERROR(INDEX('Financing assumptions offshore'!$J$65:$J$68,MATCH('Cash sweep &amp; dividend offshore'!L27,'Financing assumptions offshore'!$I$65:$I$68,-1)),"na")</f>
        <v>na</v>
      </c>
      <c r="M28" s="185" t="str">
        <f ca="1">IFERROR(INDEX('Financing assumptions offshore'!$J$65:$J$68,MATCH('Cash sweep &amp; dividend offshore'!M27,'Financing assumptions offshore'!$I$65:$I$68,-1)),"na")</f>
        <v>na</v>
      </c>
      <c r="N28" s="185" t="str">
        <f ca="1">IFERROR(INDEX('Financing assumptions offshore'!$J$65:$J$68,MATCH('Cash sweep &amp; dividend offshore'!N27,'Financing assumptions offshore'!$I$65:$I$68,-1)),"na")</f>
        <v>na</v>
      </c>
      <c r="O28" s="185" t="str">
        <f ca="1">IFERROR(INDEX('Financing assumptions offshore'!$J$65:$J$68,MATCH('Cash sweep &amp; dividend offshore'!O27,'Financing assumptions offshore'!$I$65:$I$68,-1)),"na")</f>
        <v>na</v>
      </c>
      <c r="P28" s="185" t="str">
        <f ca="1">IFERROR(INDEX('Financing assumptions offshore'!$J$65:$J$68,MATCH('Cash sweep &amp; dividend offshore'!P27,'Financing assumptions offshore'!$I$65:$I$68,-1)),"na")</f>
        <v>na</v>
      </c>
      <c r="Q28" s="185" t="str">
        <f ca="1">IFERROR(INDEX('Financing assumptions offshore'!$J$65:$J$68,MATCH('Cash sweep &amp; dividend offshore'!Q27,'Financing assumptions offshore'!$I$65:$I$68,-1)),"na")</f>
        <v>na</v>
      </c>
      <c r="R28" s="185" t="str">
        <f ca="1">IFERROR(INDEX('Financing assumptions offshore'!$J$65:$J$68,MATCH('Cash sweep &amp; dividend offshore'!R27,'Financing assumptions offshore'!$I$65:$I$68,-1)),"na")</f>
        <v>na</v>
      </c>
      <c r="S28" s="185" t="str">
        <f ca="1">IFERROR(INDEX('Financing assumptions offshore'!$J$65:$J$68,MATCH('Cash sweep &amp; dividend offshore'!S27,'Financing assumptions offshore'!$I$65:$I$68,-1)),"na")</f>
        <v>na</v>
      </c>
      <c r="T28" s="185" t="str">
        <f ca="1">IFERROR(INDEX('Financing assumptions offshore'!$J$65:$J$68,MATCH('Cash sweep &amp; dividend offshore'!T27,'Financing assumptions offshore'!$I$65:$I$68,-1)),"na")</f>
        <v>na</v>
      </c>
      <c r="U28" s="185" t="str">
        <f ca="1">IFERROR(INDEX('Financing assumptions offshore'!$J$65:$J$68,MATCH('Cash sweep &amp; dividend offshore'!U27,'Financing assumptions offshore'!$I$65:$I$68,-1)),"na")</f>
        <v>na</v>
      </c>
      <c r="V28" s="185" t="str">
        <f ca="1">IFERROR(INDEX('Financing assumptions offshore'!$J$65:$J$68,MATCH('Cash sweep &amp; dividend offshore'!V27,'Financing assumptions offshore'!$I$65:$I$68,-1)),"na")</f>
        <v>na</v>
      </c>
      <c r="W28" s="185" t="str">
        <f ca="1">IFERROR(INDEX('Financing assumptions offshore'!$J$65:$J$68,MATCH('Cash sweep &amp; dividend offshore'!W27,'Financing assumptions offshore'!$I$65:$I$68,-1)),"na")</f>
        <v>na</v>
      </c>
      <c r="X28" s="185" t="str">
        <f ca="1">IFERROR(INDEX('Financing assumptions offshore'!$J$65:$J$68,MATCH('Cash sweep &amp; dividend offshore'!X27,'Financing assumptions offshore'!$I$65:$I$68,-1)),"na")</f>
        <v>na</v>
      </c>
      <c r="Y28" s="185" t="str">
        <f ca="1">IFERROR(INDEX('Financing assumptions offshore'!$J$65:$J$68,MATCH('Cash sweep &amp; dividend offshore'!Y27,'Financing assumptions offshore'!$I$65:$I$68,-1)),"na")</f>
        <v>na</v>
      </c>
      <c r="Z28" s="185" t="str">
        <f ca="1">IFERROR(INDEX('Financing assumptions offshore'!$J$65:$J$68,MATCH('Cash sweep &amp; dividend offshore'!Z27,'Financing assumptions offshore'!$I$65:$I$68,-1)),"na")</f>
        <v>na</v>
      </c>
      <c r="AA28" s="185" t="str">
        <f ca="1">IFERROR(INDEX('Financing assumptions offshore'!$J$65:$J$68,MATCH('Cash sweep &amp; dividend offshore'!AA27,'Financing assumptions offshore'!$I$65:$I$68,-1)),"na")</f>
        <v>na</v>
      </c>
      <c r="AB28" s="185" t="str">
        <f ca="1">IFERROR(INDEX('Financing assumptions offshore'!$J$65:$J$68,MATCH('Cash sweep &amp; dividend offshore'!AB27,'Financing assumptions offshore'!$I$65:$I$68,-1)),"na")</f>
        <v>na</v>
      </c>
      <c r="AC28" s="185" t="str">
        <f ca="1">IFERROR(INDEX('Financing assumptions offshore'!$J$65:$J$68,MATCH('Cash sweep &amp; dividend offshore'!AC27,'Financing assumptions offshore'!$I$65:$I$68,-1)),"na")</f>
        <v>na</v>
      </c>
      <c r="AD28" s="185" t="str">
        <f ca="1">IFERROR(INDEX('Financing assumptions offshore'!$J$65:$J$68,MATCH('Cash sweep &amp; dividend offshore'!AD27,'Financing assumptions offshore'!$I$65:$I$68,-1)),"na")</f>
        <v>na</v>
      </c>
      <c r="AE28" s="185" t="str">
        <f ca="1">IFERROR(INDEX('Financing assumptions offshore'!$J$65:$J$68,MATCH('Cash sweep &amp; dividend offshore'!AE27,'Financing assumptions offshore'!$I$65:$I$68,-1)),"na")</f>
        <v>na</v>
      </c>
      <c r="AF28" s="185" t="str">
        <f ca="1">IFERROR(INDEX('Financing assumptions offshore'!$J$65:$J$68,MATCH('Cash sweep &amp; dividend offshore'!AF27,'Financing assumptions offshore'!$I$65:$I$68,-1)),"na")</f>
        <v>na</v>
      </c>
      <c r="AG28" s="185" t="str">
        <f ca="1">IFERROR(INDEX('Financing assumptions offshore'!$J$65:$J$68,MATCH('Cash sweep &amp; dividend offshore'!AG27,'Financing assumptions offshore'!$I$65:$I$68,-1)),"na")</f>
        <v>na</v>
      </c>
    </row>
    <row r="29" spans="2:33">
      <c r="C29" s="180" t="s">
        <v>814</v>
      </c>
      <c r="D29" s="180">
        <f t="shared" ref="D29:AB29" ca="1" si="19">IFERROR(MAX(0,D28*D26*D7),0)</f>
        <v>0</v>
      </c>
      <c r="E29" s="180">
        <f t="shared" ca="1" si="19"/>
        <v>0</v>
      </c>
      <c r="F29" s="180">
        <f t="shared" ca="1" si="19"/>
        <v>0</v>
      </c>
      <c r="G29" s="180">
        <f t="shared" ca="1" si="19"/>
        <v>0</v>
      </c>
      <c r="H29" s="180">
        <f t="shared" ca="1" si="19"/>
        <v>0</v>
      </c>
      <c r="I29" s="180">
        <f t="shared" ca="1" si="19"/>
        <v>0</v>
      </c>
      <c r="J29" s="180">
        <f t="shared" ca="1" si="19"/>
        <v>0</v>
      </c>
      <c r="K29" s="180">
        <f t="shared" ca="1" si="19"/>
        <v>0</v>
      </c>
      <c r="L29" s="180">
        <f t="shared" ca="1" si="19"/>
        <v>0</v>
      </c>
      <c r="M29" s="180">
        <f t="shared" ca="1" si="19"/>
        <v>0</v>
      </c>
      <c r="N29" s="180">
        <f t="shared" ca="1" si="19"/>
        <v>0</v>
      </c>
      <c r="O29" s="180">
        <f t="shared" ca="1" si="19"/>
        <v>0</v>
      </c>
      <c r="P29" s="180">
        <f t="shared" ca="1" si="19"/>
        <v>0</v>
      </c>
      <c r="Q29" s="180">
        <f t="shared" ca="1" si="19"/>
        <v>0</v>
      </c>
      <c r="R29" s="180">
        <f t="shared" ca="1" si="19"/>
        <v>0</v>
      </c>
      <c r="S29" s="180">
        <f t="shared" ca="1" si="19"/>
        <v>0</v>
      </c>
      <c r="T29" s="180">
        <f t="shared" ca="1" si="19"/>
        <v>0</v>
      </c>
      <c r="U29" s="180">
        <f t="shared" ca="1" si="19"/>
        <v>0</v>
      </c>
      <c r="V29" s="180">
        <f t="shared" ca="1" si="19"/>
        <v>0</v>
      </c>
      <c r="W29" s="180">
        <f t="shared" ca="1" si="19"/>
        <v>0</v>
      </c>
      <c r="X29" s="180">
        <f t="shared" ca="1" si="19"/>
        <v>0</v>
      </c>
      <c r="Y29" s="180">
        <f t="shared" ca="1" si="19"/>
        <v>0</v>
      </c>
      <c r="Z29" s="180">
        <f t="shared" ca="1" si="19"/>
        <v>0</v>
      </c>
      <c r="AA29" s="180">
        <f t="shared" ca="1" si="19"/>
        <v>0</v>
      </c>
      <c r="AB29" s="180">
        <f t="shared" ca="1" si="19"/>
        <v>0</v>
      </c>
      <c r="AC29" s="180">
        <f t="shared" ref="AC29:AF29" ca="1" si="20">IFERROR(MAX(0,AC28*AC26*AC7),0)</f>
        <v>0</v>
      </c>
      <c r="AD29" s="180">
        <f t="shared" ca="1" si="20"/>
        <v>0</v>
      </c>
      <c r="AE29" s="180">
        <f t="shared" ca="1" si="20"/>
        <v>0</v>
      </c>
      <c r="AF29" s="180">
        <f t="shared" ca="1" si="20"/>
        <v>0</v>
      </c>
      <c r="AG29" s="180">
        <f t="shared" ref="AG29" ca="1" si="21">IFERROR(MAX(0,AG28*AG26*AG7),0)</f>
        <v>0</v>
      </c>
    </row>
    <row r="30" spans="2:33">
      <c r="C30" s="195" t="s">
        <v>1033</v>
      </c>
      <c r="D30" s="195"/>
      <c r="E30" s="195">
        <f ca="1">D29</f>
        <v>0</v>
      </c>
      <c r="F30" s="195">
        <f t="shared" ref="F30:AB30" ca="1" si="22">E29</f>
        <v>0</v>
      </c>
      <c r="G30" s="195">
        <f t="shared" ca="1" si="22"/>
        <v>0</v>
      </c>
      <c r="H30" s="195">
        <f t="shared" ca="1" si="22"/>
        <v>0</v>
      </c>
      <c r="I30" s="195">
        <f t="shared" ca="1" si="22"/>
        <v>0</v>
      </c>
      <c r="J30" s="195">
        <f t="shared" ca="1" si="22"/>
        <v>0</v>
      </c>
      <c r="K30" s="195">
        <f t="shared" ca="1" si="22"/>
        <v>0</v>
      </c>
      <c r="L30" s="195">
        <f t="shared" ca="1" si="22"/>
        <v>0</v>
      </c>
      <c r="M30" s="195">
        <f t="shared" ca="1" si="22"/>
        <v>0</v>
      </c>
      <c r="N30" s="195">
        <f t="shared" ca="1" si="22"/>
        <v>0</v>
      </c>
      <c r="O30" s="195">
        <f t="shared" ca="1" si="22"/>
        <v>0</v>
      </c>
      <c r="P30" s="195">
        <f t="shared" ca="1" si="22"/>
        <v>0</v>
      </c>
      <c r="Q30" s="195">
        <f t="shared" ca="1" si="22"/>
        <v>0</v>
      </c>
      <c r="R30" s="195">
        <f t="shared" ca="1" si="22"/>
        <v>0</v>
      </c>
      <c r="S30" s="195">
        <f t="shared" ca="1" si="22"/>
        <v>0</v>
      </c>
      <c r="T30" s="195">
        <f t="shared" ca="1" si="22"/>
        <v>0</v>
      </c>
      <c r="U30" s="195">
        <f t="shared" ca="1" si="22"/>
        <v>0</v>
      </c>
      <c r="V30" s="195">
        <f t="shared" ca="1" si="22"/>
        <v>0</v>
      </c>
      <c r="W30" s="195">
        <f t="shared" ca="1" si="22"/>
        <v>0</v>
      </c>
      <c r="X30" s="195">
        <f t="shared" ca="1" si="22"/>
        <v>0</v>
      </c>
      <c r="Y30" s="195">
        <f t="shared" ca="1" si="22"/>
        <v>0</v>
      </c>
      <c r="Z30" s="195">
        <f t="shared" ca="1" si="22"/>
        <v>0</v>
      </c>
      <c r="AA30" s="195">
        <f t="shared" ca="1" si="22"/>
        <v>0</v>
      </c>
      <c r="AB30" s="195">
        <f t="shared" ca="1" si="22"/>
        <v>0</v>
      </c>
      <c r="AC30" s="195">
        <f t="shared" ref="AC30" ca="1" si="23">AB29</f>
        <v>0</v>
      </c>
      <c r="AD30" s="195">
        <f t="shared" ref="AD30" ca="1" si="24">AC29</f>
        <v>0</v>
      </c>
      <c r="AE30" s="195">
        <f t="shared" ref="AE30" ca="1" si="25">AD29</f>
        <v>0</v>
      </c>
      <c r="AF30" s="195">
        <f t="shared" ref="AF30:AG30" ca="1" si="26">AE29</f>
        <v>0</v>
      </c>
      <c r="AG30" s="195">
        <f t="shared" ca="1" si="26"/>
        <v>0</v>
      </c>
    </row>
    <row r="32" spans="2:33">
      <c r="B32" s="209" t="s">
        <v>816</v>
      </c>
      <c r="C32" s="209"/>
      <c r="D32" s="305">
        <f>D12</f>
        <v>43555</v>
      </c>
      <c r="E32" s="305">
        <f t="shared" ref="E32:AB32" si="27">E12</f>
        <v>43646</v>
      </c>
      <c r="F32" s="305">
        <f t="shared" si="27"/>
        <v>43738</v>
      </c>
      <c r="G32" s="305">
        <f t="shared" si="27"/>
        <v>43830</v>
      </c>
      <c r="H32" s="305">
        <f t="shared" si="27"/>
        <v>43921</v>
      </c>
      <c r="I32" s="305">
        <f t="shared" si="27"/>
        <v>44012</v>
      </c>
      <c r="J32" s="305">
        <f t="shared" si="27"/>
        <v>44104</v>
      </c>
      <c r="K32" s="305">
        <f t="shared" si="27"/>
        <v>44196</v>
      </c>
      <c r="L32" s="305">
        <f t="shared" si="27"/>
        <v>44286</v>
      </c>
      <c r="M32" s="305">
        <f t="shared" si="27"/>
        <v>44377</v>
      </c>
      <c r="N32" s="305">
        <f t="shared" si="27"/>
        <v>44469</v>
      </c>
      <c r="O32" s="305">
        <f t="shared" si="27"/>
        <v>44561</v>
      </c>
      <c r="P32" s="305">
        <f t="shared" si="27"/>
        <v>44651</v>
      </c>
      <c r="Q32" s="305">
        <f t="shared" si="27"/>
        <v>44742</v>
      </c>
      <c r="R32" s="305">
        <f t="shared" si="27"/>
        <v>44834</v>
      </c>
      <c r="S32" s="305">
        <f t="shared" si="27"/>
        <v>44926</v>
      </c>
      <c r="T32" s="305">
        <f t="shared" si="27"/>
        <v>45016</v>
      </c>
      <c r="U32" s="305">
        <f t="shared" si="27"/>
        <v>45107</v>
      </c>
      <c r="V32" s="305">
        <f t="shared" si="27"/>
        <v>45199</v>
      </c>
      <c r="W32" s="305">
        <f t="shared" si="27"/>
        <v>45291</v>
      </c>
      <c r="X32" s="305">
        <f t="shared" si="27"/>
        <v>45382</v>
      </c>
      <c r="Y32" s="305">
        <f t="shared" si="27"/>
        <v>45473</v>
      </c>
      <c r="Z32" s="305">
        <f t="shared" si="27"/>
        <v>45565</v>
      </c>
      <c r="AA32" s="305">
        <f t="shared" si="27"/>
        <v>45657</v>
      </c>
      <c r="AB32" s="305">
        <f t="shared" si="27"/>
        <v>45747</v>
      </c>
      <c r="AC32" s="305">
        <f t="shared" ref="AC32:AF32" si="28">AC12</f>
        <v>45838</v>
      </c>
      <c r="AD32" s="305">
        <f t="shared" si="28"/>
        <v>45930</v>
      </c>
      <c r="AE32" s="305">
        <f t="shared" si="28"/>
        <v>46022</v>
      </c>
      <c r="AF32" s="305">
        <f t="shared" si="28"/>
        <v>46112</v>
      </c>
      <c r="AG32" s="305">
        <f t="shared" ref="AG32" si="29">AG12</f>
        <v>46203</v>
      </c>
    </row>
    <row r="33" spans="3:33" s="183" customFormat="1" ht="13.7">
      <c r="C33" s="183" t="s">
        <v>790</v>
      </c>
      <c r="D33" s="183">
        <f>'Financing assumptions offshore'!$M$64</f>
        <v>1</v>
      </c>
      <c r="E33" s="183">
        <f>'Financing assumptions offshore'!$M$64</f>
        <v>1</v>
      </c>
      <c r="F33" s="183">
        <f>'Financing assumptions offshore'!$M$64</f>
        <v>1</v>
      </c>
      <c r="G33" s="183">
        <f>'Financing assumptions offshore'!$M$64</f>
        <v>1</v>
      </c>
      <c r="H33" s="183">
        <f>'Financing assumptions offshore'!$M$64</f>
        <v>1</v>
      </c>
      <c r="I33" s="183">
        <f>'Financing assumptions offshore'!$M$64</f>
        <v>1</v>
      </c>
      <c r="J33" s="183">
        <f>'Financing assumptions offshore'!$M$64</f>
        <v>1</v>
      </c>
      <c r="K33" s="183">
        <f>'Financing assumptions offshore'!$M$64</f>
        <v>1</v>
      </c>
      <c r="L33" s="183">
        <f>'Financing assumptions offshore'!$M$64</f>
        <v>1</v>
      </c>
      <c r="M33" s="183">
        <f>'Financing assumptions offshore'!$M$64</f>
        <v>1</v>
      </c>
      <c r="N33" s="183">
        <f>'Financing assumptions offshore'!$M$64</f>
        <v>1</v>
      </c>
      <c r="O33" s="183">
        <f>'Financing assumptions offshore'!$M$64</f>
        <v>1</v>
      </c>
      <c r="P33" s="183">
        <f>'Financing assumptions offshore'!$M$64</f>
        <v>1</v>
      </c>
      <c r="Q33" s="183">
        <f>'Financing assumptions offshore'!$M$64</f>
        <v>1</v>
      </c>
      <c r="R33" s="183">
        <f>'Financing assumptions offshore'!$M$64</f>
        <v>1</v>
      </c>
      <c r="S33" s="183">
        <f>'Financing assumptions offshore'!$M$64</f>
        <v>1</v>
      </c>
      <c r="T33" s="183">
        <f>'Financing assumptions offshore'!$M$64</f>
        <v>1</v>
      </c>
      <c r="U33" s="183">
        <f>'Financing assumptions offshore'!$M$64</f>
        <v>1</v>
      </c>
      <c r="V33" s="183">
        <f>'Financing assumptions offshore'!$M$64</f>
        <v>1</v>
      </c>
      <c r="W33" s="183">
        <f>'Financing assumptions offshore'!$M$64</f>
        <v>1</v>
      </c>
      <c r="X33" s="183">
        <f>'Financing assumptions offshore'!$M$64</f>
        <v>1</v>
      </c>
      <c r="Y33" s="183">
        <f>'Financing assumptions offshore'!$M$64</f>
        <v>1</v>
      </c>
      <c r="Z33" s="183">
        <f>'Financing assumptions offshore'!$M$64</f>
        <v>1</v>
      </c>
      <c r="AA33" s="183">
        <f>'Financing assumptions offshore'!$M$64</f>
        <v>1</v>
      </c>
      <c r="AB33" s="183">
        <f>'Financing assumptions offshore'!$M$64</f>
        <v>1</v>
      </c>
      <c r="AC33" s="183">
        <f>'Financing assumptions offshore'!$M$64</f>
        <v>1</v>
      </c>
      <c r="AD33" s="183">
        <f>'Financing assumptions offshore'!$M$64</f>
        <v>1</v>
      </c>
      <c r="AE33" s="183">
        <f>'Financing assumptions offshore'!$M$64</f>
        <v>1</v>
      </c>
      <c r="AF33" s="183">
        <f>'Financing assumptions offshore'!$M$64</f>
        <v>1</v>
      </c>
      <c r="AG33" s="183">
        <f>'Financing assumptions offshore'!$M$64</f>
        <v>1</v>
      </c>
    </row>
    <row r="34" spans="3:33" s="183" customFormat="1" ht="13.7">
      <c r="C34" s="183" t="s">
        <v>791</v>
      </c>
      <c r="D34" s="183">
        <f>'Financing assumptions offshore'!$M$65</f>
        <v>0</v>
      </c>
      <c r="E34" s="183">
        <f>'Financing assumptions offshore'!$M$65</f>
        <v>0</v>
      </c>
      <c r="F34" s="183">
        <f>'Financing assumptions offshore'!$M$65</f>
        <v>0</v>
      </c>
      <c r="G34" s="183">
        <f>'Financing assumptions offshore'!$M$65</f>
        <v>0</v>
      </c>
      <c r="H34" s="183">
        <f>'Financing assumptions offshore'!$M$65</f>
        <v>0</v>
      </c>
      <c r="I34" s="183">
        <f>'Financing assumptions offshore'!$M$65</f>
        <v>0</v>
      </c>
      <c r="J34" s="183">
        <f>'Financing assumptions offshore'!$M$65</f>
        <v>0</v>
      </c>
      <c r="K34" s="183">
        <f>'Financing assumptions offshore'!$M$65</f>
        <v>0</v>
      </c>
      <c r="L34" s="183">
        <f>'Financing assumptions offshore'!$M$65</f>
        <v>0</v>
      </c>
      <c r="M34" s="183">
        <f>'Financing assumptions offshore'!$M$65</f>
        <v>0</v>
      </c>
      <c r="N34" s="183">
        <f>'Financing assumptions offshore'!$M$65</f>
        <v>0</v>
      </c>
      <c r="O34" s="183">
        <f>'Financing assumptions offshore'!$M$65</f>
        <v>0</v>
      </c>
      <c r="P34" s="183">
        <f>'Financing assumptions offshore'!$M$65</f>
        <v>0</v>
      </c>
      <c r="Q34" s="183">
        <f>'Financing assumptions offshore'!$M$65</f>
        <v>0</v>
      </c>
      <c r="R34" s="183">
        <f>'Financing assumptions offshore'!$M$65</f>
        <v>0</v>
      </c>
      <c r="S34" s="183">
        <f>'Financing assumptions offshore'!$M$65</f>
        <v>0</v>
      </c>
      <c r="T34" s="183">
        <f>'Financing assumptions offshore'!$M$65</f>
        <v>0</v>
      </c>
      <c r="U34" s="183">
        <f>'Financing assumptions offshore'!$M$65</f>
        <v>0</v>
      </c>
      <c r="V34" s="183">
        <f>'Financing assumptions offshore'!$M$65</f>
        <v>0</v>
      </c>
      <c r="W34" s="183">
        <f>'Financing assumptions offshore'!$M$65</f>
        <v>0</v>
      </c>
      <c r="X34" s="183">
        <f>'Financing assumptions offshore'!$M$65</f>
        <v>0</v>
      </c>
      <c r="Y34" s="183">
        <f>'Financing assumptions offshore'!$M$65</f>
        <v>0</v>
      </c>
      <c r="Z34" s="183">
        <f>'Financing assumptions offshore'!$M$65</f>
        <v>0</v>
      </c>
      <c r="AA34" s="183">
        <f>'Financing assumptions offshore'!$M$65</f>
        <v>0</v>
      </c>
      <c r="AB34" s="183">
        <f>'Financing assumptions offshore'!$M$65</f>
        <v>0</v>
      </c>
      <c r="AC34" s="183">
        <f>'Financing assumptions offshore'!$M$65</f>
        <v>0</v>
      </c>
      <c r="AD34" s="183">
        <f>'Financing assumptions offshore'!$M$65</f>
        <v>0</v>
      </c>
      <c r="AE34" s="183">
        <f>'Financing assumptions offshore'!$M$65</f>
        <v>0</v>
      </c>
      <c r="AF34" s="183">
        <f>'Financing assumptions offshore'!$M$65</f>
        <v>0</v>
      </c>
      <c r="AG34" s="183">
        <f>'Financing assumptions offshore'!$M$65</f>
        <v>0</v>
      </c>
    </row>
    <row r="35" spans="3:33" s="183" customFormat="1" ht="13.7">
      <c r="C35" s="183" t="s">
        <v>792</v>
      </c>
      <c r="D35" s="183">
        <f>'Financing assumptions offshore'!$M$66</f>
        <v>0</v>
      </c>
      <c r="E35" s="183">
        <f>'Financing assumptions offshore'!$M$66</f>
        <v>0</v>
      </c>
      <c r="F35" s="183">
        <f>'Financing assumptions offshore'!$M$66</f>
        <v>0</v>
      </c>
      <c r="G35" s="183">
        <f>'Financing assumptions offshore'!$M$66</f>
        <v>0</v>
      </c>
      <c r="H35" s="183">
        <f>'Financing assumptions offshore'!$M$66</f>
        <v>0</v>
      </c>
      <c r="I35" s="183">
        <f>'Financing assumptions offshore'!$M$66</f>
        <v>0</v>
      </c>
      <c r="J35" s="183">
        <f>'Financing assumptions offshore'!$M$66</f>
        <v>0</v>
      </c>
      <c r="K35" s="183">
        <f>'Financing assumptions offshore'!$M$66</f>
        <v>0</v>
      </c>
      <c r="L35" s="183">
        <f>'Financing assumptions offshore'!$M$66</f>
        <v>0</v>
      </c>
      <c r="M35" s="183">
        <f>'Financing assumptions offshore'!$M$66</f>
        <v>0</v>
      </c>
      <c r="N35" s="183">
        <f>'Financing assumptions offshore'!$M$66</f>
        <v>0</v>
      </c>
      <c r="O35" s="183">
        <f>'Financing assumptions offshore'!$M$66</f>
        <v>0</v>
      </c>
      <c r="P35" s="183">
        <f>'Financing assumptions offshore'!$M$66</f>
        <v>0</v>
      </c>
      <c r="Q35" s="183">
        <f>'Financing assumptions offshore'!$M$66</f>
        <v>0</v>
      </c>
      <c r="R35" s="183">
        <f>'Financing assumptions offshore'!$M$66</f>
        <v>0</v>
      </c>
      <c r="S35" s="183">
        <f>'Financing assumptions offshore'!$M$66</f>
        <v>0</v>
      </c>
      <c r="T35" s="183">
        <f>'Financing assumptions offshore'!$M$66</f>
        <v>0</v>
      </c>
      <c r="U35" s="183">
        <f>'Financing assumptions offshore'!$M$66</f>
        <v>0</v>
      </c>
      <c r="V35" s="183">
        <f>'Financing assumptions offshore'!$M$66</f>
        <v>0</v>
      </c>
      <c r="W35" s="183">
        <f>'Financing assumptions offshore'!$M$66</f>
        <v>0</v>
      </c>
      <c r="X35" s="183">
        <f>'Financing assumptions offshore'!$M$66</f>
        <v>0</v>
      </c>
      <c r="Y35" s="183">
        <f>'Financing assumptions offshore'!$M$66</f>
        <v>0</v>
      </c>
      <c r="Z35" s="183">
        <f>'Financing assumptions offshore'!$M$66</f>
        <v>0</v>
      </c>
      <c r="AA35" s="183">
        <f>'Financing assumptions offshore'!$M$66</f>
        <v>0</v>
      </c>
      <c r="AB35" s="183">
        <f>'Financing assumptions offshore'!$M$66</f>
        <v>0</v>
      </c>
      <c r="AC35" s="183">
        <f>'Financing assumptions offshore'!$M$66</f>
        <v>0</v>
      </c>
      <c r="AD35" s="183">
        <f>'Financing assumptions offshore'!$M$66</f>
        <v>0</v>
      </c>
      <c r="AE35" s="183">
        <f>'Financing assumptions offshore'!$M$66</f>
        <v>0</v>
      </c>
      <c r="AF35" s="183">
        <f>'Financing assumptions offshore'!$M$66</f>
        <v>0</v>
      </c>
      <c r="AG35" s="183">
        <f>'Financing assumptions offshore'!$M$66</f>
        <v>0</v>
      </c>
    </row>
    <row r="36" spans="3:33" s="183" customFormat="1" ht="13.7">
      <c r="C36" s="183" t="s">
        <v>793</v>
      </c>
      <c r="D36" s="183">
        <f>'Financing assumptions offshore'!$M$67</f>
        <v>0</v>
      </c>
      <c r="E36" s="183">
        <f>'Financing assumptions offshore'!$M$67</f>
        <v>0</v>
      </c>
      <c r="F36" s="183">
        <f>'Financing assumptions offshore'!$M$67</f>
        <v>0</v>
      </c>
      <c r="G36" s="183">
        <f>'Financing assumptions offshore'!$M$67</f>
        <v>0</v>
      </c>
      <c r="H36" s="183">
        <f>'Financing assumptions offshore'!$M$67</f>
        <v>0</v>
      </c>
      <c r="I36" s="183">
        <f>'Financing assumptions offshore'!$M$67</f>
        <v>0</v>
      </c>
      <c r="J36" s="183">
        <f>'Financing assumptions offshore'!$M$67</f>
        <v>0</v>
      </c>
      <c r="K36" s="183">
        <f>'Financing assumptions offshore'!$M$67</f>
        <v>0</v>
      </c>
      <c r="L36" s="183">
        <f>'Financing assumptions offshore'!$M$67</f>
        <v>0</v>
      </c>
      <c r="M36" s="183">
        <f>'Financing assumptions offshore'!$M$67</f>
        <v>0</v>
      </c>
      <c r="N36" s="183">
        <f>'Financing assumptions offshore'!$M$67</f>
        <v>0</v>
      </c>
      <c r="O36" s="183">
        <f>'Financing assumptions offshore'!$M$67</f>
        <v>0</v>
      </c>
      <c r="P36" s="183">
        <f>'Financing assumptions offshore'!$M$67</f>
        <v>0</v>
      </c>
      <c r="Q36" s="183">
        <f>'Financing assumptions offshore'!$M$67</f>
        <v>0</v>
      </c>
      <c r="R36" s="183">
        <f>'Financing assumptions offshore'!$M$67</f>
        <v>0</v>
      </c>
      <c r="S36" s="183">
        <f>'Financing assumptions offshore'!$M$67</f>
        <v>0</v>
      </c>
      <c r="T36" s="183">
        <f>'Financing assumptions offshore'!$M$67</f>
        <v>0</v>
      </c>
      <c r="U36" s="183">
        <f>'Financing assumptions offshore'!$M$67</f>
        <v>0</v>
      </c>
      <c r="V36" s="183">
        <f>'Financing assumptions offshore'!$M$67</f>
        <v>0</v>
      </c>
      <c r="W36" s="183">
        <f>'Financing assumptions offshore'!$M$67</f>
        <v>0</v>
      </c>
      <c r="X36" s="183">
        <f>'Financing assumptions offshore'!$M$67</f>
        <v>0</v>
      </c>
      <c r="Y36" s="183">
        <f>'Financing assumptions offshore'!$M$67</f>
        <v>0</v>
      </c>
      <c r="Z36" s="183">
        <f>'Financing assumptions offshore'!$M$67</f>
        <v>0</v>
      </c>
      <c r="AA36" s="183">
        <f>'Financing assumptions offshore'!$M$67</f>
        <v>0</v>
      </c>
      <c r="AB36" s="183">
        <f>'Financing assumptions offshore'!$M$67</f>
        <v>0</v>
      </c>
      <c r="AC36" s="183">
        <f>'Financing assumptions offshore'!$M$67</f>
        <v>0</v>
      </c>
      <c r="AD36" s="183">
        <f>'Financing assumptions offshore'!$M$67</f>
        <v>0</v>
      </c>
      <c r="AE36" s="183">
        <f>'Financing assumptions offshore'!$M$67</f>
        <v>0</v>
      </c>
      <c r="AF36" s="183">
        <f>'Financing assumptions offshore'!$M$67</f>
        <v>0</v>
      </c>
      <c r="AG36" s="183">
        <f>'Financing assumptions offshore'!$M$67</f>
        <v>0</v>
      </c>
    </row>
    <row r="38" spans="3:33" s="291" customFormat="1" ht="13.7">
      <c r="C38" s="303" t="s">
        <v>817</v>
      </c>
      <c r="D38" s="291">
        <f>'Financial Quarterly offshore'!D18+'Financial Quarterly offshore'!D19+'Financial Quarterly offshore'!D20+'Financial Quarterly offshore'!D21+'Financial Quarterly offshore'!D24+'Financial Quarterly offshore'!D22</f>
        <v>0</v>
      </c>
      <c r="E38" s="291">
        <f>'Financial Quarterly offshore'!E18+'Financial Quarterly offshore'!E19+'Financial Quarterly offshore'!E20+'Financial Quarterly offshore'!E21+'Financial Quarterly offshore'!E24+'Financial Quarterly offshore'!E22</f>
        <v>0</v>
      </c>
      <c r="F38" s="291">
        <f ca="1">'Financial Quarterly offshore'!F18+'Financial Quarterly offshore'!F19+'Financial Quarterly offshore'!F20+'Financial Quarterly offshore'!F21+'Financial Quarterly offshore'!F24+'Financial Quarterly offshore'!F22</f>
        <v>0</v>
      </c>
      <c r="G38" s="291">
        <f ca="1">'Financial Quarterly offshore'!G18+'Financial Quarterly offshore'!G19+'Financial Quarterly offshore'!G20+'Financial Quarterly offshore'!G21+'Financial Quarterly offshore'!G24+'Financial Quarterly offshore'!G22</f>
        <v>0</v>
      </c>
      <c r="H38" s="291">
        <f ca="1">'Financial Quarterly offshore'!H18+'Financial Quarterly offshore'!H19+'Financial Quarterly offshore'!H20+'Financial Quarterly offshore'!H21+'Financial Quarterly offshore'!H24+'Financial Quarterly offshore'!H22</f>
        <v>0</v>
      </c>
      <c r="I38" s="291">
        <f ca="1">'Financial Quarterly offshore'!I18+'Financial Quarterly offshore'!I19+'Financial Quarterly offshore'!I20+'Financial Quarterly offshore'!I21+'Financial Quarterly offshore'!I24+'Financial Quarterly offshore'!I22</f>
        <v>0</v>
      </c>
      <c r="J38" s="291">
        <f ca="1">'Financial Quarterly offshore'!J18+'Financial Quarterly offshore'!J19+'Financial Quarterly offshore'!J20+'Financial Quarterly offshore'!J21+'Financial Quarterly offshore'!J24+'Financial Quarterly offshore'!J22</f>
        <v>0</v>
      </c>
      <c r="K38" s="291">
        <f ca="1">'Financial Quarterly offshore'!K18+'Financial Quarterly offshore'!K19+'Financial Quarterly offshore'!K20+'Financial Quarterly offshore'!K21+'Financial Quarterly offshore'!K24+'Financial Quarterly offshore'!K22</f>
        <v>0</v>
      </c>
      <c r="L38" s="291">
        <f ca="1">'Financial Quarterly offshore'!L18+'Financial Quarterly offshore'!L19+'Financial Quarterly offshore'!L20+'Financial Quarterly offshore'!L21+'Financial Quarterly offshore'!L24+'Financial Quarterly offshore'!L22</f>
        <v>0</v>
      </c>
      <c r="M38" s="291">
        <f ca="1">'Financial Quarterly offshore'!M18+'Financial Quarterly offshore'!M19+'Financial Quarterly offshore'!M20+'Financial Quarterly offshore'!M21+'Financial Quarterly offshore'!M24+'Financial Quarterly offshore'!M22</f>
        <v>0</v>
      </c>
      <c r="N38" s="291">
        <f ca="1">'Financial Quarterly offshore'!N18+'Financial Quarterly offshore'!N19+'Financial Quarterly offshore'!N20+'Financial Quarterly offshore'!N21+'Financial Quarterly offshore'!N24+'Financial Quarterly offshore'!N22</f>
        <v>0</v>
      </c>
      <c r="O38" s="291">
        <f ca="1">'Financial Quarterly offshore'!O18+'Financial Quarterly offshore'!O19+'Financial Quarterly offshore'!O20+'Financial Quarterly offshore'!O21+'Financial Quarterly offshore'!O24+'Financial Quarterly offshore'!O22</f>
        <v>0</v>
      </c>
      <c r="P38" s="291">
        <f ca="1">'Financial Quarterly offshore'!P18+'Financial Quarterly offshore'!P19+'Financial Quarterly offshore'!P20+'Financial Quarterly offshore'!P21+'Financial Quarterly offshore'!P24+'Financial Quarterly offshore'!P22</f>
        <v>0</v>
      </c>
      <c r="Q38" s="291">
        <f ca="1">'Financial Quarterly offshore'!Q18+'Financial Quarterly offshore'!Q19+'Financial Quarterly offshore'!Q20+'Financial Quarterly offshore'!Q21+'Financial Quarterly offshore'!Q24+'Financial Quarterly offshore'!Q22</f>
        <v>0</v>
      </c>
      <c r="R38" s="291">
        <f ca="1">'Financial Quarterly offshore'!R18+'Financial Quarterly offshore'!R19+'Financial Quarterly offshore'!R20+'Financial Quarterly offshore'!R21+'Financial Quarterly offshore'!R24+'Financial Quarterly offshore'!R22</f>
        <v>0</v>
      </c>
      <c r="S38" s="291">
        <f ca="1">'Financial Quarterly offshore'!S18+'Financial Quarterly offshore'!S19+'Financial Quarterly offshore'!S20+'Financial Quarterly offshore'!S21+'Financial Quarterly offshore'!S24+'Financial Quarterly offshore'!S22</f>
        <v>0</v>
      </c>
      <c r="T38" s="291">
        <f ca="1">'Financial Quarterly offshore'!T18+'Financial Quarterly offshore'!T19+'Financial Quarterly offshore'!T20+'Financial Quarterly offshore'!T21+'Financial Quarterly offshore'!T24+'Financial Quarterly offshore'!T22</f>
        <v>0</v>
      </c>
      <c r="U38" s="291">
        <f ca="1">'Financial Quarterly offshore'!U18+'Financial Quarterly offshore'!U19+'Financial Quarterly offshore'!U20+'Financial Quarterly offshore'!U21+'Financial Quarterly offshore'!U24+'Financial Quarterly offshore'!U22</f>
        <v>0</v>
      </c>
      <c r="V38" s="291">
        <f ca="1">'Financial Quarterly offshore'!V18+'Financial Quarterly offshore'!V19+'Financial Quarterly offshore'!V20+'Financial Quarterly offshore'!V21+'Financial Quarterly offshore'!V24+'Financial Quarterly offshore'!V22</f>
        <v>0</v>
      </c>
      <c r="W38" s="291">
        <f ca="1">'Financial Quarterly offshore'!W18+'Financial Quarterly offshore'!W19+'Financial Quarterly offshore'!W20+'Financial Quarterly offshore'!W21+'Financial Quarterly offshore'!W24+'Financial Quarterly offshore'!W22</f>
        <v>0</v>
      </c>
      <c r="X38" s="291">
        <f ca="1">'Financial Quarterly offshore'!X18+'Financial Quarterly offshore'!X19+'Financial Quarterly offshore'!X20+'Financial Quarterly offshore'!X21+'Financial Quarterly offshore'!X24+'Financial Quarterly offshore'!X22</f>
        <v>0</v>
      </c>
      <c r="Y38" s="291">
        <f ca="1">'Financial Quarterly offshore'!Y18+'Financial Quarterly offshore'!Y19+'Financial Quarterly offshore'!Y20+'Financial Quarterly offshore'!Y21+'Financial Quarterly offshore'!Y24+'Financial Quarterly offshore'!Y22</f>
        <v>0</v>
      </c>
      <c r="Z38" s="291">
        <f ca="1">'Financial Quarterly offshore'!Z18+'Financial Quarterly offshore'!Z19+'Financial Quarterly offshore'!Z20+'Financial Quarterly offshore'!Z21+'Financial Quarterly offshore'!Z24+'Financial Quarterly offshore'!Z22</f>
        <v>0</v>
      </c>
      <c r="AA38" s="291">
        <f ca="1">'Financial Quarterly offshore'!AA18+'Financial Quarterly offshore'!AA19+'Financial Quarterly offshore'!AA20+'Financial Quarterly offshore'!AA21+'Financial Quarterly offshore'!AA24+'Financial Quarterly offshore'!AA22</f>
        <v>0</v>
      </c>
      <c r="AB38" s="291">
        <f ca="1">'Financial Quarterly offshore'!AB18+'Financial Quarterly offshore'!AB19+'Financial Quarterly offshore'!AB20+'Financial Quarterly offshore'!AB21+'Financial Quarterly offshore'!AB24+'Financial Quarterly offshore'!AB22</f>
        <v>0</v>
      </c>
      <c r="AC38" s="291">
        <f ca="1">'Financial Quarterly offshore'!AC18+'Financial Quarterly offshore'!AC19+'Financial Quarterly offshore'!AC20+'Financial Quarterly offshore'!AC21+'Financial Quarterly offshore'!AC24+'Financial Quarterly offshore'!AC22</f>
        <v>0</v>
      </c>
      <c r="AD38" s="291">
        <f ca="1">'Financial Quarterly offshore'!AD18+'Financial Quarterly offshore'!AD19+'Financial Quarterly offshore'!AD20+'Financial Quarterly offshore'!AD21+'Financial Quarterly offshore'!AD24+'Financial Quarterly offshore'!AD22</f>
        <v>0</v>
      </c>
      <c r="AE38" s="291">
        <f ca="1">'Financial Quarterly offshore'!AE18+'Financial Quarterly offshore'!AE19+'Financial Quarterly offshore'!AE20+'Financial Quarterly offshore'!AE21+'Financial Quarterly offshore'!AE24+'Financial Quarterly offshore'!AE22</f>
        <v>0</v>
      </c>
      <c r="AF38" s="291">
        <f ca="1">'Financial Quarterly offshore'!AF18+'Financial Quarterly offshore'!AF19+'Financial Quarterly offshore'!AF20+'Financial Quarterly offshore'!AF21+'Financial Quarterly offshore'!AF24+'Financial Quarterly offshore'!AF22</f>
        <v>0</v>
      </c>
      <c r="AG38" s="291">
        <f ca="1">'Financial Quarterly offshore'!AG18+'Financial Quarterly offshore'!AG19+'Financial Quarterly offshore'!AG20+'Financial Quarterly offshore'!AG21+'Financial Quarterly offshore'!AG24+'Financial Quarterly offshore'!AG22</f>
        <v>0</v>
      </c>
    </row>
    <row r="39" spans="3:33" s="291" customFormat="1" ht="13.7">
      <c r="C39" s="303" t="s">
        <v>818</v>
      </c>
      <c r="D39" s="291">
        <f>MAX(-D33*D$30,-D38)</f>
        <v>0</v>
      </c>
      <c r="E39" s="291">
        <f t="shared" ref="E39:AB39" ca="1" si="30">MAX(-E33*E$30,-E38)</f>
        <v>0</v>
      </c>
      <c r="F39" s="291">
        <f t="shared" ca="1" si="30"/>
        <v>0</v>
      </c>
      <c r="G39" s="291">
        <f t="shared" ca="1" si="30"/>
        <v>0</v>
      </c>
      <c r="H39" s="291">
        <f t="shared" ca="1" si="30"/>
        <v>0</v>
      </c>
      <c r="I39" s="291">
        <f t="shared" ca="1" si="30"/>
        <v>0</v>
      </c>
      <c r="J39" s="291">
        <f t="shared" ca="1" si="30"/>
        <v>0</v>
      </c>
      <c r="K39" s="291">
        <f t="shared" ca="1" si="30"/>
        <v>0</v>
      </c>
      <c r="L39" s="291">
        <f t="shared" ca="1" si="30"/>
        <v>0</v>
      </c>
      <c r="M39" s="291">
        <f t="shared" ca="1" si="30"/>
        <v>0</v>
      </c>
      <c r="N39" s="291">
        <f t="shared" ca="1" si="30"/>
        <v>0</v>
      </c>
      <c r="O39" s="291">
        <f t="shared" ca="1" si="30"/>
        <v>0</v>
      </c>
      <c r="P39" s="291">
        <f t="shared" ca="1" si="30"/>
        <v>0</v>
      </c>
      <c r="Q39" s="291">
        <f t="shared" ca="1" si="30"/>
        <v>0</v>
      </c>
      <c r="R39" s="291">
        <f t="shared" ca="1" si="30"/>
        <v>0</v>
      </c>
      <c r="S39" s="291">
        <f t="shared" ca="1" si="30"/>
        <v>0</v>
      </c>
      <c r="T39" s="291">
        <f t="shared" ca="1" si="30"/>
        <v>0</v>
      </c>
      <c r="U39" s="291">
        <f t="shared" ca="1" si="30"/>
        <v>0</v>
      </c>
      <c r="V39" s="291">
        <f t="shared" ca="1" si="30"/>
        <v>0</v>
      </c>
      <c r="W39" s="291">
        <f t="shared" ca="1" si="30"/>
        <v>0</v>
      </c>
      <c r="X39" s="291">
        <f t="shared" ca="1" si="30"/>
        <v>0</v>
      </c>
      <c r="Y39" s="291">
        <f t="shared" ca="1" si="30"/>
        <v>0</v>
      </c>
      <c r="Z39" s="291">
        <f t="shared" ca="1" si="30"/>
        <v>0</v>
      </c>
      <c r="AA39" s="291">
        <f t="shared" ca="1" si="30"/>
        <v>0</v>
      </c>
      <c r="AB39" s="291">
        <f t="shared" ca="1" si="30"/>
        <v>0</v>
      </c>
      <c r="AC39" s="291">
        <f t="shared" ref="AC39:AF39" ca="1" si="31">MAX(-AC33*AC$30,-AC38)</f>
        <v>0</v>
      </c>
      <c r="AD39" s="291">
        <f t="shared" ca="1" si="31"/>
        <v>0</v>
      </c>
      <c r="AE39" s="291">
        <f t="shared" ca="1" si="31"/>
        <v>0</v>
      </c>
      <c r="AF39" s="291">
        <f t="shared" ca="1" si="31"/>
        <v>0</v>
      </c>
      <c r="AG39" s="291">
        <f t="shared" ref="AG39" ca="1" si="32">MAX(-AG33*AG$30,-AG38)</f>
        <v>0</v>
      </c>
    </row>
    <row r="40" spans="3:33" s="291" customFormat="1" ht="13.7">
      <c r="C40" s="303" t="s">
        <v>819</v>
      </c>
      <c r="D40" s="291">
        <f>+'Financial Quarterly offshore'!D31+'Financial Quarterly offshore'!D32+'Financial Quarterly offshore'!D33+'Financial Quarterly offshore'!D34+'Financial Quarterly offshore'!D35+'Financial Quarterly offshore'!D37</f>
        <v>0</v>
      </c>
      <c r="E40" s="291">
        <f>+'Financial Quarterly offshore'!E31+'Financial Quarterly offshore'!E32+'Financial Quarterly offshore'!E33+'Financial Quarterly offshore'!E34+'Financial Quarterly offshore'!E35+'Financial Quarterly offshore'!E37</f>
        <v>0</v>
      </c>
      <c r="F40" s="291">
        <f ca="1">+'Financial Quarterly offshore'!F31+'Financial Quarterly offshore'!F32+'Financial Quarterly offshore'!F33+'Financial Quarterly offshore'!F34+'Financial Quarterly offshore'!F35+'Financial Quarterly offshore'!F37</f>
        <v>0</v>
      </c>
      <c r="G40" s="291">
        <f ca="1">+'Financial Quarterly offshore'!G31+'Financial Quarterly offshore'!G32+'Financial Quarterly offshore'!G33+'Financial Quarterly offshore'!G34+'Financial Quarterly offshore'!G35+'Financial Quarterly offshore'!G37</f>
        <v>0</v>
      </c>
      <c r="H40" s="291">
        <f ca="1">+'Financial Quarterly offshore'!H31+'Financial Quarterly offshore'!H32+'Financial Quarterly offshore'!H33+'Financial Quarterly offshore'!H34+'Financial Quarterly offshore'!H35+'Financial Quarterly offshore'!H37</f>
        <v>0</v>
      </c>
      <c r="I40" s="291">
        <f ca="1">+'Financial Quarterly offshore'!I31+'Financial Quarterly offshore'!I32+'Financial Quarterly offshore'!I33+'Financial Quarterly offshore'!I34+'Financial Quarterly offshore'!I35+'Financial Quarterly offshore'!I37</f>
        <v>0</v>
      </c>
      <c r="J40" s="291">
        <f ca="1">+'Financial Quarterly offshore'!J31+'Financial Quarterly offshore'!J32+'Financial Quarterly offshore'!J33+'Financial Quarterly offshore'!J34+'Financial Quarterly offshore'!J35+'Financial Quarterly offshore'!J37</f>
        <v>0</v>
      </c>
      <c r="K40" s="291">
        <f ca="1">+'Financial Quarterly offshore'!K31+'Financial Quarterly offshore'!K32+'Financial Quarterly offshore'!K33+'Financial Quarterly offshore'!K34+'Financial Quarterly offshore'!K35+'Financial Quarterly offshore'!K37</f>
        <v>0</v>
      </c>
      <c r="L40" s="291">
        <f ca="1">+'Financial Quarterly offshore'!L31+'Financial Quarterly offshore'!L32+'Financial Quarterly offshore'!L33+'Financial Quarterly offshore'!L34+'Financial Quarterly offshore'!L35+'Financial Quarterly offshore'!L37</f>
        <v>0</v>
      </c>
      <c r="M40" s="291">
        <f ca="1">+'Financial Quarterly offshore'!M31+'Financial Quarterly offshore'!M32+'Financial Quarterly offshore'!M33+'Financial Quarterly offshore'!M34+'Financial Quarterly offshore'!M35+'Financial Quarterly offshore'!M37</f>
        <v>0</v>
      </c>
      <c r="N40" s="291">
        <f ca="1">+'Financial Quarterly offshore'!N31+'Financial Quarterly offshore'!N32+'Financial Quarterly offshore'!N33+'Financial Quarterly offshore'!N34+'Financial Quarterly offshore'!N35+'Financial Quarterly offshore'!N37</f>
        <v>0</v>
      </c>
      <c r="O40" s="291">
        <f ca="1">+'Financial Quarterly offshore'!O31+'Financial Quarterly offshore'!O32+'Financial Quarterly offshore'!O33+'Financial Quarterly offshore'!O34+'Financial Quarterly offshore'!O35+'Financial Quarterly offshore'!O37</f>
        <v>0</v>
      </c>
      <c r="P40" s="291">
        <f ca="1">+'Financial Quarterly offshore'!P31+'Financial Quarterly offshore'!P32+'Financial Quarterly offshore'!P33+'Financial Quarterly offshore'!P34+'Financial Quarterly offshore'!P35+'Financial Quarterly offshore'!P37</f>
        <v>0</v>
      </c>
      <c r="Q40" s="291">
        <f ca="1">+'Financial Quarterly offshore'!Q31+'Financial Quarterly offshore'!Q32+'Financial Quarterly offshore'!Q33+'Financial Quarterly offshore'!Q34+'Financial Quarterly offshore'!Q35+'Financial Quarterly offshore'!Q37</f>
        <v>0</v>
      </c>
      <c r="R40" s="291">
        <f ca="1">+'Financial Quarterly offshore'!R31+'Financial Quarterly offshore'!R32+'Financial Quarterly offshore'!R33+'Financial Quarterly offshore'!R34+'Financial Quarterly offshore'!R35+'Financial Quarterly offshore'!R37</f>
        <v>0</v>
      </c>
      <c r="S40" s="291">
        <f ca="1">+'Financial Quarterly offshore'!S31+'Financial Quarterly offshore'!S32+'Financial Quarterly offshore'!S33+'Financial Quarterly offshore'!S34+'Financial Quarterly offshore'!S35+'Financial Quarterly offshore'!S37</f>
        <v>0</v>
      </c>
      <c r="T40" s="291">
        <f ca="1">+'Financial Quarterly offshore'!T31+'Financial Quarterly offshore'!T32+'Financial Quarterly offshore'!T33+'Financial Quarterly offshore'!T34+'Financial Quarterly offshore'!T35+'Financial Quarterly offshore'!T37</f>
        <v>0</v>
      </c>
      <c r="U40" s="291">
        <f ca="1">+'Financial Quarterly offshore'!U31+'Financial Quarterly offshore'!U32+'Financial Quarterly offshore'!U33+'Financial Quarterly offshore'!U34+'Financial Quarterly offshore'!U35+'Financial Quarterly offshore'!U37</f>
        <v>0</v>
      </c>
      <c r="V40" s="291">
        <f ca="1">+'Financial Quarterly offshore'!V31+'Financial Quarterly offshore'!V32+'Financial Quarterly offshore'!V33+'Financial Quarterly offshore'!V34+'Financial Quarterly offshore'!V35+'Financial Quarterly offshore'!V37</f>
        <v>0</v>
      </c>
      <c r="W40" s="291">
        <f ca="1">+'Financial Quarterly offshore'!W31+'Financial Quarterly offshore'!W32+'Financial Quarterly offshore'!W33+'Financial Quarterly offshore'!W34+'Financial Quarterly offshore'!W35+'Financial Quarterly offshore'!W37</f>
        <v>0</v>
      </c>
      <c r="X40" s="291">
        <f ca="1">+'Financial Quarterly offshore'!X31+'Financial Quarterly offshore'!X32+'Financial Quarterly offshore'!X33+'Financial Quarterly offshore'!X34+'Financial Quarterly offshore'!X35+'Financial Quarterly offshore'!X37</f>
        <v>0</v>
      </c>
      <c r="Y40" s="291">
        <f ca="1">+'Financial Quarterly offshore'!Y31+'Financial Quarterly offshore'!Y32+'Financial Quarterly offshore'!Y33+'Financial Quarterly offshore'!Y34+'Financial Quarterly offshore'!Y35+'Financial Quarterly offshore'!Y37</f>
        <v>0</v>
      </c>
      <c r="Z40" s="291">
        <f ca="1">+'Financial Quarterly offshore'!Z31+'Financial Quarterly offshore'!Z32+'Financial Quarterly offshore'!Z33+'Financial Quarterly offshore'!Z34+'Financial Quarterly offshore'!Z35+'Financial Quarterly offshore'!Z37</f>
        <v>0</v>
      </c>
      <c r="AA40" s="291">
        <f ca="1">+'Financial Quarterly offshore'!AA31+'Financial Quarterly offshore'!AA32+'Financial Quarterly offshore'!AA33+'Financial Quarterly offshore'!AA34+'Financial Quarterly offshore'!AA35+'Financial Quarterly offshore'!AA37</f>
        <v>0</v>
      </c>
      <c r="AB40" s="291">
        <f ca="1">+'Financial Quarterly offshore'!AB31+'Financial Quarterly offshore'!AB32+'Financial Quarterly offshore'!AB33+'Financial Quarterly offshore'!AB34+'Financial Quarterly offshore'!AB35+'Financial Quarterly offshore'!AB37</f>
        <v>0</v>
      </c>
      <c r="AC40" s="291">
        <f ca="1">+'Financial Quarterly offshore'!AC31+'Financial Quarterly offshore'!AC32+'Financial Quarterly offshore'!AC33+'Financial Quarterly offshore'!AC34+'Financial Quarterly offshore'!AC35+'Financial Quarterly offshore'!AC37</f>
        <v>0</v>
      </c>
      <c r="AD40" s="291">
        <f ca="1">+'Financial Quarterly offshore'!AD31+'Financial Quarterly offshore'!AD32+'Financial Quarterly offshore'!AD33+'Financial Quarterly offshore'!AD34+'Financial Quarterly offshore'!AD35+'Financial Quarterly offshore'!AD37</f>
        <v>0</v>
      </c>
      <c r="AE40" s="291">
        <f ca="1">+'Financial Quarterly offshore'!AE31+'Financial Quarterly offshore'!AE32+'Financial Quarterly offshore'!AE33+'Financial Quarterly offshore'!AE34+'Financial Quarterly offshore'!AE35+'Financial Quarterly offshore'!AE37</f>
        <v>0</v>
      </c>
      <c r="AF40" s="291">
        <f ca="1">+'Financial Quarterly offshore'!AF31+'Financial Quarterly offshore'!AF32+'Financial Quarterly offshore'!AF33+'Financial Quarterly offshore'!AF34+'Financial Quarterly offshore'!AF35+'Financial Quarterly offshore'!AF37</f>
        <v>0</v>
      </c>
      <c r="AG40" s="291">
        <f ca="1">+'Financial Quarterly offshore'!AG31+'Financial Quarterly offshore'!AG32+'Financial Quarterly offshore'!AG33+'Financial Quarterly offshore'!AG34+'Financial Quarterly offshore'!AG35+'Financial Quarterly offshore'!AG37</f>
        <v>0</v>
      </c>
    </row>
    <row r="41" spans="3:33" s="291" customFormat="1" ht="13.7">
      <c r="C41" s="303" t="s">
        <v>818</v>
      </c>
      <c r="D41" s="291">
        <f>IFERROR(MAX(-(D30+D39)*D34/(SUM(D34:D$36)),-D40),0)</f>
        <v>0</v>
      </c>
      <c r="E41" s="291">
        <f ca="1">IFERROR(MAX(-(E30+E39)*E34/(SUM(E34:E$36)),-E40),0)</f>
        <v>0</v>
      </c>
      <c r="F41" s="291">
        <f ca="1">IFERROR(MAX(-(F30+F39)*F34/(SUM(F34:F$36)),-F40),0)</f>
        <v>0</v>
      </c>
      <c r="G41" s="291">
        <f ca="1">IFERROR(MAX(-(G30+G39)*G34/(SUM(G34:G$36)),-G40),0)</f>
        <v>0</v>
      </c>
      <c r="H41" s="291">
        <f ca="1">IFERROR(MAX(-(H30+H39)*H34/(SUM(H34:H$36)),-H40),0)</f>
        <v>0</v>
      </c>
      <c r="I41" s="291">
        <f ca="1">IFERROR(MAX(-(I30+I39)*I34/(SUM(I34:I$36)),-I40),0)</f>
        <v>0</v>
      </c>
      <c r="J41" s="291">
        <f ca="1">IFERROR(MAX(-(J30+J39)*J34/(SUM(J34:J$36)),-J40),0)</f>
        <v>0</v>
      </c>
      <c r="K41" s="291">
        <f ca="1">IFERROR(MAX(-(K30+K39)*K34/(SUM(K34:K$36)),-K40),0)</f>
        <v>0</v>
      </c>
      <c r="L41" s="291">
        <f ca="1">IFERROR(MAX(-(L30+L39)*L34/(SUM(L34:L$36)),-L40),0)</f>
        <v>0</v>
      </c>
      <c r="M41" s="291">
        <f ca="1">IFERROR(MAX(-(M30+M39)*M34/(SUM(M34:M$36)),-M40),0)</f>
        <v>0</v>
      </c>
      <c r="N41" s="291">
        <f ca="1">IFERROR(MAX(-(N30+N39)*N34/(SUM(N34:N$36)),-N40),0)</f>
        <v>0</v>
      </c>
      <c r="O41" s="291">
        <f ca="1">IFERROR(MAX(-(O30+O39)*O34/(SUM(O34:O$36)),-O40),0)</f>
        <v>0</v>
      </c>
      <c r="P41" s="291">
        <f ca="1">IFERROR(MAX(-(P30+P39)*P34/(SUM(P34:P$36)),-P40),0)</f>
        <v>0</v>
      </c>
      <c r="Q41" s="291">
        <f ca="1">IFERROR(MAX(-(Q30+Q39)*Q34/(SUM(Q34:Q$36)),-Q40),0)</f>
        <v>0</v>
      </c>
      <c r="R41" s="291">
        <f ca="1">IFERROR(MAX(-(R30+R39)*R34/(SUM(R34:R$36)),-R40),0)</f>
        <v>0</v>
      </c>
      <c r="S41" s="291">
        <f ca="1">IFERROR(MAX(-(S30+S39)*S34/(SUM(S34:S$36)),-S40),0)</f>
        <v>0</v>
      </c>
      <c r="T41" s="291">
        <f ca="1">IFERROR(MAX(-(T30+T39)*T34/(SUM(T34:T$36)),-T40),0)</f>
        <v>0</v>
      </c>
      <c r="U41" s="291">
        <f ca="1">IFERROR(MAX(-(U30+U39)*U34/(SUM(U34:U$36)),-U40),0)</f>
        <v>0</v>
      </c>
      <c r="V41" s="291">
        <f ca="1">IFERROR(MAX(-(V30+V39)*V34/(SUM(V34:V$36)),-V40),0)</f>
        <v>0</v>
      </c>
      <c r="W41" s="291">
        <f ca="1">IFERROR(MAX(-(W30+W39)*W34/(SUM(W34:W$36)),-W40),0)</f>
        <v>0</v>
      </c>
      <c r="X41" s="291">
        <f ca="1">IFERROR(MAX(-(X30+X39)*X34/(SUM(X34:X$36)),-X40),0)</f>
        <v>0</v>
      </c>
      <c r="Y41" s="291">
        <f ca="1">IFERROR(MAX(-(Y30+Y39)*Y34/(SUM(Y34:Y$36)),-Y40),0)</f>
        <v>0</v>
      </c>
      <c r="Z41" s="291">
        <f ca="1">IFERROR(MAX(-(Z30+Z39)*Z34/(SUM(Z34:Z$36)),-Z40),0)</f>
        <v>0</v>
      </c>
      <c r="AA41" s="291">
        <f ca="1">IFERROR(MAX(-(AA30+AA39)*AA34/(SUM(AA34:AA$36)),-AA40),0)</f>
        <v>0</v>
      </c>
      <c r="AB41" s="291">
        <f ca="1">IFERROR(MAX(-(AB30+AB39)*AB34/(SUM(AB34:AB$36)),-AB40),0)</f>
        <v>0</v>
      </c>
      <c r="AC41" s="291">
        <f ca="1">IFERROR(MAX(-(AC30+AC39)*AC34/(SUM(AC34:AC$36)),-AC40),0)</f>
        <v>0</v>
      </c>
      <c r="AD41" s="291">
        <f ca="1">IFERROR(MAX(-(AD30+AD39)*AD34/(SUM(AD34:AD$36)),-AD40),0)</f>
        <v>0</v>
      </c>
      <c r="AE41" s="291">
        <f ca="1">IFERROR(MAX(-(AE30+AE39)*AE34/(SUM(AE34:AE$36)),-AE40),0)</f>
        <v>0</v>
      </c>
      <c r="AF41" s="291">
        <f ca="1">IFERROR(MAX(-(AF30+AF39)*AF34/(SUM(AF34:AF$36)),-AF40),0)</f>
        <v>0</v>
      </c>
      <c r="AG41" s="291">
        <f ca="1">IFERROR(MAX(-(AG30+AG39)*AG34/(SUM(AG34:AG$36)),-AG40),0)</f>
        <v>0</v>
      </c>
    </row>
    <row r="42" spans="3:33" s="291" customFormat="1" ht="13.7">
      <c r="C42" s="303" t="s">
        <v>820</v>
      </c>
      <c r="D42" s="291">
        <f>'Financial Quarterly offshore'!D44+'Financial Quarterly offshore'!D45+'Financial Quarterly offshore'!D46+'Financial Quarterly offshore'!D47+'Financial Quarterly offshore'!D48+'Financial Quarterly offshore'!D50</f>
        <v>0</v>
      </c>
      <c r="E42" s="291">
        <f>'Financial Quarterly offshore'!E44+'Financial Quarterly offshore'!E45+'Financial Quarterly offshore'!E46+'Financial Quarterly offshore'!E47+'Financial Quarterly offshore'!E48+'Financial Quarterly offshore'!E50</f>
        <v>0</v>
      </c>
      <c r="F42" s="291">
        <f ca="1">'Financial Quarterly offshore'!F44+'Financial Quarterly offshore'!F45+'Financial Quarterly offshore'!F46+'Financial Quarterly offshore'!F47+'Financial Quarterly offshore'!F48+'Financial Quarterly offshore'!F50</f>
        <v>0</v>
      </c>
      <c r="G42" s="291">
        <f ca="1">'Financial Quarterly offshore'!G44+'Financial Quarterly offshore'!G45+'Financial Quarterly offshore'!G46+'Financial Quarterly offshore'!G47+'Financial Quarterly offshore'!G48+'Financial Quarterly offshore'!G50</f>
        <v>0</v>
      </c>
      <c r="H42" s="291">
        <f ca="1">'Financial Quarterly offshore'!H44+'Financial Quarterly offshore'!H45+'Financial Quarterly offshore'!H46+'Financial Quarterly offshore'!H47+'Financial Quarterly offshore'!H48+'Financial Quarterly offshore'!H50</f>
        <v>0</v>
      </c>
      <c r="I42" s="291">
        <f ca="1">'Financial Quarterly offshore'!I44+'Financial Quarterly offshore'!I45+'Financial Quarterly offshore'!I46+'Financial Quarterly offshore'!I47+'Financial Quarterly offshore'!I48+'Financial Quarterly offshore'!I50</f>
        <v>0</v>
      </c>
      <c r="J42" s="291">
        <f ca="1">'Financial Quarterly offshore'!J44+'Financial Quarterly offshore'!J45+'Financial Quarterly offshore'!J46+'Financial Quarterly offshore'!J47+'Financial Quarterly offshore'!J48+'Financial Quarterly offshore'!J50</f>
        <v>0</v>
      </c>
      <c r="K42" s="291">
        <f ca="1">'Financial Quarterly offshore'!K44+'Financial Quarterly offshore'!K45+'Financial Quarterly offshore'!K46+'Financial Quarterly offshore'!K47+'Financial Quarterly offshore'!K48+'Financial Quarterly offshore'!K50</f>
        <v>0</v>
      </c>
      <c r="L42" s="291">
        <f ca="1">'Financial Quarterly offshore'!L44+'Financial Quarterly offshore'!L45+'Financial Quarterly offshore'!L46+'Financial Quarterly offshore'!L47+'Financial Quarterly offshore'!L48+'Financial Quarterly offshore'!L50</f>
        <v>0</v>
      </c>
      <c r="M42" s="291">
        <f ca="1">'Financial Quarterly offshore'!M44+'Financial Quarterly offshore'!M45+'Financial Quarterly offshore'!M46+'Financial Quarterly offshore'!M47+'Financial Quarterly offshore'!M48+'Financial Quarterly offshore'!M50</f>
        <v>0</v>
      </c>
      <c r="N42" s="291">
        <f ca="1">'Financial Quarterly offshore'!N44+'Financial Quarterly offshore'!N45+'Financial Quarterly offshore'!N46+'Financial Quarterly offshore'!N47+'Financial Quarterly offshore'!N48+'Financial Quarterly offshore'!N50</f>
        <v>0</v>
      </c>
      <c r="O42" s="291">
        <f ca="1">'Financial Quarterly offshore'!O44+'Financial Quarterly offshore'!O45+'Financial Quarterly offshore'!O46+'Financial Quarterly offshore'!O47+'Financial Quarterly offshore'!O48+'Financial Quarterly offshore'!O50</f>
        <v>0</v>
      </c>
      <c r="P42" s="291">
        <f ca="1">'Financial Quarterly offshore'!P44+'Financial Quarterly offshore'!P45+'Financial Quarterly offshore'!P46+'Financial Quarterly offshore'!P47+'Financial Quarterly offshore'!P48+'Financial Quarterly offshore'!P50</f>
        <v>0</v>
      </c>
      <c r="Q42" s="291">
        <f ca="1">'Financial Quarterly offshore'!Q44+'Financial Quarterly offshore'!Q45+'Financial Quarterly offshore'!Q46+'Financial Quarterly offshore'!Q47+'Financial Quarterly offshore'!Q48+'Financial Quarterly offshore'!Q50</f>
        <v>0</v>
      </c>
      <c r="R42" s="291">
        <f ca="1">'Financial Quarterly offshore'!R44+'Financial Quarterly offshore'!R45+'Financial Quarterly offshore'!R46+'Financial Quarterly offshore'!R47+'Financial Quarterly offshore'!R48+'Financial Quarterly offshore'!R50</f>
        <v>0</v>
      </c>
      <c r="S42" s="291">
        <f ca="1">'Financial Quarterly offshore'!S44+'Financial Quarterly offshore'!S45+'Financial Quarterly offshore'!S46+'Financial Quarterly offshore'!S47+'Financial Quarterly offshore'!S48+'Financial Quarterly offshore'!S50</f>
        <v>0</v>
      </c>
      <c r="T42" s="291">
        <f ca="1">'Financial Quarterly offshore'!T44+'Financial Quarterly offshore'!T45+'Financial Quarterly offshore'!T46+'Financial Quarterly offshore'!T47+'Financial Quarterly offshore'!T48+'Financial Quarterly offshore'!T50</f>
        <v>0</v>
      </c>
      <c r="U42" s="291">
        <f ca="1">'Financial Quarterly offshore'!U44+'Financial Quarterly offshore'!U45+'Financial Quarterly offshore'!U46+'Financial Quarterly offshore'!U47+'Financial Quarterly offshore'!U48+'Financial Quarterly offshore'!U50</f>
        <v>0</v>
      </c>
      <c r="V42" s="291">
        <f ca="1">'Financial Quarterly offshore'!V44+'Financial Quarterly offshore'!V45+'Financial Quarterly offshore'!V46+'Financial Quarterly offshore'!V47+'Financial Quarterly offshore'!V48+'Financial Quarterly offshore'!V50</f>
        <v>0</v>
      </c>
      <c r="W42" s="291">
        <f ca="1">'Financial Quarterly offshore'!W44+'Financial Quarterly offshore'!W45+'Financial Quarterly offshore'!W46+'Financial Quarterly offshore'!W47+'Financial Quarterly offshore'!W48+'Financial Quarterly offshore'!W50</f>
        <v>0</v>
      </c>
      <c r="X42" s="291">
        <f ca="1">'Financial Quarterly offshore'!X44+'Financial Quarterly offshore'!X45+'Financial Quarterly offshore'!X46+'Financial Quarterly offshore'!X47+'Financial Quarterly offshore'!X48+'Financial Quarterly offshore'!X50</f>
        <v>0</v>
      </c>
      <c r="Y42" s="291">
        <f ca="1">'Financial Quarterly offshore'!Y44+'Financial Quarterly offshore'!Y45+'Financial Quarterly offshore'!Y46+'Financial Quarterly offshore'!Y47+'Financial Quarterly offshore'!Y48+'Financial Quarterly offshore'!Y50</f>
        <v>0</v>
      </c>
      <c r="Z42" s="291">
        <f ca="1">'Financial Quarterly offshore'!Z44+'Financial Quarterly offshore'!Z45+'Financial Quarterly offshore'!Z46+'Financial Quarterly offshore'!Z47+'Financial Quarterly offshore'!Z48+'Financial Quarterly offshore'!Z50</f>
        <v>0</v>
      </c>
      <c r="AA42" s="291">
        <f ca="1">'Financial Quarterly offshore'!AA44+'Financial Quarterly offshore'!AA45+'Financial Quarterly offshore'!AA46+'Financial Quarterly offshore'!AA47+'Financial Quarterly offshore'!AA48+'Financial Quarterly offshore'!AA50</f>
        <v>0</v>
      </c>
      <c r="AB42" s="291">
        <f ca="1">'Financial Quarterly offshore'!AB44+'Financial Quarterly offshore'!AB45+'Financial Quarterly offshore'!AB46+'Financial Quarterly offshore'!AB47+'Financial Quarterly offshore'!AB48+'Financial Quarterly offshore'!AB50</f>
        <v>0</v>
      </c>
      <c r="AC42" s="291">
        <f ca="1">'Financial Quarterly offshore'!AC44+'Financial Quarterly offshore'!AC45+'Financial Quarterly offshore'!AC46+'Financial Quarterly offshore'!AC47+'Financial Quarterly offshore'!AC48+'Financial Quarterly offshore'!AC50</f>
        <v>0</v>
      </c>
      <c r="AD42" s="291">
        <f ca="1">'Financial Quarterly offshore'!AD44+'Financial Quarterly offshore'!AD45+'Financial Quarterly offshore'!AD46+'Financial Quarterly offshore'!AD47+'Financial Quarterly offshore'!AD48+'Financial Quarterly offshore'!AD50</f>
        <v>0</v>
      </c>
      <c r="AE42" s="291">
        <f ca="1">'Financial Quarterly offshore'!AE44+'Financial Quarterly offshore'!AE45+'Financial Quarterly offshore'!AE46+'Financial Quarterly offshore'!AE47+'Financial Quarterly offshore'!AE48+'Financial Quarterly offshore'!AE50</f>
        <v>0</v>
      </c>
      <c r="AF42" s="291">
        <f ca="1">'Financial Quarterly offshore'!AF44+'Financial Quarterly offshore'!AF45+'Financial Quarterly offshore'!AF46+'Financial Quarterly offshore'!AF47+'Financial Quarterly offshore'!AF48+'Financial Quarterly offshore'!AF50</f>
        <v>0</v>
      </c>
      <c r="AG42" s="291">
        <f ca="1">'Financial Quarterly offshore'!AG44+'Financial Quarterly offshore'!AG45+'Financial Quarterly offshore'!AG46+'Financial Quarterly offshore'!AG47+'Financial Quarterly offshore'!AG48+'Financial Quarterly offshore'!AG50</f>
        <v>0</v>
      </c>
    </row>
    <row r="43" spans="3:33" s="291" customFormat="1" ht="13.7">
      <c r="C43" s="303" t="s">
        <v>818</v>
      </c>
      <c r="D43" s="291">
        <f>IFERROR(MAX(-(D30+D39+D41)*D35/(SUM(D35:D$36)),-D42),0)</f>
        <v>0</v>
      </c>
      <c r="E43" s="291">
        <f ca="1">IFERROR(MAX(-(E30+E39+E41)*E35/(SUM(E35:E$36)),-E42),0)</f>
        <v>0</v>
      </c>
      <c r="F43" s="291">
        <f ca="1">IFERROR(MAX(-(F30+F39+F41)*F35/(SUM(F35:F$36)),-F42),0)</f>
        <v>0</v>
      </c>
      <c r="G43" s="291">
        <f ca="1">IFERROR(MAX(-(G30+G39+G41)*G35/(SUM(G35:G$36)),-G42),0)</f>
        <v>0</v>
      </c>
      <c r="H43" s="291">
        <f ca="1">IFERROR(MAX(-(H30+H39+H41)*H35/(SUM(H35:H$36)),-H42),0)</f>
        <v>0</v>
      </c>
      <c r="I43" s="291">
        <f ca="1">IFERROR(MAX(-(I30+I39+I41)*I35/(SUM(I35:I$36)),-I42),0)</f>
        <v>0</v>
      </c>
      <c r="J43" s="291">
        <f ca="1">IFERROR(MAX(-(J30+J39+J41)*J35/(SUM(J35:J$36)),-J42),0)</f>
        <v>0</v>
      </c>
      <c r="K43" s="291">
        <f ca="1">IFERROR(MAX(-(K30+K39+K41)*K35/(SUM(K35:K$36)),-K42),0)</f>
        <v>0</v>
      </c>
      <c r="L43" s="291">
        <f ca="1">IFERROR(MAX(-(L30+L39+L41)*L35/(SUM(L35:L$36)),-L42),0)</f>
        <v>0</v>
      </c>
      <c r="M43" s="291">
        <f ca="1">IFERROR(MAX(-(M30+M39+M41)*M35/(SUM(M35:M$36)),-M42),0)</f>
        <v>0</v>
      </c>
      <c r="N43" s="291">
        <f ca="1">IFERROR(MAX(-(N30+N39+N41)*N35/(SUM(N35:N$36)),-N42),0)</f>
        <v>0</v>
      </c>
      <c r="O43" s="291">
        <f ca="1">IFERROR(MAX(-(O30+O39+O41)*O35/(SUM(O35:O$36)),-O42),0)</f>
        <v>0</v>
      </c>
      <c r="P43" s="291">
        <f ca="1">IFERROR(MAX(-(P30+P39+P41)*P35/(SUM(P35:P$36)),-P42),0)</f>
        <v>0</v>
      </c>
      <c r="Q43" s="291">
        <f ca="1">IFERROR(MAX(-(Q30+Q39+Q41)*Q35/(SUM(Q35:Q$36)),-Q42),0)</f>
        <v>0</v>
      </c>
      <c r="R43" s="291">
        <f ca="1">IFERROR(MAX(-(R30+R39+R41)*R35/(SUM(R35:R$36)),-R42),0)</f>
        <v>0</v>
      </c>
      <c r="S43" s="291">
        <f ca="1">IFERROR(MAX(-(S30+S39+S41)*S35/(SUM(S35:S$36)),-S42),0)</f>
        <v>0</v>
      </c>
      <c r="T43" s="291">
        <f ca="1">IFERROR(MAX(-(T30+T39+T41)*T35/(SUM(T35:T$36)),-T42),0)</f>
        <v>0</v>
      </c>
      <c r="U43" s="291">
        <f ca="1">IFERROR(MAX(-(U30+U39+U41)*U35/(SUM(U35:U$36)),-U42),0)</f>
        <v>0</v>
      </c>
      <c r="V43" s="291">
        <f ca="1">IFERROR(MAX(-(V30+V39+V41)*V35/(SUM(V35:V$36)),-V42),0)</f>
        <v>0</v>
      </c>
      <c r="W43" s="291">
        <f ca="1">IFERROR(MAX(-(W30+W39+W41)*W35/(SUM(W35:W$36)),-W42),0)</f>
        <v>0</v>
      </c>
      <c r="X43" s="291">
        <f ca="1">IFERROR(MAX(-(X30+X39+X41)*X35/(SUM(X35:X$36)),-X42),0)</f>
        <v>0</v>
      </c>
      <c r="Y43" s="291">
        <f ca="1">IFERROR(MAX(-(Y30+Y39+Y41)*Y35/(SUM(Y35:Y$36)),-Y42),0)</f>
        <v>0</v>
      </c>
      <c r="Z43" s="291">
        <f ca="1">IFERROR(MAX(-(Z30+Z39+Z41)*Z35/(SUM(Z35:Z$36)),-Z42),0)</f>
        <v>0</v>
      </c>
      <c r="AA43" s="291">
        <f ca="1">IFERROR(MAX(-(AA30+AA39+AA41)*AA35/(SUM(AA35:AA$36)),-AA42),0)</f>
        <v>0</v>
      </c>
      <c r="AB43" s="291">
        <f ca="1">IFERROR(MAX(-(AB30+AB39+AB41)*AB35/(SUM(AB35:AB$36)),-AB42),0)</f>
        <v>0</v>
      </c>
      <c r="AC43" s="291">
        <f ca="1">IFERROR(MAX(-(AC30+AC39+AC41)*AC35/(SUM(AC35:AC$36)),-AC42),0)</f>
        <v>0</v>
      </c>
      <c r="AD43" s="291">
        <f ca="1">IFERROR(MAX(-(AD30+AD39+AD41)*AD35/(SUM(AD35:AD$36)),-AD42),0)</f>
        <v>0</v>
      </c>
      <c r="AE43" s="291">
        <f ca="1">IFERROR(MAX(-(AE30+AE39+AE41)*AE35/(SUM(AE35:AE$36)),-AE42),0)</f>
        <v>0</v>
      </c>
      <c r="AF43" s="291">
        <f ca="1">IFERROR(MAX(-(AF30+AF39+AF41)*AF35/(SUM(AF35:AF$36)),-AF42),0)</f>
        <v>0</v>
      </c>
      <c r="AG43" s="291">
        <f ca="1">IFERROR(MAX(-(AG30+AG39+AG41)*AG35/(SUM(AG35:AG$36)),-AG42),0)</f>
        <v>0</v>
      </c>
    </row>
    <row r="44" spans="3:33" s="291" customFormat="1" ht="13.7">
      <c r="C44" s="303" t="s">
        <v>821</v>
      </c>
      <c r="D44" s="291">
        <f>+'Financial Quarterly offshore'!D59+'Financial Quarterly offshore'!D60+'Financial Quarterly offshore'!D61+'Financial Quarterly offshore'!D62+'Financial Quarterly offshore'!D63+'Financial Quarterly offshore'!D65</f>
        <v>0</v>
      </c>
      <c r="E44" s="291">
        <f>+'Financial Quarterly offshore'!E59+'Financial Quarterly offshore'!E60+'Financial Quarterly offshore'!E61+'Financial Quarterly offshore'!E62+'Financial Quarterly offshore'!E63+'Financial Quarterly offshore'!E65</f>
        <v>0</v>
      </c>
      <c r="F44" s="291">
        <f ca="1">+'Financial Quarterly offshore'!F59+'Financial Quarterly offshore'!F60+'Financial Quarterly offshore'!F61+'Financial Quarterly offshore'!F62+'Financial Quarterly offshore'!F63+'Financial Quarterly offshore'!F65</f>
        <v>0</v>
      </c>
      <c r="G44" s="291">
        <f ca="1">+'Financial Quarterly offshore'!G59+'Financial Quarterly offshore'!G60+'Financial Quarterly offshore'!G61+'Financial Quarterly offshore'!G62+'Financial Quarterly offshore'!G63+'Financial Quarterly offshore'!G65</f>
        <v>0</v>
      </c>
      <c r="H44" s="291">
        <f ca="1">+'Financial Quarterly offshore'!H59+'Financial Quarterly offshore'!H60+'Financial Quarterly offshore'!H61+'Financial Quarterly offshore'!H62+'Financial Quarterly offshore'!H63+'Financial Quarterly offshore'!H65</f>
        <v>0</v>
      </c>
      <c r="I44" s="291">
        <f ca="1">+'Financial Quarterly offshore'!I59+'Financial Quarterly offshore'!I60+'Financial Quarterly offshore'!I61+'Financial Quarterly offshore'!I62+'Financial Quarterly offshore'!I63+'Financial Quarterly offshore'!I65</f>
        <v>0</v>
      </c>
      <c r="J44" s="291">
        <f ca="1">+'Financial Quarterly offshore'!J59+'Financial Quarterly offshore'!J60+'Financial Quarterly offshore'!J61+'Financial Quarterly offshore'!J62+'Financial Quarterly offshore'!J63+'Financial Quarterly offshore'!J65</f>
        <v>0</v>
      </c>
      <c r="K44" s="291">
        <f ca="1">+'Financial Quarterly offshore'!K59+'Financial Quarterly offshore'!K60+'Financial Quarterly offshore'!K61+'Financial Quarterly offshore'!K62+'Financial Quarterly offshore'!K63+'Financial Quarterly offshore'!K65</f>
        <v>0</v>
      </c>
      <c r="L44" s="291">
        <f ca="1">+'Financial Quarterly offshore'!L59+'Financial Quarterly offshore'!L60+'Financial Quarterly offshore'!L61+'Financial Quarterly offshore'!L62+'Financial Quarterly offshore'!L63+'Financial Quarterly offshore'!L65</f>
        <v>0</v>
      </c>
      <c r="M44" s="291">
        <f ca="1">+'Financial Quarterly offshore'!M59+'Financial Quarterly offshore'!M60+'Financial Quarterly offshore'!M61+'Financial Quarterly offshore'!M62+'Financial Quarterly offshore'!M63+'Financial Quarterly offshore'!M65</f>
        <v>0</v>
      </c>
      <c r="N44" s="291">
        <f ca="1">+'Financial Quarterly offshore'!N59+'Financial Quarterly offshore'!N60+'Financial Quarterly offshore'!N61+'Financial Quarterly offshore'!N62+'Financial Quarterly offshore'!N63+'Financial Quarterly offshore'!N65</f>
        <v>0</v>
      </c>
      <c r="O44" s="291">
        <f ca="1">+'Financial Quarterly offshore'!O59+'Financial Quarterly offshore'!O60+'Financial Quarterly offshore'!O61+'Financial Quarterly offshore'!O62+'Financial Quarterly offshore'!O63+'Financial Quarterly offshore'!O65</f>
        <v>0</v>
      </c>
      <c r="P44" s="291">
        <f ca="1">+'Financial Quarterly offshore'!P59+'Financial Quarterly offshore'!P60+'Financial Quarterly offshore'!P61+'Financial Quarterly offshore'!P62+'Financial Quarterly offshore'!P63+'Financial Quarterly offshore'!P65</f>
        <v>0</v>
      </c>
      <c r="Q44" s="291">
        <f ca="1">+'Financial Quarterly offshore'!Q59+'Financial Quarterly offshore'!Q60+'Financial Quarterly offshore'!Q61+'Financial Quarterly offshore'!Q62+'Financial Quarterly offshore'!Q63+'Financial Quarterly offshore'!Q65</f>
        <v>0</v>
      </c>
      <c r="R44" s="291">
        <f ca="1">+'Financial Quarterly offshore'!R59+'Financial Quarterly offshore'!R60+'Financial Quarterly offshore'!R61+'Financial Quarterly offshore'!R62+'Financial Quarterly offshore'!R63+'Financial Quarterly offshore'!R65</f>
        <v>0</v>
      </c>
      <c r="S44" s="291">
        <f ca="1">+'Financial Quarterly offshore'!S59+'Financial Quarterly offshore'!S60+'Financial Quarterly offshore'!S61+'Financial Quarterly offshore'!S62+'Financial Quarterly offshore'!S63+'Financial Quarterly offshore'!S65</f>
        <v>0</v>
      </c>
      <c r="T44" s="291">
        <f ca="1">+'Financial Quarterly offshore'!T59+'Financial Quarterly offshore'!T60+'Financial Quarterly offshore'!T61+'Financial Quarterly offshore'!T62+'Financial Quarterly offshore'!T63+'Financial Quarterly offshore'!T65</f>
        <v>0</v>
      </c>
      <c r="U44" s="291">
        <f ca="1">+'Financial Quarterly offshore'!U59+'Financial Quarterly offshore'!U60+'Financial Quarterly offshore'!U61+'Financial Quarterly offshore'!U62+'Financial Quarterly offshore'!U63+'Financial Quarterly offshore'!U65</f>
        <v>0</v>
      </c>
      <c r="V44" s="291">
        <f ca="1">+'Financial Quarterly offshore'!V59+'Financial Quarterly offshore'!V60+'Financial Quarterly offshore'!V61+'Financial Quarterly offshore'!V62+'Financial Quarterly offshore'!V63+'Financial Quarterly offshore'!V65</f>
        <v>0</v>
      </c>
      <c r="W44" s="291">
        <f ca="1">+'Financial Quarterly offshore'!W59+'Financial Quarterly offshore'!W60+'Financial Quarterly offshore'!W61+'Financial Quarterly offshore'!W62+'Financial Quarterly offshore'!W63+'Financial Quarterly offshore'!W65</f>
        <v>0</v>
      </c>
      <c r="X44" s="291">
        <f ca="1">+'Financial Quarterly offshore'!X59+'Financial Quarterly offshore'!X60+'Financial Quarterly offshore'!X61+'Financial Quarterly offshore'!X62+'Financial Quarterly offshore'!X63+'Financial Quarterly offshore'!X65</f>
        <v>0</v>
      </c>
      <c r="Y44" s="291">
        <f ca="1">+'Financial Quarterly offshore'!Y59+'Financial Quarterly offshore'!Y60+'Financial Quarterly offshore'!Y61+'Financial Quarterly offshore'!Y62+'Financial Quarterly offshore'!Y63+'Financial Quarterly offshore'!Y65</f>
        <v>0</v>
      </c>
      <c r="Z44" s="291">
        <f ca="1">+'Financial Quarterly offshore'!Z59+'Financial Quarterly offshore'!Z60+'Financial Quarterly offshore'!Z61+'Financial Quarterly offshore'!Z62+'Financial Quarterly offshore'!Z63+'Financial Quarterly offshore'!Z65</f>
        <v>0</v>
      </c>
      <c r="AA44" s="291">
        <f ca="1">+'Financial Quarterly offshore'!AA59+'Financial Quarterly offshore'!AA60+'Financial Quarterly offshore'!AA61+'Financial Quarterly offshore'!AA62+'Financial Quarterly offshore'!AA63+'Financial Quarterly offshore'!AA65</f>
        <v>0</v>
      </c>
      <c r="AB44" s="291">
        <f ca="1">+'Financial Quarterly offshore'!AB59+'Financial Quarterly offshore'!AB60+'Financial Quarterly offshore'!AB61+'Financial Quarterly offshore'!AB62+'Financial Quarterly offshore'!AB63+'Financial Quarterly offshore'!AB65</f>
        <v>0</v>
      </c>
      <c r="AC44" s="291" t="e">
        <f ca="1">+'Financial Quarterly offshore'!AC59+'Financial Quarterly offshore'!AC60+'Financial Quarterly offshore'!AC61+'Financial Quarterly offshore'!AC62+'Financial Quarterly offshore'!AC63+'Financial Quarterly offshore'!AC65</f>
        <v>#N/A</v>
      </c>
      <c r="AD44" s="291" t="e">
        <f ca="1">+'Financial Quarterly offshore'!AD59+'Financial Quarterly offshore'!AD60+'Financial Quarterly offshore'!AD61+'Financial Quarterly offshore'!AD62+'Financial Quarterly offshore'!AD63+'Financial Quarterly offshore'!AD65</f>
        <v>#N/A</v>
      </c>
      <c r="AE44" s="291" t="e">
        <f ca="1">+'Financial Quarterly offshore'!AE59+'Financial Quarterly offshore'!AE60+'Financial Quarterly offshore'!AE61+'Financial Quarterly offshore'!AE62+'Financial Quarterly offshore'!AE63+'Financial Quarterly offshore'!AE65</f>
        <v>#N/A</v>
      </c>
      <c r="AF44" s="291" t="e">
        <f ca="1">+'Financial Quarterly offshore'!AF59+'Financial Quarterly offshore'!AF60+'Financial Quarterly offshore'!AF61+'Financial Quarterly offshore'!AF62+'Financial Quarterly offshore'!AF63+'Financial Quarterly offshore'!AF65</f>
        <v>#N/A</v>
      </c>
      <c r="AG44" s="291" t="e">
        <f ca="1">+'Financial Quarterly offshore'!AG59+'Financial Quarterly offshore'!AG60+'Financial Quarterly offshore'!AG61+'Financial Quarterly offshore'!AG62+'Financial Quarterly offshore'!AG63+'Financial Quarterly offshore'!AG65</f>
        <v>#N/A</v>
      </c>
    </row>
    <row r="45" spans="3:33" s="291" customFormat="1" ht="13.7">
      <c r="C45" s="303" t="s">
        <v>818</v>
      </c>
      <c r="D45" s="291">
        <f>MAX(-(D30+D39+D41+D43),-D44)</f>
        <v>0</v>
      </c>
      <c r="E45" s="291">
        <f t="shared" ref="E45:AB45" ca="1" si="33">MAX(-(E30+E39+E41+E43),-E44)</f>
        <v>0</v>
      </c>
      <c r="F45" s="291">
        <f t="shared" ca="1" si="33"/>
        <v>0</v>
      </c>
      <c r="G45" s="291">
        <f t="shared" ca="1" si="33"/>
        <v>0</v>
      </c>
      <c r="H45" s="291">
        <f t="shared" ca="1" si="33"/>
        <v>0</v>
      </c>
      <c r="I45" s="291">
        <f t="shared" ca="1" si="33"/>
        <v>0</v>
      </c>
      <c r="J45" s="291">
        <f t="shared" ca="1" si="33"/>
        <v>0</v>
      </c>
      <c r="K45" s="291">
        <f t="shared" ca="1" si="33"/>
        <v>0</v>
      </c>
      <c r="L45" s="291">
        <f t="shared" ca="1" si="33"/>
        <v>0</v>
      </c>
      <c r="M45" s="291">
        <f t="shared" ca="1" si="33"/>
        <v>0</v>
      </c>
      <c r="N45" s="291">
        <f t="shared" ca="1" si="33"/>
        <v>0</v>
      </c>
      <c r="O45" s="291">
        <f t="shared" ca="1" si="33"/>
        <v>0</v>
      </c>
      <c r="P45" s="291">
        <f t="shared" ca="1" si="33"/>
        <v>0</v>
      </c>
      <c r="Q45" s="291">
        <f t="shared" ca="1" si="33"/>
        <v>0</v>
      </c>
      <c r="R45" s="291">
        <f t="shared" ca="1" si="33"/>
        <v>0</v>
      </c>
      <c r="S45" s="291">
        <f t="shared" ca="1" si="33"/>
        <v>0</v>
      </c>
      <c r="T45" s="291">
        <f t="shared" ca="1" si="33"/>
        <v>0</v>
      </c>
      <c r="U45" s="291">
        <f t="shared" ca="1" si="33"/>
        <v>0</v>
      </c>
      <c r="V45" s="291">
        <f t="shared" ca="1" si="33"/>
        <v>0</v>
      </c>
      <c r="W45" s="291">
        <f t="shared" ca="1" si="33"/>
        <v>0</v>
      </c>
      <c r="X45" s="291">
        <f t="shared" ca="1" si="33"/>
        <v>0</v>
      </c>
      <c r="Y45" s="291">
        <f t="shared" ca="1" si="33"/>
        <v>0</v>
      </c>
      <c r="Z45" s="291">
        <f t="shared" ca="1" si="33"/>
        <v>0</v>
      </c>
      <c r="AA45" s="291">
        <f t="shared" ca="1" si="33"/>
        <v>0</v>
      </c>
      <c r="AB45" s="291">
        <f t="shared" ca="1" si="33"/>
        <v>0</v>
      </c>
      <c r="AC45" s="291" t="e">
        <f t="shared" ref="AC45:AF45" ca="1" si="34">MAX(-(AC30+AC39+AC41+AC43),-AC44)</f>
        <v>#N/A</v>
      </c>
      <c r="AD45" s="291" t="e">
        <f t="shared" ca="1" si="34"/>
        <v>#N/A</v>
      </c>
      <c r="AE45" s="291" t="e">
        <f t="shared" ca="1" si="34"/>
        <v>#N/A</v>
      </c>
      <c r="AF45" s="291" t="e">
        <f t="shared" ca="1" si="34"/>
        <v>#N/A</v>
      </c>
      <c r="AG45" s="291" t="e">
        <f t="shared" ref="AG45" ca="1" si="35">MAX(-(AG30+AG39+AG41+AG43),-AG44)</f>
        <v>#N/A</v>
      </c>
    </row>
    <row r="47" spans="3:33" s="291" customFormat="1" ht="13.7">
      <c r="C47" s="291" t="s">
        <v>815</v>
      </c>
      <c r="D47" s="291">
        <f>'Financing assumptions offshore'!$F$67*1000</f>
        <v>0</v>
      </c>
      <c r="E47" s="291">
        <f>'Financing assumptions offshore'!$F$67*1000</f>
        <v>0</v>
      </c>
      <c r="F47" s="291">
        <f>'Financing assumptions offshore'!$F$67*1000</f>
        <v>0</v>
      </c>
      <c r="G47" s="291">
        <f>'Financing assumptions offshore'!$F$67*1000</f>
        <v>0</v>
      </c>
      <c r="H47" s="291">
        <f>'Financing assumptions offshore'!$F$67*1000</f>
        <v>0</v>
      </c>
      <c r="I47" s="291">
        <f>'Financing assumptions offshore'!$F$67*1000</f>
        <v>0</v>
      </c>
      <c r="J47" s="291">
        <f>'Financing assumptions offshore'!$F$67*1000</f>
        <v>0</v>
      </c>
      <c r="K47" s="291">
        <f>'Financing assumptions offshore'!$F$67*1000</f>
        <v>0</v>
      </c>
      <c r="L47" s="291">
        <f>'Financing assumptions offshore'!$F$67*1000</f>
        <v>0</v>
      </c>
      <c r="M47" s="291">
        <f>'Financing assumptions offshore'!$F$67*1000</f>
        <v>0</v>
      </c>
      <c r="N47" s="291">
        <f>'Financing assumptions offshore'!$F$67*1000</f>
        <v>0</v>
      </c>
      <c r="O47" s="291">
        <f>'Financing assumptions offshore'!$F$67*1000</f>
        <v>0</v>
      </c>
      <c r="P47" s="291">
        <f>'Financing assumptions offshore'!$F$67*1000</f>
        <v>0</v>
      </c>
      <c r="Q47" s="291">
        <f>'Financing assumptions offshore'!$F$67*1000</f>
        <v>0</v>
      </c>
      <c r="R47" s="291">
        <f>'Financing assumptions offshore'!$F$67*1000</f>
        <v>0</v>
      </c>
      <c r="S47" s="291">
        <f>'Financing assumptions offshore'!$F$67*1000</f>
        <v>0</v>
      </c>
      <c r="T47" s="291">
        <f>'Financing assumptions offshore'!$F$67*1000</f>
        <v>0</v>
      </c>
      <c r="U47" s="291">
        <f>'Financing assumptions offshore'!$F$67*1000</f>
        <v>0</v>
      </c>
      <c r="V47" s="291">
        <f>'Financing assumptions offshore'!$F$67*1000</f>
        <v>0</v>
      </c>
      <c r="W47" s="291">
        <f>'Financing assumptions offshore'!$F$67*1000</f>
        <v>0</v>
      </c>
      <c r="X47" s="291">
        <f>'Financing assumptions offshore'!$F$67*1000</f>
        <v>0</v>
      </c>
      <c r="Y47" s="291">
        <f>'Financing assumptions offshore'!$F$67*1000</f>
        <v>0</v>
      </c>
      <c r="Z47" s="291">
        <f>'Financing assumptions offshore'!$F$67*1000</f>
        <v>0</v>
      </c>
      <c r="AA47" s="291">
        <f>'Financing assumptions offshore'!$F$67*1000</f>
        <v>0</v>
      </c>
      <c r="AB47" s="291">
        <f>'Financing assumptions offshore'!$F$67*1000</f>
        <v>0</v>
      </c>
      <c r="AC47" s="291">
        <f>'Financing assumptions offshore'!$F$67*1000</f>
        <v>0</v>
      </c>
      <c r="AD47" s="291">
        <f>'Financing assumptions offshore'!$F$67*1000</f>
        <v>0</v>
      </c>
      <c r="AE47" s="291">
        <f>'Financing assumptions offshore'!$F$67*1000</f>
        <v>0</v>
      </c>
      <c r="AF47" s="291">
        <f>'Financing assumptions offshore'!$F$67*1000</f>
        <v>0</v>
      </c>
      <c r="AG47" s="291">
        <f>'Financing assumptions offshore'!$F$67*1000</f>
        <v>0</v>
      </c>
    </row>
    <row r="48" spans="3:33" s="180" customFormat="1" ht="13.7">
      <c r="C48" s="180" t="s">
        <v>822</v>
      </c>
      <c r="D48" s="180">
        <f>MAX(+'Financial Quarterly offshore'!D93-'Cash sweep &amp; dividend offshore'!D47-'Financial Quarterly offshore'!D80,0)</f>
        <v>0</v>
      </c>
      <c r="E48" s="180">
        <f ca="1">MAX(+'Financial Quarterly offshore'!E93-'Cash sweep &amp; dividend offshore'!E47-'Financial Quarterly offshore'!E80,0)</f>
        <v>0</v>
      </c>
      <c r="F48" s="180">
        <f ca="1">MAX(+'Financial Quarterly offshore'!F93-'Cash sweep &amp; dividend offshore'!F47-'Financial Quarterly offshore'!F80,0)</f>
        <v>0</v>
      </c>
      <c r="G48" s="180">
        <f ca="1">MAX(+'Financial Quarterly offshore'!G93-'Cash sweep &amp; dividend offshore'!G47-'Financial Quarterly offshore'!G80,0)</f>
        <v>0</v>
      </c>
      <c r="H48" s="180">
        <f ca="1">MAX(+'Financial Quarterly offshore'!H93-'Cash sweep &amp; dividend offshore'!H47-'Financial Quarterly offshore'!H80,0)</f>
        <v>0</v>
      </c>
      <c r="I48" s="180">
        <f ca="1">MAX(+'Financial Quarterly offshore'!I93-'Cash sweep &amp; dividend offshore'!I47-'Financial Quarterly offshore'!I80,0)</f>
        <v>0</v>
      </c>
      <c r="J48" s="180">
        <f ca="1">MAX(+'Financial Quarterly offshore'!J93-'Cash sweep &amp; dividend offshore'!J47-'Financial Quarterly offshore'!J80,0)</f>
        <v>0</v>
      </c>
      <c r="K48" s="180">
        <f ca="1">MAX(+'Financial Quarterly offshore'!K93-'Cash sweep &amp; dividend offshore'!K47-'Financial Quarterly offshore'!K80,0)</f>
        <v>0</v>
      </c>
      <c r="L48" s="180">
        <f ca="1">MAX(+'Financial Quarterly offshore'!L93-'Cash sweep &amp; dividend offshore'!L47-'Financial Quarterly offshore'!L80,0)</f>
        <v>0</v>
      </c>
      <c r="M48" s="180">
        <f ca="1">MAX(+'Financial Quarterly offshore'!M93-'Cash sweep &amp; dividend offshore'!M47-'Financial Quarterly offshore'!M80,0)</f>
        <v>0</v>
      </c>
      <c r="N48" s="180">
        <f ca="1">MAX(+'Financial Quarterly offshore'!N93-'Cash sweep &amp; dividend offshore'!N47-'Financial Quarterly offshore'!N80,0)</f>
        <v>0</v>
      </c>
      <c r="O48" s="180">
        <f ca="1">MAX(+'Financial Quarterly offshore'!O93-'Cash sweep &amp; dividend offshore'!O47-'Financial Quarterly offshore'!O80,0)</f>
        <v>0</v>
      </c>
      <c r="P48" s="180">
        <f ca="1">MAX(+'Financial Quarterly offshore'!P93-'Cash sweep &amp; dividend offshore'!P47-'Financial Quarterly offshore'!P80,0)</f>
        <v>0</v>
      </c>
      <c r="Q48" s="180">
        <f ca="1">MAX(+'Financial Quarterly offshore'!Q93-'Cash sweep &amp; dividend offshore'!Q47-'Financial Quarterly offshore'!Q80,0)</f>
        <v>0</v>
      </c>
      <c r="R48" s="180">
        <f ca="1">MAX(+'Financial Quarterly offshore'!R93-'Cash sweep &amp; dividend offshore'!R47-'Financial Quarterly offshore'!R80,0)</f>
        <v>0</v>
      </c>
      <c r="S48" s="180">
        <f ca="1">MAX(+'Financial Quarterly offshore'!S93-'Cash sweep &amp; dividend offshore'!S47-'Financial Quarterly offshore'!S80,0)</f>
        <v>0</v>
      </c>
      <c r="T48" s="180">
        <f ca="1">MAX(+'Financial Quarterly offshore'!T93-'Cash sweep &amp; dividend offshore'!T47-'Financial Quarterly offshore'!T80,0)</f>
        <v>0</v>
      </c>
      <c r="U48" s="180">
        <f ca="1">MAX(+'Financial Quarterly offshore'!U93-'Cash sweep &amp; dividend offshore'!U47-'Financial Quarterly offshore'!U80,0)</f>
        <v>0</v>
      </c>
      <c r="V48" s="180">
        <f ca="1">MAX(+'Financial Quarterly offshore'!V93-'Cash sweep &amp; dividend offshore'!V47-'Financial Quarterly offshore'!V80,0)</f>
        <v>0</v>
      </c>
      <c r="W48" s="180">
        <f ca="1">MAX(+'Financial Quarterly offshore'!W93-'Cash sweep &amp; dividend offshore'!W47-'Financial Quarterly offshore'!W80,0)</f>
        <v>0</v>
      </c>
      <c r="X48" s="180">
        <f ca="1">MAX(+'Financial Quarterly offshore'!X93-'Cash sweep &amp; dividend offshore'!X47-'Financial Quarterly offshore'!X80,0)</f>
        <v>0</v>
      </c>
      <c r="Y48" s="180">
        <f ca="1">MAX(+'Financial Quarterly offshore'!Y93-'Cash sweep &amp; dividend offshore'!Y47-'Financial Quarterly offshore'!Y80,0)</f>
        <v>0</v>
      </c>
      <c r="Z48" s="180">
        <f ca="1">MAX(+'Financial Quarterly offshore'!Z93-'Cash sweep &amp; dividend offshore'!Z47-'Financial Quarterly offshore'!Z80,0)</f>
        <v>0</v>
      </c>
      <c r="AA48" s="180">
        <f ca="1">MAX(+'Financial Quarterly offshore'!AA93-'Cash sweep &amp; dividend offshore'!AA47-'Financial Quarterly offshore'!AA80,0)</f>
        <v>0</v>
      </c>
      <c r="AB48" s="180" t="e">
        <f ca="1">MAX(+'Financial Quarterly offshore'!AB93-'Cash sweep &amp; dividend offshore'!AB47-'Financial Quarterly offshore'!AB80,0)</f>
        <v>#N/A</v>
      </c>
      <c r="AC48" s="180" t="e">
        <f ca="1">MAX(+'Financial Quarterly offshore'!AC93-'Cash sweep &amp; dividend offshore'!AC47-'Financial Quarterly offshore'!AC80,0)</f>
        <v>#N/A</v>
      </c>
      <c r="AD48" s="180" t="e">
        <f ca="1">MAX(+'Financial Quarterly offshore'!AD93-'Cash sweep &amp; dividend offshore'!AD47-'Financial Quarterly offshore'!AD80,0)</f>
        <v>#N/A</v>
      </c>
      <c r="AE48" s="180" t="e">
        <f ca="1">MAX(+'Financial Quarterly offshore'!AE93-'Cash sweep &amp; dividend offshore'!AE47-'Financial Quarterly offshore'!AE80,0)</f>
        <v>#N/A</v>
      </c>
      <c r="AF48" s="180" t="e">
        <f ca="1">MAX(+'Financial Quarterly offshore'!AF93-'Cash sweep &amp; dividend offshore'!AF47-'Financial Quarterly offshore'!AF80,0)</f>
        <v>#N/A</v>
      </c>
      <c r="AG48" s="180" t="e">
        <f ca="1">MAX(+'Financial Quarterly offshore'!AG93-'Cash sweep &amp; dividend offshore'!AG47-'Financial Quarterly offshore'!AG80,0)</f>
        <v>#N/A</v>
      </c>
    </row>
    <row r="49" spans="3:33" s="180" customFormat="1" ht="13.7">
      <c r="C49" s="395" t="s">
        <v>1504</v>
      </c>
      <c r="D49" s="376">
        <f>SUMIF('IS offshore'!10:10,YEAR('Cash sweep &amp; dividend offshore'!D12)-1,'IS offshore'!90:90)</f>
        <v>0</v>
      </c>
      <c r="E49" s="376">
        <f>SUMIF('IS offshore'!10:10,YEAR('Cash sweep &amp; dividend offshore'!E12)-1,'IS offshore'!90:90)</f>
        <v>0</v>
      </c>
      <c r="F49" s="376">
        <f>SUMIF('IS offshore'!10:10,YEAR('Cash sweep &amp; dividend offshore'!F12)-1,'IS offshore'!90:90)</f>
        <v>0</v>
      </c>
      <c r="G49" s="376">
        <f>SUMIF('IS offshore'!10:10,YEAR('Cash sweep &amp; dividend offshore'!G12)-1,'IS offshore'!90:90)</f>
        <v>0</v>
      </c>
      <c r="H49" s="376">
        <f ca="1">SUMIF('IS offshore'!10:10,YEAR('Cash sweep &amp; dividend offshore'!H12)-1,'IS offshore'!90:90)</f>
        <v>0</v>
      </c>
      <c r="I49" s="376">
        <f ca="1">SUMIF('IS offshore'!10:10,YEAR('Cash sweep &amp; dividend offshore'!I12)-1,'IS offshore'!90:90)</f>
        <v>0</v>
      </c>
      <c r="J49" s="376">
        <f ca="1">SUMIF('IS offshore'!10:10,YEAR('Cash sweep &amp; dividend offshore'!J12)-1,'IS offshore'!90:90)</f>
        <v>0</v>
      </c>
      <c r="K49" s="376">
        <f ca="1">SUMIF('IS offshore'!10:10,YEAR('Cash sweep &amp; dividend offshore'!K12)-1,'IS offshore'!90:90)</f>
        <v>0</v>
      </c>
      <c r="L49" s="376">
        <f ca="1">SUMIF('IS offshore'!10:10,YEAR('Cash sweep &amp; dividend offshore'!L12)-1,'IS offshore'!90:90)</f>
        <v>0</v>
      </c>
      <c r="M49" s="376">
        <f ca="1">SUMIF('IS offshore'!10:10,YEAR('Cash sweep &amp; dividend offshore'!M12)-1,'IS offshore'!90:90)</f>
        <v>0</v>
      </c>
      <c r="N49" s="376">
        <f ca="1">SUMIF('IS offshore'!10:10,YEAR('Cash sweep &amp; dividend offshore'!N12)-1,'IS offshore'!90:90)</f>
        <v>0</v>
      </c>
      <c r="O49" s="376">
        <f ca="1">SUMIF('IS offshore'!10:10,YEAR('Cash sweep &amp; dividend offshore'!O12)-1,'IS offshore'!90:90)</f>
        <v>0</v>
      </c>
      <c r="P49" s="376">
        <f ca="1">SUMIF('IS offshore'!10:10,YEAR('Cash sweep &amp; dividend offshore'!P12)-1,'IS offshore'!90:90)</f>
        <v>0</v>
      </c>
      <c r="Q49" s="376">
        <f ca="1">SUMIF('IS offshore'!10:10,YEAR('Cash sweep &amp; dividend offshore'!Q12)-1,'IS offshore'!90:90)</f>
        <v>0</v>
      </c>
      <c r="R49" s="376">
        <f ca="1">SUMIF('IS offshore'!10:10,YEAR('Cash sweep &amp; dividend offshore'!R12)-1,'IS offshore'!90:90)</f>
        <v>0</v>
      </c>
      <c r="S49" s="376">
        <f ca="1">SUMIF('IS offshore'!10:10,YEAR('Cash sweep &amp; dividend offshore'!S12)-1,'IS offshore'!90:90)</f>
        <v>0</v>
      </c>
      <c r="T49" s="376">
        <f ca="1">SUMIF('IS offshore'!10:10,YEAR('Cash sweep &amp; dividend offshore'!T12)-1,'IS offshore'!90:90)</f>
        <v>0</v>
      </c>
      <c r="U49" s="376">
        <f ca="1">SUMIF('IS offshore'!10:10,YEAR('Cash sweep &amp; dividend offshore'!U12)-1,'IS offshore'!90:90)</f>
        <v>0</v>
      </c>
      <c r="V49" s="376">
        <f ca="1">SUMIF('IS offshore'!10:10,YEAR('Cash sweep &amp; dividend offshore'!V12)-1,'IS offshore'!90:90)</f>
        <v>0</v>
      </c>
      <c r="W49" s="376">
        <f ca="1">SUMIF('IS offshore'!10:10,YEAR('Cash sweep &amp; dividend offshore'!W12)-1,'IS offshore'!90:90)</f>
        <v>0</v>
      </c>
      <c r="X49" s="376">
        <f ca="1">SUMIF('IS offshore'!10:10,YEAR('Cash sweep &amp; dividend offshore'!X12)-1,'IS offshore'!90:90)</f>
        <v>0</v>
      </c>
      <c r="Y49" s="376">
        <f ca="1">SUMIF('IS offshore'!10:10,YEAR('Cash sweep &amp; dividend offshore'!Y12)-1,'IS offshore'!90:90)</f>
        <v>0</v>
      </c>
      <c r="Z49" s="376">
        <f ca="1">SUMIF('IS offshore'!10:10,YEAR('Cash sweep &amp; dividend offshore'!Z12)-1,'IS offshore'!90:90)</f>
        <v>0</v>
      </c>
      <c r="AA49" s="376">
        <f ca="1">SUMIF('IS offshore'!10:10,YEAR('Cash sweep &amp; dividend offshore'!AA12)-1,'IS offshore'!90:90)</f>
        <v>0</v>
      </c>
      <c r="AB49" s="376">
        <f ca="1">SUMIF('IS offshore'!10:10,YEAR('Cash sweep &amp; dividend offshore'!AB12)-1,'IS offshore'!90:90)</f>
        <v>0</v>
      </c>
      <c r="AC49" s="376">
        <f ca="1">SUMIF('IS offshore'!10:10,YEAR('Cash sweep &amp; dividend offshore'!AC12)-1,'IS offshore'!90:90)</f>
        <v>0</v>
      </c>
      <c r="AD49" s="376">
        <f ca="1">SUMIF('IS offshore'!10:10,YEAR('Cash sweep &amp; dividend offshore'!AD12)-1,'IS offshore'!90:90)</f>
        <v>0</v>
      </c>
      <c r="AE49" s="376">
        <f ca="1">SUMIF('IS offshore'!10:10,YEAR('Cash sweep &amp; dividend offshore'!AE12)-1,'IS offshore'!90:90)</f>
        <v>0</v>
      </c>
      <c r="AF49" s="376">
        <f>SUMIF('IS offshore'!10:10,YEAR('Cash sweep &amp; dividend offshore'!AF12)-1,'IS offshore'!90:90)</f>
        <v>0</v>
      </c>
      <c r="AG49" s="376">
        <f>SUMIF('IS offshore'!10:10,YEAR('Cash sweep &amp; dividend offshore'!AG12)-1,'IS offshore'!90:90)</f>
        <v>0</v>
      </c>
    </row>
    <row r="50" spans="3:33" s="180" customFormat="1" ht="13.7">
      <c r="C50" s="180" t="s">
        <v>1502</v>
      </c>
      <c r="D50" s="180">
        <f>INDEX(D48:D49,MATCH('Financing assumptions offshore'!$H$71,$C$48:$C$49,0))</f>
        <v>0</v>
      </c>
      <c r="E50" s="180">
        <f ca="1">INDEX(E48:E49,MATCH('Financing assumptions offshore'!$H$71,$C$48:$C$49,0))</f>
        <v>0</v>
      </c>
      <c r="F50" s="180">
        <f ca="1">INDEX(F48:F49,MATCH('Financing assumptions offshore'!$H$71,$C$48:$C$49,0))</f>
        <v>0</v>
      </c>
      <c r="G50" s="180">
        <f ca="1">INDEX(G48:G49,MATCH('Financing assumptions offshore'!$H$71,$C$48:$C$49,0))</f>
        <v>0</v>
      </c>
      <c r="H50" s="180">
        <f ca="1">INDEX(H48:H49,MATCH('Financing assumptions offshore'!$H$71,$C$48:$C$49,0))</f>
        <v>0</v>
      </c>
      <c r="I50" s="180">
        <f ca="1">INDEX(I48:I49,MATCH('Financing assumptions offshore'!$H$71,$C$48:$C$49,0))</f>
        <v>0</v>
      </c>
      <c r="J50" s="180">
        <f ca="1">INDEX(J48:J49,MATCH('Financing assumptions offshore'!$H$71,$C$48:$C$49,0))</f>
        <v>0</v>
      </c>
      <c r="K50" s="180">
        <f ca="1">INDEX(K48:K49,MATCH('Financing assumptions offshore'!$H$71,$C$48:$C$49,0))</f>
        <v>0</v>
      </c>
      <c r="L50" s="180">
        <f ca="1">INDEX(L48:L49,MATCH('Financing assumptions offshore'!$H$71,$C$48:$C$49,0))</f>
        <v>0</v>
      </c>
      <c r="M50" s="180">
        <f ca="1">INDEX(M48:M49,MATCH('Financing assumptions offshore'!$H$71,$C$48:$C$49,0))</f>
        <v>0</v>
      </c>
      <c r="N50" s="180">
        <f ca="1">INDEX(N48:N49,MATCH('Financing assumptions offshore'!$H$71,$C$48:$C$49,0))</f>
        <v>0</v>
      </c>
      <c r="O50" s="180">
        <f ca="1">INDEX(O48:O49,MATCH('Financing assumptions offshore'!$H$71,$C$48:$C$49,0))</f>
        <v>0</v>
      </c>
      <c r="P50" s="180">
        <f ca="1">INDEX(P48:P49,MATCH('Financing assumptions offshore'!$H$71,$C$48:$C$49,0))</f>
        <v>0</v>
      </c>
      <c r="Q50" s="180">
        <f ca="1">INDEX(Q48:Q49,MATCH('Financing assumptions offshore'!$H$71,$C$48:$C$49,0))</f>
        <v>0</v>
      </c>
      <c r="R50" s="180">
        <f ca="1">INDEX(R48:R49,MATCH('Financing assumptions offshore'!$H$71,$C$48:$C$49,0))</f>
        <v>0</v>
      </c>
      <c r="S50" s="180">
        <f ca="1">INDEX(S48:S49,MATCH('Financing assumptions offshore'!$H$71,$C$48:$C$49,0))</f>
        <v>0</v>
      </c>
      <c r="T50" s="180">
        <f ca="1">INDEX(T48:T49,MATCH('Financing assumptions offshore'!$H$71,$C$48:$C$49,0))</f>
        <v>0</v>
      </c>
      <c r="U50" s="180">
        <f ca="1">INDEX(U48:U49,MATCH('Financing assumptions offshore'!$H$71,$C$48:$C$49,0))</f>
        <v>0</v>
      </c>
      <c r="V50" s="180">
        <f ca="1">INDEX(V48:V49,MATCH('Financing assumptions offshore'!$H$71,$C$48:$C$49,0))</f>
        <v>0</v>
      </c>
      <c r="W50" s="180">
        <f ca="1">INDEX(W48:W49,MATCH('Financing assumptions offshore'!$H$71,$C$48:$C$49,0))</f>
        <v>0</v>
      </c>
      <c r="X50" s="180">
        <f ca="1">INDEX(X48:X49,MATCH('Financing assumptions offshore'!$H$71,$C$48:$C$49,0))</f>
        <v>0</v>
      </c>
      <c r="Y50" s="180">
        <f ca="1">INDEX(Y48:Y49,MATCH('Financing assumptions offshore'!$H$71,$C$48:$C$49,0))</f>
        <v>0</v>
      </c>
      <c r="Z50" s="180">
        <f ca="1">INDEX(Z48:Z49,MATCH('Financing assumptions offshore'!$H$71,$C$48:$C$49,0))</f>
        <v>0</v>
      </c>
      <c r="AA50" s="180">
        <f ca="1">INDEX(AA48:AA49,MATCH('Financing assumptions offshore'!$H$71,$C$48:$C$49,0))</f>
        <v>0</v>
      </c>
      <c r="AB50" s="180" t="e">
        <f ca="1">INDEX(AB48:AB49,MATCH('Financing assumptions offshore'!$H$71,$C$48:$C$49,0))</f>
        <v>#N/A</v>
      </c>
      <c r="AC50" s="180" t="e">
        <f ca="1">INDEX(AC48:AC49,MATCH('Financing assumptions offshore'!$H$71,$C$48:$C$49,0))</f>
        <v>#N/A</v>
      </c>
      <c r="AD50" s="180" t="e">
        <f ca="1">INDEX(AD48:AD49,MATCH('Financing assumptions offshore'!$H$71,$C$48:$C$49,0))</f>
        <v>#N/A</v>
      </c>
      <c r="AE50" s="180" t="e">
        <f ca="1">INDEX(AE48:AE49,MATCH('Financing assumptions offshore'!$H$71,$C$48:$C$49,0))</f>
        <v>#N/A</v>
      </c>
      <c r="AF50" s="180" t="e">
        <f ca="1">INDEX(AF48:AF49,MATCH('Financing assumptions offshore'!$H$71,$C$48:$C$49,0))</f>
        <v>#N/A</v>
      </c>
      <c r="AG50" s="180" t="e">
        <f ca="1">INDEX(AG48:AG49,MATCH('Financing assumptions offshore'!$H$71,$C$48:$C$49,0))</f>
        <v>#N/A</v>
      </c>
    </row>
    <row r="51" spans="3:33" s="183" customFormat="1" ht="13.7">
      <c r="C51" s="183" t="s">
        <v>808</v>
      </c>
      <c r="D51" s="183">
        <f>IFERROR('Financing assumptions offshore'!$F$71*OR(C7,NOT('Financing assumptions offshore'!$F$63)),0)</f>
        <v>1</v>
      </c>
      <c r="E51" s="183">
        <f ca="1">IFERROR('Financing assumptions offshore'!$F$71*OR(D7,NOT('Financing assumptions offshore'!$F$63)),0)</f>
        <v>1</v>
      </c>
      <c r="F51" s="183">
        <f ca="1">IFERROR('Financing assumptions offshore'!$F$71*OR(E7,NOT('Financing assumptions offshore'!$F$63)),0)</f>
        <v>1</v>
      </c>
      <c r="G51" s="183">
        <f ca="1">IFERROR('Financing assumptions offshore'!$F$71*OR(F7,NOT('Financing assumptions offshore'!$F$63)),0)</f>
        <v>1</v>
      </c>
      <c r="H51" s="183">
        <f ca="1">IFERROR('Financing assumptions offshore'!$F$71*OR(G7,NOT('Financing assumptions offshore'!$F$63)),0)</f>
        <v>1</v>
      </c>
      <c r="I51" s="183">
        <f ca="1">IFERROR('Financing assumptions offshore'!$F$71*OR(H7,NOT('Financing assumptions offshore'!$F$63)),0)</f>
        <v>1</v>
      </c>
      <c r="J51" s="183">
        <f ca="1">IFERROR('Financing assumptions offshore'!$F$71*OR(I7,NOT('Financing assumptions offshore'!$F$63)),0)</f>
        <v>1</v>
      </c>
      <c r="K51" s="183">
        <f ca="1">IFERROR('Financing assumptions offshore'!$F$71*OR(J7,NOT('Financing assumptions offshore'!$F$63)),0)</f>
        <v>1</v>
      </c>
      <c r="L51" s="183">
        <f ca="1">IFERROR('Financing assumptions offshore'!$F$71*OR(K7,NOT('Financing assumptions offshore'!$F$63)),0)</f>
        <v>1</v>
      </c>
      <c r="M51" s="183">
        <f ca="1">IFERROR('Financing assumptions offshore'!$F$71*OR(L7,NOT('Financing assumptions offshore'!$F$63)),0)</f>
        <v>1</v>
      </c>
      <c r="N51" s="183">
        <f ca="1">IFERROR('Financing assumptions offshore'!$F$71*OR(M7,NOT('Financing assumptions offshore'!$F$63)),0)</f>
        <v>1</v>
      </c>
      <c r="O51" s="183">
        <f ca="1">IFERROR('Financing assumptions offshore'!$F$71*OR(N7,NOT('Financing assumptions offshore'!$F$63)),0)</f>
        <v>1</v>
      </c>
      <c r="P51" s="183">
        <f ca="1">IFERROR('Financing assumptions offshore'!$F$71*OR(O7,NOT('Financing assumptions offshore'!$F$63)),0)</f>
        <v>1</v>
      </c>
      <c r="Q51" s="183">
        <f ca="1">IFERROR('Financing assumptions offshore'!$F$71*OR(P7,NOT('Financing assumptions offshore'!$F$63)),0)</f>
        <v>1</v>
      </c>
      <c r="R51" s="183">
        <f ca="1">IFERROR('Financing assumptions offshore'!$F$71*OR(Q7,NOT('Financing assumptions offshore'!$F$63)),0)</f>
        <v>1</v>
      </c>
      <c r="S51" s="183">
        <f ca="1">IFERROR('Financing assumptions offshore'!$F$71*OR(R7,NOT('Financing assumptions offshore'!$F$63)),0)</f>
        <v>1</v>
      </c>
      <c r="T51" s="183">
        <f ca="1">IFERROR('Financing assumptions offshore'!$F$71*OR(S7,NOT('Financing assumptions offshore'!$F$63)),0)</f>
        <v>1</v>
      </c>
      <c r="U51" s="183">
        <f ca="1">IFERROR('Financing assumptions offshore'!$F$71*OR(T7,NOT('Financing assumptions offshore'!$F$63)),0)</f>
        <v>1</v>
      </c>
      <c r="V51" s="183">
        <f ca="1">IFERROR('Financing assumptions offshore'!$F$71*OR(U7,NOT('Financing assumptions offshore'!$F$63)),0)</f>
        <v>1</v>
      </c>
      <c r="W51" s="183">
        <f ca="1">IFERROR('Financing assumptions offshore'!$F$71*OR(V7,NOT('Financing assumptions offshore'!$F$63)),0)</f>
        <v>1</v>
      </c>
      <c r="X51" s="183">
        <f ca="1">IFERROR('Financing assumptions offshore'!$F$71*OR(W7,NOT('Financing assumptions offshore'!$F$63)),0)</f>
        <v>1</v>
      </c>
      <c r="Y51" s="183">
        <f ca="1">IFERROR('Financing assumptions offshore'!$F$71*OR(X7,NOT('Financing assumptions offshore'!$F$63)),0)</f>
        <v>1</v>
      </c>
      <c r="Z51" s="183">
        <f ca="1">IFERROR('Financing assumptions offshore'!$F$71*OR(Y7,NOT('Financing assumptions offshore'!$F$63)),0)</f>
        <v>1</v>
      </c>
      <c r="AA51" s="183">
        <f ca="1">IFERROR('Financing assumptions offshore'!$F$71*OR(Z7,NOT('Financing assumptions offshore'!$F$63)),0)</f>
        <v>1</v>
      </c>
      <c r="AB51" s="183">
        <f ca="1">IFERROR('Financing assumptions offshore'!$F$71*OR(AA7,NOT('Financing assumptions offshore'!$F$63)),0)</f>
        <v>1</v>
      </c>
      <c r="AC51" s="183">
        <f ca="1">IFERROR('Financing assumptions offshore'!$F$71*OR(AB7,NOT('Financing assumptions offshore'!$F$63)),0)</f>
        <v>1</v>
      </c>
      <c r="AD51" s="183">
        <f ca="1">IFERROR('Financing assumptions offshore'!$F$71*OR(AC7,NOT('Financing assumptions offshore'!$F$63)),0)</f>
        <v>1</v>
      </c>
      <c r="AE51" s="183">
        <f ca="1">IFERROR('Financing assumptions offshore'!$F$71*OR(AD7,NOT('Financing assumptions offshore'!$F$63)),0)</f>
        <v>1</v>
      </c>
      <c r="AF51" s="183">
        <f ca="1">IFERROR('Financing assumptions offshore'!$F$71*OR(AE7,NOT('Financing assumptions offshore'!$F$63)),0)</f>
        <v>1</v>
      </c>
      <c r="AG51" s="183">
        <f ca="1">IFERROR('Financing assumptions offshore'!$F$71*OR(AF7,NOT('Financing assumptions offshore'!$F$63)),0)</f>
        <v>1</v>
      </c>
    </row>
    <row r="52" spans="3:33" s="195" customFormat="1" ht="13.7">
      <c r="C52" s="195" t="s">
        <v>1034</v>
      </c>
      <c r="D52" s="195">
        <f>D50*D51</f>
        <v>0</v>
      </c>
      <c r="E52" s="195">
        <f t="shared" ref="E52:AB52" ca="1" si="36">E50*E51</f>
        <v>0</v>
      </c>
      <c r="F52" s="195">
        <f t="shared" ca="1" si="36"/>
        <v>0</v>
      </c>
      <c r="G52" s="195">
        <f t="shared" ca="1" si="36"/>
        <v>0</v>
      </c>
      <c r="H52" s="195">
        <f t="shared" ca="1" si="36"/>
        <v>0</v>
      </c>
      <c r="I52" s="195">
        <f t="shared" ca="1" si="36"/>
        <v>0</v>
      </c>
      <c r="J52" s="195">
        <f t="shared" ca="1" si="36"/>
        <v>0</v>
      </c>
      <c r="K52" s="195">
        <f t="shared" ca="1" si="36"/>
        <v>0</v>
      </c>
      <c r="L52" s="195">
        <f t="shared" ca="1" si="36"/>
        <v>0</v>
      </c>
      <c r="M52" s="195">
        <f t="shared" ca="1" si="36"/>
        <v>0</v>
      </c>
      <c r="N52" s="195">
        <f t="shared" ca="1" si="36"/>
        <v>0</v>
      </c>
      <c r="O52" s="195">
        <f t="shared" ca="1" si="36"/>
        <v>0</v>
      </c>
      <c r="P52" s="195">
        <f t="shared" ca="1" si="36"/>
        <v>0</v>
      </c>
      <c r="Q52" s="195">
        <f t="shared" ca="1" si="36"/>
        <v>0</v>
      </c>
      <c r="R52" s="195">
        <f t="shared" ca="1" si="36"/>
        <v>0</v>
      </c>
      <c r="S52" s="195">
        <f t="shared" ca="1" si="36"/>
        <v>0</v>
      </c>
      <c r="T52" s="195">
        <f t="shared" ca="1" si="36"/>
        <v>0</v>
      </c>
      <c r="U52" s="195">
        <f t="shared" ca="1" si="36"/>
        <v>0</v>
      </c>
      <c r="V52" s="195">
        <f t="shared" ca="1" si="36"/>
        <v>0</v>
      </c>
      <c r="W52" s="195">
        <f t="shared" ca="1" si="36"/>
        <v>0</v>
      </c>
      <c r="X52" s="195">
        <f t="shared" ca="1" si="36"/>
        <v>0</v>
      </c>
      <c r="Y52" s="195">
        <f t="shared" ca="1" si="36"/>
        <v>0</v>
      </c>
      <c r="Z52" s="195">
        <f t="shared" ca="1" si="36"/>
        <v>0</v>
      </c>
      <c r="AA52" s="195">
        <f t="shared" ca="1" si="36"/>
        <v>0</v>
      </c>
      <c r="AB52" s="195" t="e">
        <f t="shared" ca="1" si="36"/>
        <v>#N/A</v>
      </c>
      <c r="AC52" s="195" t="e">
        <f t="shared" ref="AC52:AF52" ca="1" si="37">AC50*AC51</f>
        <v>#N/A</v>
      </c>
      <c r="AD52" s="195" t="e">
        <f t="shared" ca="1" si="37"/>
        <v>#N/A</v>
      </c>
      <c r="AE52" s="195" t="e">
        <f t="shared" ca="1" si="37"/>
        <v>#N/A</v>
      </c>
      <c r="AF52" s="195" t="e">
        <f t="shared" ca="1" si="37"/>
        <v>#N/A</v>
      </c>
      <c r="AG52" s="195" t="e">
        <f t="shared" ref="AG52" ca="1" si="38">AG50*AG51</f>
        <v>#N/A</v>
      </c>
    </row>
    <row r="54" spans="3:33">
      <c r="C54" s="394"/>
    </row>
  </sheetData>
  <phoneticPr fontId="2" type="noConversion"/>
  <conditionalFormatting sqref="D5:AF7">
    <cfRule type="cellIs" dxfId="72" priority="15" operator="equal">
      <formula>TRUE</formula>
    </cfRule>
  </conditionalFormatting>
  <conditionalFormatting sqref="D5:AF5">
    <cfRule type="cellIs" dxfId="71" priority="13" operator="equal">
      <formula>TRUE</formula>
    </cfRule>
  </conditionalFormatting>
  <conditionalFormatting sqref="D5:AF5">
    <cfRule type="cellIs" dxfId="70" priority="12" operator="equal">
      <formula>TRUE</formula>
    </cfRule>
  </conditionalFormatting>
  <conditionalFormatting sqref="D5:AF5">
    <cfRule type="cellIs" dxfId="69" priority="11" operator="equal">
      <formula>TRUE</formula>
    </cfRule>
  </conditionalFormatting>
  <conditionalFormatting sqref="D6:AF7">
    <cfRule type="cellIs" dxfId="68" priority="10" operator="equal">
      <formula>TRUE</formula>
    </cfRule>
  </conditionalFormatting>
  <conditionalFormatting sqref="D6:AF7">
    <cfRule type="cellIs" dxfId="67" priority="9" operator="equal">
      <formula>TRUE</formula>
    </cfRule>
  </conditionalFormatting>
  <conditionalFormatting sqref="D6:AF7">
    <cfRule type="cellIs" dxfId="66" priority="8" operator="equal">
      <formula>TRUE</formula>
    </cfRule>
  </conditionalFormatting>
  <conditionalFormatting sqref="AG5:AG7">
    <cfRule type="cellIs" dxfId="65" priority="7" operator="equal">
      <formula>TRUE</formula>
    </cfRule>
  </conditionalFormatting>
  <conditionalFormatting sqref="AG5">
    <cfRule type="cellIs" dxfId="64" priority="6" operator="equal">
      <formula>TRUE</formula>
    </cfRule>
  </conditionalFormatting>
  <conditionalFormatting sqref="AG5">
    <cfRule type="cellIs" dxfId="63" priority="5" operator="equal">
      <formula>TRUE</formula>
    </cfRule>
  </conditionalFormatting>
  <conditionalFormatting sqref="AG5">
    <cfRule type="cellIs" dxfId="62" priority="4" operator="equal">
      <formula>TRUE</formula>
    </cfRule>
  </conditionalFormatting>
  <conditionalFormatting sqref="AG6:AG7">
    <cfRule type="cellIs" dxfId="61" priority="3" operator="equal">
      <formula>TRUE</formula>
    </cfRule>
  </conditionalFormatting>
  <conditionalFormatting sqref="AG6:AG7">
    <cfRule type="cellIs" dxfId="60" priority="2" operator="equal">
      <formula>TRUE</formula>
    </cfRule>
  </conditionalFormatting>
  <conditionalFormatting sqref="AG6:AG7">
    <cfRule type="cellIs" dxfId="59" priority="1" operator="equal">
      <formula>TRUE</formula>
    </cfRule>
  </conditionalFormatting>
  <dataValidations count="1">
    <dataValidation type="list" allowBlank="1" showInputMessage="1" showErrorMessage="1" sqref="B13:B25">
      <formula1>"TRUE,FALSE"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3730" r:id="rId3" name="Drop Down 2">
              <controlPr defaultSize="0" autoLine="0" autoPict="0">
                <anchor moveWithCells="1">
                  <from>
                    <xdr:col>4</xdr:col>
                    <xdr:colOff>9144</xdr:colOff>
                    <xdr:row>10</xdr:row>
                    <xdr:rowOff>0</xdr:rowOff>
                  </from>
                  <to>
                    <xdr:col>5</xdr:col>
                    <xdr:colOff>155448</xdr:colOff>
                    <xdr:row>11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tabColor theme="0"/>
  </sheetPr>
  <dimension ref="B1:AG88"/>
  <sheetViews>
    <sheetView topLeftCell="L1" zoomScale="90" zoomScaleNormal="90" workbookViewId="0">
      <selection activeCell="E19" sqref="E19"/>
    </sheetView>
  </sheetViews>
  <sheetFormatPr defaultColWidth="9.140625" defaultRowHeight="13.7" outlineLevelRow="1" outlineLevelCol="1"/>
  <cols>
    <col min="1" max="1" width="4.85546875" style="52" customWidth="1"/>
    <col min="2" max="2" width="20" style="52" customWidth="1"/>
    <col min="3" max="3" width="28.42578125" style="52" customWidth="1"/>
    <col min="4" max="5" width="14.42578125" style="52" bestFit="1" customWidth="1" outlineLevel="1"/>
    <col min="6" max="6" width="16.85546875" style="52" bestFit="1" customWidth="1" outlineLevel="1"/>
    <col min="7" max="8" width="14.42578125" style="52" bestFit="1" customWidth="1"/>
    <col min="9" max="9" width="16" style="52" bestFit="1" customWidth="1"/>
    <col min="10" max="11" width="14.42578125" style="52" bestFit="1" customWidth="1"/>
    <col min="12" max="12" width="16.85546875" style="52" bestFit="1" customWidth="1"/>
    <col min="13" max="19" width="14.42578125" style="52" bestFit="1" customWidth="1"/>
    <col min="20" max="20" width="14.42578125" style="52" customWidth="1"/>
    <col min="21" max="23" width="14.42578125" style="52" bestFit="1" customWidth="1"/>
    <col min="24" max="26" width="11.5703125" style="52" bestFit="1" customWidth="1"/>
    <col min="27" max="27" width="12.85546875" style="52" bestFit="1" customWidth="1"/>
    <col min="28" max="28" width="11.5703125" style="52" bestFit="1" customWidth="1"/>
    <col min="29" max="31" width="9.140625" style="52"/>
    <col min="32" max="33" width="11.140625" style="52" customWidth="1"/>
    <col min="34" max="16384" width="9.140625" style="52"/>
  </cols>
  <sheetData>
    <row r="1" spans="3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33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3:33" s="1" customFormat="1" ht="14.6" hidden="1" customHeight="1" outlineLevel="1"/>
    <row r="4" spans="3:33" s="34" customFormat="1" ht="14.6" customHeight="1" collapsed="1">
      <c r="C4" s="307" t="s">
        <v>719</v>
      </c>
      <c r="D4" s="307">
        <f>EOMONTH('Control Panel'!B11,2)</f>
        <v>43555</v>
      </c>
      <c r="E4" s="307">
        <f>EOMONTH(D4,3)</f>
        <v>43646</v>
      </c>
      <c r="F4" s="307">
        <f t="shared" ref="F4:AB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ref="AC4" si="1">EOMONTH(AB4,3)</f>
        <v>45838</v>
      </c>
      <c r="AD4" s="307">
        <f t="shared" ref="AD4" si="2">EOMONTH(AC4,3)</f>
        <v>45930</v>
      </c>
      <c r="AE4" s="307">
        <f t="shared" ref="AE4" si="3">EOMONTH(AD4,3)</f>
        <v>46022</v>
      </c>
      <c r="AF4" s="307">
        <f t="shared" ref="AF4:AG4" si="4">EOMONTH(AE4,3)</f>
        <v>46112</v>
      </c>
      <c r="AG4" s="307">
        <f t="shared" si="4"/>
        <v>46203</v>
      </c>
    </row>
    <row r="5" spans="3:33" s="28" customFormat="1" ht="14.6" customHeight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3:33" s="28" customFormat="1" ht="14.6" customHeight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3:33" s="1" customFormat="1" ht="14.6" customHeight="1">
      <c r="C7" s="209"/>
      <c r="D7" s="335">
        <f>YEAR(D4)</f>
        <v>2019</v>
      </c>
      <c r="E7" s="335">
        <f t="shared" ref="E7:AB7" si="5">YEAR(E4)</f>
        <v>2019</v>
      </c>
      <c r="F7" s="335">
        <f t="shared" si="5"/>
        <v>2019</v>
      </c>
      <c r="G7" s="335">
        <f t="shared" si="5"/>
        <v>2019</v>
      </c>
      <c r="H7" s="335">
        <f t="shared" si="5"/>
        <v>2020</v>
      </c>
      <c r="I7" s="335">
        <f t="shared" si="5"/>
        <v>2020</v>
      </c>
      <c r="J7" s="335">
        <f t="shared" si="5"/>
        <v>2020</v>
      </c>
      <c r="K7" s="335">
        <f t="shared" si="5"/>
        <v>2020</v>
      </c>
      <c r="L7" s="335">
        <f t="shared" si="5"/>
        <v>2021</v>
      </c>
      <c r="M7" s="335">
        <f t="shared" si="5"/>
        <v>2021</v>
      </c>
      <c r="N7" s="335">
        <f t="shared" si="5"/>
        <v>2021</v>
      </c>
      <c r="O7" s="335">
        <f t="shared" si="5"/>
        <v>2021</v>
      </c>
      <c r="P7" s="335">
        <f t="shared" si="5"/>
        <v>2022</v>
      </c>
      <c r="Q7" s="335">
        <f t="shared" si="5"/>
        <v>2022</v>
      </c>
      <c r="R7" s="335">
        <f t="shared" si="5"/>
        <v>2022</v>
      </c>
      <c r="S7" s="335">
        <f t="shared" si="5"/>
        <v>2022</v>
      </c>
      <c r="T7" s="335">
        <f t="shared" si="5"/>
        <v>2023</v>
      </c>
      <c r="U7" s="335">
        <f t="shared" si="5"/>
        <v>2023</v>
      </c>
      <c r="V7" s="335">
        <f t="shared" si="5"/>
        <v>2023</v>
      </c>
      <c r="W7" s="335">
        <f t="shared" si="5"/>
        <v>2023</v>
      </c>
      <c r="X7" s="335">
        <f t="shared" si="5"/>
        <v>2024</v>
      </c>
      <c r="Y7" s="335">
        <f t="shared" si="5"/>
        <v>2024</v>
      </c>
      <c r="Z7" s="335">
        <f t="shared" si="5"/>
        <v>2024</v>
      </c>
      <c r="AA7" s="335">
        <f t="shared" si="5"/>
        <v>2024</v>
      </c>
      <c r="AB7" s="335">
        <f t="shared" si="5"/>
        <v>2025</v>
      </c>
      <c r="AC7" s="406">
        <f t="shared" ref="AC7:AF7" si="6">YEAR(AC4)</f>
        <v>2025</v>
      </c>
      <c r="AD7" s="406">
        <f t="shared" si="6"/>
        <v>2025</v>
      </c>
      <c r="AE7" s="406">
        <f t="shared" si="6"/>
        <v>2025</v>
      </c>
      <c r="AF7" s="406">
        <f t="shared" si="6"/>
        <v>2026</v>
      </c>
      <c r="AG7" s="413">
        <f t="shared" ref="AG7" si="7">YEAR(AG4)</f>
        <v>2026</v>
      </c>
    </row>
    <row r="8" spans="3:33" s="1" customFormat="1" ht="14.6" customHeight="1">
      <c r="C8" s="209"/>
      <c r="D8" s="309">
        <f>M2</f>
        <v>1</v>
      </c>
      <c r="E8" s="309">
        <f>IF(D8=4,1,D8+1)</f>
        <v>2</v>
      </c>
      <c r="F8" s="309">
        <f>IF(E8=4,1,E8+1)</f>
        <v>3</v>
      </c>
      <c r="G8" s="309">
        <f>IF(F8=4,1,F8+1)</f>
        <v>4</v>
      </c>
      <c r="H8" s="309">
        <f>IF(G8=4,1,G8+1)</f>
        <v>1</v>
      </c>
      <c r="I8" s="309">
        <f t="shared" ref="I8:AB8" si="8">IF(H8=4,1,H8+1)</f>
        <v>2</v>
      </c>
      <c r="J8" s="309">
        <f t="shared" si="8"/>
        <v>3</v>
      </c>
      <c r="K8" s="309">
        <f t="shared" si="8"/>
        <v>4</v>
      </c>
      <c r="L8" s="309">
        <f t="shared" si="8"/>
        <v>1</v>
      </c>
      <c r="M8" s="309">
        <f t="shared" si="8"/>
        <v>2</v>
      </c>
      <c r="N8" s="309">
        <f t="shared" si="8"/>
        <v>3</v>
      </c>
      <c r="O8" s="309">
        <f t="shared" si="8"/>
        <v>4</v>
      </c>
      <c r="P8" s="309">
        <f t="shared" si="8"/>
        <v>1</v>
      </c>
      <c r="Q8" s="309">
        <f t="shared" si="8"/>
        <v>2</v>
      </c>
      <c r="R8" s="309">
        <f t="shared" si="8"/>
        <v>3</v>
      </c>
      <c r="S8" s="309">
        <f t="shared" si="8"/>
        <v>4</v>
      </c>
      <c r="T8" s="309">
        <f t="shared" si="8"/>
        <v>1</v>
      </c>
      <c r="U8" s="309">
        <f t="shared" si="8"/>
        <v>2</v>
      </c>
      <c r="V8" s="309">
        <f t="shared" si="8"/>
        <v>3</v>
      </c>
      <c r="W8" s="309">
        <f t="shared" si="8"/>
        <v>4</v>
      </c>
      <c r="X8" s="309">
        <f t="shared" si="8"/>
        <v>1</v>
      </c>
      <c r="Y8" s="309">
        <f t="shared" si="8"/>
        <v>2</v>
      </c>
      <c r="Z8" s="309">
        <f t="shared" si="8"/>
        <v>3</v>
      </c>
      <c r="AA8" s="309">
        <f t="shared" si="8"/>
        <v>4</v>
      </c>
      <c r="AB8" s="309">
        <f t="shared" si="8"/>
        <v>1</v>
      </c>
      <c r="AC8" s="309">
        <f t="shared" ref="AC8" si="9">IF(AB8=4,1,AB8+1)</f>
        <v>2</v>
      </c>
      <c r="AD8" s="309">
        <f t="shared" ref="AD8" si="10">IF(AC8=4,1,AC8+1)</f>
        <v>3</v>
      </c>
      <c r="AE8" s="309">
        <f t="shared" ref="AE8" si="11">IF(AD8=4,1,AD8+1)</f>
        <v>4</v>
      </c>
      <c r="AF8" s="309">
        <f t="shared" ref="AF8:AG8" si="12">IF(AE8=4,1,AE8+1)</f>
        <v>1</v>
      </c>
      <c r="AG8" s="309">
        <f t="shared" si="12"/>
        <v>2</v>
      </c>
    </row>
    <row r="9" spans="3:33" outlineLevel="1"/>
    <row r="10" spans="3:33" outlineLevel="1">
      <c r="C10" s="209" t="s">
        <v>784</v>
      </c>
      <c r="D10" s="209"/>
    </row>
    <row r="11" spans="3:33" ht="14.4" outlineLevel="1">
      <c r="C11" s="1" t="s">
        <v>785</v>
      </c>
      <c r="D11" s="197">
        <v>1</v>
      </c>
    </row>
    <row r="12" spans="3:33" ht="14.4" outlineLevel="1">
      <c r="C12" s="1" t="s">
        <v>786</v>
      </c>
      <c r="D12" s="283">
        <f>G4</f>
        <v>43830</v>
      </c>
    </row>
    <row r="13" spans="3:33" outlineLevel="1"/>
    <row r="14" spans="3:33" outlineLevel="1">
      <c r="C14" s="209" t="s">
        <v>967</v>
      </c>
      <c r="D14" s="209"/>
      <c r="E14" s="209"/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</row>
    <row r="15" spans="3:33" outlineLevel="1">
      <c r="C15" s="291" t="s">
        <v>761</v>
      </c>
      <c r="D15" s="291">
        <f>'Financial Quarterly offshore'!D25+'Financial Quarterly offshore'!D38+'Financial Quarterly offshore'!D51+'Financial Quarterly offshore'!D80</f>
        <v>0</v>
      </c>
      <c r="E15" s="291">
        <f ca="1">'Financial Quarterly offshore'!E25+'Financial Quarterly offshore'!E38+'Financial Quarterly offshore'!E51+'Financial Quarterly offshore'!E80</f>
        <v>0</v>
      </c>
      <c r="F15" s="291">
        <f ca="1">'Financial Quarterly offshore'!F25+'Financial Quarterly offshore'!F38+'Financial Quarterly offshore'!F51+'Financial Quarterly offshore'!F80</f>
        <v>0</v>
      </c>
      <c r="G15" s="291">
        <f ca="1">'Financial Quarterly offshore'!G25+'Financial Quarterly offshore'!G38+'Financial Quarterly offshore'!G51+'Financial Quarterly offshore'!G80</f>
        <v>0</v>
      </c>
      <c r="H15" s="291">
        <f ca="1">'Financial Quarterly offshore'!H25+'Financial Quarterly offshore'!H38+'Financial Quarterly offshore'!H51+'Financial Quarterly offshore'!H80</f>
        <v>0</v>
      </c>
      <c r="I15" s="291">
        <f ca="1">'Financial Quarterly offshore'!I25+'Financial Quarterly offshore'!I38+'Financial Quarterly offshore'!I51+'Financial Quarterly offshore'!I80</f>
        <v>0</v>
      </c>
      <c r="J15" s="291">
        <f ca="1">'Financial Quarterly offshore'!J25+'Financial Quarterly offshore'!J38+'Financial Quarterly offshore'!J51+'Financial Quarterly offshore'!J80</f>
        <v>0</v>
      </c>
      <c r="K15" s="291">
        <f ca="1">'Financial Quarterly offshore'!K25+'Financial Quarterly offshore'!K38+'Financial Quarterly offshore'!K51+'Financial Quarterly offshore'!K80</f>
        <v>0</v>
      </c>
      <c r="L15" s="291">
        <f ca="1">'Financial Quarterly offshore'!L25+'Financial Quarterly offshore'!L38+'Financial Quarterly offshore'!L51+'Financial Quarterly offshore'!L80</f>
        <v>0</v>
      </c>
      <c r="M15" s="291">
        <f ca="1">'Financial Quarterly offshore'!M25+'Financial Quarterly offshore'!M38+'Financial Quarterly offshore'!M51+'Financial Quarterly offshore'!M80</f>
        <v>0</v>
      </c>
      <c r="N15" s="291">
        <f ca="1">'Financial Quarterly offshore'!N25+'Financial Quarterly offshore'!N38+'Financial Quarterly offshore'!N51+'Financial Quarterly offshore'!N80</f>
        <v>0</v>
      </c>
      <c r="O15" s="291">
        <f ca="1">'Financial Quarterly offshore'!O25+'Financial Quarterly offshore'!O38+'Financial Quarterly offshore'!O51+'Financial Quarterly offshore'!O80</f>
        <v>0</v>
      </c>
      <c r="P15" s="291">
        <f ca="1">'Financial Quarterly offshore'!P25+'Financial Quarterly offshore'!P38+'Financial Quarterly offshore'!P51+'Financial Quarterly offshore'!P80</f>
        <v>0</v>
      </c>
      <c r="Q15" s="291">
        <f ca="1">'Financial Quarterly offshore'!Q25+'Financial Quarterly offshore'!Q38+'Financial Quarterly offshore'!Q51+'Financial Quarterly offshore'!Q80</f>
        <v>0</v>
      </c>
      <c r="R15" s="291">
        <f ca="1">'Financial Quarterly offshore'!R25+'Financial Quarterly offshore'!R38+'Financial Quarterly offshore'!R51+'Financial Quarterly offshore'!R80</f>
        <v>0</v>
      </c>
      <c r="S15" s="291">
        <f ca="1">'Financial Quarterly offshore'!S25+'Financial Quarterly offshore'!S38+'Financial Quarterly offshore'!S51+'Financial Quarterly offshore'!S80</f>
        <v>0</v>
      </c>
      <c r="T15" s="291">
        <f ca="1">'Financial Quarterly offshore'!T25+'Financial Quarterly offshore'!T38+'Financial Quarterly offshore'!T51+'Financial Quarterly offshore'!T80</f>
        <v>0</v>
      </c>
      <c r="U15" s="291">
        <f ca="1">'Financial Quarterly offshore'!U25+'Financial Quarterly offshore'!U38+'Financial Quarterly offshore'!U51+'Financial Quarterly offshore'!U80</f>
        <v>0</v>
      </c>
      <c r="V15" s="291">
        <f ca="1">'Financial Quarterly offshore'!V25+'Financial Quarterly offshore'!V38+'Financial Quarterly offshore'!V51+'Financial Quarterly offshore'!V80</f>
        <v>0</v>
      </c>
      <c r="W15" s="291">
        <f ca="1">'Financial Quarterly offshore'!W25+'Financial Quarterly offshore'!W38+'Financial Quarterly offshore'!W51+'Financial Quarterly offshore'!W80</f>
        <v>0</v>
      </c>
      <c r="X15" s="291">
        <f ca="1">'Financial Quarterly offshore'!X25+'Financial Quarterly offshore'!X38+'Financial Quarterly offshore'!X51+'Financial Quarterly offshore'!X80</f>
        <v>0</v>
      </c>
      <c r="Y15" s="291">
        <f ca="1">'Financial Quarterly offshore'!Y25+'Financial Quarterly offshore'!Y38+'Financial Quarterly offshore'!Y51+'Financial Quarterly offshore'!Y80</f>
        <v>0</v>
      </c>
      <c r="Z15" s="291">
        <f ca="1">'Financial Quarterly offshore'!Z25+'Financial Quarterly offshore'!Z38+'Financial Quarterly offshore'!Z51+'Financial Quarterly offshore'!Z80</f>
        <v>0</v>
      </c>
      <c r="AA15" s="291">
        <f ca="1">'Financial Quarterly offshore'!AA25+'Financial Quarterly offshore'!AA38+'Financial Quarterly offshore'!AA51+'Financial Quarterly offshore'!AA80</f>
        <v>0</v>
      </c>
      <c r="AB15" s="291" t="e">
        <f ca="1">'Financial Quarterly offshore'!AB25+'Financial Quarterly offshore'!AB38+'Financial Quarterly offshore'!AB51+'Financial Quarterly offshore'!AB80</f>
        <v>#N/A</v>
      </c>
      <c r="AC15" s="291" t="e">
        <f ca="1">'Financial Quarterly offshore'!AC25+'Financial Quarterly offshore'!AC38+'Financial Quarterly offshore'!AC51+'Financial Quarterly offshore'!AC80</f>
        <v>#N/A</v>
      </c>
      <c r="AD15" s="291" t="e">
        <f ca="1">'Financial Quarterly offshore'!AD25+'Financial Quarterly offshore'!AD38+'Financial Quarterly offshore'!AD51+'Financial Quarterly offshore'!AD80</f>
        <v>#N/A</v>
      </c>
      <c r="AE15" s="291" t="e">
        <f ca="1">'Financial Quarterly offshore'!AE25+'Financial Quarterly offshore'!AE38+'Financial Quarterly offshore'!AE51+'Financial Quarterly offshore'!AE80</f>
        <v>#N/A</v>
      </c>
      <c r="AF15" s="291" t="e">
        <f ca="1">'Financial Quarterly offshore'!AF25+'Financial Quarterly offshore'!AF38+'Financial Quarterly offshore'!AF51+'Financial Quarterly offshore'!AF80</f>
        <v>#N/A</v>
      </c>
      <c r="AG15" s="291" t="e">
        <f ca="1">'Financial Quarterly offshore'!AG25+'Financial Quarterly offshore'!AG38+'Financial Quarterly offshore'!AG51+'Financial Quarterly offshore'!AG80</f>
        <v>#N/A</v>
      </c>
    </row>
    <row r="16" spans="3:33" outlineLevel="1">
      <c r="C16" s="291" t="s">
        <v>762</v>
      </c>
      <c r="D16" s="291">
        <f>+'Financial Quarterly offshore'!D67</f>
        <v>0</v>
      </c>
      <c r="E16" s="291">
        <f ca="1">+'Financial Quarterly offshore'!E67</f>
        <v>0</v>
      </c>
      <c r="F16" s="291">
        <f ca="1">+'Financial Quarterly offshore'!F67</f>
        <v>0</v>
      </c>
      <c r="G16" s="291">
        <f ca="1">+'Financial Quarterly offshore'!G67</f>
        <v>0</v>
      </c>
      <c r="H16" s="291">
        <f ca="1">+'Financial Quarterly offshore'!H67</f>
        <v>0</v>
      </c>
      <c r="I16" s="291">
        <f ca="1">+'Financial Quarterly offshore'!I67</f>
        <v>0</v>
      </c>
      <c r="J16" s="291">
        <f ca="1">+'Financial Quarterly offshore'!J67</f>
        <v>0</v>
      </c>
      <c r="K16" s="291">
        <f ca="1">+'Financial Quarterly offshore'!K67</f>
        <v>0</v>
      </c>
      <c r="L16" s="291">
        <f ca="1">+'Financial Quarterly offshore'!L67</f>
        <v>0</v>
      </c>
      <c r="M16" s="291">
        <f ca="1">+'Financial Quarterly offshore'!M67</f>
        <v>0</v>
      </c>
      <c r="N16" s="291">
        <f ca="1">+'Financial Quarterly offshore'!N67</f>
        <v>0</v>
      </c>
      <c r="O16" s="291">
        <f ca="1">+'Financial Quarterly offshore'!O67</f>
        <v>0</v>
      </c>
      <c r="P16" s="291">
        <f ca="1">+'Financial Quarterly offshore'!P67</f>
        <v>0</v>
      </c>
      <c r="Q16" s="291">
        <f ca="1">+'Financial Quarterly offshore'!Q67</f>
        <v>0</v>
      </c>
      <c r="R16" s="291">
        <f ca="1">+'Financial Quarterly offshore'!R67</f>
        <v>0</v>
      </c>
      <c r="S16" s="291">
        <f ca="1">+'Financial Quarterly offshore'!S67</f>
        <v>0</v>
      </c>
      <c r="T16" s="291">
        <f ca="1">+'Financial Quarterly offshore'!T67</f>
        <v>0</v>
      </c>
      <c r="U16" s="291">
        <f ca="1">+'Financial Quarterly offshore'!U67</f>
        <v>0</v>
      </c>
      <c r="V16" s="291">
        <f ca="1">+'Financial Quarterly offshore'!V67</f>
        <v>0</v>
      </c>
      <c r="W16" s="291">
        <f ca="1">+'Financial Quarterly offshore'!W67</f>
        <v>0</v>
      </c>
      <c r="X16" s="291">
        <f ca="1">+'Financial Quarterly offshore'!X67</f>
        <v>0</v>
      </c>
      <c r="Y16" s="291">
        <f ca="1">+'Financial Quarterly offshore'!Y67</f>
        <v>0</v>
      </c>
      <c r="Z16" s="291">
        <f ca="1">+'Financial Quarterly offshore'!Z67</f>
        <v>0</v>
      </c>
      <c r="AA16" s="291">
        <f ca="1">+'Financial Quarterly offshore'!AA67</f>
        <v>0</v>
      </c>
      <c r="AB16" s="291" t="e">
        <f ca="1">+'Financial Quarterly offshore'!AB67</f>
        <v>#N/A</v>
      </c>
      <c r="AC16" s="291" t="e">
        <f ca="1">+'Financial Quarterly offshore'!AC67</f>
        <v>#N/A</v>
      </c>
      <c r="AD16" s="291" t="e">
        <f ca="1">+'Financial Quarterly offshore'!AD67</f>
        <v>#N/A</v>
      </c>
      <c r="AE16" s="291" t="e">
        <f ca="1">+'Financial Quarterly offshore'!AE67</f>
        <v>#N/A</v>
      </c>
      <c r="AF16" s="291" t="e">
        <f ca="1">+'Financial Quarterly offshore'!AF67</f>
        <v>#N/A</v>
      </c>
      <c r="AG16" s="291" t="e">
        <f ca="1">+'Financial Quarterly offshore'!AG67</f>
        <v>#N/A</v>
      </c>
    </row>
    <row r="17" spans="3:33" outlineLevel="1">
      <c r="C17" s="180" t="s">
        <v>763</v>
      </c>
      <c r="D17" s="180">
        <f>SUM(D15:D16)</f>
        <v>0</v>
      </c>
      <c r="E17" s="180">
        <f t="shared" ref="E17:AB17" ca="1" si="13">SUM(E15:E16)</f>
        <v>0</v>
      </c>
      <c r="F17" s="180">
        <f t="shared" ca="1" si="13"/>
        <v>0</v>
      </c>
      <c r="G17" s="180">
        <f t="shared" ca="1" si="13"/>
        <v>0</v>
      </c>
      <c r="H17" s="180">
        <f t="shared" ca="1" si="13"/>
        <v>0</v>
      </c>
      <c r="I17" s="180">
        <f t="shared" ca="1" si="13"/>
        <v>0</v>
      </c>
      <c r="J17" s="180">
        <f t="shared" ca="1" si="13"/>
        <v>0</v>
      </c>
      <c r="K17" s="180">
        <f t="shared" ca="1" si="13"/>
        <v>0</v>
      </c>
      <c r="L17" s="180">
        <f t="shared" ca="1" si="13"/>
        <v>0</v>
      </c>
      <c r="M17" s="180">
        <f t="shared" ca="1" si="13"/>
        <v>0</v>
      </c>
      <c r="N17" s="180">
        <f t="shared" ca="1" si="13"/>
        <v>0</v>
      </c>
      <c r="O17" s="180">
        <f t="shared" ca="1" si="13"/>
        <v>0</v>
      </c>
      <c r="P17" s="180">
        <f t="shared" ca="1" si="13"/>
        <v>0</v>
      </c>
      <c r="Q17" s="180">
        <f t="shared" ca="1" si="13"/>
        <v>0</v>
      </c>
      <c r="R17" s="180">
        <f t="shared" ca="1" si="13"/>
        <v>0</v>
      </c>
      <c r="S17" s="180">
        <f t="shared" ca="1" si="13"/>
        <v>0</v>
      </c>
      <c r="T17" s="180">
        <f t="shared" ca="1" si="13"/>
        <v>0</v>
      </c>
      <c r="U17" s="180">
        <f t="shared" ca="1" si="13"/>
        <v>0</v>
      </c>
      <c r="V17" s="180">
        <f t="shared" ca="1" si="13"/>
        <v>0</v>
      </c>
      <c r="W17" s="180">
        <f t="shared" ca="1" si="13"/>
        <v>0</v>
      </c>
      <c r="X17" s="180">
        <f t="shared" ca="1" si="13"/>
        <v>0</v>
      </c>
      <c r="Y17" s="180">
        <f t="shared" ca="1" si="13"/>
        <v>0</v>
      </c>
      <c r="Z17" s="180">
        <f t="shared" ca="1" si="13"/>
        <v>0</v>
      </c>
      <c r="AA17" s="180">
        <f t="shared" ca="1" si="13"/>
        <v>0</v>
      </c>
      <c r="AB17" s="180" t="e">
        <f t="shared" ca="1" si="13"/>
        <v>#N/A</v>
      </c>
      <c r="AC17" s="180" t="e">
        <f t="shared" ref="AC17:AF17" ca="1" si="14">SUM(AC15:AC16)</f>
        <v>#N/A</v>
      </c>
      <c r="AD17" s="180" t="e">
        <f t="shared" ca="1" si="14"/>
        <v>#N/A</v>
      </c>
      <c r="AE17" s="180" t="e">
        <f t="shared" ca="1" si="14"/>
        <v>#N/A</v>
      </c>
      <c r="AF17" s="180" t="e">
        <f t="shared" ca="1" si="14"/>
        <v>#N/A</v>
      </c>
      <c r="AG17" s="180" t="e">
        <f t="shared" ref="AG17" ca="1" si="15">SUM(AG15:AG16)</f>
        <v>#N/A</v>
      </c>
    </row>
    <row r="18" spans="3:33" outlineLevel="1">
      <c r="C18" s="180" t="s">
        <v>703</v>
      </c>
      <c r="D18" s="180">
        <f>'Financial Quarterly offshore'!D13</f>
        <v>0</v>
      </c>
      <c r="E18" s="180">
        <f>'Financial Quarterly offshore'!E13</f>
        <v>0</v>
      </c>
      <c r="F18" s="180">
        <f ca="1">'Financial Quarterly offshore'!F13</f>
        <v>0</v>
      </c>
      <c r="G18" s="180">
        <f ca="1">'Financial Quarterly offshore'!G13</f>
        <v>0</v>
      </c>
      <c r="H18" s="180">
        <f ca="1">'Financial Quarterly offshore'!H13</f>
        <v>0</v>
      </c>
      <c r="I18" s="180">
        <f ca="1">'Financial Quarterly offshore'!I13</f>
        <v>0</v>
      </c>
      <c r="J18" s="180">
        <f ca="1">'Financial Quarterly offshore'!J13</f>
        <v>0</v>
      </c>
      <c r="K18" s="180">
        <f ca="1">'Financial Quarterly offshore'!K13</f>
        <v>0</v>
      </c>
      <c r="L18" s="180">
        <f ca="1">'Financial Quarterly offshore'!L13</f>
        <v>0</v>
      </c>
      <c r="M18" s="180">
        <f ca="1">'Financial Quarterly offshore'!M13</f>
        <v>0</v>
      </c>
      <c r="N18" s="180">
        <f ca="1">'Financial Quarterly offshore'!N13</f>
        <v>0</v>
      </c>
      <c r="O18" s="180">
        <f ca="1">'Financial Quarterly offshore'!O13</f>
        <v>0</v>
      </c>
      <c r="P18" s="180">
        <f ca="1">'Financial Quarterly offshore'!P13</f>
        <v>0</v>
      </c>
      <c r="Q18" s="180">
        <f ca="1">'Financial Quarterly offshore'!Q13</f>
        <v>0</v>
      </c>
      <c r="R18" s="180">
        <f ca="1">'Financial Quarterly offshore'!R13</f>
        <v>0</v>
      </c>
      <c r="S18" s="180">
        <f ca="1">'Financial Quarterly offshore'!S13</f>
        <v>0</v>
      </c>
      <c r="T18" s="180">
        <f ca="1">'Financial Quarterly offshore'!T13</f>
        <v>0</v>
      </c>
      <c r="U18" s="180">
        <f ca="1">'Financial Quarterly offshore'!U13</f>
        <v>0</v>
      </c>
      <c r="V18" s="180">
        <f ca="1">'Financial Quarterly offshore'!V13</f>
        <v>0</v>
      </c>
      <c r="W18" s="180">
        <f ca="1">'Financial Quarterly offshore'!W13</f>
        <v>0</v>
      </c>
      <c r="X18" s="180">
        <f ca="1">'Financial Quarterly offshore'!X13</f>
        <v>0</v>
      </c>
      <c r="Y18" s="180">
        <f ca="1">'Financial Quarterly offshore'!Y13</f>
        <v>0</v>
      </c>
      <c r="Z18" s="180">
        <f ca="1">'Financial Quarterly offshore'!Z13</f>
        <v>0</v>
      </c>
      <c r="AA18" s="180">
        <f ca="1">'Financial Quarterly offshore'!AA13</f>
        <v>0</v>
      </c>
      <c r="AB18" s="180">
        <f ca="1">'Financial Quarterly offshore'!AB13</f>
        <v>0</v>
      </c>
      <c r="AC18" s="180" t="e">
        <f ca="1">'Financial Quarterly offshore'!AC13</f>
        <v>#N/A</v>
      </c>
      <c r="AD18" s="180" t="e">
        <f ca="1">'Financial Quarterly offshore'!AD13</f>
        <v>#N/A</v>
      </c>
      <c r="AE18" s="180" t="e">
        <f ca="1">'Financial Quarterly offshore'!AE13</f>
        <v>#N/A</v>
      </c>
      <c r="AF18" s="180" t="e">
        <f ca="1">'Financial Quarterly offshore'!AF13</f>
        <v>#N/A</v>
      </c>
      <c r="AG18" s="180" t="e">
        <f ca="1">'Financial Quarterly offshore'!AG13</f>
        <v>#N/A</v>
      </c>
    </row>
    <row r="19" spans="3:33" outlineLevel="1">
      <c r="C19" s="180" t="s">
        <v>704</v>
      </c>
      <c r="D19" s="180">
        <f>'Financial Quarterly offshore'!D95</f>
        <v>0</v>
      </c>
      <c r="E19" s="180">
        <f ca="1">'Financial Quarterly offshore'!E95</f>
        <v>0</v>
      </c>
      <c r="F19" s="180">
        <f ca="1">'Financial Quarterly offshore'!F95</f>
        <v>0</v>
      </c>
      <c r="G19" s="180">
        <f ca="1">'Financial Quarterly offshore'!G95</f>
        <v>0</v>
      </c>
      <c r="H19" s="180">
        <f ca="1">'Financial Quarterly offshore'!H95</f>
        <v>0</v>
      </c>
      <c r="I19" s="180">
        <f ca="1">'Financial Quarterly offshore'!I95</f>
        <v>0</v>
      </c>
      <c r="J19" s="180">
        <f ca="1">'Financial Quarterly offshore'!J95</f>
        <v>0</v>
      </c>
      <c r="K19" s="180">
        <f ca="1">'Financial Quarterly offshore'!K95</f>
        <v>0</v>
      </c>
      <c r="L19" s="180">
        <f ca="1">'Financial Quarterly offshore'!L95</f>
        <v>0</v>
      </c>
      <c r="M19" s="180">
        <f ca="1">'Financial Quarterly offshore'!M95</f>
        <v>0</v>
      </c>
      <c r="N19" s="180">
        <f ca="1">'Financial Quarterly offshore'!N95</f>
        <v>0</v>
      </c>
      <c r="O19" s="180">
        <f ca="1">'Financial Quarterly offshore'!O95</f>
        <v>0</v>
      </c>
      <c r="P19" s="180">
        <f ca="1">'Financial Quarterly offshore'!P95</f>
        <v>0</v>
      </c>
      <c r="Q19" s="180">
        <f ca="1">'Financial Quarterly offshore'!Q95</f>
        <v>0</v>
      </c>
      <c r="R19" s="180">
        <f ca="1">'Financial Quarterly offshore'!R95</f>
        <v>0</v>
      </c>
      <c r="S19" s="180">
        <f ca="1">'Financial Quarterly offshore'!S95</f>
        <v>0</v>
      </c>
      <c r="T19" s="180">
        <f ca="1">'Financial Quarterly offshore'!T95</f>
        <v>0</v>
      </c>
      <c r="U19" s="180">
        <f ca="1">'Financial Quarterly offshore'!U95</f>
        <v>0</v>
      </c>
      <c r="V19" s="180">
        <f ca="1">'Financial Quarterly offshore'!V95</f>
        <v>0</v>
      </c>
      <c r="W19" s="180">
        <f ca="1">'Financial Quarterly offshore'!W95</f>
        <v>0</v>
      </c>
      <c r="X19" s="180">
        <f ca="1">'Financial Quarterly offshore'!X95</f>
        <v>0</v>
      </c>
      <c r="Y19" s="180">
        <f ca="1">'Financial Quarterly offshore'!Y95</f>
        <v>0</v>
      </c>
      <c r="Z19" s="180">
        <f ca="1">'Financial Quarterly offshore'!Z95</f>
        <v>0</v>
      </c>
      <c r="AA19" s="180">
        <f ca="1">'Financial Quarterly offshore'!AA95</f>
        <v>0</v>
      </c>
      <c r="AB19" s="180" t="e">
        <f ca="1">'Financial Quarterly offshore'!AB95</f>
        <v>#N/A</v>
      </c>
      <c r="AC19" s="180" t="e">
        <f ca="1">'Financial Quarterly offshore'!AC95</f>
        <v>#N/A</v>
      </c>
      <c r="AD19" s="180" t="e">
        <f ca="1">'Financial Quarterly offshore'!AD95</f>
        <v>#N/A</v>
      </c>
      <c r="AE19" s="180" t="e">
        <f ca="1">'Financial Quarterly offshore'!AE95</f>
        <v>#N/A</v>
      </c>
      <c r="AF19" s="180" t="e">
        <f ca="1">'Financial Quarterly offshore'!AF95</f>
        <v>#N/A</v>
      </c>
      <c r="AG19" s="180" t="e">
        <f ca="1">'Financial Quarterly offshore'!AG95</f>
        <v>#N/A</v>
      </c>
    </row>
    <row r="20" spans="3:33" ht="14.4" outlineLevel="1">
      <c r="C20" s="34"/>
    </row>
    <row r="21" spans="3:33" outlineLevel="1">
      <c r="C21" s="291" t="s">
        <v>770</v>
      </c>
      <c r="D21" s="291">
        <f>'Operating quarterly offshore'!L27+'Financial Quarterly offshore'!D88</f>
        <v>0</v>
      </c>
      <c r="E21" s="291">
        <f>'Operating quarterly offshore'!M27+'Financial Quarterly offshore'!E88</f>
        <v>0</v>
      </c>
      <c r="F21" s="291">
        <f ca="1">'Operating quarterly offshore'!N27+'Financial Quarterly offshore'!F88</f>
        <v>0</v>
      </c>
      <c r="G21" s="291">
        <f ca="1">'Operating quarterly offshore'!O27+'Financial Quarterly offshore'!G88</f>
        <v>0</v>
      </c>
      <c r="H21" s="291">
        <f ca="1">'Operating quarterly offshore'!P27+'Financial Quarterly offshore'!H88</f>
        <v>0</v>
      </c>
      <c r="I21" s="291">
        <f ca="1">'Operating quarterly offshore'!Q27+'Financial Quarterly offshore'!I88</f>
        <v>0</v>
      </c>
      <c r="J21" s="291">
        <f ca="1">'Operating quarterly offshore'!R27+'Financial Quarterly offshore'!J88</f>
        <v>0</v>
      </c>
      <c r="K21" s="291">
        <f ca="1">'Operating quarterly offshore'!S27+'Financial Quarterly offshore'!K88</f>
        <v>0</v>
      </c>
      <c r="L21" s="291">
        <f ca="1">'Operating quarterly offshore'!T27+'Financial Quarterly offshore'!L88</f>
        <v>0</v>
      </c>
      <c r="M21" s="291">
        <f ca="1">'Operating quarterly offshore'!U27+'Financial Quarterly offshore'!M88</f>
        <v>0</v>
      </c>
      <c r="N21" s="291">
        <f ca="1">'Operating quarterly offshore'!V27+'Financial Quarterly offshore'!N88</f>
        <v>0</v>
      </c>
      <c r="O21" s="291">
        <f ca="1">'Operating quarterly offshore'!W27+'Financial Quarterly offshore'!O88</f>
        <v>0</v>
      </c>
      <c r="P21" s="291">
        <f ca="1">'Operating quarterly offshore'!X27+'Financial Quarterly offshore'!P88</f>
        <v>0</v>
      </c>
      <c r="Q21" s="291">
        <f ca="1">'Operating quarterly offshore'!Y27+'Financial Quarterly offshore'!Q88</f>
        <v>0</v>
      </c>
      <c r="R21" s="291">
        <f ca="1">'Operating quarterly offshore'!Z27+'Financial Quarterly offshore'!R88</f>
        <v>0</v>
      </c>
      <c r="S21" s="291">
        <f ca="1">'Operating quarterly offshore'!AA27+'Financial Quarterly offshore'!S88</f>
        <v>0</v>
      </c>
      <c r="T21" s="291">
        <f ca="1">'Operating quarterly offshore'!AB27+'Financial Quarterly offshore'!T88</f>
        <v>0</v>
      </c>
      <c r="U21" s="291">
        <f ca="1">'Operating quarterly offshore'!AC27+'Financial Quarterly offshore'!U88</f>
        <v>0</v>
      </c>
      <c r="V21" s="291">
        <f ca="1">'Operating quarterly offshore'!AD27+'Financial Quarterly offshore'!V88</f>
        <v>0</v>
      </c>
      <c r="W21" s="291">
        <f ca="1">'Operating quarterly offshore'!AE27+'Financial Quarterly offshore'!W88</f>
        <v>0</v>
      </c>
      <c r="X21" s="291">
        <f ca="1">'Operating quarterly offshore'!AF27+'Financial Quarterly offshore'!X88</f>
        <v>0</v>
      </c>
      <c r="Y21" s="291">
        <f ca="1">'Operating quarterly offshore'!AG27+'Financial Quarterly offshore'!Y88</f>
        <v>0</v>
      </c>
      <c r="Z21" s="291">
        <f ca="1">'Operating quarterly offshore'!AH27+'Financial Quarterly offshore'!Z88</f>
        <v>0</v>
      </c>
      <c r="AA21" s="291">
        <f ca="1">'Operating quarterly offshore'!AI27+'Financial Quarterly offshore'!AA88</f>
        <v>0</v>
      </c>
      <c r="AB21" s="291" t="e">
        <f ca="1">'Operating quarterly offshore'!AJ27+'Financial Quarterly offshore'!AB88</f>
        <v>#N/A</v>
      </c>
      <c r="AC21" s="291" t="e">
        <f ca="1">'Operating quarterly offshore'!AK27+'Financial Quarterly offshore'!AC88</f>
        <v>#N/A</v>
      </c>
      <c r="AD21" s="291" t="e">
        <f ca="1">'Operating quarterly offshore'!AL27+'Financial Quarterly offshore'!AD88</f>
        <v>#N/A</v>
      </c>
      <c r="AE21" s="291" t="e">
        <f ca="1">'Operating quarterly offshore'!AM27+'Financial Quarterly offshore'!AE88</f>
        <v>#N/A</v>
      </c>
      <c r="AF21" s="291" t="e">
        <f ca="1">'Operating quarterly offshore'!AN27+'Financial Quarterly offshore'!AF88</f>
        <v>#N/A</v>
      </c>
      <c r="AG21" s="291" t="e">
        <f ca="1">'Operating quarterly offshore'!AO27+'Financial Quarterly offshore'!AG88</f>
        <v>#N/A</v>
      </c>
    </row>
    <row r="22" spans="3:33" outlineLevel="1">
      <c r="C22" s="291" t="s">
        <v>783</v>
      </c>
      <c r="D22" s="291">
        <f>'Operating quarterly offshore'!L30</f>
        <v>0</v>
      </c>
      <c r="E22" s="291">
        <f>'Operating quarterly offshore'!M30</f>
        <v>0</v>
      </c>
      <c r="F22" s="291">
        <f>'Operating quarterly offshore'!N30</f>
        <v>0</v>
      </c>
      <c r="G22" s="291">
        <f>'Operating quarterly offshore'!O30</f>
        <v>0</v>
      </c>
      <c r="H22" s="291">
        <f>'Operating quarterly offshore'!P30</f>
        <v>0</v>
      </c>
      <c r="I22" s="291">
        <f>'Operating quarterly offshore'!Q30</f>
        <v>0</v>
      </c>
      <c r="J22" s="291">
        <f>'Operating quarterly offshore'!R30</f>
        <v>0</v>
      </c>
      <c r="K22" s="291">
        <f>'Operating quarterly offshore'!S30</f>
        <v>0</v>
      </c>
      <c r="L22" s="291">
        <f>'Operating quarterly offshore'!T30</f>
        <v>0</v>
      </c>
      <c r="M22" s="291">
        <f>'Operating quarterly offshore'!U30</f>
        <v>0</v>
      </c>
      <c r="N22" s="291">
        <f>'Operating quarterly offshore'!V30</f>
        <v>0</v>
      </c>
      <c r="O22" s="291">
        <f>'Operating quarterly offshore'!W30</f>
        <v>0</v>
      </c>
      <c r="P22" s="291">
        <f>'Operating quarterly offshore'!X30</f>
        <v>0</v>
      </c>
      <c r="Q22" s="291">
        <f>'Operating quarterly offshore'!Y30</f>
        <v>0</v>
      </c>
      <c r="R22" s="291">
        <f>'Operating quarterly offshore'!Z30</f>
        <v>0</v>
      </c>
      <c r="S22" s="291">
        <f>'Operating quarterly offshore'!AA30</f>
        <v>0</v>
      </c>
      <c r="T22" s="291">
        <f>'Operating quarterly offshore'!AB30</f>
        <v>0</v>
      </c>
      <c r="U22" s="291">
        <f>'Operating quarterly offshore'!AC30</f>
        <v>0</v>
      </c>
      <c r="V22" s="291">
        <f>'Operating quarterly offshore'!AD30</f>
        <v>0</v>
      </c>
      <c r="W22" s="291">
        <f>'Operating quarterly offshore'!AE30</f>
        <v>0</v>
      </c>
      <c r="X22" s="291">
        <f>'Operating quarterly offshore'!AF30</f>
        <v>0</v>
      </c>
      <c r="Y22" s="291">
        <f>'Operating quarterly offshore'!AG30</f>
        <v>0</v>
      </c>
      <c r="Z22" s="291">
        <f>'Operating quarterly offshore'!AH30</f>
        <v>0</v>
      </c>
      <c r="AA22" s="291">
        <f>'Operating quarterly offshore'!AI30</f>
        <v>0</v>
      </c>
      <c r="AB22" s="291" t="e">
        <f>'Operating quarterly offshore'!AJ30</f>
        <v>#N/A</v>
      </c>
      <c r="AC22" s="291" t="e">
        <f>'Operating quarterly offshore'!AK30</f>
        <v>#N/A</v>
      </c>
      <c r="AD22" s="291" t="e">
        <f>'Operating quarterly offshore'!AL30</f>
        <v>#N/A</v>
      </c>
      <c r="AE22" s="291" t="e">
        <f>'Operating quarterly offshore'!AM30</f>
        <v>#N/A</v>
      </c>
      <c r="AF22" s="291" t="e">
        <f>'Operating quarterly offshore'!AN30</f>
        <v>#N/A</v>
      </c>
      <c r="AG22" s="291" t="e">
        <f>'Operating quarterly offshore'!AO30</f>
        <v>#N/A</v>
      </c>
    </row>
    <row r="23" spans="3:33" outlineLevel="1">
      <c r="C23" s="291" t="s">
        <v>684</v>
      </c>
      <c r="D23" s="291">
        <f>'Operating quarterly offshore'!L23</f>
        <v>0</v>
      </c>
      <c r="E23" s="291">
        <f>'Operating quarterly offshore'!M23</f>
        <v>0</v>
      </c>
      <c r="F23" s="291">
        <f>'Operating quarterly offshore'!N23</f>
        <v>0</v>
      </c>
      <c r="G23" s="291">
        <f>'Operating quarterly offshore'!O23</f>
        <v>0</v>
      </c>
      <c r="H23" s="291">
        <f>'Operating quarterly offshore'!P23</f>
        <v>0</v>
      </c>
      <c r="I23" s="291">
        <f>'Operating quarterly offshore'!Q23</f>
        <v>0</v>
      </c>
      <c r="J23" s="291">
        <f>'Operating quarterly offshore'!R23</f>
        <v>0</v>
      </c>
      <c r="K23" s="291">
        <f>'Operating quarterly offshore'!S23</f>
        <v>0</v>
      </c>
      <c r="L23" s="291">
        <f>'Operating quarterly offshore'!T23</f>
        <v>0</v>
      </c>
      <c r="M23" s="291">
        <f>'Operating quarterly offshore'!U23</f>
        <v>0</v>
      </c>
      <c r="N23" s="291">
        <f>'Operating quarterly offshore'!V23</f>
        <v>0</v>
      </c>
      <c r="O23" s="291">
        <f>'Operating quarterly offshore'!W23</f>
        <v>0</v>
      </c>
      <c r="P23" s="291">
        <f>'Operating quarterly offshore'!X23</f>
        <v>0</v>
      </c>
      <c r="Q23" s="291">
        <f>'Operating quarterly offshore'!Y23</f>
        <v>0</v>
      </c>
      <c r="R23" s="291">
        <f>'Operating quarterly offshore'!Z23</f>
        <v>0</v>
      </c>
      <c r="S23" s="291">
        <f>'Operating quarterly offshore'!AA23</f>
        <v>0</v>
      </c>
      <c r="T23" s="291">
        <f>'Operating quarterly offshore'!AB23</f>
        <v>0</v>
      </c>
      <c r="U23" s="291">
        <f>'Operating quarterly offshore'!AC23</f>
        <v>0</v>
      </c>
      <c r="V23" s="291">
        <f>'Operating quarterly offshore'!AD23</f>
        <v>0</v>
      </c>
      <c r="W23" s="291">
        <f>'Operating quarterly offshore'!AE23</f>
        <v>0</v>
      </c>
      <c r="X23" s="291">
        <f>'Operating quarterly offshore'!AF23</f>
        <v>0</v>
      </c>
      <c r="Y23" s="291">
        <f>'Operating quarterly offshore'!AG23</f>
        <v>0</v>
      </c>
      <c r="Z23" s="291">
        <f>'Operating quarterly offshore'!AH23</f>
        <v>0</v>
      </c>
      <c r="AA23" s="291">
        <f>'Operating quarterly offshore'!AI23</f>
        <v>0</v>
      </c>
      <c r="AB23" s="291" t="e">
        <f>'Operating quarterly offshore'!AJ23</f>
        <v>#N/A</v>
      </c>
      <c r="AC23" s="291" t="e">
        <f>'Operating quarterly offshore'!AK23</f>
        <v>#N/A</v>
      </c>
      <c r="AD23" s="291" t="e">
        <f>'Operating quarterly offshore'!AL23</f>
        <v>#N/A</v>
      </c>
      <c r="AE23" s="291" t="e">
        <f>'Operating quarterly offshore'!AM23</f>
        <v>#N/A</v>
      </c>
      <c r="AF23" s="291" t="e">
        <f>'Operating quarterly offshore'!AN23</f>
        <v>#N/A</v>
      </c>
      <c r="AG23" s="291" t="e">
        <f>'Operating quarterly offshore'!AO23</f>
        <v>#N/A</v>
      </c>
    </row>
    <row r="24" spans="3:33" outlineLevel="1">
      <c r="C24" s="291" t="s">
        <v>776</v>
      </c>
      <c r="D24" s="291">
        <f>-(+'Operating quarterly offshore'!L28)</f>
        <v>0</v>
      </c>
      <c r="E24" s="291">
        <f>-(+'Operating quarterly offshore'!M28)</f>
        <v>0</v>
      </c>
      <c r="F24" s="291">
        <f>-(+'Operating quarterly offshore'!N28)</f>
        <v>0</v>
      </c>
      <c r="G24" s="291">
        <f>-(+'Operating quarterly offshore'!O28)</f>
        <v>0</v>
      </c>
      <c r="H24" s="291">
        <f>-(+'Operating quarterly offshore'!P28)</f>
        <v>0</v>
      </c>
      <c r="I24" s="291">
        <f>-(+'Operating quarterly offshore'!Q28)</f>
        <v>0</v>
      </c>
      <c r="J24" s="291">
        <f>-(+'Operating quarterly offshore'!R28)</f>
        <v>0</v>
      </c>
      <c r="K24" s="291">
        <f>-(+'Operating quarterly offshore'!S28)</f>
        <v>0</v>
      </c>
      <c r="L24" s="291">
        <f>-(+'Operating quarterly offshore'!T28)</f>
        <v>0</v>
      </c>
      <c r="M24" s="291">
        <f>-(+'Operating quarterly offshore'!U28)</f>
        <v>0</v>
      </c>
      <c r="N24" s="291">
        <f>-(+'Operating quarterly offshore'!V28)</f>
        <v>0</v>
      </c>
      <c r="O24" s="291">
        <f>-(+'Operating quarterly offshore'!W28)</f>
        <v>0</v>
      </c>
      <c r="P24" s="291">
        <f>-(+'Operating quarterly offshore'!X28)</f>
        <v>0</v>
      </c>
      <c r="Q24" s="291">
        <f>-(+'Operating quarterly offshore'!Y28)</f>
        <v>0</v>
      </c>
      <c r="R24" s="291">
        <f>-(+'Operating quarterly offshore'!Z28)</f>
        <v>0</v>
      </c>
      <c r="S24" s="291">
        <f>-(+'Operating quarterly offshore'!AA28)</f>
        <v>0</v>
      </c>
      <c r="T24" s="291">
        <f>-(+'Operating quarterly offshore'!AB28)</f>
        <v>0</v>
      </c>
      <c r="U24" s="291">
        <f>-(+'Operating quarterly offshore'!AC28)</f>
        <v>0</v>
      </c>
      <c r="V24" s="291">
        <f>-(+'Operating quarterly offshore'!AD28)</f>
        <v>0</v>
      </c>
      <c r="W24" s="291">
        <f>-(+'Operating quarterly offshore'!AE28)</f>
        <v>0</v>
      </c>
      <c r="X24" s="291">
        <f>-(+'Operating quarterly offshore'!AF28)</f>
        <v>0</v>
      </c>
      <c r="Y24" s="291">
        <f>-(+'Operating quarterly offshore'!AG28)</f>
        <v>0</v>
      </c>
      <c r="Z24" s="291">
        <f>-(+'Operating quarterly offshore'!AH28)</f>
        <v>0</v>
      </c>
      <c r="AA24" s="291">
        <f>-(+'Operating quarterly offshore'!AI28)</f>
        <v>0</v>
      </c>
      <c r="AB24" s="291" t="e">
        <f>-(+'Operating quarterly offshore'!AJ28)</f>
        <v>#N/A</v>
      </c>
      <c r="AC24" s="291" t="e">
        <f>-(+'Operating quarterly offshore'!AK28)</f>
        <v>#N/A</v>
      </c>
      <c r="AD24" s="291" t="e">
        <f>-(+'Operating quarterly offshore'!AL28)</f>
        <v>#N/A</v>
      </c>
      <c r="AE24" s="291" t="e">
        <f>-(+'Operating quarterly offshore'!AM28)</f>
        <v>#N/A</v>
      </c>
      <c r="AF24" s="291" t="e">
        <f>-(+'Operating quarterly offshore'!AN28)</f>
        <v>#N/A</v>
      </c>
      <c r="AG24" s="291" t="e">
        <f>-(+'Operating quarterly offshore'!AO28)</f>
        <v>#N/A</v>
      </c>
    </row>
    <row r="25" spans="3:33" outlineLevel="1">
      <c r="C25" s="291" t="s">
        <v>772</v>
      </c>
      <c r="D25" s="291">
        <f>-('Financial Quarterly offshore'!D24+'Financial Quarterly offshore'!D37+'Financial Quarterly offshore'!D50+'Financial Quarterly offshore'!D79)</f>
        <v>0</v>
      </c>
      <c r="E25" s="291">
        <f>-('Financial Quarterly offshore'!E24+'Financial Quarterly offshore'!E37+'Financial Quarterly offshore'!E50+'Financial Quarterly offshore'!E79)</f>
        <v>0</v>
      </c>
      <c r="F25" s="291">
        <f ca="1">-('Financial Quarterly offshore'!F24+'Financial Quarterly offshore'!F37+'Financial Quarterly offshore'!F50+'Financial Quarterly offshore'!F79)</f>
        <v>0</v>
      </c>
      <c r="G25" s="291">
        <f ca="1">-('Financial Quarterly offshore'!G24+'Financial Quarterly offshore'!G37+'Financial Quarterly offshore'!G50+'Financial Quarterly offshore'!G79)</f>
        <v>0</v>
      </c>
      <c r="H25" s="291">
        <f ca="1">-('Financial Quarterly offshore'!H24+'Financial Quarterly offshore'!H37+'Financial Quarterly offshore'!H50+'Financial Quarterly offshore'!H79)</f>
        <v>0</v>
      </c>
      <c r="I25" s="291">
        <f ca="1">-('Financial Quarterly offshore'!I24+'Financial Quarterly offshore'!I37+'Financial Quarterly offshore'!I50+'Financial Quarterly offshore'!I79)</f>
        <v>0</v>
      </c>
      <c r="J25" s="291">
        <f ca="1">-('Financial Quarterly offshore'!J24+'Financial Quarterly offshore'!J37+'Financial Quarterly offshore'!J50+'Financial Quarterly offshore'!J79)</f>
        <v>0</v>
      </c>
      <c r="K25" s="291">
        <f ca="1">-('Financial Quarterly offshore'!K24+'Financial Quarterly offshore'!K37+'Financial Quarterly offshore'!K50+'Financial Quarterly offshore'!K79)</f>
        <v>0</v>
      </c>
      <c r="L25" s="291">
        <f ca="1">-('Financial Quarterly offshore'!L24+'Financial Quarterly offshore'!L37+'Financial Quarterly offshore'!L50+'Financial Quarterly offshore'!L79)</f>
        <v>0</v>
      </c>
      <c r="M25" s="291">
        <f ca="1">-('Financial Quarterly offshore'!M24+'Financial Quarterly offshore'!M37+'Financial Quarterly offshore'!M50+'Financial Quarterly offshore'!M79)</f>
        <v>0</v>
      </c>
      <c r="N25" s="291">
        <f ca="1">-('Financial Quarterly offshore'!N24+'Financial Quarterly offshore'!N37+'Financial Quarterly offshore'!N50+'Financial Quarterly offshore'!N79)</f>
        <v>0</v>
      </c>
      <c r="O25" s="291">
        <f ca="1">-('Financial Quarterly offshore'!O24+'Financial Quarterly offshore'!O37+'Financial Quarterly offshore'!O50+'Financial Quarterly offshore'!O79)</f>
        <v>0</v>
      </c>
      <c r="P25" s="291">
        <f ca="1">-('Financial Quarterly offshore'!P24+'Financial Quarterly offshore'!P37+'Financial Quarterly offshore'!P50+'Financial Quarterly offshore'!P79)</f>
        <v>0</v>
      </c>
      <c r="Q25" s="291">
        <f ca="1">-('Financial Quarterly offshore'!Q24+'Financial Quarterly offshore'!Q37+'Financial Quarterly offshore'!Q50+'Financial Quarterly offshore'!Q79)</f>
        <v>0</v>
      </c>
      <c r="R25" s="291">
        <f ca="1">-('Financial Quarterly offshore'!R24+'Financial Quarterly offshore'!R37+'Financial Quarterly offshore'!R50+'Financial Quarterly offshore'!R79)</f>
        <v>0</v>
      </c>
      <c r="S25" s="291">
        <f ca="1">-('Financial Quarterly offshore'!S24+'Financial Quarterly offshore'!S37+'Financial Quarterly offshore'!S50+'Financial Quarterly offshore'!S79)</f>
        <v>0</v>
      </c>
      <c r="T25" s="291">
        <f ca="1">-('Financial Quarterly offshore'!T24+'Financial Quarterly offshore'!T37+'Financial Quarterly offshore'!T50+'Financial Quarterly offshore'!T79)</f>
        <v>0</v>
      </c>
      <c r="U25" s="291">
        <f ca="1">-('Financial Quarterly offshore'!U24+'Financial Quarterly offshore'!U37+'Financial Quarterly offshore'!U50+'Financial Quarterly offshore'!U79)</f>
        <v>0</v>
      </c>
      <c r="V25" s="291">
        <f ca="1">-('Financial Quarterly offshore'!V24+'Financial Quarterly offshore'!V37+'Financial Quarterly offshore'!V50+'Financial Quarterly offshore'!V79)</f>
        <v>0</v>
      </c>
      <c r="W25" s="291">
        <f ca="1">-('Financial Quarterly offshore'!W24+'Financial Quarterly offshore'!W37+'Financial Quarterly offshore'!W50+'Financial Quarterly offshore'!W79)</f>
        <v>0</v>
      </c>
      <c r="X25" s="291">
        <f ca="1">-('Financial Quarterly offshore'!X24+'Financial Quarterly offshore'!X37+'Financial Quarterly offshore'!X50+'Financial Quarterly offshore'!X79)</f>
        <v>0</v>
      </c>
      <c r="Y25" s="291">
        <f ca="1">-('Financial Quarterly offshore'!Y24+'Financial Quarterly offshore'!Y37+'Financial Quarterly offshore'!Y50+'Financial Quarterly offshore'!Y79)</f>
        <v>0</v>
      </c>
      <c r="Z25" s="291">
        <f ca="1">-('Financial Quarterly offshore'!Z24+'Financial Quarterly offshore'!Z37+'Financial Quarterly offshore'!Z50+'Financial Quarterly offshore'!Z79)</f>
        <v>0</v>
      </c>
      <c r="AA25" s="291">
        <f ca="1">-('Financial Quarterly offshore'!AA24+'Financial Quarterly offshore'!AA37+'Financial Quarterly offshore'!AA50+'Financial Quarterly offshore'!AA79)</f>
        <v>0</v>
      </c>
      <c r="AB25" s="291">
        <f ca="1">-('Financial Quarterly offshore'!AB24+'Financial Quarterly offshore'!AB37+'Financial Quarterly offshore'!AB50+'Financial Quarterly offshore'!AB79)</f>
        <v>0</v>
      </c>
      <c r="AC25" s="291" t="e">
        <f ca="1">-('Financial Quarterly offshore'!AC24+'Financial Quarterly offshore'!AC37+'Financial Quarterly offshore'!AC50+'Financial Quarterly offshore'!AC79)</f>
        <v>#N/A</v>
      </c>
      <c r="AD25" s="291" t="e">
        <f ca="1">-('Financial Quarterly offshore'!AD24+'Financial Quarterly offshore'!AD37+'Financial Quarterly offshore'!AD50+'Financial Quarterly offshore'!AD79)</f>
        <v>#N/A</v>
      </c>
      <c r="AE25" s="291" t="e">
        <f ca="1">-('Financial Quarterly offshore'!AE24+'Financial Quarterly offshore'!AE37+'Financial Quarterly offshore'!AE50+'Financial Quarterly offshore'!AE79)</f>
        <v>#N/A</v>
      </c>
      <c r="AF25" s="291" t="e">
        <f ca="1">-('Financial Quarterly offshore'!AF24+'Financial Quarterly offshore'!AF37+'Financial Quarterly offshore'!AF50+'Financial Quarterly offshore'!AF79)</f>
        <v>#N/A</v>
      </c>
      <c r="AG25" s="291" t="e">
        <f ca="1">-('Financial Quarterly offshore'!AG24+'Financial Quarterly offshore'!AG37+'Financial Quarterly offshore'!AG50+'Financial Quarterly offshore'!AG79)</f>
        <v>#N/A</v>
      </c>
    </row>
    <row r="26" spans="3:33" outlineLevel="1">
      <c r="C26" s="291" t="s">
        <v>773</v>
      </c>
      <c r="D26" s="291">
        <f>+D25-'Financial Quarterly offshore'!D65</f>
        <v>0</v>
      </c>
      <c r="E26" s="291">
        <f>+E25-'Financial Quarterly offshore'!E65</f>
        <v>0</v>
      </c>
      <c r="F26" s="291">
        <f ca="1">+F25-'Financial Quarterly offshore'!F65</f>
        <v>0</v>
      </c>
      <c r="G26" s="291">
        <f ca="1">+G25-'Financial Quarterly offshore'!G65</f>
        <v>0</v>
      </c>
      <c r="H26" s="291">
        <f ca="1">+H25-'Financial Quarterly offshore'!H65</f>
        <v>0</v>
      </c>
      <c r="I26" s="291">
        <f ca="1">+I25-'Financial Quarterly offshore'!I65</f>
        <v>0</v>
      </c>
      <c r="J26" s="291">
        <f ca="1">+J25-'Financial Quarterly offshore'!J65</f>
        <v>0</v>
      </c>
      <c r="K26" s="291">
        <f ca="1">+K25-'Financial Quarterly offshore'!K65</f>
        <v>0</v>
      </c>
      <c r="L26" s="291">
        <f ca="1">+L25-'Financial Quarterly offshore'!L65</f>
        <v>0</v>
      </c>
      <c r="M26" s="291">
        <f ca="1">+M25-'Financial Quarterly offshore'!M65</f>
        <v>0</v>
      </c>
      <c r="N26" s="291">
        <f ca="1">+N25-'Financial Quarterly offshore'!N65</f>
        <v>0</v>
      </c>
      <c r="O26" s="291">
        <f ca="1">+O25-'Financial Quarterly offshore'!O65</f>
        <v>0</v>
      </c>
      <c r="P26" s="291">
        <f ca="1">+P25-'Financial Quarterly offshore'!P65</f>
        <v>0</v>
      </c>
      <c r="Q26" s="291">
        <f ca="1">+Q25-'Financial Quarterly offshore'!Q65</f>
        <v>0</v>
      </c>
      <c r="R26" s="291">
        <f ca="1">+R25-'Financial Quarterly offshore'!R65</f>
        <v>0</v>
      </c>
      <c r="S26" s="291">
        <f ca="1">+S25-'Financial Quarterly offshore'!S65</f>
        <v>0</v>
      </c>
      <c r="T26" s="291">
        <f ca="1">+T25-'Financial Quarterly offshore'!T65</f>
        <v>0</v>
      </c>
      <c r="U26" s="291">
        <f ca="1">+U25-'Financial Quarterly offshore'!U65</f>
        <v>0</v>
      </c>
      <c r="V26" s="291">
        <f ca="1">+V25-'Financial Quarterly offshore'!V65</f>
        <v>0</v>
      </c>
      <c r="W26" s="291">
        <f ca="1">+W25-'Financial Quarterly offshore'!W65</f>
        <v>0</v>
      </c>
      <c r="X26" s="291">
        <f ca="1">+X25-'Financial Quarterly offshore'!X65</f>
        <v>0</v>
      </c>
      <c r="Y26" s="291">
        <f ca="1">+Y25-'Financial Quarterly offshore'!Y65</f>
        <v>0</v>
      </c>
      <c r="Z26" s="291">
        <f ca="1">+Z25-'Financial Quarterly offshore'!Z65</f>
        <v>0</v>
      </c>
      <c r="AA26" s="291">
        <f ca="1">+AA25-'Financial Quarterly offshore'!AA65</f>
        <v>0</v>
      </c>
      <c r="AB26" s="291">
        <f ca="1">+AB25-'Financial Quarterly offshore'!AB65</f>
        <v>0</v>
      </c>
      <c r="AC26" s="291" t="e">
        <f ca="1">+AC25-'Financial Quarterly offshore'!AC65</f>
        <v>#N/A</v>
      </c>
      <c r="AD26" s="291" t="e">
        <f ca="1">+AD25-'Financial Quarterly offshore'!AD65</f>
        <v>#N/A</v>
      </c>
      <c r="AE26" s="291" t="e">
        <f ca="1">+AE25-'Financial Quarterly offshore'!AE65</f>
        <v>#N/A</v>
      </c>
      <c r="AF26" s="291" t="e">
        <f ca="1">+AF25-'Financial Quarterly offshore'!AF65</f>
        <v>#N/A</v>
      </c>
      <c r="AG26" s="291" t="e">
        <f ca="1">+AG25-'Financial Quarterly offshore'!AG65</f>
        <v>#N/A</v>
      </c>
    </row>
    <row r="27" spans="3:33" outlineLevel="1">
      <c r="C27" s="291" t="s">
        <v>774</v>
      </c>
      <c r="D27" s="291">
        <f>-(+'Financial Quarterly offshore'!D21+'Financial Quarterly offshore'!D22+'Financial Quarterly offshore'!D34+'Financial Quarterly offshore'!D35+'Financial Quarterly offshore'!D47+'Financial Quarterly offshore'!D48)</f>
        <v>0</v>
      </c>
      <c r="E27" s="291">
        <f>-(+'Financial Quarterly offshore'!E21+'Financial Quarterly offshore'!E22+'Financial Quarterly offshore'!E34+'Financial Quarterly offshore'!E35+'Financial Quarterly offshore'!E47+'Financial Quarterly offshore'!E48)</f>
        <v>0</v>
      </c>
      <c r="F27" s="291">
        <f ca="1">-(+'Financial Quarterly offshore'!F21+'Financial Quarterly offshore'!F22+'Financial Quarterly offshore'!F34+'Financial Quarterly offshore'!F35+'Financial Quarterly offshore'!F47+'Financial Quarterly offshore'!F48)</f>
        <v>0</v>
      </c>
      <c r="G27" s="291">
        <f ca="1">-(+'Financial Quarterly offshore'!G21+'Financial Quarterly offshore'!G22+'Financial Quarterly offshore'!G34+'Financial Quarterly offshore'!G35+'Financial Quarterly offshore'!G47+'Financial Quarterly offshore'!G48)</f>
        <v>0</v>
      </c>
      <c r="H27" s="291">
        <f ca="1">-(+'Financial Quarterly offshore'!H21+'Financial Quarterly offshore'!H22+'Financial Quarterly offshore'!H34+'Financial Quarterly offshore'!H35+'Financial Quarterly offshore'!H47+'Financial Quarterly offshore'!H48)</f>
        <v>0</v>
      </c>
      <c r="I27" s="291">
        <f ca="1">-(+'Financial Quarterly offshore'!I21+'Financial Quarterly offshore'!I22+'Financial Quarterly offshore'!I34+'Financial Quarterly offshore'!I35+'Financial Quarterly offshore'!I47+'Financial Quarterly offshore'!I48)</f>
        <v>0</v>
      </c>
      <c r="J27" s="291">
        <f ca="1">-(+'Financial Quarterly offshore'!J21+'Financial Quarterly offshore'!J22+'Financial Quarterly offshore'!J34+'Financial Quarterly offshore'!J35+'Financial Quarterly offshore'!J47+'Financial Quarterly offshore'!J48)</f>
        <v>0</v>
      </c>
      <c r="K27" s="291">
        <f ca="1">-(+'Financial Quarterly offshore'!K21+'Financial Quarterly offshore'!K22+'Financial Quarterly offshore'!K34+'Financial Quarterly offshore'!K35+'Financial Quarterly offshore'!K47+'Financial Quarterly offshore'!K48)</f>
        <v>0</v>
      </c>
      <c r="L27" s="291">
        <f ca="1">-(+'Financial Quarterly offshore'!L21+'Financial Quarterly offshore'!L22+'Financial Quarterly offshore'!L34+'Financial Quarterly offshore'!L35+'Financial Quarterly offshore'!L47+'Financial Quarterly offshore'!L48)</f>
        <v>0</v>
      </c>
      <c r="M27" s="291">
        <f ca="1">-(+'Financial Quarterly offshore'!M21+'Financial Quarterly offshore'!M22+'Financial Quarterly offshore'!M34+'Financial Quarterly offshore'!M35+'Financial Quarterly offshore'!M47+'Financial Quarterly offshore'!M48)</f>
        <v>0</v>
      </c>
      <c r="N27" s="291">
        <f ca="1">-(+'Financial Quarterly offshore'!N21+'Financial Quarterly offshore'!N22+'Financial Quarterly offshore'!N34+'Financial Quarterly offshore'!N35+'Financial Quarterly offshore'!N47+'Financial Quarterly offshore'!N48)</f>
        <v>0</v>
      </c>
      <c r="O27" s="291">
        <f ca="1">-(+'Financial Quarterly offshore'!O21+'Financial Quarterly offshore'!O22+'Financial Quarterly offshore'!O34+'Financial Quarterly offshore'!O35+'Financial Quarterly offshore'!O47+'Financial Quarterly offshore'!O48)</f>
        <v>0</v>
      </c>
      <c r="P27" s="291">
        <f ca="1">-(+'Financial Quarterly offshore'!P21+'Financial Quarterly offshore'!P22+'Financial Quarterly offshore'!P34+'Financial Quarterly offshore'!P35+'Financial Quarterly offshore'!P47+'Financial Quarterly offshore'!P48)</f>
        <v>0</v>
      </c>
      <c r="Q27" s="291">
        <f ca="1">-(+'Financial Quarterly offshore'!Q21+'Financial Quarterly offshore'!Q22+'Financial Quarterly offshore'!Q34+'Financial Quarterly offshore'!Q35+'Financial Quarterly offshore'!Q47+'Financial Quarterly offshore'!Q48)</f>
        <v>0</v>
      </c>
      <c r="R27" s="291">
        <f ca="1">-(+'Financial Quarterly offshore'!R21+'Financial Quarterly offshore'!R22+'Financial Quarterly offshore'!R34+'Financial Quarterly offshore'!R35+'Financial Quarterly offshore'!R47+'Financial Quarterly offshore'!R48)</f>
        <v>0</v>
      </c>
      <c r="S27" s="291">
        <f ca="1">-(+'Financial Quarterly offshore'!S21+'Financial Quarterly offshore'!S22+'Financial Quarterly offshore'!S34+'Financial Quarterly offshore'!S35+'Financial Quarterly offshore'!S47+'Financial Quarterly offshore'!S48)</f>
        <v>0</v>
      </c>
      <c r="T27" s="291">
        <f ca="1">-(+'Financial Quarterly offshore'!T21+'Financial Quarterly offshore'!T22+'Financial Quarterly offshore'!T34+'Financial Quarterly offshore'!T35+'Financial Quarterly offshore'!T47+'Financial Quarterly offshore'!T48)</f>
        <v>0</v>
      </c>
      <c r="U27" s="291">
        <f ca="1">-(+'Financial Quarterly offshore'!U21+'Financial Quarterly offshore'!U22+'Financial Quarterly offshore'!U34+'Financial Quarterly offshore'!U35+'Financial Quarterly offshore'!U47+'Financial Quarterly offshore'!U48)</f>
        <v>0</v>
      </c>
      <c r="V27" s="291">
        <f ca="1">-(+'Financial Quarterly offshore'!V21+'Financial Quarterly offshore'!V22+'Financial Quarterly offshore'!V34+'Financial Quarterly offshore'!V35+'Financial Quarterly offshore'!V47+'Financial Quarterly offshore'!V48)</f>
        <v>0</v>
      </c>
      <c r="W27" s="291">
        <f ca="1">-(+'Financial Quarterly offshore'!W21+'Financial Quarterly offshore'!W22+'Financial Quarterly offshore'!W34+'Financial Quarterly offshore'!W35+'Financial Quarterly offshore'!W47+'Financial Quarterly offshore'!W48)</f>
        <v>0</v>
      </c>
      <c r="X27" s="291">
        <f ca="1">-(+'Financial Quarterly offshore'!X21+'Financial Quarterly offshore'!X22+'Financial Quarterly offshore'!X34+'Financial Quarterly offshore'!X35+'Financial Quarterly offshore'!X47+'Financial Quarterly offshore'!X48)</f>
        <v>0</v>
      </c>
      <c r="Y27" s="291">
        <f ca="1">-(+'Financial Quarterly offshore'!Y21+'Financial Quarterly offshore'!Y22+'Financial Quarterly offshore'!Y34+'Financial Quarterly offshore'!Y35+'Financial Quarterly offshore'!Y47+'Financial Quarterly offshore'!Y48)</f>
        <v>0</v>
      </c>
      <c r="Z27" s="291">
        <f ca="1">-(+'Financial Quarterly offshore'!Z21+'Financial Quarterly offshore'!Z22+'Financial Quarterly offshore'!Z34+'Financial Quarterly offshore'!Z35+'Financial Quarterly offshore'!Z47+'Financial Quarterly offshore'!Z48)</f>
        <v>0</v>
      </c>
      <c r="AA27" s="291">
        <f ca="1">-(+'Financial Quarterly offshore'!AA21+'Financial Quarterly offshore'!AA22+'Financial Quarterly offshore'!AA34+'Financial Quarterly offshore'!AA35+'Financial Quarterly offshore'!AA47+'Financial Quarterly offshore'!AA48)</f>
        <v>0</v>
      </c>
      <c r="AB27" s="291">
        <f ca="1">-(+'Financial Quarterly offshore'!AB21+'Financial Quarterly offshore'!AB22+'Financial Quarterly offshore'!AB34+'Financial Quarterly offshore'!AB35+'Financial Quarterly offshore'!AB47+'Financial Quarterly offshore'!AB48)</f>
        <v>0</v>
      </c>
      <c r="AC27" s="291">
        <f ca="1">-(+'Financial Quarterly offshore'!AC21+'Financial Quarterly offshore'!AC22+'Financial Quarterly offshore'!AC34+'Financial Quarterly offshore'!AC35+'Financial Quarterly offshore'!AC47+'Financial Quarterly offshore'!AC48)</f>
        <v>0</v>
      </c>
      <c r="AD27" s="291">
        <f ca="1">-(+'Financial Quarterly offshore'!AD21+'Financial Quarterly offshore'!AD22+'Financial Quarterly offshore'!AD34+'Financial Quarterly offshore'!AD35+'Financial Quarterly offshore'!AD47+'Financial Quarterly offshore'!AD48)</f>
        <v>0</v>
      </c>
      <c r="AE27" s="291">
        <f ca="1">-(+'Financial Quarterly offshore'!AE21+'Financial Quarterly offshore'!AE22+'Financial Quarterly offshore'!AE34+'Financial Quarterly offshore'!AE35+'Financial Quarterly offshore'!AE47+'Financial Quarterly offshore'!AE48)</f>
        <v>0</v>
      </c>
      <c r="AF27" s="291">
        <f ca="1">-(+'Financial Quarterly offshore'!AF21+'Financial Quarterly offshore'!AF22+'Financial Quarterly offshore'!AF34+'Financial Quarterly offshore'!AF35+'Financial Quarterly offshore'!AF47+'Financial Quarterly offshore'!AF48)</f>
        <v>0</v>
      </c>
      <c r="AG27" s="291">
        <f ca="1">-(+'Financial Quarterly offshore'!AG21+'Financial Quarterly offshore'!AG22+'Financial Quarterly offshore'!AG34+'Financial Quarterly offshore'!AG35+'Financial Quarterly offshore'!AG47+'Financial Quarterly offshore'!AG48)</f>
        <v>0</v>
      </c>
    </row>
    <row r="28" spans="3:33" outlineLevel="1">
      <c r="C28" s="291" t="s">
        <v>775</v>
      </c>
      <c r="D28" s="291">
        <f>-(+'Financial Quarterly offshore'!D62+'Financial Quarterly offshore'!D63)</f>
        <v>0</v>
      </c>
      <c r="E28" s="291">
        <f>-(+'Financial Quarterly offshore'!E62+'Financial Quarterly offshore'!E63)</f>
        <v>0</v>
      </c>
      <c r="F28" s="291">
        <f ca="1">-(+'Financial Quarterly offshore'!F62+'Financial Quarterly offshore'!F63)</f>
        <v>0</v>
      </c>
      <c r="G28" s="291">
        <f ca="1">-(+'Financial Quarterly offshore'!G62+'Financial Quarterly offshore'!G63)</f>
        <v>0</v>
      </c>
      <c r="H28" s="291">
        <f ca="1">-(+'Financial Quarterly offshore'!H62+'Financial Quarterly offshore'!H63)</f>
        <v>0</v>
      </c>
      <c r="I28" s="291">
        <f ca="1">-(+'Financial Quarterly offshore'!I62+'Financial Quarterly offshore'!I63)</f>
        <v>0</v>
      </c>
      <c r="J28" s="291">
        <f ca="1">-(+'Financial Quarterly offshore'!J62+'Financial Quarterly offshore'!J63)</f>
        <v>0</v>
      </c>
      <c r="K28" s="291">
        <f ca="1">-(+'Financial Quarterly offshore'!K62+'Financial Quarterly offshore'!K63)</f>
        <v>0</v>
      </c>
      <c r="L28" s="291">
        <f ca="1">-(+'Financial Quarterly offshore'!L62+'Financial Quarterly offshore'!L63)</f>
        <v>0</v>
      </c>
      <c r="M28" s="291">
        <f ca="1">-(+'Financial Quarterly offshore'!M62+'Financial Quarterly offshore'!M63)</f>
        <v>0</v>
      </c>
      <c r="N28" s="291">
        <f ca="1">-(+'Financial Quarterly offshore'!N62+'Financial Quarterly offshore'!N63)</f>
        <v>0</v>
      </c>
      <c r="O28" s="291">
        <f ca="1">-(+'Financial Quarterly offshore'!O62+'Financial Quarterly offshore'!O63)</f>
        <v>0</v>
      </c>
      <c r="P28" s="291">
        <f ca="1">-(+'Financial Quarterly offshore'!P62+'Financial Quarterly offshore'!P63)</f>
        <v>0</v>
      </c>
      <c r="Q28" s="291">
        <f ca="1">-(+'Financial Quarterly offshore'!Q62+'Financial Quarterly offshore'!Q63)</f>
        <v>0</v>
      </c>
      <c r="R28" s="291">
        <f ca="1">-(+'Financial Quarterly offshore'!R62+'Financial Quarterly offshore'!R63)</f>
        <v>0</v>
      </c>
      <c r="S28" s="291">
        <f ca="1">-(+'Financial Quarterly offshore'!S62+'Financial Quarterly offshore'!S63)</f>
        <v>0</v>
      </c>
      <c r="T28" s="291">
        <f ca="1">-(+'Financial Quarterly offshore'!T62+'Financial Quarterly offshore'!T63)</f>
        <v>0</v>
      </c>
      <c r="U28" s="291">
        <f ca="1">-(+'Financial Quarterly offshore'!U62+'Financial Quarterly offshore'!U63)</f>
        <v>0</v>
      </c>
      <c r="V28" s="291">
        <f ca="1">-(+'Financial Quarterly offshore'!V62+'Financial Quarterly offshore'!V63)</f>
        <v>0</v>
      </c>
      <c r="W28" s="291">
        <f ca="1">-(+'Financial Quarterly offshore'!W62+'Financial Quarterly offshore'!W63)</f>
        <v>0</v>
      </c>
      <c r="X28" s="291">
        <f ca="1">-(+'Financial Quarterly offshore'!X62+'Financial Quarterly offshore'!X63)</f>
        <v>0</v>
      </c>
      <c r="Y28" s="291">
        <f ca="1">-(+'Financial Quarterly offshore'!Y62+'Financial Quarterly offshore'!Y63)</f>
        <v>0</v>
      </c>
      <c r="Z28" s="291">
        <f ca="1">-(+'Financial Quarterly offshore'!Z62+'Financial Quarterly offshore'!Z63)</f>
        <v>0</v>
      </c>
      <c r="AA28" s="291">
        <f ca="1">-(+'Financial Quarterly offshore'!AA62+'Financial Quarterly offshore'!AA63)</f>
        <v>0</v>
      </c>
      <c r="AB28" s="291">
        <f ca="1">-(+'Financial Quarterly offshore'!AB62+'Financial Quarterly offshore'!AB63)</f>
        <v>0</v>
      </c>
      <c r="AC28" s="291" t="e">
        <f ca="1">-(+'Financial Quarterly offshore'!AC62+'Financial Quarterly offshore'!AC63)</f>
        <v>#N/A</v>
      </c>
      <c r="AD28" s="291" t="e">
        <f ca="1">-(+'Financial Quarterly offshore'!AD62+'Financial Quarterly offshore'!AD63)</f>
        <v>#N/A</v>
      </c>
      <c r="AE28" s="291" t="e">
        <f ca="1">-(+'Financial Quarterly offshore'!AE62+'Financial Quarterly offshore'!AE63)</f>
        <v>#N/A</v>
      </c>
      <c r="AF28" s="291" t="e">
        <f ca="1">-(+'Financial Quarterly offshore'!AF62+'Financial Quarterly offshore'!AF63)</f>
        <v>#N/A</v>
      </c>
      <c r="AG28" s="291" t="e">
        <f ca="1">-(+'Financial Quarterly offshore'!AG62+'Financial Quarterly offshore'!AG63)</f>
        <v>#N/A</v>
      </c>
    </row>
    <row r="29" spans="3:33" ht="14.4" outlineLevel="1">
      <c r="C29" s="34"/>
    </row>
    <row r="30" spans="3:33" outlineLevel="1">
      <c r="C30" s="209" t="str">
        <f>CONCATENATE("Last ",D11," quarters")</f>
        <v>Last 1 quarters</v>
      </c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09"/>
      <c r="Y30" s="209"/>
      <c r="Z30" s="209"/>
      <c r="AA30" s="209"/>
      <c r="AB30" s="209"/>
      <c r="AC30" s="209"/>
      <c r="AD30" s="209"/>
      <c r="AE30" s="209"/>
      <c r="AF30" s="209"/>
      <c r="AG30" s="209"/>
    </row>
    <row r="31" spans="3:33" outlineLevel="1">
      <c r="C31" s="291" t="s">
        <v>789</v>
      </c>
      <c r="D31" s="291">
        <f ca="1">IFERROR(OFFSET(D18,0,-$D$11+1,1,1)*1,"na")</f>
        <v>0</v>
      </c>
      <c r="E31" s="291">
        <f t="shared" ref="E31:AB31" ca="1" si="16">IFERROR(OFFSET(E18,0,-$D$11+1,1,1)*1,"na")</f>
        <v>0</v>
      </c>
      <c r="F31" s="291">
        <f t="shared" ca="1" si="16"/>
        <v>0</v>
      </c>
      <c r="G31" s="291">
        <f t="shared" ca="1" si="16"/>
        <v>0</v>
      </c>
      <c r="H31" s="291">
        <f t="shared" ca="1" si="16"/>
        <v>0</v>
      </c>
      <c r="I31" s="291">
        <f t="shared" ca="1" si="16"/>
        <v>0</v>
      </c>
      <c r="J31" s="291">
        <f t="shared" ca="1" si="16"/>
        <v>0</v>
      </c>
      <c r="K31" s="291">
        <f t="shared" ca="1" si="16"/>
        <v>0</v>
      </c>
      <c r="L31" s="291">
        <f t="shared" ca="1" si="16"/>
        <v>0</v>
      </c>
      <c r="M31" s="291">
        <f t="shared" ca="1" si="16"/>
        <v>0</v>
      </c>
      <c r="N31" s="291">
        <f t="shared" ca="1" si="16"/>
        <v>0</v>
      </c>
      <c r="O31" s="291">
        <f t="shared" ca="1" si="16"/>
        <v>0</v>
      </c>
      <c r="P31" s="291">
        <f t="shared" ca="1" si="16"/>
        <v>0</v>
      </c>
      <c r="Q31" s="291">
        <f t="shared" ca="1" si="16"/>
        <v>0</v>
      </c>
      <c r="R31" s="291">
        <f t="shared" ca="1" si="16"/>
        <v>0</v>
      </c>
      <c r="S31" s="291">
        <f t="shared" ca="1" si="16"/>
        <v>0</v>
      </c>
      <c r="T31" s="291">
        <f t="shared" ca="1" si="16"/>
        <v>0</v>
      </c>
      <c r="U31" s="291">
        <f t="shared" ca="1" si="16"/>
        <v>0</v>
      </c>
      <c r="V31" s="291">
        <f t="shared" ca="1" si="16"/>
        <v>0</v>
      </c>
      <c r="W31" s="291">
        <f t="shared" ca="1" si="16"/>
        <v>0</v>
      </c>
      <c r="X31" s="291">
        <f t="shared" ca="1" si="16"/>
        <v>0</v>
      </c>
      <c r="Y31" s="291">
        <f t="shared" ca="1" si="16"/>
        <v>0</v>
      </c>
      <c r="Z31" s="291">
        <f t="shared" ca="1" si="16"/>
        <v>0</v>
      </c>
      <c r="AA31" s="291">
        <f t="shared" ca="1" si="16"/>
        <v>0</v>
      </c>
      <c r="AB31" s="291">
        <f t="shared" ca="1" si="16"/>
        <v>0</v>
      </c>
      <c r="AC31" s="291" t="str">
        <f t="shared" ref="AC31:AF31" ca="1" si="17">IFERROR(OFFSET(AC18,0,-$D$11+1,1,1)*1,"na")</f>
        <v>na</v>
      </c>
      <c r="AD31" s="291" t="str">
        <f t="shared" ca="1" si="17"/>
        <v>na</v>
      </c>
      <c r="AE31" s="291" t="str">
        <f t="shared" ca="1" si="17"/>
        <v>na</v>
      </c>
      <c r="AF31" s="291" t="str">
        <f t="shared" ca="1" si="17"/>
        <v>na</v>
      </c>
      <c r="AG31" s="291" t="str">
        <f t="shared" ref="AG31" ca="1" si="18">IFERROR(OFFSET(AG18,0,-$D$11+1,1,1)*1,"na")</f>
        <v>na</v>
      </c>
    </row>
    <row r="32" spans="3:33" outlineLevel="1">
      <c r="C32" s="291" t="s">
        <v>770</v>
      </c>
      <c r="D32" s="291">
        <f t="shared" ref="D32:D39" ca="1" si="19">IFERROR(SUM(OFFSET(D21,0,0,1,-$D$11)),"na")</f>
        <v>0</v>
      </c>
      <c r="E32" s="291">
        <f t="shared" ref="E32:AB32" ca="1" si="20">IFERROR(SUM(OFFSET(E21,0,0,1,-$D$11)),"na")</f>
        <v>0</v>
      </c>
      <c r="F32" s="291">
        <f t="shared" ca="1" si="20"/>
        <v>0</v>
      </c>
      <c r="G32" s="291">
        <f t="shared" ca="1" si="20"/>
        <v>0</v>
      </c>
      <c r="H32" s="291">
        <f t="shared" ca="1" si="20"/>
        <v>0</v>
      </c>
      <c r="I32" s="291">
        <f t="shared" ca="1" si="20"/>
        <v>0</v>
      </c>
      <c r="J32" s="291">
        <f t="shared" ca="1" si="20"/>
        <v>0</v>
      </c>
      <c r="K32" s="291">
        <f t="shared" ca="1" si="20"/>
        <v>0</v>
      </c>
      <c r="L32" s="291">
        <f t="shared" ca="1" si="20"/>
        <v>0</v>
      </c>
      <c r="M32" s="291">
        <f t="shared" ca="1" si="20"/>
        <v>0</v>
      </c>
      <c r="N32" s="291">
        <f t="shared" ca="1" si="20"/>
        <v>0</v>
      </c>
      <c r="O32" s="291">
        <f t="shared" ca="1" si="20"/>
        <v>0</v>
      </c>
      <c r="P32" s="291">
        <f t="shared" ca="1" si="20"/>
        <v>0</v>
      </c>
      <c r="Q32" s="291">
        <f t="shared" ca="1" si="20"/>
        <v>0</v>
      </c>
      <c r="R32" s="291">
        <f t="shared" ca="1" si="20"/>
        <v>0</v>
      </c>
      <c r="S32" s="291">
        <f t="shared" ca="1" si="20"/>
        <v>0</v>
      </c>
      <c r="T32" s="291">
        <f t="shared" ca="1" si="20"/>
        <v>0</v>
      </c>
      <c r="U32" s="291">
        <f t="shared" ca="1" si="20"/>
        <v>0</v>
      </c>
      <c r="V32" s="291">
        <f t="shared" ca="1" si="20"/>
        <v>0</v>
      </c>
      <c r="W32" s="291">
        <f t="shared" ca="1" si="20"/>
        <v>0</v>
      </c>
      <c r="X32" s="291">
        <f t="shared" ca="1" si="20"/>
        <v>0</v>
      </c>
      <c r="Y32" s="291">
        <f t="shared" ca="1" si="20"/>
        <v>0</v>
      </c>
      <c r="Z32" s="291">
        <f t="shared" ca="1" si="20"/>
        <v>0</v>
      </c>
      <c r="AA32" s="291">
        <f t="shared" ca="1" si="20"/>
        <v>0</v>
      </c>
      <c r="AB32" s="291" t="str">
        <f t="shared" ca="1" si="20"/>
        <v>na</v>
      </c>
      <c r="AC32" s="291" t="str">
        <f t="shared" ref="AC32:AF32" ca="1" si="21">IFERROR(SUM(OFFSET(AC21,0,0,1,-$D$11)),"na")</f>
        <v>na</v>
      </c>
      <c r="AD32" s="291" t="str">
        <f t="shared" ca="1" si="21"/>
        <v>na</v>
      </c>
      <c r="AE32" s="291" t="str">
        <f t="shared" ca="1" si="21"/>
        <v>na</v>
      </c>
      <c r="AF32" s="291" t="str">
        <f t="shared" ca="1" si="21"/>
        <v>na</v>
      </c>
      <c r="AG32" s="291" t="str">
        <f t="shared" ref="AG32" ca="1" si="22">IFERROR(SUM(OFFSET(AG21,0,0,1,-$D$11)),"na")</f>
        <v>na</v>
      </c>
    </row>
    <row r="33" spans="2:33" outlineLevel="1">
      <c r="C33" s="291" t="s">
        <v>783</v>
      </c>
      <c r="D33" s="291">
        <f t="shared" ca="1" si="19"/>
        <v>0</v>
      </c>
      <c r="E33" s="291">
        <f t="shared" ref="E33:AB33" ca="1" si="23">IFERROR(SUM(OFFSET(E22,0,0,1,-$D$11)),"na")</f>
        <v>0</v>
      </c>
      <c r="F33" s="291">
        <f t="shared" ca="1" si="23"/>
        <v>0</v>
      </c>
      <c r="G33" s="291">
        <f t="shared" ca="1" si="23"/>
        <v>0</v>
      </c>
      <c r="H33" s="291">
        <f t="shared" ca="1" si="23"/>
        <v>0</v>
      </c>
      <c r="I33" s="291">
        <f t="shared" ca="1" si="23"/>
        <v>0</v>
      </c>
      <c r="J33" s="291">
        <f t="shared" ca="1" si="23"/>
        <v>0</v>
      </c>
      <c r="K33" s="291">
        <f t="shared" ca="1" si="23"/>
        <v>0</v>
      </c>
      <c r="L33" s="291">
        <f t="shared" ca="1" si="23"/>
        <v>0</v>
      </c>
      <c r="M33" s="291">
        <f t="shared" ca="1" si="23"/>
        <v>0</v>
      </c>
      <c r="N33" s="291">
        <f t="shared" ca="1" si="23"/>
        <v>0</v>
      </c>
      <c r="O33" s="291">
        <f t="shared" ca="1" si="23"/>
        <v>0</v>
      </c>
      <c r="P33" s="291">
        <f t="shared" ca="1" si="23"/>
        <v>0</v>
      </c>
      <c r="Q33" s="291">
        <f t="shared" ca="1" si="23"/>
        <v>0</v>
      </c>
      <c r="R33" s="291">
        <f t="shared" ca="1" si="23"/>
        <v>0</v>
      </c>
      <c r="S33" s="291">
        <f t="shared" ca="1" si="23"/>
        <v>0</v>
      </c>
      <c r="T33" s="291">
        <f t="shared" ca="1" si="23"/>
        <v>0</v>
      </c>
      <c r="U33" s="291">
        <f t="shared" ca="1" si="23"/>
        <v>0</v>
      </c>
      <c r="V33" s="291">
        <f t="shared" ca="1" si="23"/>
        <v>0</v>
      </c>
      <c r="W33" s="291">
        <f t="shared" ca="1" si="23"/>
        <v>0</v>
      </c>
      <c r="X33" s="291">
        <f t="shared" ca="1" si="23"/>
        <v>0</v>
      </c>
      <c r="Y33" s="291">
        <f t="shared" ca="1" si="23"/>
        <v>0</v>
      </c>
      <c r="Z33" s="291">
        <f t="shared" ca="1" si="23"/>
        <v>0</v>
      </c>
      <c r="AA33" s="291">
        <f t="shared" ca="1" si="23"/>
        <v>0</v>
      </c>
      <c r="AB33" s="291" t="str">
        <f t="shared" ca="1" si="23"/>
        <v>na</v>
      </c>
      <c r="AC33" s="291" t="str">
        <f t="shared" ref="AC33:AF33" ca="1" si="24">IFERROR(SUM(OFFSET(AC22,0,0,1,-$D$11)),"na")</f>
        <v>na</v>
      </c>
      <c r="AD33" s="291" t="str">
        <f t="shared" ca="1" si="24"/>
        <v>na</v>
      </c>
      <c r="AE33" s="291" t="str">
        <f t="shared" ca="1" si="24"/>
        <v>na</v>
      </c>
      <c r="AF33" s="291" t="str">
        <f t="shared" ca="1" si="24"/>
        <v>na</v>
      </c>
      <c r="AG33" s="291" t="str">
        <f t="shared" ref="AG33" ca="1" si="25">IFERROR(SUM(OFFSET(AG22,0,0,1,-$D$11)),"na")</f>
        <v>na</v>
      </c>
    </row>
    <row r="34" spans="2:33" outlineLevel="1">
      <c r="C34" s="291" t="s">
        <v>684</v>
      </c>
      <c r="D34" s="291">
        <f t="shared" ca="1" si="19"/>
        <v>0</v>
      </c>
      <c r="E34" s="291">
        <f t="shared" ref="E34:AB34" ca="1" si="26">IFERROR(SUM(OFFSET(E23,0,0,1,-$D$11)),"na")</f>
        <v>0</v>
      </c>
      <c r="F34" s="291">
        <f t="shared" ca="1" si="26"/>
        <v>0</v>
      </c>
      <c r="G34" s="291">
        <f t="shared" ca="1" si="26"/>
        <v>0</v>
      </c>
      <c r="H34" s="291">
        <f t="shared" ca="1" si="26"/>
        <v>0</v>
      </c>
      <c r="I34" s="291">
        <f t="shared" ca="1" si="26"/>
        <v>0</v>
      </c>
      <c r="J34" s="291">
        <f t="shared" ca="1" si="26"/>
        <v>0</v>
      </c>
      <c r="K34" s="291">
        <f t="shared" ca="1" si="26"/>
        <v>0</v>
      </c>
      <c r="L34" s="291">
        <f t="shared" ca="1" si="26"/>
        <v>0</v>
      </c>
      <c r="M34" s="291">
        <f t="shared" ca="1" si="26"/>
        <v>0</v>
      </c>
      <c r="N34" s="291">
        <f t="shared" ca="1" si="26"/>
        <v>0</v>
      </c>
      <c r="O34" s="291">
        <f t="shared" ca="1" si="26"/>
        <v>0</v>
      </c>
      <c r="P34" s="291">
        <f t="shared" ca="1" si="26"/>
        <v>0</v>
      </c>
      <c r="Q34" s="291">
        <f t="shared" ca="1" si="26"/>
        <v>0</v>
      </c>
      <c r="R34" s="291">
        <f t="shared" ca="1" si="26"/>
        <v>0</v>
      </c>
      <c r="S34" s="291">
        <f t="shared" ca="1" si="26"/>
        <v>0</v>
      </c>
      <c r="T34" s="291">
        <f t="shared" ca="1" si="26"/>
        <v>0</v>
      </c>
      <c r="U34" s="291">
        <f t="shared" ca="1" si="26"/>
        <v>0</v>
      </c>
      <c r="V34" s="291">
        <f t="shared" ca="1" si="26"/>
        <v>0</v>
      </c>
      <c r="W34" s="291">
        <f t="shared" ca="1" si="26"/>
        <v>0</v>
      </c>
      <c r="X34" s="291">
        <f t="shared" ca="1" si="26"/>
        <v>0</v>
      </c>
      <c r="Y34" s="291">
        <f t="shared" ca="1" si="26"/>
        <v>0</v>
      </c>
      <c r="Z34" s="291">
        <f t="shared" ca="1" si="26"/>
        <v>0</v>
      </c>
      <c r="AA34" s="291">
        <f t="shared" ca="1" si="26"/>
        <v>0</v>
      </c>
      <c r="AB34" s="291" t="str">
        <f t="shared" ca="1" si="26"/>
        <v>na</v>
      </c>
      <c r="AC34" s="291" t="str">
        <f t="shared" ref="AC34:AF34" ca="1" si="27">IFERROR(SUM(OFFSET(AC23,0,0,1,-$D$11)),"na")</f>
        <v>na</v>
      </c>
      <c r="AD34" s="291" t="str">
        <f t="shared" ca="1" si="27"/>
        <v>na</v>
      </c>
      <c r="AE34" s="291" t="str">
        <f t="shared" ca="1" si="27"/>
        <v>na</v>
      </c>
      <c r="AF34" s="291" t="str">
        <f t="shared" ca="1" si="27"/>
        <v>na</v>
      </c>
      <c r="AG34" s="291" t="str">
        <f t="shared" ref="AG34" ca="1" si="28">IFERROR(SUM(OFFSET(AG23,0,0,1,-$D$11)),"na")</f>
        <v>na</v>
      </c>
    </row>
    <row r="35" spans="2:33" outlineLevel="1">
      <c r="C35" s="291" t="s">
        <v>776</v>
      </c>
      <c r="D35" s="291">
        <f t="shared" ca="1" si="19"/>
        <v>0</v>
      </c>
      <c r="E35" s="291">
        <f t="shared" ref="E35:AB35" ca="1" si="29">IFERROR(SUM(OFFSET(E24,0,0,1,-$D$11)),"na")</f>
        <v>0</v>
      </c>
      <c r="F35" s="291">
        <f t="shared" ca="1" si="29"/>
        <v>0</v>
      </c>
      <c r="G35" s="291">
        <f t="shared" ca="1" si="29"/>
        <v>0</v>
      </c>
      <c r="H35" s="291">
        <f t="shared" ca="1" si="29"/>
        <v>0</v>
      </c>
      <c r="I35" s="291">
        <f t="shared" ca="1" si="29"/>
        <v>0</v>
      </c>
      <c r="J35" s="291">
        <f t="shared" ca="1" si="29"/>
        <v>0</v>
      </c>
      <c r="K35" s="291">
        <f t="shared" ca="1" si="29"/>
        <v>0</v>
      </c>
      <c r="L35" s="291">
        <f t="shared" ca="1" si="29"/>
        <v>0</v>
      </c>
      <c r="M35" s="291">
        <f t="shared" ca="1" si="29"/>
        <v>0</v>
      </c>
      <c r="N35" s="291">
        <f t="shared" ca="1" si="29"/>
        <v>0</v>
      </c>
      <c r="O35" s="291">
        <f t="shared" ca="1" si="29"/>
        <v>0</v>
      </c>
      <c r="P35" s="291">
        <f t="shared" ca="1" si="29"/>
        <v>0</v>
      </c>
      <c r="Q35" s="291">
        <f t="shared" ca="1" si="29"/>
        <v>0</v>
      </c>
      <c r="R35" s="291">
        <f t="shared" ca="1" si="29"/>
        <v>0</v>
      </c>
      <c r="S35" s="291">
        <f t="shared" ca="1" si="29"/>
        <v>0</v>
      </c>
      <c r="T35" s="291">
        <f t="shared" ca="1" si="29"/>
        <v>0</v>
      </c>
      <c r="U35" s="291">
        <f t="shared" ca="1" si="29"/>
        <v>0</v>
      </c>
      <c r="V35" s="291">
        <f t="shared" ca="1" si="29"/>
        <v>0</v>
      </c>
      <c r="W35" s="291">
        <f t="shared" ca="1" si="29"/>
        <v>0</v>
      </c>
      <c r="X35" s="291">
        <f t="shared" ca="1" si="29"/>
        <v>0</v>
      </c>
      <c r="Y35" s="291">
        <f t="shared" ca="1" si="29"/>
        <v>0</v>
      </c>
      <c r="Z35" s="291">
        <f t="shared" ca="1" si="29"/>
        <v>0</v>
      </c>
      <c r="AA35" s="291">
        <f t="shared" ca="1" si="29"/>
        <v>0</v>
      </c>
      <c r="AB35" s="291" t="str">
        <f t="shared" ca="1" si="29"/>
        <v>na</v>
      </c>
      <c r="AC35" s="291" t="str">
        <f t="shared" ref="AC35:AF35" ca="1" si="30">IFERROR(SUM(OFFSET(AC24,0,0,1,-$D$11)),"na")</f>
        <v>na</v>
      </c>
      <c r="AD35" s="291" t="str">
        <f t="shared" ca="1" si="30"/>
        <v>na</v>
      </c>
      <c r="AE35" s="291" t="str">
        <f t="shared" ca="1" si="30"/>
        <v>na</v>
      </c>
      <c r="AF35" s="291" t="str">
        <f t="shared" ca="1" si="30"/>
        <v>na</v>
      </c>
      <c r="AG35" s="291" t="str">
        <f t="shared" ref="AG35" ca="1" si="31">IFERROR(SUM(OFFSET(AG24,0,0,1,-$D$11)),"na")</f>
        <v>na</v>
      </c>
    </row>
    <row r="36" spans="2:33" outlineLevel="1">
      <c r="C36" s="291" t="s">
        <v>772</v>
      </c>
      <c r="D36" s="291">
        <f t="shared" ca="1" si="19"/>
        <v>0</v>
      </c>
      <c r="E36" s="291">
        <f t="shared" ref="E36:AB36" ca="1" si="32">IFERROR(SUM(OFFSET(E25,0,0,1,-$D$11)),"na")</f>
        <v>0</v>
      </c>
      <c r="F36" s="291">
        <f t="shared" ca="1" si="32"/>
        <v>0</v>
      </c>
      <c r="G36" s="291">
        <f t="shared" ca="1" si="32"/>
        <v>0</v>
      </c>
      <c r="H36" s="291">
        <f t="shared" ca="1" si="32"/>
        <v>0</v>
      </c>
      <c r="I36" s="291">
        <f t="shared" ca="1" si="32"/>
        <v>0</v>
      </c>
      <c r="J36" s="291">
        <f t="shared" ca="1" si="32"/>
        <v>0</v>
      </c>
      <c r="K36" s="291">
        <f t="shared" ca="1" si="32"/>
        <v>0</v>
      </c>
      <c r="L36" s="291">
        <f t="shared" ca="1" si="32"/>
        <v>0</v>
      </c>
      <c r="M36" s="291">
        <f t="shared" ca="1" si="32"/>
        <v>0</v>
      </c>
      <c r="N36" s="291">
        <f t="shared" ca="1" si="32"/>
        <v>0</v>
      </c>
      <c r="O36" s="291">
        <f t="shared" ca="1" si="32"/>
        <v>0</v>
      </c>
      <c r="P36" s="291">
        <f t="shared" ca="1" si="32"/>
        <v>0</v>
      </c>
      <c r="Q36" s="291">
        <f t="shared" ca="1" si="32"/>
        <v>0</v>
      </c>
      <c r="R36" s="291">
        <f t="shared" ca="1" si="32"/>
        <v>0</v>
      </c>
      <c r="S36" s="291">
        <f t="shared" ca="1" si="32"/>
        <v>0</v>
      </c>
      <c r="T36" s="291">
        <f t="shared" ca="1" si="32"/>
        <v>0</v>
      </c>
      <c r="U36" s="291">
        <f t="shared" ca="1" si="32"/>
        <v>0</v>
      </c>
      <c r="V36" s="291">
        <f t="shared" ca="1" si="32"/>
        <v>0</v>
      </c>
      <c r="W36" s="291">
        <f t="shared" ca="1" si="32"/>
        <v>0</v>
      </c>
      <c r="X36" s="291">
        <f t="shared" ca="1" si="32"/>
        <v>0</v>
      </c>
      <c r="Y36" s="291">
        <f t="shared" ca="1" si="32"/>
        <v>0</v>
      </c>
      <c r="Z36" s="291">
        <f t="shared" ca="1" si="32"/>
        <v>0</v>
      </c>
      <c r="AA36" s="291">
        <f t="shared" ca="1" si="32"/>
        <v>0</v>
      </c>
      <c r="AB36" s="291">
        <f t="shared" ca="1" si="32"/>
        <v>0</v>
      </c>
      <c r="AC36" s="291" t="str">
        <f t="shared" ref="AC36:AF36" ca="1" si="33">IFERROR(SUM(OFFSET(AC25,0,0,1,-$D$11)),"na")</f>
        <v>na</v>
      </c>
      <c r="AD36" s="291" t="str">
        <f t="shared" ca="1" si="33"/>
        <v>na</v>
      </c>
      <c r="AE36" s="291" t="str">
        <f t="shared" ca="1" si="33"/>
        <v>na</v>
      </c>
      <c r="AF36" s="291" t="str">
        <f t="shared" ca="1" si="33"/>
        <v>na</v>
      </c>
      <c r="AG36" s="291" t="str">
        <f t="shared" ref="AG36" ca="1" si="34">IFERROR(SUM(OFFSET(AG25,0,0,1,-$D$11)),"na")</f>
        <v>na</v>
      </c>
    </row>
    <row r="37" spans="2:33" outlineLevel="1">
      <c r="C37" s="291" t="s">
        <v>773</v>
      </c>
      <c r="D37" s="291">
        <f t="shared" ca="1" si="19"/>
        <v>0</v>
      </c>
      <c r="E37" s="291">
        <f t="shared" ref="E37:AB37" ca="1" si="35">IFERROR(SUM(OFFSET(E26,0,0,1,-$D$11)),"na")</f>
        <v>0</v>
      </c>
      <c r="F37" s="291">
        <f t="shared" ca="1" si="35"/>
        <v>0</v>
      </c>
      <c r="G37" s="291">
        <f t="shared" ca="1" si="35"/>
        <v>0</v>
      </c>
      <c r="H37" s="291">
        <f t="shared" ca="1" si="35"/>
        <v>0</v>
      </c>
      <c r="I37" s="291">
        <f t="shared" ca="1" si="35"/>
        <v>0</v>
      </c>
      <c r="J37" s="291">
        <f t="shared" ca="1" si="35"/>
        <v>0</v>
      </c>
      <c r="K37" s="291">
        <f t="shared" ca="1" si="35"/>
        <v>0</v>
      </c>
      <c r="L37" s="291">
        <f t="shared" ca="1" si="35"/>
        <v>0</v>
      </c>
      <c r="M37" s="291">
        <f t="shared" ca="1" si="35"/>
        <v>0</v>
      </c>
      <c r="N37" s="291">
        <f t="shared" ca="1" si="35"/>
        <v>0</v>
      </c>
      <c r="O37" s="291">
        <f t="shared" ca="1" si="35"/>
        <v>0</v>
      </c>
      <c r="P37" s="291">
        <f t="shared" ca="1" si="35"/>
        <v>0</v>
      </c>
      <c r="Q37" s="291">
        <f t="shared" ca="1" si="35"/>
        <v>0</v>
      </c>
      <c r="R37" s="291">
        <f t="shared" ca="1" si="35"/>
        <v>0</v>
      </c>
      <c r="S37" s="291">
        <f t="shared" ca="1" si="35"/>
        <v>0</v>
      </c>
      <c r="T37" s="291">
        <f t="shared" ca="1" si="35"/>
        <v>0</v>
      </c>
      <c r="U37" s="291">
        <f t="shared" ca="1" si="35"/>
        <v>0</v>
      </c>
      <c r="V37" s="291">
        <f t="shared" ca="1" si="35"/>
        <v>0</v>
      </c>
      <c r="W37" s="291">
        <f t="shared" ca="1" si="35"/>
        <v>0</v>
      </c>
      <c r="X37" s="291">
        <f t="shared" ca="1" si="35"/>
        <v>0</v>
      </c>
      <c r="Y37" s="291">
        <f t="shared" ca="1" si="35"/>
        <v>0</v>
      </c>
      <c r="Z37" s="291">
        <f t="shared" ca="1" si="35"/>
        <v>0</v>
      </c>
      <c r="AA37" s="291">
        <f t="shared" ca="1" si="35"/>
        <v>0</v>
      </c>
      <c r="AB37" s="291">
        <f t="shared" ca="1" si="35"/>
        <v>0</v>
      </c>
      <c r="AC37" s="291" t="str">
        <f t="shared" ref="AC37:AF37" ca="1" si="36">IFERROR(SUM(OFFSET(AC26,0,0,1,-$D$11)),"na")</f>
        <v>na</v>
      </c>
      <c r="AD37" s="291" t="str">
        <f t="shared" ca="1" si="36"/>
        <v>na</v>
      </c>
      <c r="AE37" s="291" t="str">
        <f t="shared" ca="1" si="36"/>
        <v>na</v>
      </c>
      <c r="AF37" s="291" t="str">
        <f t="shared" ca="1" si="36"/>
        <v>na</v>
      </c>
      <c r="AG37" s="291" t="str">
        <f t="shared" ref="AG37" ca="1" si="37">IFERROR(SUM(OFFSET(AG26,0,0,1,-$D$11)),"na")</f>
        <v>na</v>
      </c>
    </row>
    <row r="38" spans="2:33" outlineLevel="1">
      <c r="C38" s="291" t="s">
        <v>774</v>
      </c>
      <c r="D38" s="291">
        <f t="shared" ca="1" si="19"/>
        <v>0</v>
      </c>
      <c r="E38" s="291">
        <f t="shared" ref="E38:AB38" ca="1" si="38">IFERROR(SUM(OFFSET(E27,0,0,1,-$D$11)),"na")</f>
        <v>0</v>
      </c>
      <c r="F38" s="291">
        <f t="shared" ca="1" si="38"/>
        <v>0</v>
      </c>
      <c r="G38" s="291">
        <f t="shared" ca="1" si="38"/>
        <v>0</v>
      </c>
      <c r="H38" s="291">
        <f t="shared" ca="1" si="38"/>
        <v>0</v>
      </c>
      <c r="I38" s="291">
        <f t="shared" ca="1" si="38"/>
        <v>0</v>
      </c>
      <c r="J38" s="291">
        <f t="shared" ca="1" si="38"/>
        <v>0</v>
      </c>
      <c r="K38" s="291">
        <f t="shared" ca="1" si="38"/>
        <v>0</v>
      </c>
      <c r="L38" s="291">
        <f t="shared" ca="1" si="38"/>
        <v>0</v>
      </c>
      <c r="M38" s="291">
        <f t="shared" ca="1" si="38"/>
        <v>0</v>
      </c>
      <c r="N38" s="291">
        <f t="shared" ca="1" si="38"/>
        <v>0</v>
      </c>
      <c r="O38" s="291">
        <f t="shared" ca="1" si="38"/>
        <v>0</v>
      </c>
      <c r="P38" s="291">
        <f t="shared" ca="1" si="38"/>
        <v>0</v>
      </c>
      <c r="Q38" s="291">
        <f t="shared" ca="1" si="38"/>
        <v>0</v>
      </c>
      <c r="R38" s="291">
        <f t="shared" ca="1" si="38"/>
        <v>0</v>
      </c>
      <c r="S38" s="291">
        <f t="shared" ca="1" si="38"/>
        <v>0</v>
      </c>
      <c r="T38" s="291">
        <f t="shared" ca="1" si="38"/>
        <v>0</v>
      </c>
      <c r="U38" s="291">
        <f t="shared" ca="1" si="38"/>
        <v>0</v>
      </c>
      <c r="V38" s="291">
        <f t="shared" ca="1" si="38"/>
        <v>0</v>
      </c>
      <c r="W38" s="291">
        <f t="shared" ca="1" si="38"/>
        <v>0</v>
      </c>
      <c r="X38" s="291">
        <f t="shared" ca="1" si="38"/>
        <v>0</v>
      </c>
      <c r="Y38" s="291">
        <f t="shared" ca="1" si="38"/>
        <v>0</v>
      </c>
      <c r="Z38" s="291">
        <f t="shared" ca="1" si="38"/>
        <v>0</v>
      </c>
      <c r="AA38" s="291">
        <f t="shared" ca="1" si="38"/>
        <v>0</v>
      </c>
      <c r="AB38" s="291">
        <f t="shared" ca="1" si="38"/>
        <v>0</v>
      </c>
      <c r="AC38" s="291">
        <f t="shared" ref="AC38:AF38" ca="1" si="39">IFERROR(SUM(OFFSET(AC27,0,0,1,-$D$11)),"na")</f>
        <v>0</v>
      </c>
      <c r="AD38" s="291">
        <f t="shared" ca="1" si="39"/>
        <v>0</v>
      </c>
      <c r="AE38" s="291">
        <f t="shared" ca="1" si="39"/>
        <v>0</v>
      </c>
      <c r="AF38" s="291">
        <f t="shared" ca="1" si="39"/>
        <v>0</v>
      </c>
      <c r="AG38" s="291">
        <f t="shared" ref="AG38" ca="1" si="40">IFERROR(SUM(OFFSET(AG27,0,0,1,-$D$11)),"na")</f>
        <v>0</v>
      </c>
    </row>
    <row r="39" spans="2:33" outlineLevel="1">
      <c r="C39" s="291" t="s">
        <v>775</v>
      </c>
      <c r="D39" s="291">
        <f t="shared" ca="1" si="19"/>
        <v>0</v>
      </c>
      <c r="E39" s="291">
        <f t="shared" ref="E39:AB39" ca="1" si="41">IFERROR(SUM(OFFSET(E28,0,0,1,-$D$11)),"na")</f>
        <v>0</v>
      </c>
      <c r="F39" s="291">
        <f t="shared" ca="1" si="41"/>
        <v>0</v>
      </c>
      <c r="G39" s="291">
        <f t="shared" ca="1" si="41"/>
        <v>0</v>
      </c>
      <c r="H39" s="291">
        <f t="shared" ca="1" si="41"/>
        <v>0</v>
      </c>
      <c r="I39" s="291">
        <f t="shared" ca="1" si="41"/>
        <v>0</v>
      </c>
      <c r="J39" s="291">
        <f t="shared" ca="1" si="41"/>
        <v>0</v>
      </c>
      <c r="K39" s="291">
        <f t="shared" ca="1" si="41"/>
        <v>0</v>
      </c>
      <c r="L39" s="291">
        <f t="shared" ca="1" si="41"/>
        <v>0</v>
      </c>
      <c r="M39" s="291">
        <f t="shared" ca="1" si="41"/>
        <v>0</v>
      </c>
      <c r="N39" s="291">
        <f t="shared" ca="1" si="41"/>
        <v>0</v>
      </c>
      <c r="O39" s="291">
        <f t="shared" ca="1" si="41"/>
        <v>0</v>
      </c>
      <c r="P39" s="291">
        <f t="shared" ca="1" si="41"/>
        <v>0</v>
      </c>
      <c r="Q39" s="291">
        <f t="shared" ca="1" si="41"/>
        <v>0</v>
      </c>
      <c r="R39" s="291">
        <f t="shared" ca="1" si="41"/>
        <v>0</v>
      </c>
      <c r="S39" s="291">
        <f t="shared" ca="1" si="41"/>
        <v>0</v>
      </c>
      <c r="T39" s="291">
        <f t="shared" ca="1" si="41"/>
        <v>0</v>
      </c>
      <c r="U39" s="291">
        <f t="shared" ca="1" si="41"/>
        <v>0</v>
      </c>
      <c r="V39" s="291">
        <f t="shared" ca="1" si="41"/>
        <v>0</v>
      </c>
      <c r="W39" s="291">
        <f t="shared" ca="1" si="41"/>
        <v>0</v>
      </c>
      <c r="X39" s="291">
        <f t="shared" ca="1" si="41"/>
        <v>0</v>
      </c>
      <c r="Y39" s="291">
        <f t="shared" ca="1" si="41"/>
        <v>0</v>
      </c>
      <c r="Z39" s="291">
        <f t="shared" ca="1" si="41"/>
        <v>0</v>
      </c>
      <c r="AA39" s="291">
        <f t="shared" ca="1" si="41"/>
        <v>0</v>
      </c>
      <c r="AB39" s="291">
        <f t="shared" ca="1" si="41"/>
        <v>0</v>
      </c>
      <c r="AC39" s="291" t="str">
        <f t="shared" ref="AC39:AF39" ca="1" si="42">IFERROR(SUM(OFFSET(AC28,0,0,1,-$D$11)),"na")</f>
        <v>na</v>
      </c>
      <c r="AD39" s="291" t="str">
        <f t="shared" ca="1" si="42"/>
        <v>na</v>
      </c>
      <c r="AE39" s="291" t="str">
        <f t="shared" ca="1" si="42"/>
        <v>na</v>
      </c>
      <c r="AF39" s="291" t="str">
        <f t="shared" ca="1" si="42"/>
        <v>na</v>
      </c>
      <c r="AG39" s="291" t="str">
        <f t="shared" ref="AG39" ca="1" si="43">IFERROR(SUM(OFFSET(AG28,0,0,1,-$D$11)),"na")</f>
        <v>na</v>
      </c>
    </row>
    <row r="40" spans="2:33" ht="14.4" outlineLevel="1">
      <c r="C40" s="1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</row>
    <row r="41" spans="2:33" ht="16.600000000000001">
      <c r="B41" s="196" t="str">
        <f>CONCATENATE("Project ",project_name," covenant testing")</f>
        <v>Project  covenant testing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</row>
    <row r="42" spans="2:33">
      <c r="B42" s="198" t="s">
        <v>1036</v>
      </c>
      <c r="C42" s="198"/>
      <c r="D42" s="198">
        <f>D$4</f>
        <v>43555</v>
      </c>
      <c r="E42" s="198">
        <f t="shared" ref="E42:AG42" si="44">E$4</f>
        <v>43646</v>
      </c>
      <c r="F42" s="198">
        <f t="shared" si="44"/>
        <v>43738</v>
      </c>
      <c r="G42" s="198">
        <f t="shared" si="44"/>
        <v>43830</v>
      </c>
      <c r="H42" s="198">
        <f t="shared" si="44"/>
        <v>43921</v>
      </c>
      <c r="I42" s="198">
        <f t="shared" si="44"/>
        <v>44012</v>
      </c>
      <c r="J42" s="198">
        <f t="shared" si="44"/>
        <v>44104</v>
      </c>
      <c r="K42" s="198">
        <f t="shared" si="44"/>
        <v>44196</v>
      </c>
      <c r="L42" s="198">
        <f t="shared" si="44"/>
        <v>44286</v>
      </c>
      <c r="M42" s="198">
        <f t="shared" si="44"/>
        <v>44377</v>
      </c>
      <c r="N42" s="198">
        <f t="shared" si="44"/>
        <v>44469</v>
      </c>
      <c r="O42" s="198">
        <f t="shared" si="44"/>
        <v>44561</v>
      </c>
      <c r="P42" s="198">
        <f t="shared" si="44"/>
        <v>44651</v>
      </c>
      <c r="Q42" s="198">
        <f t="shared" si="44"/>
        <v>44742</v>
      </c>
      <c r="R42" s="198">
        <f t="shared" si="44"/>
        <v>44834</v>
      </c>
      <c r="S42" s="198">
        <f t="shared" si="44"/>
        <v>44926</v>
      </c>
      <c r="T42" s="198">
        <f t="shared" si="44"/>
        <v>45016</v>
      </c>
      <c r="U42" s="198">
        <f t="shared" si="44"/>
        <v>45107</v>
      </c>
      <c r="V42" s="198">
        <f t="shared" si="44"/>
        <v>45199</v>
      </c>
      <c r="W42" s="198">
        <f t="shared" si="44"/>
        <v>45291</v>
      </c>
      <c r="X42" s="198">
        <f t="shared" si="44"/>
        <v>45382</v>
      </c>
      <c r="Y42" s="198">
        <f t="shared" si="44"/>
        <v>45473</v>
      </c>
      <c r="Z42" s="198">
        <f t="shared" si="44"/>
        <v>45565</v>
      </c>
      <c r="AA42" s="198">
        <f t="shared" si="44"/>
        <v>45657</v>
      </c>
      <c r="AB42" s="198">
        <f t="shared" si="44"/>
        <v>45747</v>
      </c>
      <c r="AC42" s="198">
        <f t="shared" si="44"/>
        <v>45838</v>
      </c>
      <c r="AD42" s="198">
        <f t="shared" si="44"/>
        <v>45930</v>
      </c>
      <c r="AE42" s="198">
        <f t="shared" si="44"/>
        <v>46022</v>
      </c>
      <c r="AF42" s="198">
        <f t="shared" si="44"/>
        <v>46112</v>
      </c>
      <c r="AG42" s="198">
        <f t="shared" si="44"/>
        <v>46203</v>
      </c>
    </row>
    <row r="43" spans="2:33" s="107" customFormat="1" ht="15.15">
      <c r="B43" s="180" t="s">
        <v>1035</v>
      </c>
      <c r="C43" s="180" t="s">
        <v>767</v>
      </c>
      <c r="D43" s="261" t="str">
        <f>IF($D$12&gt;D$4,"na",(D15-(D19&lt;0)*D19)/INDEX(D$32:D$34,MATCH($B44,$C$32:$C$34,0)))</f>
        <v>na</v>
      </c>
      <c r="E43" s="261" t="str">
        <f t="shared" ref="E43:AB43" si="45">IF($D$12&gt;E$4,"na",(E15-(E19&lt;0)*E19)/INDEX(E$32:E$34,MATCH($B44,$C$32:$C$34,0)))</f>
        <v>na</v>
      </c>
      <c r="F43" s="261" t="str">
        <f t="shared" si="45"/>
        <v>na</v>
      </c>
      <c r="G43" s="261" t="e">
        <f t="shared" ca="1" si="45"/>
        <v>#DIV/0!</v>
      </c>
      <c r="H43" s="261" t="e">
        <f t="shared" ca="1" si="45"/>
        <v>#DIV/0!</v>
      </c>
      <c r="I43" s="261" t="e">
        <f t="shared" ca="1" si="45"/>
        <v>#DIV/0!</v>
      </c>
      <c r="J43" s="261" t="e">
        <f t="shared" ca="1" si="45"/>
        <v>#DIV/0!</v>
      </c>
      <c r="K43" s="261" t="e">
        <f t="shared" ca="1" si="45"/>
        <v>#DIV/0!</v>
      </c>
      <c r="L43" s="261" t="e">
        <f t="shared" ca="1" si="45"/>
        <v>#DIV/0!</v>
      </c>
      <c r="M43" s="261" t="e">
        <f t="shared" ca="1" si="45"/>
        <v>#DIV/0!</v>
      </c>
      <c r="N43" s="261" t="e">
        <f t="shared" ca="1" si="45"/>
        <v>#DIV/0!</v>
      </c>
      <c r="O43" s="261" t="e">
        <f t="shared" ca="1" si="45"/>
        <v>#DIV/0!</v>
      </c>
      <c r="P43" s="261" t="e">
        <f t="shared" ca="1" si="45"/>
        <v>#DIV/0!</v>
      </c>
      <c r="Q43" s="261" t="e">
        <f t="shared" ca="1" si="45"/>
        <v>#DIV/0!</v>
      </c>
      <c r="R43" s="261" t="e">
        <f t="shared" ca="1" si="45"/>
        <v>#DIV/0!</v>
      </c>
      <c r="S43" s="261" t="e">
        <f t="shared" ca="1" si="45"/>
        <v>#DIV/0!</v>
      </c>
      <c r="T43" s="261" t="e">
        <f t="shared" ca="1" si="45"/>
        <v>#DIV/0!</v>
      </c>
      <c r="U43" s="261" t="e">
        <f t="shared" ca="1" si="45"/>
        <v>#DIV/0!</v>
      </c>
      <c r="V43" s="261" t="e">
        <f t="shared" ca="1" si="45"/>
        <v>#DIV/0!</v>
      </c>
      <c r="W43" s="261" t="e">
        <f t="shared" ca="1" si="45"/>
        <v>#DIV/0!</v>
      </c>
      <c r="X43" s="261" t="e">
        <f t="shared" ca="1" si="45"/>
        <v>#DIV/0!</v>
      </c>
      <c r="Y43" s="261" t="e">
        <f t="shared" ca="1" si="45"/>
        <v>#DIV/0!</v>
      </c>
      <c r="Z43" s="261" t="e">
        <f t="shared" ca="1" si="45"/>
        <v>#DIV/0!</v>
      </c>
      <c r="AA43" s="261" t="e">
        <f t="shared" ca="1" si="45"/>
        <v>#DIV/0!</v>
      </c>
      <c r="AB43" s="261" t="e">
        <f t="shared" ca="1" si="45"/>
        <v>#N/A</v>
      </c>
      <c r="AC43" s="261" t="e">
        <f t="shared" ref="AC43:AF43" ca="1" si="46">IF($D$12&gt;AC$4,"na",(AC15-(AC19&lt;0)*AC19)/INDEX(AC$32:AC$34,MATCH($B44,$C$32:$C$34,0)))</f>
        <v>#N/A</v>
      </c>
      <c r="AD43" s="261" t="e">
        <f t="shared" ca="1" si="46"/>
        <v>#N/A</v>
      </c>
      <c r="AE43" s="261" t="e">
        <f t="shared" ca="1" si="46"/>
        <v>#N/A</v>
      </c>
      <c r="AF43" s="261" t="e">
        <f t="shared" ca="1" si="46"/>
        <v>#N/A</v>
      </c>
      <c r="AG43" s="261" t="e">
        <f t="shared" ref="AG43" ca="1" si="47">IF($D$12&gt;AG$4,"na",(AG15-(AG19&lt;0)*AG19)/INDEX(AG$32:AG$34,MATCH($B44,$C$32:$C$34,0)))</f>
        <v>#N/A</v>
      </c>
    </row>
    <row r="44" spans="2:33" s="106" customFormat="1" ht="15.15">
      <c r="B44" s="197" t="s">
        <v>771</v>
      </c>
      <c r="C44" s="28" t="s">
        <v>765</v>
      </c>
      <c r="D44" s="306">
        <v>5</v>
      </c>
      <c r="E44" s="306">
        <v>5</v>
      </c>
      <c r="F44" s="306">
        <v>5</v>
      </c>
      <c r="G44" s="306">
        <v>5.5</v>
      </c>
      <c r="H44" s="306">
        <v>5.5</v>
      </c>
      <c r="I44" s="306">
        <v>5.5</v>
      </c>
      <c r="J44" s="306">
        <v>5.25</v>
      </c>
      <c r="K44" s="306">
        <v>4.75</v>
      </c>
      <c r="L44" s="306">
        <v>4.75</v>
      </c>
      <c r="M44" s="306">
        <v>4.5</v>
      </c>
      <c r="N44" s="306">
        <v>4.5</v>
      </c>
      <c r="O44" s="306">
        <v>4.25</v>
      </c>
      <c r="P44" s="306">
        <v>4.25</v>
      </c>
      <c r="Q44" s="306">
        <v>4.25</v>
      </c>
      <c r="R44" s="306">
        <v>4</v>
      </c>
      <c r="S44" s="306">
        <v>3.75</v>
      </c>
      <c r="T44" s="306">
        <v>3</v>
      </c>
      <c r="U44" s="306">
        <v>3</v>
      </c>
      <c r="V44" s="306">
        <v>3</v>
      </c>
      <c r="W44" s="306">
        <v>3</v>
      </c>
      <c r="X44" s="306">
        <v>3</v>
      </c>
      <c r="Y44" s="306">
        <v>3</v>
      </c>
      <c r="Z44" s="306">
        <v>3</v>
      </c>
      <c r="AA44" s="306">
        <v>3</v>
      </c>
      <c r="AB44" s="306">
        <v>3</v>
      </c>
      <c r="AC44" s="306">
        <v>3</v>
      </c>
      <c r="AD44" s="306">
        <v>3</v>
      </c>
      <c r="AE44" s="306">
        <v>3</v>
      </c>
      <c r="AF44" s="306">
        <v>3</v>
      </c>
      <c r="AG44" s="306">
        <v>3</v>
      </c>
    </row>
    <row r="45" spans="2:33" s="108" customFormat="1" ht="15.15">
      <c r="B45" s="28"/>
      <c r="C45" s="183" t="s">
        <v>766</v>
      </c>
      <c r="D45" s="185" t="str">
        <f>IFERROR(D44/D43-1,"na")</f>
        <v>na</v>
      </c>
      <c r="E45" s="185" t="str">
        <f t="shared" ref="E45:AB45" si="48">IFERROR(E44/E43-1,"na")</f>
        <v>na</v>
      </c>
      <c r="F45" s="185" t="str">
        <f t="shared" si="48"/>
        <v>na</v>
      </c>
      <c r="G45" s="183" t="str">
        <f t="shared" ca="1" si="48"/>
        <v>na</v>
      </c>
      <c r="H45" s="183" t="str">
        <f t="shared" ca="1" si="48"/>
        <v>na</v>
      </c>
      <c r="I45" s="183" t="str">
        <f t="shared" ca="1" si="48"/>
        <v>na</v>
      </c>
      <c r="J45" s="183" t="str">
        <f t="shared" ca="1" si="48"/>
        <v>na</v>
      </c>
      <c r="K45" s="183" t="str">
        <f t="shared" ca="1" si="48"/>
        <v>na</v>
      </c>
      <c r="L45" s="183" t="str">
        <f t="shared" ca="1" si="48"/>
        <v>na</v>
      </c>
      <c r="M45" s="183" t="str">
        <f t="shared" ca="1" si="48"/>
        <v>na</v>
      </c>
      <c r="N45" s="183" t="str">
        <f t="shared" ca="1" si="48"/>
        <v>na</v>
      </c>
      <c r="O45" s="183" t="str">
        <f t="shared" ca="1" si="48"/>
        <v>na</v>
      </c>
      <c r="P45" s="183" t="str">
        <f t="shared" ca="1" si="48"/>
        <v>na</v>
      </c>
      <c r="Q45" s="183" t="str">
        <f t="shared" ca="1" si="48"/>
        <v>na</v>
      </c>
      <c r="R45" s="183" t="str">
        <f t="shared" ca="1" si="48"/>
        <v>na</v>
      </c>
      <c r="S45" s="183" t="str">
        <f t="shared" ca="1" si="48"/>
        <v>na</v>
      </c>
      <c r="T45" s="183" t="str">
        <f t="shared" ca="1" si="48"/>
        <v>na</v>
      </c>
      <c r="U45" s="183" t="str">
        <f t="shared" ca="1" si="48"/>
        <v>na</v>
      </c>
      <c r="V45" s="183" t="str">
        <f t="shared" ca="1" si="48"/>
        <v>na</v>
      </c>
      <c r="W45" s="183" t="str">
        <f t="shared" ca="1" si="48"/>
        <v>na</v>
      </c>
      <c r="X45" s="183" t="str">
        <f t="shared" ca="1" si="48"/>
        <v>na</v>
      </c>
      <c r="Y45" s="183" t="str">
        <f t="shared" ca="1" si="48"/>
        <v>na</v>
      </c>
      <c r="Z45" s="183" t="str">
        <f t="shared" ca="1" si="48"/>
        <v>na</v>
      </c>
      <c r="AA45" s="183" t="str">
        <f t="shared" ca="1" si="48"/>
        <v>na</v>
      </c>
      <c r="AB45" s="183" t="str">
        <f t="shared" ca="1" si="48"/>
        <v>na</v>
      </c>
      <c r="AC45" s="183" t="str">
        <f t="shared" ref="AC45:AF45" ca="1" si="49">IFERROR(AC44/AC43-1,"na")</f>
        <v>na</v>
      </c>
      <c r="AD45" s="183" t="str">
        <f t="shared" ca="1" si="49"/>
        <v>na</v>
      </c>
      <c r="AE45" s="183" t="str">
        <f t="shared" ca="1" si="49"/>
        <v>na</v>
      </c>
      <c r="AF45" s="183" t="str">
        <f t="shared" ca="1" si="49"/>
        <v>na</v>
      </c>
      <c r="AG45" s="183" t="str">
        <f t="shared" ref="AG45" ca="1" si="50">IFERROR(AG44/AG43-1,"na")</f>
        <v>na</v>
      </c>
    </row>
    <row r="46" spans="2:33" ht="14.4" hidden="1" outlineLevel="1">
      <c r="B46" s="1"/>
      <c r="C46" s="34"/>
    </row>
    <row r="47" spans="2:33" s="107" customFormat="1" ht="15.15" hidden="1" outlineLevel="1">
      <c r="B47" s="180"/>
      <c r="C47" s="180" t="s">
        <v>764</v>
      </c>
      <c r="D47" s="261" t="str">
        <f t="shared" ref="D47:AB47" si="51">IF($D$12&gt;D$4,"na",(D15-D19)/INDEX(D$32:D$34,MATCH($B48,$C$32:$C$34,0)))</f>
        <v>na</v>
      </c>
      <c r="E47" s="261" t="str">
        <f t="shared" si="51"/>
        <v>na</v>
      </c>
      <c r="F47" s="261" t="str">
        <f t="shared" si="51"/>
        <v>na</v>
      </c>
      <c r="G47" s="261" t="e">
        <f t="shared" ca="1" si="51"/>
        <v>#DIV/0!</v>
      </c>
      <c r="H47" s="261" t="e">
        <f t="shared" ca="1" si="51"/>
        <v>#DIV/0!</v>
      </c>
      <c r="I47" s="261" t="e">
        <f t="shared" ca="1" si="51"/>
        <v>#DIV/0!</v>
      </c>
      <c r="J47" s="261" t="e">
        <f t="shared" ca="1" si="51"/>
        <v>#DIV/0!</v>
      </c>
      <c r="K47" s="261" t="e">
        <f t="shared" ca="1" si="51"/>
        <v>#DIV/0!</v>
      </c>
      <c r="L47" s="261" t="e">
        <f t="shared" ca="1" si="51"/>
        <v>#DIV/0!</v>
      </c>
      <c r="M47" s="261" t="e">
        <f t="shared" ca="1" si="51"/>
        <v>#DIV/0!</v>
      </c>
      <c r="N47" s="261" t="e">
        <f t="shared" ca="1" si="51"/>
        <v>#DIV/0!</v>
      </c>
      <c r="O47" s="261" t="e">
        <f t="shared" ca="1" si="51"/>
        <v>#DIV/0!</v>
      </c>
      <c r="P47" s="261" t="e">
        <f t="shared" ca="1" si="51"/>
        <v>#DIV/0!</v>
      </c>
      <c r="Q47" s="261" t="e">
        <f t="shared" ca="1" si="51"/>
        <v>#DIV/0!</v>
      </c>
      <c r="R47" s="261" t="e">
        <f t="shared" ca="1" si="51"/>
        <v>#DIV/0!</v>
      </c>
      <c r="S47" s="261" t="e">
        <f t="shared" ca="1" si="51"/>
        <v>#DIV/0!</v>
      </c>
      <c r="T47" s="261" t="e">
        <f t="shared" ca="1" si="51"/>
        <v>#DIV/0!</v>
      </c>
      <c r="U47" s="261" t="e">
        <f t="shared" ca="1" si="51"/>
        <v>#DIV/0!</v>
      </c>
      <c r="V47" s="261" t="e">
        <f t="shared" ca="1" si="51"/>
        <v>#DIV/0!</v>
      </c>
      <c r="W47" s="261" t="e">
        <f t="shared" ca="1" si="51"/>
        <v>#DIV/0!</v>
      </c>
      <c r="X47" s="261" t="e">
        <f t="shared" ca="1" si="51"/>
        <v>#DIV/0!</v>
      </c>
      <c r="Y47" s="261" t="e">
        <f t="shared" ca="1" si="51"/>
        <v>#DIV/0!</v>
      </c>
      <c r="Z47" s="261" t="e">
        <f t="shared" ca="1" si="51"/>
        <v>#DIV/0!</v>
      </c>
      <c r="AA47" s="261" t="e">
        <f t="shared" ca="1" si="51"/>
        <v>#DIV/0!</v>
      </c>
      <c r="AB47" s="261" t="e">
        <f t="shared" ca="1" si="51"/>
        <v>#N/A</v>
      </c>
      <c r="AC47" s="261" t="e">
        <f t="shared" ref="AC47:AF47" ca="1" si="52">IF($D$12&gt;AC$4,"na",(AC15-AC19)/INDEX(AC$32:AC$34,MATCH($B48,$C$32:$C$34,0)))</f>
        <v>#N/A</v>
      </c>
      <c r="AD47" s="261" t="e">
        <f t="shared" ca="1" si="52"/>
        <v>#N/A</v>
      </c>
      <c r="AE47" s="261" t="e">
        <f t="shared" ca="1" si="52"/>
        <v>#N/A</v>
      </c>
      <c r="AF47" s="261" t="e">
        <f t="shared" ca="1" si="52"/>
        <v>#N/A</v>
      </c>
      <c r="AG47" s="261" t="e">
        <f t="shared" ref="AG47" ca="1" si="53">IF($D$12&gt;AG$4,"na",(AG15-AG19)/INDEX(AG$32:AG$34,MATCH($B48,$C$32:$C$34,0)))</f>
        <v>#N/A</v>
      </c>
    </row>
    <row r="48" spans="2:33" s="106" customFormat="1" ht="15.15" hidden="1" outlineLevel="1">
      <c r="B48" s="197" t="s">
        <v>771</v>
      </c>
      <c r="C48" s="94" t="s">
        <v>765</v>
      </c>
      <c r="D48" s="306">
        <v>1</v>
      </c>
      <c r="E48" s="306">
        <v>1</v>
      </c>
      <c r="F48" s="306">
        <v>1</v>
      </c>
      <c r="G48" s="306">
        <v>1</v>
      </c>
      <c r="H48" s="306">
        <v>1</v>
      </c>
      <c r="I48" s="306">
        <v>1</v>
      </c>
      <c r="J48" s="306">
        <v>1</v>
      </c>
      <c r="K48" s="306">
        <v>1</v>
      </c>
      <c r="L48" s="306">
        <v>1</v>
      </c>
      <c r="M48" s="306">
        <v>1</v>
      </c>
      <c r="N48" s="306">
        <v>1</v>
      </c>
      <c r="O48" s="306">
        <v>1</v>
      </c>
      <c r="P48" s="306">
        <v>1</v>
      </c>
      <c r="Q48" s="306">
        <v>1</v>
      </c>
      <c r="R48" s="306">
        <v>1</v>
      </c>
      <c r="S48" s="306">
        <v>1</v>
      </c>
      <c r="T48" s="306">
        <v>1</v>
      </c>
      <c r="U48" s="306">
        <v>1</v>
      </c>
      <c r="V48" s="306">
        <v>1</v>
      </c>
      <c r="W48" s="306">
        <v>1</v>
      </c>
      <c r="X48" s="306">
        <v>1</v>
      </c>
      <c r="Y48" s="306">
        <v>1</v>
      </c>
      <c r="Z48" s="306">
        <v>1</v>
      </c>
      <c r="AA48" s="306">
        <v>1</v>
      </c>
      <c r="AB48" s="306">
        <v>1</v>
      </c>
      <c r="AC48" s="306">
        <v>1</v>
      </c>
      <c r="AD48" s="306">
        <v>1</v>
      </c>
      <c r="AE48" s="306">
        <v>1</v>
      </c>
      <c r="AF48" s="306">
        <v>1</v>
      </c>
      <c r="AG48" s="306">
        <v>1</v>
      </c>
    </row>
    <row r="49" spans="2:33" s="108" customFormat="1" ht="15.15" hidden="1" outlineLevel="1">
      <c r="B49" s="28"/>
      <c r="C49" s="183" t="s">
        <v>766</v>
      </c>
      <c r="D49" s="185" t="str">
        <f t="shared" ref="D49" si="54">IFERROR(D48/D47-1,"na")</f>
        <v>na</v>
      </c>
      <c r="E49" s="185" t="str">
        <f t="shared" ref="E49" si="55">IFERROR(E48/E47-1,"na")</f>
        <v>na</v>
      </c>
      <c r="F49" s="185" t="str">
        <f t="shared" ref="F49" si="56">IFERROR(F48/F47-1,"na")</f>
        <v>na</v>
      </c>
      <c r="G49" s="183" t="str">
        <f t="shared" ref="G49" ca="1" si="57">IFERROR(G48/G47-1,"na")</f>
        <v>na</v>
      </c>
      <c r="H49" s="183" t="str">
        <f t="shared" ref="H49" ca="1" si="58">IFERROR(H48/H47-1,"na")</f>
        <v>na</v>
      </c>
      <c r="I49" s="183" t="str">
        <f t="shared" ref="I49" ca="1" si="59">IFERROR(I48/I47-1,"na")</f>
        <v>na</v>
      </c>
      <c r="J49" s="183" t="str">
        <f t="shared" ref="J49" ca="1" si="60">IFERROR(J48/J47-1,"na")</f>
        <v>na</v>
      </c>
      <c r="K49" s="183" t="str">
        <f t="shared" ref="K49" ca="1" si="61">IFERROR(K48/K47-1,"na")</f>
        <v>na</v>
      </c>
      <c r="L49" s="183" t="str">
        <f t="shared" ref="L49" ca="1" si="62">IFERROR(L48/L47-1,"na")</f>
        <v>na</v>
      </c>
      <c r="M49" s="183" t="str">
        <f t="shared" ref="M49" ca="1" si="63">IFERROR(M48/M47-1,"na")</f>
        <v>na</v>
      </c>
      <c r="N49" s="183" t="str">
        <f t="shared" ref="N49" ca="1" si="64">IFERROR(N48/N47-1,"na")</f>
        <v>na</v>
      </c>
      <c r="O49" s="183" t="str">
        <f t="shared" ref="O49" ca="1" si="65">IFERROR(O48/O47-1,"na")</f>
        <v>na</v>
      </c>
      <c r="P49" s="183" t="str">
        <f t="shared" ref="P49" ca="1" si="66">IFERROR(P48/P47-1,"na")</f>
        <v>na</v>
      </c>
      <c r="Q49" s="183" t="str">
        <f t="shared" ref="Q49" ca="1" si="67">IFERROR(Q48/Q47-1,"na")</f>
        <v>na</v>
      </c>
      <c r="R49" s="183" t="str">
        <f t="shared" ref="R49" ca="1" si="68">IFERROR(R48/R47-1,"na")</f>
        <v>na</v>
      </c>
      <c r="S49" s="183" t="str">
        <f t="shared" ref="S49" ca="1" si="69">IFERROR(S48/S47-1,"na")</f>
        <v>na</v>
      </c>
      <c r="T49" s="183" t="str">
        <f t="shared" ref="T49" ca="1" si="70">IFERROR(T48/T47-1,"na")</f>
        <v>na</v>
      </c>
      <c r="U49" s="183" t="str">
        <f t="shared" ref="U49" ca="1" si="71">IFERROR(U48/U47-1,"na")</f>
        <v>na</v>
      </c>
      <c r="V49" s="183" t="str">
        <f t="shared" ref="V49" ca="1" si="72">IFERROR(V48/V47-1,"na")</f>
        <v>na</v>
      </c>
      <c r="W49" s="183" t="str">
        <f t="shared" ref="W49" ca="1" si="73">IFERROR(W48/W47-1,"na")</f>
        <v>na</v>
      </c>
      <c r="X49" s="183" t="str">
        <f t="shared" ref="X49" ca="1" si="74">IFERROR(X48/X47-1,"na")</f>
        <v>na</v>
      </c>
      <c r="Y49" s="183" t="str">
        <f t="shared" ref="Y49" ca="1" si="75">IFERROR(Y48/Y47-1,"na")</f>
        <v>na</v>
      </c>
      <c r="Z49" s="183" t="str">
        <f t="shared" ref="Z49" ca="1" si="76">IFERROR(Z48/Z47-1,"na")</f>
        <v>na</v>
      </c>
      <c r="AA49" s="183" t="str">
        <f t="shared" ref="AA49" ca="1" si="77">IFERROR(AA48/AA47-1,"na")</f>
        <v>na</v>
      </c>
      <c r="AB49" s="183" t="str">
        <f t="shared" ref="AB49:AF49" ca="1" si="78">IFERROR(AB48/AB47-1,"na")</f>
        <v>na</v>
      </c>
      <c r="AC49" s="183" t="str">
        <f t="shared" ca="1" si="78"/>
        <v>na</v>
      </c>
      <c r="AD49" s="183" t="str">
        <f t="shared" ca="1" si="78"/>
        <v>na</v>
      </c>
      <c r="AE49" s="183" t="str">
        <f t="shared" ca="1" si="78"/>
        <v>na</v>
      </c>
      <c r="AF49" s="183" t="str">
        <f t="shared" ca="1" si="78"/>
        <v>na</v>
      </c>
      <c r="AG49" s="183" t="str">
        <f t="shared" ref="AG49" ca="1" si="79">IFERROR(AG48/AG47-1,"na")</f>
        <v>na</v>
      </c>
    </row>
    <row r="50" spans="2:33" ht="14.4" collapsed="1">
      <c r="B50" s="1"/>
      <c r="C50" s="1"/>
    </row>
    <row r="51" spans="2:33">
      <c r="B51" s="198" t="s">
        <v>1037</v>
      </c>
      <c r="C51" s="198"/>
      <c r="D51" s="198">
        <f>D$4</f>
        <v>43555</v>
      </c>
      <c r="E51" s="198">
        <f t="shared" ref="E51:AG51" si="80">E$4</f>
        <v>43646</v>
      </c>
      <c r="F51" s="198">
        <f t="shared" si="80"/>
        <v>43738</v>
      </c>
      <c r="G51" s="198">
        <f t="shared" si="80"/>
        <v>43830</v>
      </c>
      <c r="H51" s="198">
        <f t="shared" si="80"/>
        <v>43921</v>
      </c>
      <c r="I51" s="198">
        <f t="shared" si="80"/>
        <v>44012</v>
      </c>
      <c r="J51" s="198">
        <f t="shared" si="80"/>
        <v>44104</v>
      </c>
      <c r="K51" s="198">
        <f t="shared" si="80"/>
        <v>44196</v>
      </c>
      <c r="L51" s="198">
        <f t="shared" si="80"/>
        <v>44286</v>
      </c>
      <c r="M51" s="198">
        <f t="shared" si="80"/>
        <v>44377</v>
      </c>
      <c r="N51" s="198">
        <f t="shared" si="80"/>
        <v>44469</v>
      </c>
      <c r="O51" s="198">
        <f t="shared" si="80"/>
        <v>44561</v>
      </c>
      <c r="P51" s="198">
        <f t="shared" si="80"/>
        <v>44651</v>
      </c>
      <c r="Q51" s="198">
        <f t="shared" si="80"/>
        <v>44742</v>
      </c>
      <c r="R51" s="198">
        <f t="shared" si="80"/>
        <v>44834</v>
      </c>
      <c r="S51" s="198">
        <f t="shared" si="80"/>
        <v>44926</v>
      </c>
      <c r="T51" s="198">
        <f t="shared" si="80"/>
        <v>45016</v>
      </c>
      <c r="U51" s="198">
        <f t="shared" si="80"/>
        <v>45107</v>
      </c>
      <c r="V51" s="198">
        <f t="shared" si="80"/>
        <v>45199</v>
      </c>
      <c r="W51" s="198">
        <f t="shared" si="80"/>
        <v>45291</v>
      </c>
      <c r="X51" s="198">
        <f t="shared" si="80"/>
        <v>45382</v>
      </c>
      <c r="Y51" s="198">
        <f t="shared" si="80"/>
        <v>45473</v>
      </c>
      <c r="Z51" s="198">
        <f t="shared" si="80"/>
        <v>45565</v>
      </c>
      <c r="AA51" s="198">
        <f t="shared" si="80"/>
        <v>45657</v>
      </c>
      <c r="AB51" s="198">
        <f t="shared" si="80"/>
        <v>45747</v>
      </c>
      <c r="AC51" s="198">
        <f t="shared" si="80"/>
        <v>45838</v>
      </c>
      <c r="AD51" s="198">
        <f t="shared" si="80"/>
        <v>45930</v>
      </c>
      <c r="AE51" s="198">
        <f t="shared" si="80"/>
        <v>46022</v>
      </c>
      <c r="AF51" s="198">
        <f t="shared" si="80"/>
        <v>46112</v>
      </c>
      <c r="AG51" s="198">
        <f t="shared" si="80"/>
        <v>46203</v>
      </c>
    </row>
    <row r="52" spans="2:33" s="107" customFormat="1" ht="15.15">
      <c r="B52" s="180" t="s">
        <v>1035</v>
      </c>
      <c r="C52" s="180" t="s">
        <v>768</v>
      </c>
      <c r="D52" s="261" t="str">
        <f>IF($D$12&gt;D$4,"na",(D17-(D19&lt;0)*D19)/INDEX(D$32:D$34,MATCH($B53,$C$32:$C$34,0)))</f>
        <v>na</v>
      </c>
      <c r="E52" s="261" t="str">
        <f t="shared" ref="E52:AB52" si="81">IF($D$12&gt;E$4,"na",(E17-(E19&lt;0)*E19)/INDEX(E$32:E$34,MATCH($B53,$C$32:$C$34,0)))</f>
        <v>na</v>
      </c>
      <c r="F52" s="261" t="str">
        <f t="shared" si="81"/>
        <v>na</v>
      </c>
      <c r="G52" s="261" t="e">
        <f t="shared" ca="1" si="81"/>
        <v>#DIV/0!</v>
      </c>
      <c r="H52" s="261" t="e">
        <f t="shared" ca="1" si="81"/>
        <v>#DIV/0!</v>
      </c>
      <c r="I52" s="261" t="e">
        <f t="shared" ca="1" si="81"/>
        <v>#DIV/0!</v>
      </c>
      <c r="J52" s="261" t="e">
        <f t="shared" ca="1" si="81"/>
        <v>#DIV/0!</v>
      </c>
      <c r="K52" s="261" t="e">
        <f t="shared" ca="1" si="81"/>
        <v>#DIV/0!</v>
      </c>
      <c r="L52" s="261" t="e">
        <f t="shared" ca="1" si="81"/>
        <v>#DIV/0!</v>
      </c>
      <c r="M52" s="261" t="e">
        <f t="shared" ca="1" si="81"/>
        <v>#DIV/0!</v>
      </c>
      <c r="N52" s="261" t="e">
        <f t="shared" ca="1" si="81"/>
        <v>#DIV/0!</v>
      </c>
      <c r="O52" s="261" t="e">
        <f t="shared" ca="1" si="81"/>
        <v>#DIV/0!</v>
      </c>
      <c r="P52" s="261" t="e">
        <f t="shared" ca="1" si="81"/>
        <v>#DIV/0!</v>
      </c>
      <c r="Q52" s="261" t="e">
        <f t="shared" ca="1" si="81"/>
        <v>#DIV/0!</v>
      </c>
      <c r="R52" s="261" t="e">
        <f t="shared" ca="1" si="81"/>
        <v>#DIV/0!</v>
      </c>
      <c r="S52" s="261" t="e">
        <f t="shared" ca="1" si="81"/>
        <v>#DIV/0!</v>
      </c>
      <c r="T52" s="261" t="e">
        <f t="shared" ca="1" si="81"/>
        <v>#DIV/0!</v>
      </c>
      <c r="U52" s="261" t="e">
        <f t="shared" ca="1" si="81"/>
        <v>#DIV/0!</v>
      </c>
      <c r="V52" s="261" t="e">
        <f t="shared" ca="1" si="81"/>
        <v>#DIV/0!</v>
      </c>
      <c r="W52" s="261" t="e">
        <f t="shared" ca="1" si="81"/>
        <v>#DIV/0!</v>
      </c>
      <c r="X52" s="261" t="e">
        <f t="shared" ca="1" si="81"/>
        <v>#DIV/0!</v>
      </c>
      <c r="Y52" s="261" t="e">
        <f t="shared" ca="1" si="81"/>
        <v>#DIV/0!</v>
      </c>
      <c r="Z52" s="261" t="e">
        <f t="shared" ca="1" si="81"/>
        <v>#DIV/0!</v>
      </c>
      <c r="AA52" s="261" t="e">
        <f t="shared" ca="1" si="81"/>
        <v>#DIV/0!</v>
      </c>
      <c r="AB52" s="261" t="e">
        <f t="shared" ca="1" si="81"/>
        <v>#N/A</v>
      </c>
      <c r="AC52" s="261" t="e">
        <f t="shared" ref="AC52:AF52" ca="1" si="82">IF($D$12&gt;AC$4,"na",(AC17-(AC19&lt;0)*AC19)/INDEX(AC$32:AC$34,MATCH($B53,$C$32:$C$34,0)))</f>
        <v>#N/A</v>
      </c>
      <c r="AD52" s="261" t="e">
        <f t="shared" ca="1" si="82"/>
        <v>#N/A</v>
      </c>
      <c r="AE52" s="261" t="e">
        <f t="shared" ca="1" si="82"/>
        <v>#N/A</v>
      </c>
      <c r="AF52" s="261" t="e">
        <f t="shared" ca="1" si="82"/>
        <v>#N/A</v>
      </c>
      <c r="AG52" s="261" t="e">
        <f t="shared" ref="AG52" ca="1" si="83">IF($D$12&gt;AG$4,"na",(AG17-(AG19&lt;0)*AG19)/INDEX(AG$32:AG$34,MATCH($B53,$C$32:$C$34,0)))</f>
        <v>#N/A</v>
      </c>
    </row>
    <row r="53" spans="2:33" s="106" customFormat="1" ht="15.15">
      <c r="B53" s="197" t="s">
        <v>771</v>
      </c>
      <c r="C53" s="28" t="s">
        <v>765</v>
      </c>
      <c r="D53" s="306">
        <v>5</v>
      </c>
      <c r="E53" s="306">
        <v>5</v>
      </c>
      <c r="F53" s="306">
        <v>5</v>
      </c>
      <c r="G53" s="306">
        <v>5</v>
      </c>
      <c r="H53" s="306">
        <v>5</v>
      </c>
      <c r="I53" s="306">
        <v>4.5</v>
      </c>
      <c r="J53" s="306">
        <v>4.5</v>
      </c>
      <c r="K53" s="306">
        <v>4</v>
      </c>
      <c r="L53" s="306">
        <v>4</v>
      </c>
      <c r="M53" s="306">
        <v>3.75</v>
      </c>
      <c r="N53" s="306">
        <v>3.75</v>
      </c>
      <c r="O53" s="306">
        <v>3.5</v>
      </c>
      <c r="P53" s="306">
        <v>3.25</v>
      </c>
      <c r="Q53" s="306">
        <v>3.25</v>
      </c>
      <c r="R53" s="306">
        <v>3</v>
      </c>
      <c r="S53" s="306">
        <v>3</v>
      </c>
      <c r="T53" s="306">
        <v>3</v>
      </c>
      <c r="U53" s="306">
        <v>3</v>
      </c>
      <c r="V53" s="306">
        <v>3</v>
      </c>
      <c r="W53" s="306">
        <v>3</v>
      </c>
      <c r="X53" s="306">
        <v>3</v>
      </c>
      <c r="Y53" s="306">
        <v>3</v>
      </c>
      <c r="Z53" s="306">
        <v>3</v>
      </c>
      <c r="AA53" s="306">
        <v>3</v>
      </c>
      <c r="AB53" s="306">
        <v>3</v>
      </c>
      <c r="AC53" s="306">
        <v>3</v>
      </c>
      <c r="AD53" s="306">
        <v>3</v>
      </c>
      <c r="AE53" s="306">
        <v>3</v>
      </c>
      <c r="AF53" s="306">
        <v>3</v>
      </c>
      <c r="AG53" s="306">
        <v>3</v>
      </c>
    </row>
    <row r="54" spans="2:33" s="108" customFormat="1" ht="15.15">
      <c r="B54" s="28"/>
      <c r="C54" s="183" t="s">
        <v>766</v>
      </c>
      <c r="D54" s="185" t="str">
        <f t="shared" ref="D54" si="84">IFERROR(D53/D52-1,"na")</f>
        <v>na</v>
      </c>
      <c r="E54" s="185" t="str">
        <f t="shared" ref="E54" si="85">IFERROR(E53/E52-1,"na")</f>
        <v>na</v>
      </c>
      <c r="F54" s="185" t="str">
        <f t="shared" ref="F54" si="86">IFERROR(F53/F52-1,"na")</f>
        <v>na</v>
      </c>
      <c r="G54" s="183" t="str">
        <f t="shared" ref="G54" ca="1" si="87">IFERROR(G53/G52-1,"na")</f>
        <v>na</v>
      </c>
      <c r="H54" s="183" t="str">
        <f t="shared" ref="H54" ca="1" si="88">IFERROR(H53/H52-1,"na")</f>
        <v>na</v>
      </c>
      <c r="I54" s="183" t="str">
        <f t="shared" ref="I54" ca="1" si="89">IFERROR(I53/I52-1,"na")</f>
        <v>na</v>
      </c>
      <c r="J54" s="183" t="str">
        <f t="shared" ref="J54" ca="1" si="90">IFERROR(J53/J52-1,"na")</f>
        <v>na</v>
      </c>
      <c r="K54" s="183" t="str">
        <f t="shared" ref="K54" ca="1" si="91">IFERROR(K53/K52-1,"na")</f>
        <v>na</v>
      </c>
      <c r="L54" s="183" t="str">
        <f t="shared" ref="L54" ca="1" si="92">IFERROR(L53/L52-1,"na")</f>
        <v>na</v>
      </c>
      <c r="M54" s="183" t="str">
        <f t="shared" ref="M54" ca="1" si="93">IFERROR(M53/M52-1,"na")</f>
        <v>na</v>
      </c>
      <c r="N54" s="183" t="str">
        <f t="shared" ref="N54" ca="1" si="94">IFERROR(N53/N52-1,"na")</f>
        <v>na</v>
      </c>
      <c r="O54" s="183" t="str">
        <f t="shared" ref="O54" ca="1" si="95">IFERROR(O53/O52-1,"na")</f>
        <v>na</v>
      </c>
      <c r="P54" s="183" t="str">
        <f t="shared" ref="P54" ca="1" si="96">IFERROR(P53/P52-1,"na")</f>
        <v>na</v>
      </c>
      <c r="Q54" s="183" t="str">
        <f t="shared" ref="Q54" ca="1" si="97">IFERROR(Q53/Q52-1,"na")</f>
        <v>na</v>
      </c>
      <c r="R54" s="183" t="str">
        <f t="shared" ref="R54" ca="1" si="98">IFERROR(R53/R52-1,"na")</f>
        <v>na</v>
      </c>
      <c r="S54" s="183" t="str">
        <f t="shared" ref="S54" ca="1" si="99">IFERROR(S53/S52-1,"na")</f>
        <v>na</v>
      </c>
      <c r="T54" s="183" t="str">
        <f t="shared" ref="T54" ca="1" si="100">IFERROR(T53/T52-1,"na")</f>
        <v>na</v>
      </c>
      <c r="U54" s="183" t="str">
        <f t="shared" ref="U54" ca="1" si="101">IFERROR(U53/U52-1,"na")</f>
        <v>na</v>
      </c>
      <c r="V54" s="183" t="str">
        <f t="shared" ref="V54" ca="1" si="102">IFERROR(V53/V52-1,"na")</f>
        <v>na</v>
      </c>
      <c r="W54" s="183" t="str">
        <f t="shared" ref="W54" ca="1" si="103">IFERROR(W53/W52-1,"na")</f>
        <v>na</v>
      </c>
      <c r="X54" s="183" t="str">
        <f t="shared" ref="X54" ca="1" si="104">IFERROR(X53/X52-1,"na")</f>
        <v>na</v>
      </c>
      <c r="Y54" s="183" t="str">
        <f t="shared" ref="Y54" ca="1" si="105">IFERROR(Y53/Y52-1,"na")</f>
        <v>na</v>
      </c>
      <c r="Z54" s="183" t="str">
        <f t="shared" ref="Z54" ca="1" si="106">IFERROR(Z53/Z52-1,"na")</f>
        <v>na</v>
      </c>
      <c r="AA54" s="183" t="str">
        <f t="shared" ref="AA54" ca="1" si="107">IFERROR(AA53/AA52-1,"na")</f>
        <v>na</v>
      </c>
      <c r="AB54" s="183" t="str">
        <f t="shared" ref="AB54:AF54" ca="1" si="108">IFERROR(AB53/AB52-1,"na")</f>
        <v>na</v>
      </c>
      <c r="AC54" s="183" t="str">
        <f t="shared" ca="1" si="108"/>
        <v>na</v>
      </c>
      <c r="AD54" s="183" t="str">
        <f t="shared" ca="1" si="108"/>
        <v>na</v>
      </c>
      <c r="AE54" s="183" t="str">
        <f t="shared" ca="1" si="108"/>
        <v>na</v>
      </c>
      <c r="AF54" s="183" t="str">
        <f t="shared" ca="1" si="108"/>
        <v>na</v>
      </c>
      <c r="AG54" s="183" t="str">
        <f t="shared" ref="AG54" ca="1" si="109">IFERROR(AG53/AG52-1,"na")</f>
        <v>na</v>
      </c>
    </row>
    <row r="55" spans="2:33" ht="14.4" hidden="1" outlineLevel="1">
      <c r="B55" s="1"/>
      <c r="C55" s="34"/>
    </row>
    <row r="56" spans="2:33" s="107" customFormat="1" ht="15.15" hidden="1" outlineLevel="1">
      <c r="B56" s="180"/>
      <c r="C56" s="180" t="s">
        <v>769</v>
      </c>
      <c r="D56" s="261" t="str">
        <f t="shared" ref="D56:AB56" si="110">IF($D$12&gt;D$4,"na",(D17-D19)/INDEX(D$32:D$34,MATCH($B57,$C$32:$C$34,0)))</f>
        <v>na</v>
      </c>
      <c r="E56" s="261" t="str">
        <f t="shared" si="110"/>
        <v>na</v>
      </c>
      <c r="F56" s="261" t="str">
        <f t="shared" si="110"/>
        <v>na</v>
      </c>
      <c r="G56" s="261" t="e">
        <f t="shared" ca="1" si="110"/>
        <v>#DIV/0!</v>
      </c>
      <c r="H56" s="261" t="e">
        <f t="shared" ca="1" si="110"/>
        <v>#DIV/0!</v>
      </c>
      <c r="I56" s="261" t="e">
        <f t="shared" ca="1" si="110"/>
        <v>#DIV/0!</v>
      </c>
      <c r="J56" s="261" t="e">
        <f t="shared" ca="1" si="110"/>
        <v>#DIV/0!</v>
      </c>
      <c r="K56" s="261" t="e">
        <f t="shared" ca="1" si="110"/>
        <v>#DIV/0!</v>
      </c>
      <c r="L56" s="261" t="e">
        <f t="shared" ca="1" si="110"/>
        <v>#DIV/0!</v>
      </c>
      <c r="M56" s="261" t="e">
        <f t="shared" ca="1" si="110"/>
        <v>#DIV/0!</v>
      </c>
      <c r="N56" s="261" t="e">
        <f t="shared" ca="1" si="110"/>
        <v>#DIV/0!</v>
      </c>
      <c r="O56" s="261" t="e">
        <f t="shared" ca="1" si="110"/>
        <v>#DIV/0!</v>
      </c>
      <c r="P56" s="261" t="e">
        <f t="shared" ca="1" si="110"/>
        <v>#DIV/0!</v>
      </c>
      <c r="Q56" s="261" t="e">
        <f t="shared" ca="1" si="110"/>
        <v>#DIV/0!</v>
      </c>
      <c r="R56" s="261" t="e">
        <f t="shared" ca="1" si="110"/>
        <v>#DIV/0!</v>
      </c>
      <c r="S56" s="261" t="e">
        <f t="shared" ca="1" si="110"/>
        <v>#DIV/0!</v>
      </c>
      <c r="T56" s="261" t="e">
        <f t="shared" ca="1" si="110"/>
        <v>#DIV/0!</v>
      </c>
      <c r="U56" s="261" t="e">
        <f t="shared" ca="1" si="110"/>
        <v>#DIV/0!</v>
      </c>
      <c r="V56" s="261" t="e">
        <f t="shared" ca="1" si="110"/>
        <v>#DIV/0!</v>
      </c>
      <c r="W56" s="261" t="e">
        <f t="shared" ca="1" si="110"/>
        <v>#DIV/0!</v>
      </c>
      <c r="X56" s="261" t="e">
        <f t="shared" ca="1" si="110"/>
        <v>#DIV/0!</v>
      </c>
      <c r="Y56" s="261" t="e">
        <f t="shared" ca="1" si="110"/>
        <v>#DIV/0!</v>
      </c>
      <c r="Z56" s="261" t="e">
        <f t="shared" ca="1" si="110"/>
        <v>#DIV/0!</v>
      </c>
      <c r="AA56" s="261" t="e">
        <f t="shared" ca="1" si="110"/>
        <v>#DIV/0!</v>
      </c>
      <c r="AB56" s="261" t="e">
        <f t="shared" ca="1" si="110"/>
        <v>#N/A</v>
      </c>
      <c r="AC56" s="261" t="e">
        <f t="shared" ref="AC56:AF56" ca="1" si="111">IF($D$12&gt;AC$4,"na",(AC17-AC19)/INDEX(AC$32:AC$34,MATCH($B57,$C$32:$C$34,0)))</f>
        <v>#N/A</v>
      </c>
      <c r="AD56" s="261" t="e">
        <f t="shared" ca="1" si="111"/>
        <v>#N/A</v>
      </c>
      <c r="AE56" s="261" t="e">
        <f t="shared" ca="1" si="111"/>
        <v>#N/A</v>
      </c>
      <c r="AF56" s="261" t="e">
        <f t="shared" ca="1" si="111"/>
        <v>#N/A</v>
      </c>
      <c r="AG56" s="261" t="e">
        <f t="shared" ref="AG56" ca="1" si="112">IF($D$12&gt;AG$4,"na",(AG17-AG19)/INDEX(AG$32:AG$34,MATCH($B57,$C$32:$C$34,0)))</f>
        <v>#N/A</v>
      </c>
    </row>
    <row r="57" spans="2:33" s="106" customFormat="1" ht="15.15" hidden="1" outlineLevel="1">
      <c r="B57" s="197" t="s">
        <v>771</v>
      </c>
      <c r="C57" s="94" t="s">
        <v>765</v>
      </c>
      <c r="D57" s="306">
        <v>1</v>
      </c>
      <c r="E57" s="306">
        <v>1</v>
      </c>
      <c r="F57" s="306">
        <v>1</v>
      </c>
      <c r="G57" s="306">
        <v>1</v>
      </c>
      <c r="H57" s="306">
        <v>1</v>
      </c>
      <c r="I57" s="306">
        <v>1</v>
      </c>
      <c r="J57" s="306">
        <v>1</v>
      </c>
      <c r="K57" s="306">
        <v>1</v>
      </c>
      <c r="L57" s="306">
        <v>1</v>
      </c>
      <c r="M57" s="306">
        <v>1</v>
      </c>
      <c r="N57" s="306">
        <v>1</v>
      </c>
      <c r="O57" s="306">
        <v>1</v>
      </c>
      <c r="P57" s="306">
        <v>1</v>
      </c>
      <c r="Q57" s="306">
        <v>1</v>
      </c>
      <c r="R57" s="306">
        <v>1</v>
      </c>
      <c r="S57" s="306">
        <v>1</v>
      </c>
      <c r="T57" s="306">
        <v>1</v>
      </c>
      <c r="U57" s="306">
        <v>1</v>
      </c>
      <c r="V57" s="306">
        <v>1</v>
      </c>
      <c r="W57" s="306">
        <v>1</v>
      </c>
      <c r="X57" s="306">
        <v>1</v>
      </c>
      <c r="Y57" s="306">
        <v>1</v>
      </c>
      <c r="Z57" s="306">
        <v>1</v>
      </c>
      <c r="AA57" s="306">
        <v>1</v>
      </c>
      <c r="AB57" s="306">
        <v>1</v>
      </c>
      <c r="AC57" s="306">
        <v>1</v>
      </c>
      <c r="AD57" s="306">
        <v>1</v>
      </c>
      <c r="AE57" s="306">
        <v>1</v>
      </c>
      <c r="AF57" s="306">
        <v>1</v>
      </c>
      <c r="AG57" s="306">
        <v>1</v>
      </c>
    </row>
    <row r="58" spans="2:33" s="108" customFormat="1" ht="15.15" hidden="1" outlineLevel="1">
      <c r="B58" s="28"/>
      <c r="C58" s="183" t="s">
        <v>766</v>
      </c>
      <c r="D58" s="185" t="str">
        <f t="shared" ref="D58" si="113">IFERROR(D57/D56-1,"na")</f>
        <v>na</v>
      </c>
      <c r="E58" s="185" t="str">
        <f t="shared" ref="E58" si="114">IFERROR(E57/E56-1,"na")</f>
        <v>na</v>
      </c>
      <c r="F58" s="185" t="str">
        <f t="shared" ref="F58" si="115">IFERROR(F57/F56-1,"na")</f>
        <v>na</v>
      </c>
      <c r="G58" s="183" t="str">
        <f t="shared" ref="G58" ca="1" si="116">IFERROR(G57/G56-1,"na")</f>
        <v>na</v>
      </c>
      <c r="H58" s="183" t="str">
        <f t="shared" ref="H58" ca="1" si="117">IFERROR(H57/H56-1,"na")</f>
        <v>na</v>
      </c>
      <c r="I58" s="183" t="str">
        <f t="shared" ref="I58" ca="1" si="118">IFERROR(I57/I56-1,"na")</f>
        <v>na</v>
      </c>
      <c r="J58" s="183" t="str">
        <f t="shared" ref="J58" ca="1" si="119">IFERROR(J57/J56-1,"na")</f>
        <v>na</v>
      </c>
      <c r="K58" s="183" t="str">
        <f t="shared" ref="K58" ca="1" si="120">IFERROR(K57/K56-1,"na")</f>
        <v>na</v>
      </c>
      <c r="L58" s="183" t="str">
        <f t="shared" ref="L58" ca="1" si="121">IFERROR(L57/L56-1,"na")</f>
        <v>na</v>
      </c>
      <c r="M58" s="183" t="str">
        <f t="shared" ref="M58" ca="1" si="122">IFERROR(M57/M56-1,"na")</f>
        <v>na</v>
      </c>
      <c r="N58" s="183" t="str">
        <f t="shared" ref="N58" ca="1" si="123">IFERROR(N57/N56-1,"na")</f>
        <v>na</v>
      </c>
      <c r="O58" s="183" t="str">
        <f t="shared" ref="O58" ca="1" si="124">IFERROR(O57/O56-1,"na")</f>
        <v>na</v>
      </c>
      <c r="P58" s="183" t="str">
        <f t="shared" ref="P58" ca="1" si="125">IFERROR(P57/P56-1,"na")</f>
        <v>na</v>
      </c>
      <c r="Q58" s="183" t="str">
        <f t="shared" ref="Q58" ca="1" si="126">IFERROR(Q57/Q56-1,"na")</f>
        <v>na</v>
      </c>
      <c r="R58" s="183" t="str">
        <f t="shared" ref="R58" ca="1" si="127">IFERROR(R57/R56-1,"na")</f>
        <v>na</v>
      </c>
      <c r="S58" s="183" t="str">
        <f t="shared" ref="S58" ca="1" si="128">IFERROR(S57/S56-1,"na")</f>
        <v>na</v>
      </c>
      <c r="T58" s="183" t="str">
        <f t="shared" ref="T58" ca="1" si="129">IFERROR(T57/T56-1,"na")</f>
        <v>na</v>
      </c>
      <c r="U58" s="183" t="str">
        <f t="shared" ref="U58" ca="1" si="130">IFERROR(U57/U56-1,"na")</f>
        <v>na</v>
      </c>
      <c r="V58" s="183" t="str">
        <f t="shared" ref="V58" ca="1" si="131">IFERROR(V57/V56-1,"na")</f>
        <v>na</v>
      </c>
      <c r="W58" s="183" t="str">
        <f t="shared" ref="W58" ca="1" si="132">IFERROR(W57/W56-1,"na")</f>
        <v>na</v>
      </c>
      <c r="X58" s="183" t="str">
        <f t="shared" ref="X58" ca="1" si="133">IFERROR(X57/X56-1,"na")</f>
        <v>na</v>
      </c>
      <c r="Y58" s="183" t="str">
        <f t="shared" ref="Y58" ca="1" si="134">IFERROR(Y57/Y56-1,"na")</f>
        <v>na</v>
      </c>
      <c r="Z58" s="183" t="str">
        <f t="shared" ref="Z58" ca="1" si="135">IFERROR(Z57/Z56-1,"na")</f>
        <v>na</v>
      </c>
      <c r="AA58" s="183" t="str">
        <f t="shared" ref="AA58" ca="1" si="136">IFERROR(AA57/AA56-1,"na")</f>
        <v>na</v>
      </c>
      <c r="AB58" s="183" t="str">
        <f t="shared" ref="AB58:AF58" ca="1" si="137">IFERROR(AB57/AB56-1,"na")</f>
        <v>na</v>
      </c>
      <c r="AC58" s="183" t="str">
        <f t="shared" ca="1" si="137"/>
        <v>na</v>
      </c>
      <c r="AD58" s="183" t="str">
        <f t="shared" ca="1" si="137"/>
        <v>na</v>
      </c>
      <c r="AE58" s="183" t="str">
        <f t="shared" ca="1" si="137"/>
        <v>na</v>
      </c>
      <c r="AF58" s="183" t="str">
        <f t="shared" ca="1" si="137"/>
        <v>na</v>
      </c>
      <c r="AG58" s="183" t="str">
        <f t="shared" ref="AG58" ca="1" si="138">IFERROR(AG57/AG56-1,"na")</f>
        <v>na</v>
      </c>
    </row>
    <row r="59" spans="2:33" ht="14.4" collapsed="1">
      <c r="B59" s="1"/>
      <c r="C59" s="109"/>
    </row>
    <row r="60" spans="2:33">
      <c r="B60" s="198" t="s">
        <v>1038</v>
      </c>
      <c r="C60" s="198"/>
      <c r="D60" s="198">
        <f>D$4</f>
        <v>43555</v>
      </c>
      <c r="E60" s="198">
        <f t="shared" ref="E60:AG60" si="139">E$4</f>
        <v>43646</v>
      </c>
      <c r="F60" s="198">
        <f t="shared" si="139"/>
        <v>43738</v>
      </c>
      <c r="G60" s="198">
        <f t="shared" si="139"/>
        <v>43830</v>
      </c>
      <c r="H60" s="198">
        <f t="shared" si="139"/>
        <v>43921</v>
      </c>
      <c r="I60" s="198">
        <f t="shared" si="139"/>
        <v>44012</v>
      </c>
      <c r="J60" s="198">
        <f t="shared" si="139"/>
        <v>44104</v>
      </c>
      <c r="K60" s="198">
        <f t="shared" si="139"/>
        <v>44196</v>
      </c>
      <c r="L60" s="198">
        <f t="shared" si="139"/>
        <v>44286</v>
      </c>
      <c r="M60" s="198">
        <f t="shared" si="139"/>
        <v>44377</v>
      </c>
      <c r="N60" s="198">
        <f t="shared" si="139"/>
        <v>44469</v>
      </c>
      <c r="O60" s="198">
        <f t="shared" si="139"/>
        <v>44561</v>
      </c>
      <c r="P60" s="198">
        <f t="shared" si="139"/>
        <v>44651</v>
      </c>
      <c r="Q60" s="198">
        <f t="shared" si="139"/>
        <v>44742</v>
      </c>
      <c r="R60" s="198">
        <f t="shared" si="139"/>
        <v>44834</v>
      </c>
      <c r="S60" s="198">
        <f t="shared" si="139"/>
        <v>44926</v>
      </c>
      <c r="T60" s="198">
        <f t="shared" si="139"/>
        <v>45016</v>
      </c>
      <c r="U60" s="198">
        <f t="shared" si="139"/>
        <v>45107</v>
      </c>
      <c r="V60" s="198">
        <f t="shared" si="139"/>
        <v>45199</v>
      </c>
      <c r="W60" s="198">
        <f t="shared" si="139"/>
        <v>45291</v>
      </c>
      <c r="X60" s="198">
        <f t="shared" si="139"/>
        <v>45382</v>
      </c>
      <c r="Y60" s="198">
        <f t="shared" si="139"/>
        <v>45473</v>
      </c>
      <c r="Z60" s="198">
        <f t="shared" si="139"/>
        <v>45565</v>
      </c>
      <c r="AA60" s="198">
        <f t="shared" si="139"/>
        <v>45657</v>
      </c>
      <c r="AB60" s="198">
        <f t="shared" si="139"/>
        <v>45747</v>
      </c>
      <c r="AC60" s="198">
        <f t="shared" si="139"/>
        <v>45838</v>
      </c>
      <c r="AD60" s="198">
        <f t="shared" si="139"/>
        <v>45930</v>
      </c>
      <c r="AE60" s="198">
        <f t="shared" si="139"/>
        <v>46022</v>
      </c>
      <c r="AF60" s="198">
        <f t="shared" si="139"/>
        <v>46112</v>
      </c>
      <c r="AG60" s="198">
        <f t="shared" si="139"/>
        <v>46203</v>
      </c>
    </row>
    <row r="61" spans="2:33" s="107" customFormat="1" ht="15.15">
      <c r="B61" s="180" t="s">
        <v>1035</v>
      </c>
      <c r="C61" s="180" t="s">
        <v>777</v>
      </c>
      <c r="D61" s="261" t="str">
        <f t="shared" ref="D61:AB61" si="140">IF($D$12&gt;D$4,"na",INDEX(D$32:D$34,MATCH($B62,$C$32:$C$34,0))/D36)</f>
        <v>na</v>
      </c>
      <c r="E61" s="261" t="str">
        <f t="shared" si="140"/>
        <v>na</v>
      </c>
      <c r="F61" s="261" t="str">
        <f t="shared" si="140"/>
        <v>na</v>
      </c>
      <c r="G61" s="261" t="e">
        <f t="shared" ca="1" si="140"/>
        <v>#DIV/0!</v>
      </c>
      <c r="H61" s="261" t="e">
        <f t="shared" ca="1" si="140"/>
        <v>#DIV/0!</v>
      </c>
      <c r="I61" s="261" t="e">
        <f t="shared" ca="1" si="140"/>
        <v>#DIV/0!</v>
      </c>
      <c r="J61" s="261" t="e">
        <f t="shared" ca="1" si="140"/>
        <v>#DIV/0!</v>
      </c>
      <c r="K61" s="261" t="e">
        <f t="shared" ca="1" si="140"/>
        <v>#DIV/0!</v>
      </c>
      <c r="L61" s="261" t="e">
        <f t="shared" ca="1" si="140"/>
        <v>#DIV/0!</v>
      </c>
      <c r="M61" s="261" t="e">
        <f t="shared" ca="1" si="140"/>
        <v>#DIV/0!</v>
      </c>
      <c r="N61" s="261" t="e">
        <f t="shared" ca="1" si="140"/>
        <v>#DIV/0!</v>
      </c>
      <c r="O61" s="261" t="e">
        <f t="shared" ca="1" si="140"/>
        <v>#DIV/0!</v>
      </c>
      <c r="P61" s="261" t="e">
        <f t="shared" ca="1" si="140"/>
        <v>#DIV/0!</v>
      </c>
      <c r="Q61" s="261" t="e">
        <f t="shared" ca="1" si="140"/>
        <v>#DIV/0!</v>
      </c>
      <c r="R61" s="261" t="e">
        <f t="shared" ca="1" si="140"/>
        <v>#DIV/0!</v>
      </c>
      <c r="S61" s="261" t="e">
        <f t="shared" ca="1" si="140"/>
        <v>#DIV/0!</v>
      </c>
      <c r="T61" s="261" t="e">
        <f t="shared" ca="1" si="140"/>
        <v>#DIV/0!</v>
      </c>
      <c r="U61" s="261" t="e">
        <f t="shared" ca="1" si="140"/>
        <v>#DIV/0!</v>
      </c>
      <c r="V61" s="261" t="e">
        <f t="shared" ca="1" si="140"/>
        <v>#DIV/0!</v>
      </c>
      <c r="W61" s="261" t="e">
        <f t="shared" ca="1" si="140"/>
        <v>#DIV/0!</v>
      </c>
      <c r="X61" s="261" t="e">
        <f t="shared" ca="1" si="140"/>
        <v>#DIV/0!</v>
      </c>
      <c r="Y61" s="261" t="e">
        <f t="shared" ca="1" si="140"/>
        <v>#DIV/0!</v>
      </c>
      <c r="Z61" s="261" t="e">
        <f t="shared" ca="1" si="140"/>
        <v>#DIV/0!</v>
      </c>
      <c r="AA61" s="261" t="e">
        <f t="shared" ca="1" si="140"/>
        <v>#DIV/0!</v>
      </c>
      <c r="AB61" s="261" t="e">
        <f t="shared" ca="1" si="140"/>
        <v>#VALUE!</v>
      </c>
      <c r="AC61" s="261" t="e">
        <f t="shared" ref="AC61:AF61" ca="1" si="141">IF($D$12&gt;AC$4,"na",INDEX(AC$32:AC$34,MATCH($B62,$C$32:$C$34,0))/AC36)</f>
        <v>#VALUE!</v>
      </c>
      <c r="AD61" s="261" t="e">
        <f t="shared" ca="1" si="141"/>
        <v>#VALUE!</v>
      </c>
      <c r="AE61" s="261" t="e">
        <f t="shared" ca="1" si="141"/>
        <v>#VALUE!</v>
      </c>
      <c r="AF61" s="261" t="e">
        <f t="shared" ca="1" si="141"/>
        <v>#VALUE!</v>
      </c>
      <c r="AG61" s="261" t="e">
        <f t="shared" ref="AG61" ca="1" si="142">IF($D$12&gt;AG$4,"na",INDEX(AG$32:AG$34,MATCH($B62,$C$32:$C$34,0))/AG36)</f>
        <v>#VALUE!</v>
      </c>
    </row>
    <row r="62" spans="2:33" s="106" customFormat="1" ht="15.15">
      <c r="B62" s="197" t="s">
        <v>771</v>
      </c>
      <c r="C62" s="28" t="s">
        <v>765</v>
      </c>
      <c r="D62" s="306">
        <v>2</v>
      </c>
      <c r="E62" s="306">
        <v>2</v>
      </c>
      <c r="F62" s="306">
        <v>2</v>
      </c>
      <c r="G62" s="306">
        <v>2</v>
      </c>
      <c r="H62" s="306">
        <v>2</v>
      </c>
      <c r="I62" s="306">
        <v>2</v>
      </c>
      <c r="J62" s="306">
        <v>2</v>
      </c>
      <c r="K62" s="306">
        <v>2</v>
      </c>
      <c r="L62" s="306">
        <v>2</v>
      </c>
      <c r="M62" s="306">
        <v>2</v>
      </c>
      <c r="N62" s="306">
        <v>2</v>
      </c>
      <c r="O62" s="306">
        <v>2</v>
      </c>
      <c r="P62" s="306">
        <v>2</v>
      </c>
      <c r="Q62" s="306">
        <v>2</v>
      </c>
      <c r="R62" s="306">
        <v>2</v>
      </c>
      <c r="S62" s="306">
        <v>2</v>
      </c>
      <c r="T62" s="306">
        <v>2</v>
      </c>
      <c r="U62" s="306">
        <v>2</v>
      </c>
      <c r="V62" s="306">
        <v>2</v>
      </c>
      <c r="W62" s="306">
        <v>2</v>
      </c>
      <c r="X62" s="306">
        <v>2</v>
      </c>
      <c r="Y62" s="306">
        <v>2</v>
      </c>
      <c r="Z62" s="306">
        <v>2</v>
      </c>
      <c r="AA62" s="306">
        <v>2</v>
      </c>
      <c r="AB62" s="306">
        <v>2</v>
      </c>
      <c r="AC62" s="306">
        <v>2</v>
      </c>
      <c r="AD62" s="306">
        <v>2</v>
      </c>
      <c r="AE62" s="306">
        <v>2</v>
      </c>
      <c r="AF62" s="306">
        <v>2</v>
      </c>
      <c r="AG62" s="306">
        <v>2</v>
      </c>
    </row>
    <row r="63" spans="2:33" s="108" customFormat="1" ht="15.15">
      <c r="B63" s="28"/>
      <c r="C63" s="183" t="s">
        <v>766</v>
      </c>
      <c r="D63" s="185" t="str">
        <f>IFERROR(D61/D62-1,"na")</f>
        <v>na</v>
      </c>
      <c r="E63" s="185" t="str">
        <f t="shared" ref="E63:AB63" si="143">IFERROR(E61/E62-1,"na")</f>
        <v>na</v>
      </c>
      <c r="F63" s="185" t="str">
        <f t="shared" si="143"/>
        <v>na</v>
      </c>
      <c r="G63" s="183" t="str">
        <f t="shared" ca="1" si="143"/>
        <v>na</v>
      </c>
      <c r="H63" s="183" t="str">
        <f t="shared" ca="1" si="143"/>
        <v>na</v>
      </c>
      <c r="I63" s="183" t="str">
        <f t="shared" ca="1" si="143"/>
        <v>na</v>
      </c>
      <c r="J63" s="183" t="str">
        <f t="shared" ca="1" si="143"/>
        <v>na</v>
      </c>
      <c r="K63" s="183" t="str">
        <f t="shared" ca="1" si="143"/>
        <v>na</v>
      </c>
      <c r="L63" s="183" t="str">
        <f t="shared" ca="1" si="143"/>
        <v>na</v>
      </c>
      <c r="M63" s="183" t="str">
        <f t="shared" ca="1" si="143"/>
        <v>na</v>
      </c>
      <c r="N63" s="183" t="str">
        <f t="shared" ca="1" si="143"/>
        <v>na</v>
      </c>
      <c r="O63" s="183" t="str">
        <f t="shared" ca="1" si="143"/>
        <v>na</v>
      </c>
      <c r="P63" s="183" t="str">
        <f t="shared" ca="1" si="143"/>
        <v>na</v>
      </c>
      <c r="Q63" s="183" t="str">
        <f t="shared" ca="1" si="143"/>
        <v>na</v>
      </c>
      <c r="R63" s="183" t="str">
        <f t="shared" ca="1" si="143"/>
        <v>na</v>
      </c>
      <c r="S63" s="183" t="str">
        <f t="shared" ca="1" si="143"/>
        <v>na</v>
      </c>
      <c r="T63" s="183" t="str">
        <f t="shared" ca="1" si="143"/>
        <v>na</v>
      </c>
      <c r="U63" s="183" t="str">
        <f t="shared" ca="1" si="143"/>
        <v>na</v>
      </c>
      <c r="V63" s="183" t="str">
        <f t="shared" ca="1" si="143"/>
        <v>na</v>
      </c>
      <c r="W63" s="183" t="str">
        <f t="shared" ca="1" si="143"/>
        <v>na</v>
      </c>
      <c r="X63" s="183" t="str">
        <f t="shared" ca="1" si="143"/>
        <v>na</v>
      </c>
      <c r="Y63" s="183" t="str">
        <f t="shared" ca="1" si="143"/>
        <v>na</v>
      </c>
      <c r="Z63" s="183" t="str">
        <f t="shared" ca="1" si="143"/>
        <v>na</v>
      </c>
      <c r="AA63" s="183" t="str">
        <f t="shared" ca="1" si="143"/>
        <v>na</v>
      </c>
      <c r="AB63" s="183" t="str">
        <f t="shared" ca="1" si="143"/>
        <v>na</v>
      </c>
      <c r="AC63" s="183" t="str">
        <f t="shared" ref="AC63:AF63" ca="1" si="144">IFERROR(AC61/AC62-1,"na")</f>
        <v>na</v>
      </c>
      <c r="AD63" s="183" t="str">
        <f t="shared" ca="1" si="144"/>
        <v>na</v>
      </c>
      <c r="AE63" s="183" t="str">
        <f t="shared" ca="1" si="144"/>
        <v>na</v>
      </c>
      <c r="AF63" s="183" t="str">
        <f t="shared" ca="1" si="144"/>
        <v>na</v>
      </c>
      <c r="AG63" s="183" t="str">
        <f t="shared" ref="AG63" ca="1" si="145">IFERROR(AG61/AG62-1,"na")</f>
        <v>na</v>
      </c>
    </row>
    <row r="64" spans="2:33" ht="14.4">
      <c r="B64" s="1"/>
      <c r="C64" s="34"/>
    </row>
    <row r="65" spans="2:33" s="107" customFormat="1" ht="15.15">
      <c r="B65" s="180"/>
      <c r="C65" s="180" t="s">
        <v>779</v>
      </c>
      <c r="D65" s="261" t="str">
        <f t="shared" ref="D65:AB65" si="146">IF($D$12&gt;D$4,"na",INDEX(D$32:D$34,MATCH($B66,$C$32:$C$34,0))/(D36+D38))</f>
        <v>na</v>
      </c>
      <c r="E65" s="261" t="str">
        <f t="shared" si="146"/>
        <v>na</v>
      </c>
      <c r="F65" s="261" t="str">
        <f t="shared" si="146"/>
        <v>na</v>
      </c>
      <c r="G65" s="261" t="e">
        <f t="shared" ca="1" si="146"/>
        <v>#DIV/0!</v>
      </c>
      <c r="H65" s="261" t="e">
        <f t="shared" ca="1" si="146"/>
        <v>#DIV/0!</v>
      </c>
      <c r="I65" s="261" t="e">
        <f t="shared" ca="1" si="146"/>
        <v>#DIV/0!</v>
      </c>
      <c r="J65" s="261" t="e">
        <f t="shared" ca="1" si="146"/>
        <v>#DIV/0!</v>
      </c>
      <c r="K65" s="261" t="e">
        <f t="shared" ca="1" si="146"/>
        <v>#DIV/0!</v>
      </c>
      <c r="L65" s="261" t="e">
        <f t="shared" ca="1" si="146"/>
        <v>#DIV/0!</v>
      </c>
      <c r="M65" s="261" t="e">
        <f t="shared" ca="1" si="146"/>
        <v>#DIV/0!</v>
      </c>
      <c r="N65" s="261" t="e">
        <f t="shared" ca="1" si="146"/>
        <v>#DIV/0!</v>
      </c>
      <c r="O65" s="261" t="e">
        <f t="shared" ca="1" si="146"/>
        <v>#DIV/0!</v>
      </c>
      <c r="P65" s="261" t="e">
        <f t="shared" ca="1" si="146"/>
        <v>#DIV/0!</v>
      </c>
      <c r="Q65" s="261" t="e">
        <f t="shared" ca="1" si="146"/>
        <v>#DIV/0!</v>
      </c>
      <c r="R65" s="261" t="e">
        <f t="shared" ca="1" si="146"/>
        <v>#DIV/0!</v>
      </c>
      <c r="S65" s="261" t="e">
        <f t="shared" ca="1" si="146"/>
        <v>#DIV/0!</v>
      </c>
      <c r="T65" s="261" t="e">
        <f t="shared" ca="1" si="146"/>
        <v>#DIV/0!</v>
      </c>
      <c r="U65" s="261" t="e">
        <f t="shared" ca="1" si="146"/>
        <v>#DIV/0!</v>
      </c>
      <c r="V65" s="261" t="e">
        <f t="shared" ca="1" si="146"/>
        <v>#DIV/0!</v>
      </c>
      <c r="W65" s="261" t="e">
        <f t="shared" ca="1" si="146"/>
        <v>#DIV/0!</v>
      </c>
      <c r="X65" s="261" t="e">
        <f t="shared" ca="1" si="146"/>
        <v>#DIV/0!</v>
      </c>
      <c r="Y65" s="261" t="e">
        <f t="shared" ca="1" si="146"/>
        <v>#DIV/0!</v>
      </c>
      <c r="Z65" s="261" t="e">
        <f t="shared" ca="1" si="146"/>
        <v>#DIV/0!</v>
      </c>
      <c r="AA65" s="261" t="e">
        <f t="shared" ca="1" si="146"/>
        <v>#DIV/0!</v>
      </c>
      <c r="AB65" s="261" t="e">
        <f t="shared" ca="1" si="146"/>
        <v>#VALUE!</v>
      </c>
      <c r="AC65" s="261" t="e">
        <f t="shared" ref="AC65:AF65" ca="1" si="147">IF($D$12&gt;AC$4,"na",INDEX(AC$32:AC$34,MATCH($B66,$C$32:$C$34,0))/(AC36+AC38))</f>
        <v>#VALUE!</v>
      </c>
      <c r="AD65" s="261" t="e">
        <f t="shared" ca="1" si="147"/>
        <v>#VALUE!</v>
      </c>
      <c r="AE65" s="261" t="e">
        <f t="shared" ca="1" si="147"/>
        <v>#VALUE!</v>
      </c>
      <c r="AF65" s="261" t="e">
        <f t="shared" ca="1" si="147"/>
        <v>#VALUE!</v>
      </c>
      <c r="AG65" s="261" t="e">
        <f t="shared" ref="AG65" ca="1" si="148">IF($D$12&gt;AG$4,"na",INDEX(AG$32:AG$34,MATCH($B66,$C$32:$C$34,0))/(AG36+AG38))</f>
        <v>#VALUE!</v>
      </c>
    </row>
    <row r="66" spans="2:33" s="106" customFormat="1" ht="15.15">
      <c r="B66" s="197" t="s">
        <v>782</v>
      </c>
      <c r="C66" s="28" t="s">
        <v>765</v>
      </c>
      <c r="D66" s="306">
        <v>1.1000000000000001</v>
      </c>
      <c r="E66" s="306">
        <v>1.1000000000000001</v>
      </c>
      <c r="F66" s="306">
        <v>1.1000000000000001</v>
      </c>
      <c r="G66" s="306">
        <v>1.1000000000000001</v>
      </c>
      <c r="H66" s="306">
        <v>1.1000000000000001</v>
      </c>
      <c r="I66" s="306">
        <v>1.1000000000000001</v>
      </c>
      <c r="J66" s="306">
        <v>1.1000000000000001</v>
      </c>
      <c r="K66" s="306">
        <v>1.1000000000000001</v>
      </c>
      <c r="L66" s="306">
        <v>1.1000000000000001</v>
      </c>
      <c r="M66" s="306">
        <v>1.1000000000000001</v>
      </c>
      <c r="N66" s="306">
        <v>1.1000000000000001</v>
      </c>
      <c r="O66" s="306">
        <v>1.1000000000000001</v>
      </c>
      <c r="P66" s="306">
        <v>1.1000000000000001</v>
      </c>
      <c r="Q66" s="306">
        <v>1.1000000000000001</v>
      </c>
      <c r="R66" s="306">
        <v>1.1000000000000001</v>
      </c>
      <c r="S66" s="306">
        <v>1.1000000000000001</v>
      </c>
      <c r="T66" s="306">
        <v>1.1000000000000001</v>
      </c>
      <c r="U66" s="306">
        <v>1.1000000000000001</v>
      </c>
      <c r="V66" s="306">
        <v>1.1000000000000001</v>
      </c>
      <c r="W66" s="306">
        <v>1.1000000000000001</v>
      </c>
      <c r="X66" s="306">
        <v>1.1000000000000001</v>
      </c>
      <c r="Y66" s="306">
        <v>1.1000000000000001</v>
      </c>
      <c r="Z66" s="306">
        <v>1.1000000000000001</v>
      </c>
      <c r="AA66" s="306">
        <v>1.1000000000000001</v>
      </c>
      <c r="AB66" s="306">
        <v>1.1000000000000001</v>
      </c>
      <c r="AC66" s="306">
        <v>1.1000000000000001</v>
      </c>
      <c r="AD66" s="306">
        <v>1.1000000000000001</v>
      </c>
      <c r="AE66" s="306">
        <v>1.1000000000000001</v>
      </c>
      <c r="AF66" s="306">
        <v>1.1000000000000001</v>
      </c>
      <c r="AG66" s="306">
        <v>1.1000000000000001</v>
      </c>
    </row>
    <row r="67" spans="2:33" s="108" customFormat="1" ht="15.15">
      <c r="B67" s="28"/>
      <c r="C67" s="183" t="s">
        <v>766</v>
      </c>
      <c r="D67" s="185" t="str">
        <f>IFERROR(D65/D66-1,"na")</f>
        <v>na</v>
      </c>
      <c r="E67" s="185" t="str">
        <f t="shared" ref="E67:AB67" si="149">IFERROR(E65/E66-1,"na")</f>
        <v>na</v>
      </c>
      <c r="F67" s="185" t="str">
        <f t="shared" si="149"/>
        <v>na</v>
      </c>
      <c r="G67" s="183" t="str">
        <f t="shared" ca="1" si="149"/>
        <v>na</v>
      </c>
      <c r="H67" s="183" t="str">
        <f t="shared" ca="1" si="149"/>
        <v>na</v>
      </c>
      <c r="I67" s="183" t="str">
        <f t="shared" ca="1" si="149"/>
        <v>na</v>
      </c>
      <c r="J67" s="183" t="str">
        <f t="shared" ca="1" si="149"/>
        <v>na</v>
      </c>
      <c r="K67" s="183" t="str">
        <f t="shared" ca="1" si="149"/>
        <v>na</v>
      </c>
      <c r="L67" s="183" t="str">
        <f t="shared" ca="1" si="149"/>
        <v>na</v>
      </c>
      <c r="M67" s="183" t="str">
        <f t="shared" ca="1" si="149"/>
        <v>na</v>
      </c>
      <c r="N67" s="183" t="str">
        <f t="shared" ca="1" si="149"/>
        <v>na</v>
      </c>
      <c r="O67" s="183" t="str">
        <f t="shared" ca="1" si="149"/>
        <v>na</v>
      </c>
      <c r="P67" s="183" t="str">
        <f t="shared" ca="1" si="149"/>
        <v>na</v>
      </c>
      <c r="Q67" s="183" t="str">
        <f t="shared" ca="1" si="149"/>
        <v>na</v>
      </c>
      <c r="R67" s="183" t="str">
        <f t="shared" ca="1" si="149"/>
        <v>na</v>
      </c>
      <c r="S67" s="183" t="str">
        <f t="shared" ca="1" si="149"/>
        <v>na</v>
      </c>
      <c r="T67" s="183" t="str">
        <f t="shared" ca="1" si="149"/>
        <v>na</v>
      </c>
      <c r="U67" s="183" t="str">
        <f t="shared" ca="1" si="149"/>
        <v>na</v>
      </c>
      <c r="V67" s="183" t="str">
        <f t="shared" ca="1" si="149"/>
        <v>na</v>
      </c>
      <c r="W67" s="183" t="str">
        <f t="shared" ca="1" si="149"/>
        <v>na</v>
      </c>
      <c r="X67" s="183" t="str">
        <f t="shared" ca="1" si="149"/>
        <v>na</v>
      </c>
      <c r="Y67" s="183" t="str">
        <f t="shared" ca="1" si="149"/>
        <v>na</v>
      </c>
      <c r="Z67" s="183" t="str">
        <f t="shared" ca="1" si="149"/>
        <v>na</v>
      </c>
      <c r="AA67" s="183" t="str">
        <f t="shared" ca="1" si="149"/>
        <v>na</v>
      </c>
      <c r="AB67" s="183" t="str">
        <f t="shared" ca="1" si="149"/>
        <v>na</v>
      </c>
      <c r="AC67" s="183" t="str">
        <f t="shared" ref="AC67:AF67" ca="1" si="150">IFERROR(AC65/AC66-1,"na")</f>
        <v>na</v>
      </c>
      <c r="AD67" s="183" t="str">
        <f t="shared" ca="1" si="150"/>
        <v>na</v>
      </c>
      <c r="AE67" s="183" t="str">
        <f t="shared" ca="1" si="150"/>
        <v>na</v>
      </c>
      <c r="AF67" s="183" t="str">
        <f t="shared" ca="1" si="150"/>
        <v>na</v>
      </c>
      <c r="AG67" s="183" t="str">
        <f t="shared" ref="AG67" ca="1" si="151">IFERROR(AG65/AG66-1,"na")</f>
        <v>na</v>
      </c>
    </row>
    <row r="68" spans="2:33" ht="14.4">
      <c r="B68" s="1"/>
    </row>
    <row r="69" spans="2:33" s="107" customFormat="1" ht="15.15" hidden="1" outlineLevel="1">
      <c r="B69" s="180"/>
      <c r="C69" s="180" t="s">
        <v>787</v>
      </c>
      <c r="D69" s="261" t="str">
        <f t="shared" ref="D69:AB69" si="152">IF($D$12&gt;D$4,"na",(INDEX(D$32:D$34,MATCH($B70,$C$32:$C$34,0))+D31)/(D36+D38))</f>
        <v>na</v>
      </c>
      <c r="E69" s="261" t="str">
        <f t="shared" si="152"/>
        <v>na</v>
      </c>
      <c r="F69" s="261" t="str">
        <f t="shared" si="152"/>
        <v>na</v>
      </c>
      <c r="G69" s="261" t="e">
        <f t="shared" ca="1" si="152"/>
        <v>#DIV/0!</v>
      </c>
      <c r="H69" s="261" t="e">
        <f t="shared" ca="1" si="152"/>
        <v>#DIV/0!</v>
      </c>
      <c r="I69" s="261" t="e">
        <f t="shared" ca="1" si="152"/>
        <v>#DIV/0!</v>
      </c>
      <c r="J69" s="261" t="e">
        <f t="shared" ca="1" si="152"/>
        <v>#DIV/0!</v>
      </c>
      <c r="K69" s="261" t="e">
        <f t="shared" ca="1" si="152"/>
        <v>#DIV/0!</v>
      </c>
      <c r="L69" s="261" t="e">
        <f t="shared" ca="1" si="152"/>
        <v>#DIV/0!</v>
      </c>
      <c r="M69" s="261" t="e">
        <f t="shared" ca="1" si="152"/>
        <v>#DIV/0!</v>
      </c>
      <c r="N69" s="261" t="e">
        <f t="shared" ca="1" si="152"/>
        <v>#DIV/0!</v>
      </c>
      <c r="O69" s="261" t="e">
        <f t="shared" ca="1" si="152"/>
        <v>#DIV/0!</v>
      </c>
      <c r="P69" s="261" t="e">
        <f t="shared" ca="1" si="152"/>
        <v>#DIV/0!</v>
      </c>
      <c r="Q69" s="261" t="e">
        <f t="shared" ca="1" si="152"/>
        <v>#DIV/0!</v>
      </c>
      <c r="R69" s="261" t="e">
        <f t="shared" ca="1" si="152"/>
        <v>#DIV/0!</v>
      </c>
      <c r="S69" s="261" t="e">
        <f t="shared" ca="1" si="152"/>
        <v>#DIV/0!</v>
      </c>
      <c r="T69" s="261" t="e">
        <f t="shared" ca="1" si="152"/>
        <v>#DIV/0!</v>
      </c>
      <c r="U69" s="261" t="e">
        <f t="shared" ca="1" si="152"/>
        <v>#DIV/0!</v>
      </c>
      <c r="V69" s="261" t="e">
        <f t="shared" ca="1" si="152"/>
        <v>#DIV/0!</v>
      </c>
      <c r="W69" s="261" t="e">
        <f t="shared" ca="1" si="152"/>
        <v>#DIV/0!</v>
      </c>
      <c r="X69" s="261" t="e">
        <f t="shared" ca="1" si="152"/>
        <v>#DIV/0!</v>
      </c>
      <c r="Y69" s="261" t="e">
        <f t="shared" ca="1" si="152"/>
        <v>#DIV/0!</v>
      </c>
      <c r="Z69" s="261" t="e">
        <f t="shared" ca="1" si="152"/>
        <v>#DIV/0!</v>
      </c>
      <c r="AA69" s="261" t="e">
        <f t="shared" ca="1" si="152"/>
        <v>#DIV/0!</v>
      </c>
      <c r="AB69" s="261" t="e">
        <f t="shared" ca="1" si="152"/>
        <v>#VALUE!</v>
      </c>
      <c r="AC69" s="261" t="e">
        <f t="shared" ref="AC69:AF69" ca="1" si="153">IF($D$12&gt;AC$4,"na",(INDEX(AC$32:AC$34,MATCH($B70,$C$32:$C$34,0))+AC31)/(AC36+AC38))</f>
        <v>#VALUE!</v>
      </c>
      <c r="AD69" s="261" t="e">
        <f t="shared" ca="1" si="153"/>
        <v>#VALUE!</v>
      </c>
      <c r="AE69" s="261" t="e">
        <f t="shared" ca="1" si="153"/>
        <v>#VALUE!</v>
      </c>
      <c r="AF69" s="261" t="e">
        <f t="shared" ca="1" si="153"/>
        <v>#VALUE!</v>
      </c>
      <c r="AG69" s="261" t="e">
        <f t="shared" ref="AG69" ca="1" si="154">IF($D$12&gt;AG$4,"na",(INDEX(AG$32:AG$34,MATCH($B70,$C$32:$C$34,0))+AG31)/(AG36+AG38))</f>
        <v>#VALUE!</v>
      </c>
    </row>
    <row r="70" spans="2:33" s="106" customFormat="1" ht="15.15" hidden="1" outlineLevel="1">
      <c r="B70" s="197" t="s">
        <v>771</v>
      </c>
      <c r="C70" s="28" t="s">
        <v>765</v>
      </c>
      <c r="D70" s="306">
        <v>0</v>
      </c>
      <c r="E70" s="306">
        <v>0</v>
      </c>
      <c r="F70" s="306">
        <v>0</v>
      </c>
      <c r="G70" s="306">
        <v>0</v>
      </c>
      <c r="H70" s="306">
        <v>0</v>
      </c>
      <c r="I70" s="306">
        <v>0</v>
      </c>
      <c r="J70" s="306">
        <v>0</v>
      </c>
      <c r="K70" s="306">
        <v>0</v>
      </c>
      <c r="L70" s="306">
        <v>0</v>
      </c>
      <c r="M70" s="306">
        <v>0</v>
      </c>
      <c r="N70" s="306">
        <v>0</v>
      </c>
      <c r="O70" s="306">
        <v>0</v>
      </c>
      <c r="P70" s="306">
        <v>0</v>
      </c>
      <c r="Q70" s="306">
        <v>0</v>
      </c>
      <c r="R70" s="306">
        <v>0</v>
      </c>
      <c r="S70" s="306">
        <v>0</v>
      </c>
      <c r="T70" s="306">
        <v>1.1000000000000001</v>
      </c>
      <c r="U70" s="306">
        <v>1.1000000000000001</v>
      </c>
      <c r="V70" s="306">
        <v>1.1000000000000001</v>
      </c>
      <c r="W70" s="306">
        <v>1.1000000000000001</v>
      </c>
      <c r="X70" s="306">
        <v>1.1000000000000001</v>
      </c>
      <c r="Y70" s="306">
        <v>1.1000000000000001</v>
      </c>
      <c r="Z70" s="306">
        <v>1.1000000000000001</v>
      </c>
      <c r="AA70" s="306">
        <v>1.1000000000000001</v>
      </c>
      <c r="AB70" s="306">
        <v>1.1000000000000001</v>
      </c>
      <c r="AC70" s="306">
        <v>1.1000000000000001</v>
      </c>
      <c r="AD70" s="306">
        <v>1.1000000000000001</v>
      </c>
      <c r="AE70" s="306">
        <v>1.1000000000000001</v>
      </c>
      <c r="AF70" s="306">
        <v>1.1000000000000001</v>
      </c>
      <c r="AG70" s="306">
        <v>1.1000000000000001</v>
      </c>
    </row>
    <row r="71" spans="2:33" s="108" customFormat="1" ht="15.15" hidden="1" outlineLevel="1">
      <c r="B71" s="28"/>
      <c r="C71" s="183" t="s">
        <v>766</v>
      </c>
      <c r="D71" s="185" t="str">
        <f>IFERROR(D69/D70-1,"na")</f>
        <v>na</v>
      </c>
      <c r="E71" s="185" t="str">
        <f t="shared" ref="E71:AB71" si="155">IFERROR(E69/E70-1,"na")</f>
        <v>na</v>
      </c>
      <c r="F71" s="185" t="str">
        <f t="shared" si="155"/>
        <v>na</v>
      </c>
      <c r="G71" s="183" t="str">
        <f t="shared" ca="1" si="155"/>
        <v>na</v>
      </c>
      <c r="H71" s="183" t="str">
        <f t="shared" ca="1" si="155"/>
        <v>na</v>
      </c>
      <c r="I71" s="183" t="str">
        <f t="shared" ca="1" si="155"/>
        <v>na</v>
      </c>
      <c r="J71" s="183" t="str">
        <f t="shared" ca="1" si="155"/>
        <v>na</v>
      </c>
      <c r="K71" s="183" t="str">
        <f t="shared" ca="1" si="155"/>
        <v>na</v>
      </c>
      <c r="L71" s="183" t="str">
        <f t="shared" ca="1" si="155"/>
        <v>na</v>
      </c>
      <c r="M71" s="183" t="str">
        <f t="shared" ca="1" si="155"/>
        <v>na</v>
      </c>
      <c r="N71" s="183" t="str">
        <f t="shared" ca="1" si="155"/>
        <v>na</v>
      </c>
      <c r="O71" s="183" t="str">
        <f t="shared" ca="1" si="155"/>
        <v>na</v>
      </c>
      <c r="P71" s="183" t="str">
        <f t="shared" ca="1" si="155"/>
        <v>na</v>
      </c>
      <c r="Q71" s="183" t="str">
        <f t="shared" ca="1" si="155"/>
        <v>na</v>
      </c>
      <c r="R71" s="183" t="str">
        <f t="shared" ca="1" si="155"/>
        <v>na</v>
      </c>
      <c r="S71" s="183" t="str">
        <f t="shared" ca="1" si="155"/>
        <v>na</v>
      </c>
      <c r="T71" s="183" t="str">
        <f t="shared" ca="1" si="155"/>
        <v>na</v>
      </c>
      <c r="U71" s="183" t="str">
        <f t="shared" ca="1" si="155"/>
        <v>na</v>
      </c>
      <c r="V71" s="183" t="str">
        <f t="shared" ca="1" si="155"/>
        <v>na</v>
      </c>
      <c r="W71" s="183" t="str">
        <f t="shared" ca="1" si="155"/>
        <v>na</v>
      </c>
      <c r="X71" s="183" t="str">
        <f t="shared" ca="1" si="155"/>
        <v>na</v>
      </c>
      <c r="Y71" s="183" t="str">
        <f t="shared" ca="1" si="155"/>
        <v>na</v>
      </c>
      <c r="Z71" s="183" t="str">
        <f t="shared" ca="1" si="155"/>
        <v>na</v>
      </c>
      <c r="AA71" s="183" t="str">
        <f t="shared" ca="1" si="155"/>
        <v>na</v>
      </c>
      <c r="AB71" s="183" t="str">
        <f t="shared" ca="1" si="155"/>
        <v>na</v>
      </c>
      <c r="AC71" s="183" t="str">
        <f t="shared" ref="AC71:AF71" ca="1" si="156">IFERROR(AC69/AC70-1,"na")</f>
        <v>na</v>
      </c>
      <c r="AD71" s="183" t="str">
        <f t="shared" ca="1" si="156"/>
        <v>na</v>
      </c>
      <c r="AE71" s="183" t="str">
        <f t="shared" ca="1" si="156"/>
        <v>na</v>
      </c>
      <c r="AF71" s="183" t="str">
        <f t="shared" ca="1" si="156"/>
        <v>na</v>
      </c>
      <c r="AG71" s="183" t="str">
        <f t="shared" ref="AG71" ca="1" si="157">IFERROR(AG69/AG70-1,"na")</f>
        <v>na</v>
      </c>
    </row>
    <row r="72" spans="2:33" s="28" customFormat="1" hidden="1" outlineLevel="1"/>
    <row r="73" spans="2:33" s="107" customFormat="1" ht="15.15" hidden="1" outlineLevel="1">
      <c r="B73" s="180"/>
      <c r="C73" s="180" t="s">
        <v>778</v>
      </c>
      <c r="D73" s="261" t="str">
        <f t="shared" ref="D73:AB73" si="158">IF($D$12&gt;D$4,"na",INDEX(D$32:D$34,MATCH($B74,$C$32:$C$34,0))/(D37))</f>
        <v>na</v>
      </c>
      <c r="E73" s="261" t="str">
        <f t="shared" si="158"/>
        <v>na</v>
      </c>
      <c r="F73" s="261" t="str">
        <f t="shared" si="158"/>
        <v>na</v>
      </c>
      <c r="G73" s="261" t="e">
        <f t="shared" ca="1" si="158"/>
        <v>#DIV/0!</v>
      </c>
      <c r="H73" s="261" t="e">
        <f t="shared" ca="1" si="158"/>
        <v>#DIV/0!</v>
      </c>
      <c r="I73" s="261" t="e">
        <f t="shared" ca="1" si="158"/>
        <v>#DIV/0!</v>
      </c>
      <c r="J73" s="261" t="e">
        <f t="shared" ca="1" si="158"/>
        <v>#DIV/0!</v>
      </c>
      <c r="K73" s="261" t="e">
        <f t="shared" ca="1" si="158"/>
        <v>#DIV/0!</v>
      </c>
      <c r="L73" s="261" t="e">
        <f t="shared" ca="1" si="158"/>
        <v>#DIV/0!</v>
      </c>
      <c r="M73" s="261" t="e">
        <f t="shared" ca="1" si="158"/>
        <v>#DIV/0!</v>
      </c>
      <c r="N73" s="261" t="e">
        <f t="shared" ca="1" si="158"/>
        <v>#DIV/0!</v>
      </c>
      <c r="O73" s="261" t="e">
        <f t="shared" ca="1" si="158"/>
        <v>#DIV/0!</v>
      </c>
      <c r="P73" s="261" t="e">
        <f t="shared" ca="1" si="158"/>
        <v>#DIV/0!</v>
      </c>
      <c r="Q73" s="261" t="e">
        <f t="shared" ca="1" si="158"/>
        <v>#DIV/0!</v>
      </c>
      <c r="R73" s="261" t="e">
        <f t="shared" ca="1" si="158"/>
        <v>#DIV/0!</v>
      </c>
      <c r="S73" s="261" t="e">
        <f t="shared" ca="1" si="158"/>
        <v>#DIV/0!</v>
      </c>
      <c r="T73" s="261" t="e">
        <f t="shared" ca="1" si="158"/>
        <v>#DIV/0!</v>
      </c>
      <c r="U73" s="261" t="e">
        <f t="shared" ca="1" si="158"/>
        <v>#DIV/0!</v>
      </c>
      <c r="V73" s="261" t="e">
        <f t="shared" ca="1" si="158"/>
        <v>#DIV/0!</v>
      </c>
      <c r="W73" s="261" t="e">
        <f t="shared" ca="1" si="158"/>
        <v>#DIV/0!</v>
      </c>
      <c r="X73" s="261" t="e">
        <f t="shared" ca="1" si="158"/>
        <v>#DIV/0!</v>
      </c>
      <c r="Y73" s="261" t="e">
        <f t="shared" ca="1" si="158"/>
        <v>#DIV/0!</v>
      </c>
      <c r="Z73" s="261" t="e">
        <f t="shared" ca="1" si="158"/>
        <v>#DIV/0!</v>
      </c>
      <c r="AA73" s="261" t="e">
        <f t="shared" ca="1" si="158"/>
        <v>#DIV/0!</v>
      </c>
      <c r="AB73" s="261" t="e">
        <f t="shared" ca="1" si="158"/>
        <v>#VALUE!</v>
      </c>
      <c r="AC73" s="261" t="e">
        <f t="shared" ref="AC73:AF73" ca="1" si="159">IF($D$12&gt;AC$4,"na",INDEX(AC$32:AC$34,MATCH($B74,$C$32:$C$34,0))/(AC37))</f>
        <v>#VALUE!</v>
      </c>
      <c r="AD73" s="261" t="e">
        <f t="shared" ca="1" si="159"/>
        <v>#VALUE!</v>
      </c>
      <c r="AE73" s="261" t="e">
        <f t="shared" ca="1" si="159"/>
        <v>#VALUE!</v>
      </c>
      <c r="AF73" s="261" t="e">
        <f t="shared" ca="1" si="159"/>
        <v>#VALUE!</v>
      </c>
      <c r="AG73" s="261" t="e">
        <f t="shared" ref="AG73" ca="1" si="160">IF($D$12&gt;AG$4,"na",INDEX(AG$32:AG$34,MATCH($B74,$C$32:$C$34,0))/(AG37))</f>
        <v>#VALUE!</v>
      </c>
    </row>
    <row r="74" spans="2:33" s="106" customFormat="1" ht="15.15" hidden="1" outlineLevel="1">
      <c r="B74" s="197" t="s">
        <v>771</v>
      </c>
      <c r="C74" s="28" t="s">
        <v>765</v>
      </c>
      <c r="D74" s="306">
        <v>5</v>
      </c>
      <c r="E74" s="306">
        <v>5</v>
      </c>
      <c r="F74" s="306">
        <v>5</v>
      </c>
      <c r="G74" s="306">
        <v>5</v>
      </c>
      <c r="H74" s="306">
        <v>5</v>
      </c>
      <c r="I74" s="306">
        <v>5</v>
      </c>
      <c r="J74" s="306">
        <v>5</v>
      </c>
      <c r="K74" s="306">
        <v>5</v>
      </c>
      <c r="L74" s="306">
        <v>5</v>
      </c>
      <c r="M74" s="306">
        <v>5</v>
      </c>
      <c r="N74" s="306">
        <v>5</v>
      </c>
      <c r="O74" s="306">
        <v>5</v>
      </c>
      <c r="P74" s="306">
        <v>5</v>
      </c>
      <c r="Q74" s="306">
        <v>5</v>
      </c>
      <c r="R74" s="306">
        <v>5</v>
      </c>
      <c r="S74" s="306">
        <v>5</v>
      </c>
      <c r="T74" s="306">
        <v>5</v>
      </c>
      <c r="U74" s="306">
        <v>5</v>
      </c>
      <c r="V74" s="306">
        <v>5</v>
      </c>
      <c r="W74" s="306">
        <v>5</v>
      </c>
      <c r="X74" s="306">
        <v>5</v>
      </c>
      <c r="Y74" s="306">
        <v>5</v>
      </c>
      <c r="Z74" s="306">
        <v>5</v>
      </c>
      <c r="AA74" s="306">
        <v>5</v>
      </c>
      <c r="AB74" s="306">
        <v>5</v>
      </c>
      <c r="AC74" s="306">
        <v>5</v>
      </c>
      <c r="AD74" s="306">
        <v>5</v>
      </c>
      <c r="AE74" s="306">
        <v>5</v>
      </c>
      <c r="AF74" s="306">
        <v>5</v>
      </c>
      <c r="AG74" s="306">
        <v>5</v>
      </c>
    </row>
    <row r="75" spans="2:33" s="108" customFormat="1" ht="15.15" hidden="1" outlineLevel="1">
      <c r="B75" s="28"/>
      <c r="C75" s="183" t="s">
        <v>766</v>
      </c>
      <c r="D75" s="185" t="str">
        <f>IFERROR(D73/D74-1,"na")</f>
        <v>na</v>
      </c>
      <c r="E75" s="185" t="str">
        <f t="shared" ref="E75:AB75" si="161">IFERROR(E73/E74-1,"na")</f>
        <v>na</v>
      </c>
      <c r="F75" s="185" t="str">
        <f t="shared" si="161"/>
        <v>na</v>
      </c>
      <c r="G75" s="183" t="str">
        <f t="shared" ca="1" si="161"/>
        <v>na</v>
      </c>
      <c r="H75" s="183" t="str">
        <f t="shared" ca="1" si="161"/>
        <v>na</v>
      </c>
      <c r="I75" s="183" t="str">
        <f t="shared" ca="1" si="161"/>
        <v>na</v>
      </c>
      <c r="J75" s="183" t="str">
        <f t="shared" ca="1" si="161"/>
        <v>na</v>
      </c>
      <c r="K75" s="183" t="str">
        <f t="shared" ca="1" si="161"/>
        <v>na</v>
      </c>
      <c r="L75" s="183" t="str">
        <f t="shared" ca="1" si="161"/>
        <v>na</v>
      </c>
      <c r="M75" s="183" t="str">
        <f t="shared" ca="1" si="161"/>
        <v>na</v>
      </c>
      <c r="N75" s="183" t="str">
        <f t="shared" ca="1" si="161"/>
        <v>na</v>
      </c>
      <c r="O75" s="183" t="str">
        <f t="shared" ca="1" si="161"/>
        <v>na</v>
      </c>
      <c r="P75" s="183" t="str">
        <f t="shared" ca="1" si="161"/>
        <v>na</v>
      </c>
      <c r="Q75" s="183" t="str">
        <f t="shared" ca="1" si="161"/>
        <v>na</v>
      </c>
      <c r="R75" s="183" t="str">
        <f t="shared" ca="1" si="161"/>
        <v>na</v>
      </c>
      <c r="S75" s="183" t="str">
        <f t="shared" ca="1" si="161"/>
        <v>na</v>
      </c>
      <c r="T75" s="183" t="str">
        <f t="shared" ca="1" si="161"/>
        <v>na</v>
      </c>
      <c r="U75" s="183" t="str">
        <f t="shared" ca="1" si="161"/>
        <v>na</v>
      </c>
      <c r="V75" s="183" t="str">
        <f t="shared" ca="1" si="161"/>
        <v>na</v>
      </c>
      <c r="W75" s="183" t="str">
        <f t="shared" ca="1" si="161"/>
        <v>na</v>
      </c>
      <c r="X75" s="183" t="str">
        <f t="shared" ca="1" si="161"/>
        <v>na</v>
      </c>
      <c r="Y75" s="183" t="str">
        <f t="shared" ca="1" si="161"/>
        <v>na</v>
      </c>
      <c r="Z75" s="183" t="str">
        <f t="shared" ca="1" si="161"/>
        <v>na</v>
      </c>
      <c r="AA75" s="183" t="str">
        <f t="shared" ca="1" si="161"/>
        <v>na</v>
      </c>
      <c r="AB75" s="183" t="str">
        <f t="shared" ca="1" si="161"/>
        <v>na</v>
      </c>
      <c r="AC75" s="183" t="str">
        <f t="shared" ref="AC75:AF75" ca="1" si="162">IFERROR(AC73/AC74-1,"na")</f>
        <v>na</v>
      </c>
      <c r="AD75" s="183" t="str">
        <f t="shared" ca="1" si="162"/>
        <v>na</v>
      </c>
      <c r="AE75" s="183" t="str">
        <f t="shared" ca="1" si="162"/>
        <v>na</v>
      </c>
      <c r="AF75" s="183" t="str">
        <f t="shared" ca="1" si="162"/>
        <v>na</v>
      </c>
      <c r="AG75" s="183" t="str">
        <f t="shared" ref="AG75" ca="1" si="163">IFERROR(AG73/AG74-1,"na")</f>
        <v>na</v>
      </c>
    </row>
    <row r="76" spans="2:33" ht="14.4" collapsed="1">
      <c r="B76" s="1"/>
    </row>
    <row r="77" spans="2:33" s="107" customFormat="1" ht="15.15" hidden="1" outlineLevel="1">
      <c r="B77" s="180"/>
      <c r="C77" s="180" t="s">
        <v>780</v>
      </c>
      <c r="D77" s="261" t="str">
        <f t="shared" ref="D77:AB77" si="164">IF($D$12&gt;D$4,"na",INDEX(D$32:D$34,MATCH($B78,$C$32:$C$34,0))/(D37+D38+D39))</f>
        <v>na</v>
      </c>
      <c r="E77" s="261" t="str">
        <f t="shared" si="164"/>
        <v>na</v>
      </c>
      <c r="F77" s="261" t="str">
        <f t="shared" si="164"/>
        <v>na</v>
      </c>
      <c r="G77" s="261" t="e">
        <f t="shared" ca="1" si="164"/>
        <v>#DIV/0!</v>
      </c>
      <c r="H77" s="261" t="e">
        <f t="shared" ca="1" si="164"/>
        <v>#DIV/0!</v>
      </c>
      <c r="I77" s="261" t="e">
        <f t="shared" ca="1" si="164"/>
        <v>#DIV/0!</v>
      </c>
      <c r="J77" s="261" t="e">
        <f t="shared" ca="1" si="164"/>
        <v>#DIV/0!</v>
      </c>
      <c r="K77" s="261" t="e">
        <f t="shared" ca="1" si="164"/>
        <v>#DIV/0!</v>
      </c>
      <c r="L77" s="261" t="e">
        <f t="shared" ca="1" si="164"/>
        <v>#DIV/0!</v>
      </c>
      <c r="M77" s="261" t="e">
        <f t="shared" ca="1" si="164"/>
        <v>#DIV/0!</v>
      </c>
      <c r="N77" s="261" t="e">
        <f t="shared" ca="1" si="164"/>
        <v>#DIV/0!</v>
      </c>
      <c r="O77" s="261" t="e">
        <f t="shared" ca="1" si="164"/>
        <v>#DIV/0!</v>
      </c>
      <c r="P77" s="261" t="e">
        <f t="shared" ca="1" si="164"/>
        <v>#DIV/0!</v>
      </c>
      <c r="Q77" s="261" t="e">
        <f t="shared" ca="1" si="164"/>
        <v>#DIV/0!</v>
      </c>
      <c r="R77" s="261" t="e">
        <f t="shared" ca="1" si="164"/>
        <v>#DIV/0!</v>
      </c>
      <c r="S77" s="261" t="e">
        <f t="shared" ca="1" si="164"/>
        <v>#DIV/0!</v>
      </c>
      <c r="T77" s="261" t="e">
        <f t="shared" ca="1" si="164"/>
        <v>#DIV/0!</v>
      </c>
      <c r="U77" s="261" t="e">
        <f t="shared" ca="1" si="164"/>
        <v>#DIV/0!</v>
      </c>
      <c r="V77" s="261" t="e">
        <f t="shared" ca="1" si="164"/>
        <v>#DIV/0!</v>
      </c>
      <c r="W77" s="261" t="e">
        <f t="shared" ca="1" si="164"/>
        <v>#DIV/0!</v>
      </c>
      <c r="X77" s="261" t="e">
        <f t="shared" ca="1" si="164"/>
        <v>#DIV/0!</v>
      </c>
      <c r="Y77" s="261" t="e">
        <f t="shared" ca="1" si="164"/>
        <v>#DIV/0!</v>
      </c>
      <c r="Z77" s="261" t="e">
        <f t="shared" ca="1" si="164"/>
        <v>#DIV/0!</v>
      </c>
      <c r="AA77" s="261" t="e">
        <f t="shared" ca="1" si="164"/>
        <v>#DIV/0!</v>
      </c>
      <c r="AB77" s="261" t="e">
        <f t="shared" ca="1" si="164"/>
        <v>#VALUE!</v>
      </c>
      <c r="AC77" s="261" t="e">
        <f t="shared" ref="AC77:AF77" ca="1" si="165">IF($D$12&gt;AC$4,"na",INDEX(AC$32:AC$34,MATCH($B78,$C$32:$C$34,0))/(AC37+AC38+AC39))</f>
        <v>#VALUE!</v>
      </c>
      <c r="AD77" s="261" t="e">
        <f t="shared" ca="1" si="165"/>
        <v>#VALUE!</v>
      </c>
      <c r="AE77" s="261" t="e">
        <f t="shared" ca="1" si="165"/>
        <v>#VALUE!</v>
      </c>
      <c r="AF77" s="261" t="e">
        <f t="shared" ca="1" si="165"/>
        <v>#VALUE!</v>
      </c>
      <c r="AG77" s="261" t="e">
        <f t="shared" ref="AG77" ca="1" si="166">IF($D$12&gt;AG$4,"na",INDEX(AG$32:AG$34,MATCH($B78,$C$32:$C$34,0))/(AG37+AG38+AG39))</f>
        <v>#VALUE!</v>
      </c>
    </row>
    <row r="78" spans="2:33" s="106" customFormat="1" ht="15.15" hidden="1" outlineLevel="1">
      <c r="B78" s="197" t="s">
        <v>771</v>
      </c>
      <c r="C78" s="94" t="s">
        <v>765</v>
      </c>
      <c r="D78" s="306">
        <v>1.5</v>
      </c>
      <c r="E78" s="306">
        <v>1.5</v>
      </c>
      <c r="F78" s="306">
        <v>1.5</v>
      </c>
      <c r="G78" s="306">
        <v>1.5</v>
      </c>
      <c r="H78" s="306">
        <v>1.5</v>
      </c>
      <c r="I78" s="306">
        <v>1.5</v>
      </c>
      <c r="J78" s="306">
        <v>1.5</v>
      </c>
      <c r="K78" s="306">
        <v>1.5</v>
      </c>
      <c r="L78" s="306">
        <v>1.5</v>
      </c>
      <c r="M78" s="306">
        <v>1.5</v>
      </c>
      <c r="N78" s="306">
        <v>1.5</v>
      </c>
      <c r="O78" s="306">
        <v>1.5</v>
      </c>
      <c r="P78" s="306">
        <v>1.5</v>
      </c>
      <c r="Q78" s="306">
        <v>1.5</v>
      </c>
      <c r="R78" s="306">
        <v>1.5</v>
      </c>
      <c r="S78" s="306">
        <v>1.5</v>
      </c>
      <c r="T78" s="306">
        <v>1.5</v>
      </c>
      <c r="U78" s="306">
        <v>1.5</v>
      </c>
      <c r="V78" s="306">
        <v>1.5</v>
      </c>
      <c r="W78" s="306">
        <v>1.5</v>
      </c>
      <c r="X78" s="306">
        <v>1.5</v>
      </c>
      <c r="Y78" s="306">
        <v>1.5</v>
      </c>
      <c r="Z78" s="306">
        <v>1.5</v>
      </c>
      <c r="AA78" s="306">
        <v>1.5</v>
      </c>
      <c r="AB78" s="306">
        <v>1.5</v>
      </c>
      <c r="AC78" s="306">
        <v>1.5</v>
      </c>
      <c r="AD78" s="306">
        <v>1.5</v>
      </c>
      <c r="AE78" s="306">
        <v>1.5</v>
      </c>
      <c r="AF78" s="306">
        <v>1.5</v>
      </c>
      <c r="AG78" s="306">
        <v>1.5</v>
      </c>
    </row>
    <row r="79" spans="2:33" s="108" customFormat="1" ht="15.15" hidden="1" outlineLevel="1">
      <c r="B79" s="28"/>
      <c r="C79" s="183" t="s">
        <v>766</v>
      </c>
      <c r="D79" s="185" t="str">
        <f>IFERROR(D77/D78-1,"na")</f>
        <v>na</v>
      </c>
      <c r="E79" s="185" t="str">
        <f t="shared" ref="E79:AB79" si="167">IFERROR(E77/E78-1,"na")</f>
        <v>na</v>
      </c>
      <c r="F79" s="185" t="str">
        <f t="shared" si="167"/>
        <v>na</v>
      </c>
      <c r="G79" s="183" t="str">
        <f t="shared" ca="1" si="167"/>
        <v>na</v>
      </c>
      <c r="H79" s="183" t="str">
        <f t="shared" ca="1" si="167"/>
        <v>na</v>
      </c>
      <c r="I79" s="183" t="str">
        <f t="shared" ca="1" si="167"/>
        <v>na</v>
      </c>
      <c r="J79" s="183" t="str">
        <f t="shared" ca="1" si="167"/>
        <v>na</v>
      </c>
      <c r="K79" s="183" t="str">
        <f t="shared" ca="1" si="167"/>
        <v>na</v>
      </c>
      <c r="L79" s="183" t="str">
        <f t="shared" ca="1" si="167"/>
        <v>na</v>
      </c>
      <c r="M79" s="183" t="str">
        <f t="shared" ca="1" si="167"/>
        <v>na</v>
      </c>
      <c r="N79" s="183" t="str">
        <f t="shared" ca="1" si="167"/>
        <v>na</v>
      </c>
      <c r="O79" s="183" t="str">
        <f t="shared" ca="1" si="167"/>
        <v>na</v>
      </c>
      <c r="P79" s="183" t="str">
        <f t="shared" ca="1" si="167"/>
        <v>na</v>
      </c>
      <c r="Q79" s="183" t="str">
        <f t="shared" ca="1" si="167"/>
        <v>na</v>
      </c>
      <c r="R79" s="183" t="str">
        <f t="shared" ca="1" si="167"/>
        <v>na</v>
      </c>
      <c r="S79" s="183" t="str">
        <f t="shared" ca="1" si="167"/>
        <v>na</v>
      </c>
      <c r="T79" s="183" t="str">
        <f t="shared" ca="1" si="167"/>
        <v>na</v>
      </c>
      <c r="U79" s="183" t="str">
        <f t="shared" ca="1" si="167"/>
        <v>na</v>
      </c>
      <c r="V79" s="183" t="str">
        <f t="shared" ca="1" si="167"/>
        <v>na</v>
      </c>
      <c r="W79" s="183" t="str">
        <f t="shared" ca="1" si="167"/>
        <v>na</v>
      </c>
      <c r="X79" s="183" t="str">
        <f t="shared" ca="1" si="167"/>
        <v>na</v>
      </c>
      <c r="Y79" s="183" t="str">
        <f t="shared" ca="1" si="167"/>
        <v>na</v>
      </c>
      <c r="Z79" s="183" t="str">
        <f t="shared" ca="1" si="167"/>
        <v>na</v>
      </c>
      <c r="AA79" s="183" t="str">
        <f t="shared" ca="1" si="167"/>
        <v>na</v>
      </c>
      <c r="AB79" s="183" t="str">
        <f t="shared" ca="1" si="167"/>
        <v>na</v>
      </c>
      <c r="AC79" s="183" t="str">
        <f t="shared" ref="AC79:AF79" ca="1" si="168">IFERROR(AC77/AC78-1,"na")</f>
        <v>na</v>
      </c>
      <c r="AD79" s="183" t="str">
        <f t="shared" ca="1" si="168"/>
        <v>na</v>
      </c>
      <c r="AE79" s="183" t="str">
        <f t="shared" ca="1" si="168"/>
        <v>na</v>
      </c>
      <c r="AF79" s="183" t="str">
        <f t="shared" ca="1" si="168"/>
        <v>na</v>
      </c>
      <c r="AG79" s="183" t="str">
        <f t="shared" ref="AG79" ca="1" si="169">IFERROR(AG77/AG78-1,"na")</f>
        <v>na</v>
      </c>
    </row>
    <row r="80" spans="2:33" ht="14.4" hidden="1" outlineLevel="1">
      <c r="B80" s="1"/>
    </row>
    <row r="81" spans="2:33" s="107" customFormat="1" ht="15.15" hidden="1" outlineLevel="1">
      <c r="B81" s="180"/>
      <c r="C81" s="180" t="s">
        <v>788</v>
      </c>
      <c r="D81" s="261" t="str">
        <f t="shared" ref="D81:AB81" si="170">IF($D$12&gt;D$4,"na",(INDEX(D$32:D$34,MATCH($B82,$C$32:$C$34,0))+D31)/(D37+D38+D39))</f>
        <v>na</v>
      </c>
      <c r="E81" s="261" t="str">
        <f t="shared" si="170"/>
        <v>na</v>
      </c>
      <c r="F81" s="261" t="str">
        <f t="shared" si="170"/>
        <v>na</v>
      </c>
      <c r="G81" s="261" t="e">
        <f t="shared" ca="1" si="170"/>
        <v>#DIV/0!</v>
      </c>
      <c r="H81" s="261" t="e">
        <f t="shared" ca="1" si="170"/>
        <v>#DIV/0!</v>
      </c>
      <c r="I81" s="261" t="e">
        <f t="shared" ca="1" si="170"/>
        <v>#DIV/0!</v>
      </c>
      <c r="J81" s="261" t="e">
        <f t="shared" ca="1" si="170"/>
        <v>#DIV/0!</v>
      </c>
      <c r="K81" s="261" t="e">
        <f t="shared" ca="1" si="170"/>
        <v>#DIV/0!</v>
      </c>
      <c r="L81" s="261" t="e">
        <f t="shared" ca="1" si="170"/>
        <v>#DIV/0!</v>
      </c>
      <c r="M81" s="261" t="e">
        <f t="shared" ca="1" si="170"/>
        <v>#DIV/0!</v>
      </c>
      <c r="N81" s="261" t="e">
        <f t="shared" ca="1" si="170"/>
        <v>#DIV/0!</v>
      </c>
      <c r="O81" s="261" t="e">
        <f t="shared" ca="1" si="170"/>
        <v>#DIV/0!</v>
      </c>
      <c r="P81" s="261" t="e">
        <f t="shared" ca="1" si="170"/>
        <v>#DIV/0!</v>
      </c>
      <c r="Q81" s="261" t="e">
        <f t="shared" ca="1" si="170"/>
        <v>#DIV/0!</v>
      </c>
      <c r="R81" s="261" t="e">
        <f t="shared" ca="1" si="170"/>
        <v>#DIV/0!</v>
      </c>
      <c r="S81" s="261" t="e">
        <f t="shared" ca="1" si="170"/>
        <v>#DIV/0!</v>
      </c>
      <c r="T81" s="261" t="e">
        <f t="shared" ca="1" si="170"/>
        <v>#DIV/0!</v>
      </c>
      <c r="U81" s="261" t="e">
        <f t="shared" ca="1" si="170"/>
        <v>#DIV/0!</v>
      </c>
      <c r="V81" s="261" t="e">
        <f t="shared" ca="1" si="170"/>
        <v>#DIV/0!</v>
      </c>
      <c r="W81" s="261" t="e">
        <f t="shared" ca="1" si="170"/>
        <v>#DIV/0!</v>
      </c>
      <c r="X81" s="261" t="e">
        <f t="shared" ca="1" si="170"/>
        <v>#DIV/0!</v>
      </c>
      <c r="Y81" s="261" t="e">
        <f t="shared" ca="1" si="170"/>
        <v>#DIV/0!</v>
      </c>
      <c r="Z81" s="261" t="e">
        <f t="shared" ca="1" si="170"/>
        <v>#DIV/0!</v>
      </c>
      <c r="AA81" s="261" t="e">
        <f t="shared" ca="1" si="170"/>
        <v>#DIV/0!</v>
      </c>
      <c r="AB81" s="261" t="e">
        <f t="shared" ca="1" si="170"/>
        <v>#VALUE!</v>
      </c>
      <c r="AC81" s="261" t="e">
        <f t="shared" ref="AC81:AF81" ca="1" si="171">IF($D$12&gt;AC$4,"na",(INDEX(AC$32:AC$34,MATCH($B82,$C$32:$C$34,0))+AC31)/(AC37+AC38+AC39))</f>
        <v>#VALUE!</v>
      </c>
      <c r="AD81" s="261" t="e">
        <f t="shared" ca="1" si="171"/>
        <v>#VALUE!</v>
      </c>
      <c r="AE81" s="261" t="e">
        <f t="shared" ca="1" si="171"/>
        <v>#VALUE!</v>
      </c>
      <c r="AF81" s="261" t="e">
        <f t="shared" ca="1" si="171"/>
        <v>#VALUE!</v>
      </c>
      <c r="AG81" s="261" t="e">
        <f t="shared" ref="AG81" ca="1" si="172">IF($D$12&gt;AG$4,"na",(INDEX(AG$32:AG$34,MATCH($B82,$C$32:$C$34,0))+AG31)/(AG37+AG38+AG39))</f>
        <v>#VALUE!</v>
      </c>
    </row>
    <row r="82" spans="2:33" s="106" customFormat="1" ht="15.15" hidden="1" outlineLevel="1">
      <c r="B82" s="197" t="s">
        <v>782</v>
      </c>
      <c r="C82" s="94" t="s">
        <v>765</v>
      </c>
      <c r="D82" s="306">
        <v>1.5</v>
      </c>
      <c r="E82" s="306">
        <v>1.5</v>
      </c>
      <c r="F82" s="306">
        <v>1.5</v>
      </c>
      <c r="G82" s="306">
        <v>1.5</v>
      </c>
      <c r="H82" s="306">
        <v>1.5</v>
      </c>
      <c r="I82" s="306">
        <v>1.5</v>
      </c>
      <c r="J82" s="306">
        <v>1.5</v>
      </c>
      <c r="K82" s="306">
        <v>1.5</v>
      </c>
      <c r="L82" s="306">
        <v>1.5</v>
      </c>
      <c r="M82" s="306">
        <v>1.5</v>
      </c>
      <c r="N82" s="306">
        <v>1.5</v>
      </c>
      <c r="O82" s="306">
        <v>1.5</v>
      </c>
      <c r="P82" s="306">
        <v>1.5</v>
      </c>
      <c r="Q82" s="306">
        <v>1.5</v>
      </c>
      <c r="R82" s="306">
        <v>1.5</v>
      </c>
      <c r="S82" s="306">
        <v>1.5</v>
      </c>
      <c r="T82" s="306">
        <v>1.5</v>
      </c>
      <c r="U82" s="306">
        <v>1.5</v>
      </c>
      <c r="V82" s="306">
        <v>1.5</v>
      </c>
      <c r="W82" s="306">
        <v>1.5</v>
      </c>
      <c r="X82" s="306">
        <v>1.5</v>
      </c>
      <c r="Y82" s="306">
        <v>1.5</v>
      </c>
      <c r="Z82" s="306">
        <v>1.5</v>
      </c>
      <c r="AA82" s="306">
        <v>1.5</v>
      </c>
      <c r="AB82" s="306">
        <v>1.5</v>
      </c>
      <c r="AC82" s="306">
        <v>1.5</v>
      </c>
      <c r="AD82" s="306">
        <v>1.5</v>
      </c>
      <c r="AE82" s="306">
        <v>1.5</v>
      </c>
      <c r="AF82" s="306">
        <v>1.5</v>
      </c>
      <c r="AG82" s="306">
        <v>1.5</v>
      </c>
    </row>
    <row r="83" spans="2:33" s="108" customFormat="1" ht="15.15" hidden="1" outlineLevel="1">
      <c r="B83" s="28"/>
      <c r="C83" s="183" t="s">
        <v>766</v>
      </c>
      <c r="D83" s="185" t="str">
        <f>IFERROR(D81/D82-1,"na")</f>
        <v>na</v>
      </c>
      <c r="E83" s="185" t="str">
        <f t="shared" ref="E83:AB83" si="173">IFERROR(E81/E82-1,"na")</f>
        <v>na</v>
      </c>
      <c r="F83" s="185" t="str">
        <f t="shared" si="173"/>
        <v>na</v>
      </c>
      <c r="G83" s="183" t="str">
        <f t="shared" ca="1" si="173"/>
        <v>na</v>
      </c>
      <c r="H83" s="183" t="str">
        <f t="shared" ca="1" si="173"/>
        <v>na</v>
      </c>
      <c r="I83" s="183" t="str">
        <f t="shared" ca="1" si="173"/>
        <v>na</v>
      </c>
      <c r="J83" s="183" t="str">
        <f t="shared" ca="1" si="173"/>
        <v>na</v>
      </c>
      <c r="K83" s="183" t="str">
        <f t="shared" ca="1" si="173"/>
        <v>na</v>
      </c>
      <c r="L83" s="183" t="str">
        <f t="shared" ca="1" si="173"/>
        <v>na</v>
      </c>
      <c r="M83" s="183" t="str">
        <f t="shared" ca="1" si="173"/>
        <v>na</v>
      </c>
      <c r="N83" s="183" t="str">
        <f t="shared" ca="1" si="173"/>
        <v>na</v>
      </c>
      <c r="O83" s="183" t="str">
        <f t="shared" ca="1" si="173"/>
        <v>na</v>
      </c>
      <c r="P83" s="183" t="str">
        <f t="shared" ca="1" si="173"/>
        <v>na</v>
      </c>
      <c r="Q83" s="183" t="str">
        <f t="shared" ca="1" si="173"/>
        <v>na</v>
      </c>
      <c r="R83" s="183" t="str">
        <f t="shared" ca="1" si="173"/>
        <v>na</v>
      </c>
      <c r="S83" s="183" t="str">
        <f t="shared" ca="1" si="173"/>
        <v>na</v>
      </c>
      <c r="T83" s="183" t="str">
        <f t="shared" ca="1" si="173"/>
        <v>na</v>
      </c>
      <c r="U83" s="183" t="str">
        <f t="shared" ca="1" si="173"/>
        <v>na</v>
      </c>
      <c r="V83" s="183" t="str">
        <f t="shared" ca="1" si="173"/>
        <v>na</v>
      </c>
      <c r="W83" s="183" t="str">
        <f t="shared" ca="1" si="173"/>
        <v>na</v>
      </c>
      <c r="X83" s="183" t="str">
        <f t="shared" ca="1" si="173"/>
        <v>na</v>
      </c>
      <c r="Y83" s="183" t="str">
        <f t="shared" ca="1" si="173"/>
        <v>na</v>
      </c>
      <c r="Z83" s="183" t="str">
        <f t="shared" ca="1" si="173"/>
        <v>na</v>
      </c>
      <c r="AA83" s="183" t="str">
        <f t="shared" ca="1" si="173"/>
        <v>na</v>
      </c>
      <c r="AB83" s="183" t="str">
        <f t="shared" ca="1" si="173"/>
        <v>na</v>
      </c>
      <c r="AC83" s="183" t="str">
        <f t="shared" ref="AC83:AF83" ca="1" si="174">IFERROR(AC81/AC82-1,"na")</f>
        <v>na</v>
      </c>
      <c r="AD83" s="183" t="str">
        <f t="shared" ca="1" si="174"/>
        <v>na</v>
      </c>
      <c r="AE83" s="183" t="str">
        <f t="shared" ca="1" si="174"/>
        <v>na</v>
      </c>
      <c r="AF83" s="183" t="str">
        <f t="shared" ca="1" si="174"/>
        <v>na</v>
      </c>
      <c r="AG83" s="183" t="str">
        <f t="shared" ref="AG83" ca="1" si="175">IFERROR(AG81/AG82-1,"na")</f>
        <v>na</v>
      </c>
    </row>
    <row r="84" spans="2:33" s="28" customFormat="1" hidden="1" outlineLevel="1"/>
    <row r="85" spans="2:33" s="107" customFormat="1" ht="15.15" hidden="1" outlineLevel="1">
      <c r="B85" s="34"/>
      <c r="C85" s="180" t="s">
        <v>781</v>
      </c>
      <c r="D85" s="227" t="str">
        <f>IF($D$12&gt;D$4,"na",D35)</f>
        <v>na</v>
      </c>
      <c r="E85" s="227" t="str">
        <f t="shared" ref="E85:AB85" si="176">IF($D$12&gt;E$4,"na",E35)</f>
        <v>na</v>
      </c>
      <c r="F85" s="227" t="str">
        <f t="shared" si="176"/>
        <v>na</v>
      </c>
      <c r="G85" s="180">
        <f t="shared" ca="1" si="176"/>
        <v>0</v>
      </c>
      <c r="H85" s="180">
        <f t="shared" ca="1" si="176"/>
        <v>0</v>
      </c>
      <c r="I85" s="180">
        <f t="shared" ca="1" si="176"/>
        <v>0</v>
      </c>
      <c r="J85" s="180">
        <f t="shared" ca="1" si="176"/>
        <v>0</v>
      </c>
      <c r="K85" s="180">
        <f t="shared" ca="1" si="176"/>
        <v>0</v>
      </c>
      <c r="L85" s="180">
        <f t="shared" ca="1" si="176"/>
        <v>0</v>
      </c>
      <c r="M85" s="180">
        <f t="shared" ca="1" si="176"/>
        <v>0</v>
      </c>
      <c r="N85" s="180">
        <f t="shared" ca="1" si="176"/>
        <v>0</v>
      </c>
      <c r="O85" s="180">
        <f t="shared" ca="1" si="176"/>
        <v>0</v>
      </c>
      <c r="P85" s="180">
        <f t="shared" ca="1" si="176"/>
        <v>0</v>
      </c>
      <c r="Q85" s="180">
        <f t="shared" ca="1" si="176"/>
        <v>0</v>
      </c>
      <c r="R85" s="180">
        <f t="shared" ca="1" si="176"/>
        <v>0</v>
      </c>
      <c r="S85" s="180">
        <f t="shared" ca="1" si="176"/>
        <v>0</v>
      </c>
      <c r="T85" s="180">
        <f t="shared" ca="1" si="176"/>
        <v>0</v>
      </c>
      <c r="U85" s="180">
        <f t="shared" ca="1" si="176"/>
        <v>0</v>
      </c>
      <c r="V85" s="180">
        <f t="shared" ca="1" si="176"/>
        <v>0</v>
      </c>
      <c r="W85" s="180">
        <f t="shared" ca="1" si="176"/>
        <v>0</v>
      </c>
      <c r="X85" s="180">
        <f t="shared" ca="1" si="176"/>
        <v>0</v>
      </c>
      <c r="Y85" s="180">
        <f t="shared" ca="1" si="176"/>
        <v>0</v>
      </c>
      <c r="Z85" s="180">
        <f t="shared" ca="1" si="176"/>
        <v>0</v>
      </c>
      <c r="AA85" s="180">
        <f t="shared" ca="1" si="176"/>
        <v>0</v>
      </c>
      <c r="AB85" s="180" t="str">
        <f t="shared" ca="1" si="176"/>
        <v>na</v>
      </c>
      <c r="AC85" s="180" t="str">
        <f t="shared" ref="AC85:AF85" ca="1" si="177">IF($D$12&gt;AC$4,"na",AC35)</f>
        <v>na</v>
      </c>
      <c r="AD85" s="180" t="str">
        <f t="shared" ca="1" si="177"/>
        <v>na</v>
      </c>
      <c r="AE85" s="180" t="str">
        <f t="shared" ca="1" si="177"/>
        <v>na</v>
      </c>
      <c r="AF85" s="180" t="str">
        <f t="shared" ca="1" si="177"/>
        <v>na</v>
      </c>
      <c r="AG85" s="180" t="str">
        <f t="shared" ref="AG85" ca="1" si="178">IF($D$12&gt;AG$4,"na",AG35)</f>
        <v>na</v>
      </c>
    </row>
    <row r="86" spans="2:33" s="106" customFormat="1" ht="15.15" hidden="1" outlineLevel="1">
      <c r="B86" s="94"/>
      <c r="C86" s="28" t="s">
        <v>765</v>
      </c>
      <c r="D86" s="197">
        <v>7000000</v>
      </c>
      <c r="E86" s="197">
        <v>7000000</v>
      </c>
      <c r="F86" s="197">
        <v>7000000</v>
      </c>
      <c r="G86" s="197">
        <v>7000000</v>
      </c>
      <c r="H86" s="197">
        <v>7000000</v>
      </c>
      <c r="I86" s="197">
        <v>7000000</v>
      </c>
      <c r="J86" s="197">
        <v>7000000</v>
      </c>
      <c r="K86" s="197">
        <v>7000000</v>
      </c>
      <c r="L86" s="197">
        <v>7000000</v>
      </c>
      <c r="M86" s="197">
        <v>7000000</v>
      </c>
      <c r="N86" s="197">
        <v>7000000</v>
      </c>
      <c r="O86" s="197">
        <v>7000000</v>
      </c>
      <c r="P86" s="197">
        <v>7000000</v>
      </c>
      <c r="Q86" s="197">
        <v>7000000</v>
      </c>
      <c r="R86" s="197">
        <v>7000000</v>
      </c>
      <c r="S86" s="197">
        <v>7000000</v>
      </c>
      <c r="T86" s="197">
        <v>7000000</v>
      </c>
      <c r="U86" s="197">
        <v>7000000</v>
      </c>
      <c r="V86" s="197">
        <v>7000000</v>
      </c>
      <c r="W86" s="197">
        <v>7000000</v>
      </c>
      <c r="X86" s="197">
        <v>7000000</v>
      </c>
      <c r="Y86" s="197">
        <v>7000000</v>
      </c>
      <c r="Z86" s="197">
        <v>7000000</v>
      </c>
      <c r="AA86" s="197">
        <v>7000000</v>
      </c>
      <c r="AB86" s="197">
        <v>7000000</v>
      </c>
      <c r="AC86" s="197">
        <v>7000000</v>
      </c>
      <c r="AD86" s="197">
        <v>7000000</v>
      </c>
      <c r="AE86" s="197">
        <v>7000000</v>
      </c>
      <c r="AF86" s="197">
        <v>7000000</v>
      </c>
      <c r="AG86" s="197">
        <v>7000000</v>
      </c>
    </row>
    <row r="87" spans="2:33" s="183" customFormat="1" hidden="1" outlineLevel="1">
      <c r="C87" s="183" t="s">
        <v>766</v>
      </c>
      <c r="D87" s="185" t="str">
        <f t="shared" ref="D87:AB87" si="179">IFERROR(D86/D85-1,"na")</f>
        <v>na</v>
      </c>
      <c r="E87" s="185" t="str">
        <f t="shared" si="179"/>
        <v>na</v>
      </c>
      <c r="F87" s="185" t="str">
        <f t="shared" si="179"/>
        <v>na</v>
      </c>
      <c r="G87" s="183" t="str">
        <f t="shared" ca="1" si="179"/>
        <v>na</v>
      </c>
      <c r="H87" s="183" t="str">
        <f t="shared" ca="1" si="179"/>
        <v>na</v>
      </c>
      <c r="I87" s="183" t="str">
        <f t="shared" ca="1" si="179"/>
        <v>na</v>
      </c>
      <c r="J87" s="183" t="str">
        <f t="shared" ca="1" si="179"/>
        <v>na</v>
      </c>
      <c r="K87" s="183" t="str">
        <f t="shared" ca="1" si="179"/>
        <v>na</v>
      </c>
      <c r="L87" s="183" t="str">
        <f t="shared" ca="1" si="179"/>
        <v>na</v>
      </c>
      <c r="M87" s="183" t="str">
        <f t="shared" ca="1" si="179"/>
        <v>na</v>
      </c>
      <c r="N87" s="183" t="str">
        <f t="shared" ca="1" si="179"/>
        <v>na</v>
      </c>
      <c r="O87" s="183" t="str">
        <f t="shared" ca="1" si="179"/>
        <v>na</v>
      </c>
      <c r="P87" s="183" t="str">
        <f t="shared" ca="1" si="179"/>
        <v>na</v>
      </c>
      <c r="Q87" s="183" t="str">
        <f t="shared" ca="1" si="179"/>
        <v>na</v>
      </c>
      <c r="R87" s="183" t="str">
        <f t="shared" ca="1" si="179"/>
        <v>na</v>
      </c>
      <c r="S87" s="183" t="str">
        <f t="shared" ca="1" si="179"/>
        <v>na</v>
      </c>
      <c r="T87" s="183" t="str">
        <f t="shared" ca="1" si="179"/>
        <v>na</v>
      </c>
      <c r="U87" s="183" t="str">
        <f t="shared" ca="1" si="179"/>
        <v>na</v>
      </c>
      <c r="V87" s="183" t="str">
        <f t="shared" ca="1" si="179"/>
        <v>na</v>
      </c>
      <c r="W87" s="183" t="str">
        <f t="shared" ca="1" si="179"/>
        <v>na</v>
      </c>
      <c r="X87" s="183" t="str">
        <f t="shared" ca="1" si="179"/>
        <v>na</v>
      </c>
      <c r="Y87" s="183" t="str">
        <f t="shared" ca="1" si="179"/>
        <v>na</v>
      </c>
      <c r="Z87" s="183" t="str">
        <f t="shared" ca="1" si="179"/>
        <v>na</v>
      </c>
      <c r="AA87" s="183" t="str">
        <f t="shared" ca="1" si="179"/>
        <v>na</v>
      </c>
      <c r="AB87" s="183" t="str">
        <f t="shared" ca="1" si="179"/>
        <v>na</v>
      </c>
      <c r="AC87" s="183" t="str">
        <f t="shared" ref="AC87:AF87" ca="1" si="180">IFERROR(AC86/AC85-1,"na")</f>
        <v>na</v>
      </c>
      <c r="AD87" s="183" t="str">
        <f t="shared" ca="1" si="180"/>
        <v>na</v>
      </c>
      <c r="AE87" s="183" t="str">
        <f t="shared" ca="1" si="180"/>
        <v>na</v>
      </c>
      <c r="AF87" s="183" t="str">
        <f t="shared" ca="1" si="180"/>
        <v>na</v>
      </c>
      <c r="AG87" s="183" t="str">
        <f t="shared" ref="AG87" ca="1" si="181">IFERROR(AG86/AG85-1,"na")</f>
        <v>na</v>
      </c>
    </row>
    <row r="88" spans="2:33" ht="14.4" collapsed="1">
      <c r="B88" s="1"/>
    </row>
  </sheetData>
  <phoneticPr fontId="2" type="noConversion"/>
  <conditionalFormatting sqref="D5:AF6">
    <cfRule type="cellIs" dxfId="58" priority="30" operator="equal">
      <formula>TRUE</formula>
    </cfRule>
  </conditionalFormatting>
  <conditionalFormatting sqref="D45:AF45 D87:AF87 D49:AF49 D54:AF54 D58:AF58 D63:AF63 D67:AF67 D71:AF71 D75:AF75 D79:AF79 D83:AF83">
    <cfRule type="cellIs" dxfId="57" priority="29" operator="lessThan">
      <formula>0</formula>
    </cfRule>
  </conditionalFormatting>
  <conditionalFormatting sqref="D5:AF6">
    <cfRule type="cellIs" dxfId="56" priority="6" operator="equal">
      <formula>TRUE</formula>
    </cfRule>
  </conditionalFormatting>
  <conditionalFormatting sqref="D5:AF6">
    <cfRule type="cellIs" dxfId="55" priority="5" operator="equal">
      <formula>TRUE</formula>
    </cfRule>
  </conditionalFormatting>
  <conditionalFormatting sqref="AG5:AG6">
    <cfRule type="cellIs" dxfId="54" priority="4" operator="equal">
      <formula>TRUE</formula>
    </cfRule>
  </conditionalFormatting>
  <conditionalFormatting sqref="AG45 AG87 AG49 AG54 AG58 AG63 AG67 AG71 AG75 AG79 AG83">
    <cfRule type="cellIs" dxfId="53" priority="3" operator="lessThan">
      <formula>0</formula>
    </cfRule>
  </conditionalFormatting>
  <conditionalFormatting sqref="AG5:AG6">
    <cfRule type="cellIs" dxfId="52" priority="2" operator="equal">
      <formula>TRUE</formula>
    </cfRule>
  </conditionalFormatting>
  <conditionalFormatting sqref="AG5:AG6">
    <cfRule type="cellIs" dxfId="51" priority="1" operator="equal">
      <formula>TRUE</formula>
    </cfRule>
  </conditionalFormatting>
  <dataValidations disablePrompts="1" count="2">
    <dataValidation type="list" allowBlank="1" showInputMessage="1" showErrorMessage="1" sqref="B86">
      <formula1>$C$21:$C$23</formula1>
    </dataValidation>
    <dataValidation type="list" allowBlank="1" showInputMessage="1" showErrorMessage="1" sqref="B44 B82 B70 B78 B74 B66 B62 B57 B53 B48">
      <formula1>$C$32:$C$34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3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374904</xdr:colOff>
                    <xdr:row>3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2" r:id="rId4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374904</xdr:colOff>
                    <xdr:row>3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tabColor theme="0"/>
  </sheetPr>
  <dimension ref="A1:AG107"/>
  <sheetViews>
    <sheetView zoomScale="90" zoomScaleNormal="90" workbookViewId="0">
      <pane xSplit="3" ySplit="8" topLeftCell="D21" activePane="bottomRight" state="frozen"/>
      <selection activeCell="E19" sqref="E19"/>
      <selection pane="topRight" activeCell="E19" sqref="E19"/>
      <selection pane="bottomLeft" activeCell="E19" sqref="E19"/>
      <selection pane="bottomRight" activeCell="E19" sqref="E19"/>
    </sheetView>
  </sheetViews>
  <sheetFormatPr defaultColWidth="9.140625" defaultRowHeight="14.4"/>
  <cols>
    <col min="1" max="1" width="3.5703125" style="1" customWidth="1"/>
    <col min="2" max="2" width="3.28515625" style="1" customWidth="1"/>
    <col min="3" max="3" width="36.85546875" style="1" customWidth="1"/>
    <col min="4" max="7" width="17.28515625" style="1" customWidth="1"/>
    <col min="8" max="8" width="17.140625" style="1" customWidth="1"/>
    <col min="9" max="9" width="16.85546875" style="1" customWidth="1"/>
    <col min="10" max="10" width="17.140625" style="1" customWidth="1"/>
    <col min="11" max="11" width="13.42578125" style="1" customWidth="1"/>
    <col min="12" max="12" width="17.5703125" style="1" customWidth="1"/>
    <col min="13" max="16" width="16.85546875" style="1" customWidth="1"/>
    <col min="17" max="27" width="15.140625" style="1" customWidth="1"/>
    <col min="28" max="28" width="15.85546875" style="1" customWidth="1"/>
    <col min="29" max="29" width="13.85546875" style="1" customWidth="1"/>
    <col min="30" max="33" width="14.7109375" style="1" bestFit="1" customWidth="1"/>
    <col min="34" max="35" width="10.42578125" style="1" bestFit="1" customWidth="1"/>
    <col min="36" max="36" width="11.5703125" style="1" bestFit="1" customWidth="1"/>
    <col min="37" max="16384" width="9.140625" style="1"/>
  </cols>
  <sheetData>
    <row r="1" spans="3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33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3:33" ht="14.6" customHeight="1"/>
    <row r="4" spans="3:33" s="34" customFormat="1" ht="14.6" customHeight="1">
      <c r="C4" s="307" t="s">
        <v>719</v>
      </c>
      <c r="D4" s="307">
        <f>EOMONTH('Control Panel'!B11-1,3)</f>
        <v>43555</v>
      </c>
      <c r="E4" s="307">
        <f>EOMONTH(D4,3)</f>
        <v>43646</v>
      </c>
      <c r="F4" s="307">
        <f t="shared" ref="F4:AB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ref="AC4" si="1">EOMONTH(AB4,3)</f>
        <v>45838</v>
      </c>
      <c r="AD4" s="307">
        <f t="shared" ref="AD4" si="2">EOMONTH(AC4,3)</f>
        <v>45930</v>
      </c>
      <c r="AE4" s="307">
        <f t="shared" ref="AE4" si="3">EOMONTH(AD4,3)</f>
        <v>46022</v>
      </c>
      <c r="AF4" s="307">
        <f t="shared" ref="AF4:AG4" si="4">EOMONTH(AE4,3)</f>
        <v>46112</v>
      </c>
      <c r="AG4" s="307">
        <f t="shared" si="4"/>
        <v>46203</v>
      </c>
    </row>
    <row r="5" spans="3:33" s="28" customFormat="1" ht="14.6" customHeight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3:33" s="28" customFormat="1" ht="14.6" customHeight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3:33" ht="14.6" customHeight="1">
      <c r="C7" s="209"/>
      <c r="D7" s="308">
        <f>YEAR(D4)</f>
        <v>2019</v>
      </c>
      <c r="E7" s="308">
        <f t="shared" ref="E7:AB7" si="5">YEAR(E4)</f>
        <v>2019</v>
      </c>
      <c r="F7" s="308">
        <f t="shared" si="5"/>
        <v>2019</v>
      </c>
      <c r="G7" s="308">
        <f t="shared" si="5"/>
        <v>2019</v>
      </c>
      <c r="H7" s="308">
        <f t="shared" si="5"/>
        <v>2020</v>
      </c>
      <c r="I7" s="308">
        <f t="shared" si="5"/>
        <v>2020</v>
      </c>
      <c r="J7" s="308">
        <f t="shared" si="5"/>
        <v>2020</v>
      </c>
      <c r="K7" s="308">
        <f t="shared" si="5"/>
        <v>2020</v>
      </c>
      <c r="L7" s="308">
        <f t="shared" si="5"/>
        <v>2021</v>
      </c>
      <c r="M7" s="308">
        <f t="shared" si="5"/>
        <v>2021</v>
      </c>
      <c r="N7" s="308">
        <f t="shared" si="5"/>
        <v>2021</v>
      </c>
      <c r="O7" s="308">
        <f t="shared" si="5"/>
        <v>2021</v>
      </c>
      <c r="P7" s="308">
        <f t="shared" si="5"/>
        <v>2022</v>
      </c>
      <c r="Q7" s="308">
        <f t="shared" si="5"/>
        <v>2022</v>
      </c>
      <c r="R7" s="308">
        <f t="shared" si="5"/>
        <v>2022</v>
      </c>
      <c r="S7" s="308">
        <f t="shared" si="5"/>
        <v>2022</v>
      </c>
      <c r="T7" s="308">
        <f t="shared" si="5"/>
        <v>2023</v>
      </c>
      <c r="U7" s="308">
        <f t="shared" si="5"/>
        <v>2023</v>
      </c>
      <c r="V7" s="308">
        <f t="shared" si="5"/>
        <v>2023</v>
      </c>
      <c r="W7" s="308">
        <f t="shared" si="5"/>
        <v>2023</v>
      </c>
      <c r="X7" s="308">
        <f t="shared" si="5"/>
        <v>2024</v>
      </c>
      <c r="Y7" s="308">
        <f t="shared" si="5"/>
        <v>2024</v>
      </c>
      <c r="Z7" s="308">
        <f t="shared" si="5"/>
        <v>2024</v>
      </c>
      <c r="AA7" s="308">
        <f t="shared" si="5"/>
        <v>2024</v>
      </c>
      <c r="AB7" s="308">
        <f t="shared" si="5"/>
        <v>2025</v>
      </c>
      <c r="AC7" s="406">
        <f t="shared" ref="AC7:AF7" si="6">YEAR(AC4)</f>
        <v>2025</v>
      </c>
      <c r="AD7" s="406">
        <f t="shared" si="6"/>
        <v>2025</v>
      </c>
      <c r="AE7" s="406">
        <f t="shared" si="6"/>
        <v>2025</v>
      </c>
      <c r="AF7" s="406">
        <f t="shared" si="6"/>
        <v>2026</v>
      </c>
      <c r="AG7" s="413">
        <f t="shared" ref="AG7" si="7">YEAR(AG4)</f>
        <v>2026</v>
      </c>
    </row>
    <row r="8" spans="3:33" ht="14.6" customHeight="1">
      <c r="C8" s="209"/>
      <c r="D8" s="309">
        <f>'Operating quarterly offshore'!L8</f>
        <v>1</v>
      </c>
      <c r="E8" s="309">
        <f>IF(D8=4,1,D8+1)</f>
        <v>2</v>
      </c>
      <c r="F8" s="309">
        <f>IF(E8=4,1,E8+1)</f>
        <v>3</v>
      </c>
      <c r="G8" s="309">
        <f>IF(F8=4,1,F8+1)</f>
        <v>4</v>
      </c>
      <c r="H8" s="309">
        <f>IF(G8=4,1,G8+1)</f>
        <v>1</v>
      </c>
      <c r="I8" s="309">
        <f t="shared" ref="I8:AB8" si="8">IF(H8=4,1,H8+1)</f>
        <v>2</v>
      </c>
      <c r="J8" s="309">
        <f t="shared" si="8"/>
        <v>3</v>
      </c>
      <c r="K8" s="309">
        <f t="shared" si="8"/>
        <v>4</v>
      </c>
      <c r="L8" s="309">
        <f t="shared" si="8"/>
        <v>1</v>
      </c>
      <c r="M8" s="309">
        <f t="shared" si="8"/>
        <v>2</v>
      </c>
      <c r="N8" s="309">
        <f t="shared" si="8"/>
        <v>3</v>
      </c>
      <c r="O8" s="309">
        <f t="shared" si="8"/>
        <v>4</v>
      </c>
      <c r="P8" s="309">
        <f t="shared" si="8"/>
        <v>1</v>
      </c>
      <c r="Q8" s="309">
        <f t="shared" si="8"/>
        <v>2</v>
      </c>
      <c r="R8" s="309">
        <f t="shared" si="8"/>
        <v>3</v>
      </c>
      <c r="S8" s="309">
        <f t="shared" si="8"/>
        <v>4</v>
      </c>
      <c r="T8" s="309">
        <f t="shared" si="8"/>
        <v>1</v>
      </c>
      <c r="U8" s="309">
        <f t="shared" si="8"/>
        <v>2</v>
      </c>
      <c r="V8" s="309">
        <f t="shared" si="8"/>
        <v>3</v>
      </c>
      <c r="W8" s="309">
        <f t="shared" si="8"/>
        <v>4</v>
      </c>
      <c r="X8" s="309">
        <f t="shared" si="8"/>
        <v>1</v>
      </c>
      <c r="Y8" s="309">
        <f t="shared" si="8"/>
        <v>2</v>
      </c>
      <c r="Z8" s="309">
        <f t="shared" si="8"/>
        <v>3</v>
      </c>
      <c r="AA8" s="309">
        <f t="shared" si="8"/>
        <v>4</v>
      </c>
      <c r="AB8" s="309">
        <f t="shared" si="8"/>
        <v>1</v>
      </c>
      <c r="AC8" s="309">
        <f t="shared" ref="AC8" si="9">IF(AB8=4,1,AB8+1)</f>
        <v>2</v>
      </c>
      <c r="AD8" s="309">
        <f t="shared" ref="AD8" si="10">IF(AC8=4,1,AC8+1)</f>
        <v>3</v>
      </c>
      <c r="AE8" s="309">
        <f t="shared" ref="AE8" si="11">IF(AD8=4,1,AD8+1)</f>
        <v>4</v>
      </c>
      <c r="AF8" s="309">
        <f t="shared" ref="AF8:AG8" si="12">IF(AE8=4,1,AE8+1)</f>
        <v>1</v>
      </c>
      <c r="AG8" s="309">
        <f t="shared" si="12"/>
        <v>2</v>
      </c>
    </row>
    <row r="9" spans="3:33">
      <c r="C9" s="180" t="s">
        <v>723</v>
      </c>
      <c r="D9" s="180">
        <f>'Operating quarterly offshore'!L30</f>
        <v>0</v>
      </c>
      <c r="E9" s="180">
        <f>'Operating quarterly offshore'!M30</f>
        <v>0</v>
      </c>
      <c r="F9" s="180">
        <f>'Operating quarterly offshore'!N30</f>
        <v>0</v>
      </c>
      <c r="G9" s="180">
        <f>'Operating quarterly offshore'!O30</f>
        <v>0</v>
      </c>
      <c r="H9" s="180">
        <f>'Operating quarterly offshore'!P30</f>
        <v>0</v>
      </c>
      <c r="I9" s="180">
        <f>'Operating quarterly offshore'!Q30</f>
        <v>0</v>
      </c>
      <c r="J9" s="180">
        <f>'Operating quarterly offshore'!R30</f>
        <v>0</v>
      </c>
      <c r="K9" s="180">
        <f>'Operating quarterly offshore'!S30</f>
        <v>0</v>
      </c>
      <c r="L9" s="180">
        <f>'Operating quarterly offshore'!T30</f>
        <v>0</v>
      </c>
      <c r="M9" s="180">
        <f>'Operating quarterly offshore'!U30</f>
        <v>0</v>
      </c>
      <c r="N9" s="180">
        <f>'Operating quarterly offshore'!V30</f>
        <v>0</v>
      </c>
      <c r="O9" s="180">
        <f>'Operating quarterly offshore'!W30</f>
        <v>0</v>
      </c>
      <c r="P9" s="180">
        <f>'Operating quarterly offshore'!X30</f>
        <v>0</v>
      </c>
      <c r="Q9" s="180">
        <f>'Operating quarterly offshore'!Y30</f>
        <v>0</v>
      </c>
      <c r="R9" s="180">
        <f>'Operating quarterly offshore'!Z30</f>
        <v>0</v>
      </c>
      <c r="S9" s="180">
        <f>'Operating quarterly offshore'!AA30</f>
        <v>0</v>
      </c>
      <c r="T9" s="180">
        <f>'Operating quarterly offshore'!AB30</f>
        <v>0</v>
      </c>
      <c r="U9" s="180">
        <f>'Operating quarterly offshore'!AC30</f>
        <v>0</v>
      </c>
      <c r="V9" s="180">
        <f>'Operating quarterly offshore'!AD30</f>
        <v>0</v>
      </c>
      <c r="W9" s="180">
        <f>'Operating quarterly offshore'!AE30</f>
        <v>0</v>
      </c>
      <c r="X9" s="180">
        <f>'Operating quarterly offshore'!AF30</f>
        <v>0</v>
      </c>
      <c r="Y9" s="180">
        <f>'Operating quarterly offshore'!AG30</f>
        <v>0</v>
      </c>
      <c r="Z9" s="180">
        <f>'Operating quarterly offshore'!AH30</f>
        <v>0</v>
      </c>
      <c r="AA9" s="180">
        <f>'Operating quarterly offshore'!AI30</f>
        <v>0</v>
      </c>
      <c r="AB9" s="180" t="e">
        <f>'Operating quarterly offshore'!AJ30</f>
        <v>#N/A</v>
      </c>
      <c r="AC9" s="180" t="e">
        <f>'Operating quarterly offshore'!AK30</f>
        <v>#N/A</v>
      </c>
      <c r="AD9" s="180" t="e">
        <f>'Operating quarterly offshore'!AL30</f>
        <v>#N/A</v>
      </c>
      <c r="AE9" s="180" t="e">
        <f>'Operating quarterly offshore'!AM30</f>
        <v>#N/A</v>
      </c>
      <c r="AF9" s="180" t="e">
        <f>'Operating quarterly offshore'!AN30</f>
        <v>#N/A</v>
      </c>
      <c r="AG9" s="180" t="e">
        <f>'Operating quarterly offshore'!AO30</f>
        <v>#N/A</v>
      </c>
    </row>
    <row r="10" spans="3:33">
      <c r="C10" s="291" t="s">
        <v>724</v>
      </c>
      <c r="D10" s="291">
        <f>'Acquisition BS adjustments'!E49-D19-D32-D45-D60-D78</f>
        <v>0</v>
      </c>
      <c r="E10" s="291">
        <f>D95</f>
        <v>0</v>
      </c>
      <c r="F10" s="291">
        <f t="shared" ref="F10:AB10" ca="1" si="13">E95</f>
        <v>0</v>
      </c>
      <c r="G10" s="291">
        <f t="shared" ca="1" si="13"/>
        <v>0</v>
      </c>
      <c r="H10" s="291">
        <f t="shared" ca="1" si="13"/>
        <v>0</v>
      </c>
      <c r="I10" s="291">
        <f t="shared" ca="1" si="13"/>
        <v>0</v>
      </c>
      <c r="J10" s="291">
        <f t="shared" ca="1" si="13"/>
        <v>0</v>
      </c>
      <c r="K10" s="291">
        <f t="shared" ca="1" si="13"/>
        <v>0</v>
      </c>
      <c r="L10" s="291">
        <f t="shared" ca="1" si="13"/>
        <v>0</v>
      </c>
      <c r="M10" s="291">
        <f t="shared" ca="1" si="13"/>
        <v>0</v>
      </c>
      <c r="N10" s="291">
        <f t="shared" ca="1" si="13"/>
        <v>0</v>
      </c>
      <c r="O10" s="291">
        <f t="shared" ca="1" si="13"/>
        <v>0</v>
      </c>
      <c r="P10" s="291">
        <f t="shared" ca="1" si="13"/>
        <v>0</v>
      </c>
      <c r="Q10" s="291">
        <f t="shared" ca="1" si="13"/>
        <v>0</v>
      </c>
      <c r="R10" s="291">
        <f t="shared" ca="1" si="13"/>
        <v>0</v>
      </c>
      <c r="S10" s="291">
        <f t="shared" ca="1" si="13"/>
        <v>0</v>
      </c>
      <c r="T10" s="291">
        <f t="shared" ca="1" si="13"/>
        <v>0</v>
      </c>
      <c r="U10" s="291">
        <f t="shared" ca="1" si="13"/>
        <v>0</v>
      </c>
      <c r="V10" s="291">
        <f t="shared" ca="1" si="13"/>
        <v>0</v>
      </c>
      <c r="W10" s="291">
        <f t="shared" ca="1" si="13"/>
        <v>0</v>
      </c>
      <c r="X10" s="291">
        <f t="shared" ca="1" si="13"/>
        <v>0</v>
      </c>
      <c r="Y10" s="291">
        <f t="shared" ca="1" si="13"/>
        <v>0</v>
      </c>
      <c r="Z10" s="291">
        <f t="shared" ca="1" si="13"/>
        <v>0</v>
      </c>
      <c r="AA10" s="291">
        <f t="shared" ca="1" si="13"/>
        <v>0</v>
      </c>
      <c r="AB10" s="291">
        <f t="shared" ca="1" si="13"/>
        <v>0</v>
      </c>
      <c r="AC10" s="291" t="e">
        <f t="shared" ref="AC10" ca="1" si="14">AB95</f>
        <v>#N/A</v>
      </c>
      <c r="AD10" s="291" t="e">
        <f t="shared" ref="AD10" ca="1" si="15">AC95</f>
        <v>#N/A</v>
      </c>
      <c r="AE10" s="291" t="e">
        <f t="shared" ref="AE10" ca="1" si="16">AD95</f>
        <v>#N/A</v>
      </c>
      <c r="AF10" s="291" t="e">
        <f t="shared" ref="AF10:AG10" ca="1" si="17">AE95</f>
        <v>#N/A</v>
      </c>
      <c r="AG10" s="291" t="e">
        <f t="shared" ca="1" si="17"/>
        <v>#N/A</v>
      </c>
    </row>
    <row r="11" spans="3:33">
      <c r="C11" s="386" t="s">
        <v>1489</v>
      </c>
      <c r="D11" s="291">
        <f>-'Financing assumptions offshore'!$F$67*1000</f>
        <v>0</v>
      </c>
      <c r="E11" s="291">
        <f>-'Financing assumptions offshore'!$F$67*1000</f>
        <v>0</v>
      </c>
      <c r="F11" s="291">
        <f>-'Financing assumptions offshore'!$F$67*1000</f>
        <v>0</v>
      </c>
      <c r="G11" s="291">
        <f>-'Financing assumptions offshore'!$F$67*1000</f>
        <v>0</v>
      </c>
      <c r="H11" s="291">
        <f>-'Financing assumptions offshore'!$F$67*1000</f>
        <v>0</v>
      </c>
      <c r="I11" s="291">
        <f>-'Financing assumptions offshore'!$F$67*1000</f>
        <v>0</v>
      </c>
      <c r="J11" s="291">
        <f>-'Financing assumptions offshore'!$F$67*1000</f>
        <v>0</v>
      </c>
      <c r="K11" s="291">
        <f>-'Financing assumptions offshore'!$F$67*1000</f>
        <v>0</v>
      </c>
      <c r="L11" s="291">
        <f>-'Financing assumptions offshore'!$F$67*1000</f>
        <v>0</v>
      </c>
      <c r="M11" s="291">
        <f>-'Financing assumptions offshore'!$F$67*1000</f>
        <v>0</v>
      </c>
      <c r="N11" s="291">
        <f>-'Financing assumptions offshore'!$F$67*1000</f>
        <v>0</v>
      </c>
      <c r="O11" s="291">
        <f>-'Financing assumptions offshore'!$F$67*1000</f>
        <v>0</v>
      </c>
      <c r="P11" s="291">
        <f>-'Financing assumptions offshore'!$F$67*1000</f>
        <v>0</v>
      </c>
      <c r="Q11" s="291">
        <f>-'Financing assumptions offshore'!$F$67*1000</f>
        <v>0</v>
      </c>
      <c r="R11" s="291">
        <f>-'Financing assumptions offshore'!$F$67*1000</f>
        <v>0</v>
      </c>
      <c r="S11" s="291">
        <f>-'Financing assumptions offshore'!$F$67*1000</f>
        <v>0</v>
      </c>
      <c r="T11" s="291">
        <f>-'Financing assumptions offshore'!$F$67*1000</f>
        <v>0</v>
      </c>
      <c r="U11" s="291">
        <f>-'Financing assumptions offshore'!$F$67*1000</f>
        <v>0</v>
      </c>
      <c r="V11" s="291">
        <f>-'Financing assumptions offshore'!$F$67*1000</f>
        <v>0</v>
      </c>
      <c r="W11" s="291">
        <f>-'Financing assumptions offshore'!$F$67*1000</f>
        <v>0</v>
      </c>
      <c r="X11" s="291">
        <f>-'Financing assumptions offshore'!$F$67*1000</f>
        <v>0</v>
      </c>
      <c r="Y11" s="291">
        <f>-'Financing assumptions offshore'!$F$67*1000</f>
        <v>0</v>
      </c>
      <c r="Z11" s="291">
        <f>-'Financing assumptions offshore'!$F$67*1000</f>
        <v>0</v>
      </c>
      <c r="AA11" s="291">
        <f>-'Financing assumptions offshore'!$F$67*1000</f>
        <v>0</v>
      </c>
      <c r="AB11" s="291">
        <f>-'Financing assumptions offshore'!$F$67*1000</f>
        <v>0</v>
      </c>
      <c r="AC11" s="291">
        <f>-'Financing assumptions offshore'!$F$67*1000</f>
        <v>0</v>
      </c>
      <c r="AD11" s="291">
        <f>-'Financing assumptions offshore'!$F$67*1000</f>
        <v>0</v>
      </c>
      <c r="AE11" s="291">
        <f>-'Financing assumptions offshore'!$F$67*1000</f>
        <v>0</v>
      </c>
      <c r="AF11" s="291">
        <f>-'Financing assumptions offshore'!$F$67*1000</f>
        <v>0</v>
      </c>
      <c r="AG11" s="291">
        <f>-'Financing assumptions offshore'!$F$67*1000</f>
        <v>0</v>
      </c>
    </row>
    <row r="12" spans="3:33">
      <c r="C12" s="180" t="s">
        <v>748</v>
      </c>
      <c r="D12" s="180">
        <f>D9+D10+D11</f>
        <v>0</v>
      </c>
      <c r="E12" s="180">
        <f t="shared" ref="E12:AB12" si="18">E9+E10+E11</f>
        <v>0</v>
      </c>
      <c r="F12" s="180">
        <f t="shared" ca="1" si="18"/>
        <v>0</v>
      </c>
      <c r="G12" s="180">
        <f t="shared" ca="1" si="18"/>
        <v>0</v>
      </c>
      <c r="H12" s="180">
        <f t="shared" ca="1" si="18"/>
        <v>0</v>
      </c>
      <c r="I12" s="180">
        <f t="shared" ca="1" si="18"/>
        <v>0</v>
      </c>
      <c r="J12" s="180">
        <f t="shared" ca="1" si="18"/>
        <v>0</v>
      </c>
      <c r="K12" s="180">
        <f t="shared" ca="1" si="18"/>
        <v>0</v>
      </c>
      <c r="L12" s="180">
        <f t="shared" ca="1" si="18"/>
        <v>0</v>
      </c>
      <c r="M12" s="180">
        <f t="shared" ca="1" si="18"/>
        <v>0</v>
      </c>
      <c r="N12" s="180">
        <f t="shared" ca="1" si="18"/>
        <v>0</v>
      </c>
      <c r="O12" s="180">
        <f t="shared" ca="1" si="18"/>
        <v>0</v>
      </c>
      <c r="P12" s="180">
        <f t="shared" ca="1" si="18"/>
        <v>0</v>
      </c>
      <c r="Q12" s="180">
        <f t="shared" ca="1" si="18"/>
        <v>0</v>
      </c>
      <c r="R12" s="180">
        <f t="shared" ca="1" si="18"/>
        <v>0</v>
      </c>
      <c r="S12" s="180">
        <f t="shared" ca="1" si="18"/>
        <v>0</v>
      </c>
      <c r="T12" s="180">
        <f t="shared" ca="1" si="18"/>
        <v>0</v>
      </c>
      <c r="U12" s="180">
        <f t="shared" ca="1" si="18"/>
        <v>0</v>
      </c>
      <c r="V12" s="180">
        <f t="shared" ca="1" si="18"/>
        <v>0</v>
      </c>
      <c r="W12" s="180">
        <f t="shared" ca="1" si="18"/>
        <v>0</v>
      </c>
      <c r="X12" s="180">
        <f t="shared" ca="1" si="18"/>
        <v>0</v>
      </c>
      <c r="Y12" s="180">
        <f t="shared" ca="1" si="18"/>
        <v>0</v>
      </c>
      <c r="Z12" s="180">
        <f t="shared" ca="1" si="18"/>
        <v>0</v>
      </c>
      <c r="AA12" s="180">
        <f t="shared" ca="1" si="18"/>
        <v>0</v>
      </c>
      <c r="AB12" s="180" t="e">
        <f t="shared" ca="1" si="18"/>
        <v>#N/A</v>
      </c>
      <c r="AC12" s="180" t="e">
        <f t="shared" ref="AC12:AF12" ca="1" si="19">AC9+AC10+AC11</f>
        <v>#N/A</v>
      </c>
      <c r="AD12" s="180" t="e">
        <f t="shared" ca="1" si="19"/>
        <v>#N/A</v>
      </c>
      <c r="AE12" s="180" t="e">
        <f t="shared" ca="1" si="19"/>
        <v>#N/A</v>
      </c>
      <c r="AF12" s="180" t="e">
        <f t="shared" ca="1" si="19"/>
        <v>#N/A</v>
      </c>
      <c r="AG12" s="180" t="e">
        <f t="shared" ref="AG12" ca="1" si="20">AG9+AG10+AG11</f>
        <v>#N/A</v>
      </c>
    </row>
    <row r="13" spans="3:33" s="291" customFormat="1" ht="13.7">
      <c r="C13" s="291" t="s">
        <v>1039</v>
      </c>
      <c r="D13" s="291">
        <f>'Acquisition BS adjustments'!E49</f>
        <v>0</v>
      </c>
      <c r="E13" s="291">
        <f>E10</f>
        <v>0</v>
      </c>
      <c r="F13" s="291">
        <f t="shared" ref="F13:AB13" ca="1" si="21">F10</f>
        <v>0</v>
      </c>
      <c r="G13" s="291">
        <f t="shared" ca="1" si="21"/>
        <v>0</v>
      </c>
      <c r="H13" s="291">
        <f t="shared" ca="1" si="21"/>
        <v>0</v>
      </c>
      <c r="I13" s="291">
        <f t="shared" ca="1" si="21"/>
        <v>0</v>
      </c>
      <c r="J13" s="291">
        <f t="shared" ca="1" si="21"/>
        <v>0</v>
      </c>
      <c r="K13" s="291">
        <f t="shared" ca="1" si="21"/>
        <v>0</v>
      </c>
      <c r="L13" s="291">
        <f t="shared" ca="1" si="21"/>
        <v>0</v>
      </c>
      <c r="M13" s="291">
        <f t="shared" ca="1" si="21"/>
        <v>0</v>
      </c>
      <c r="N13" s="291">
        <f t="shared" ca="1" si="21"/>
        <v>0</v>
      </c>
      <c r="O13" s="291">
        <f t="shared" ca="1" si="21"/>
        <v>0</v>
      </c>
      <c r="P13" s="291">
        <f t="shared" ca="1" si="21"/>
        <v>0</v>
      </c>
      <c r="Q13" s="291">
        <f t="shared" ca="1" si="21"/>
        <v>0</v>
      </c>
      <c r="R13" s="291">
        <f t="shared" ca="1" si="21"/>
        <v>0</v>
      </c>
      <c r="S13" s="291">
        <f t="shared" ca="1" si="21"/>
        <v>0</v>
      </c>
      <c r="T13" s="291">
        <f t="shared" ca="1" si="21"/>
        <v>0</v>
      </c>
      <c r="U13" s="291">
        <f t="shared" ca="1" si="21"/>
        <v>0</v>
      </c>
      <c r="V13" s="291">
        <f t="shared" ca="1" si="21"/>
        <v>0</v>
      </c>
      <c r="W13" s="291">
        <f t="shared" ca="1" si="21"/>
        <v>0</v>
      </c>
      <c r="X13" s="291">
        <f t="shared" ca="1" si="21"/>
        <v>0</v>
      </c>
      <c r="Y13" s="291">
        <f t="shared" ca="1" si="21"/>
        <v>0</v>
      </c>
      <c r="Z13" s="291">
        <f t="shared" ca="1" si="21"/>
        <v>0</v>
      </c>
      <c r="AA13" s="291">
        <f t="shared" ca="1" si="21"/>
        <v>0</v>
      </c>
      <c r="AB13" s="291">
        <f t="shared" ca="1" si="21"/>
        <v>0</v>
      </c>
      <c r="AC13" s="291" t="e">
        <f t="shared" ref="AC13:AF13" ca="1" si="22">AC10</f>
        <v>#N/A</v>
      </c>
      <c r="AD13" s="291" t="e">
        <f t="shared" ca="1" si="22"/>
        <v>#N/A</v>
      </c>
      <c r="AE13" s="291" t="e">
        <f t="shared" ca="1" si="22"/>
        <v>#N/A</v>
      </c>
      <c r="AF13" s="291" t="e">
        <f t="shared" ca="1" si="22"/>
        <v>#N/A</v>
      </c>
      <c r="AG13" s="291" t="e">
        <f t="shared" ref="AG13" ca="1" si="23">AG10</f>
        <v>#N/A</v>
      </c>
    </row>
    <row r="15" spans="3:33">
      <c r="C15" s="209" t="s">
        <v>736</v>
      </c>
      <c r="D15" s="209"/>
      <c r="E15" s="209"/>
      <c r="F15" s="209"/>
      <c r="G15" s="209"/>
      <c r="H15" s="209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</row>
    <row r="16" spans="3:33">
      <c r="C16" s="183" t="s">
        <v>739</v>
      </c>
      <c r="D16" s="183">
        <f>'Financing assumptions offshore'!M18</f>
        <v>0.04</v>
      </c>
      <c r="E16" s="183">
        <f>'Financing assumptions offshore'!N18</f>
        <v>0.04</v>
      </c>
      <c r="F16" s="183">
        <f>'Financing assumptions offshore'!O18</f>
        <v>0.04</v>
      </c>
      <c r="G16" s="183">
        <f>'Financing assumptions offshore'!P18</f>
        <v>0.04</v>
      </c>
      <c r="H16" s="183">
        <f ca="1">'Financing assumptions offshore'!Q18</f>
        <v>0.04</v>
      </c>
      <c r="I16" s="183">
        <f ca="1">'Financing assumptions offshore'!R18</f>
        <v>0.04</v>
      </c>
      <c r="J16" s="183">
        <f ca="1">'Financing assumptions offshore'!S18</f>
        <v>0.04</v>
      </c>
      <c r="K16" s="183">
        <f ca="1">'Financing assumptions offshore'!T18</f>
        <v>0.04</v>
      </c>
      <c r="L16" s="183">
        <f ca="1">'Financing assumptions offshore'!U18</f>
        <v>0.04</v>
      </c>
      <c r="M16" s="183">
        <f ca="1">'Financing assumptions offshore'!V18</f>
        <v>0.04</v>
      </c>
      <c r="N16" s="183">
        <f ca="1">'Financing assumptions offshore'!W18</f>
        <v>0.04</v>
      </c>
      <c r="O16" s="183">
        <f ca="1">'Financing assumptions offshore'!X18</f>
        <v>0.04</v>
      </c>
      <c r="P16" s="183">
        <f ca="1">'Financing assumptions offshore'!Y18</f>
        <v>0.04</v>
      </c>
      <c r="Q16" s="183">
        <f ca="1">'Financing assumptions offshore'!Z18</f>
        <v>0.04</v>
      </c>
      <c r="R16" s="183">
        <f ca="1">'Financing assumptions offshore'!AA18</f>
        <v>0.04</v>
      </c>
      <c r="S16" s="183">
        <f ca="1">'Financing assumptions offshore'!AB18</f>
        <v>0.04</v>
      </c>
      <c r="T16" s="183">
        <f ca="1">'Financing assumptions offshore'!AC18</f>
        <v>0.04</v>
      </c>
      <c r="U16" s="183">
        <f ca="1">'Financing assumptions offshore'!AD18</f>
        <v>0.04</v>
      </c>
      <c r="V16" s="183">
        <f ca="1">'Financing assumptions offshore'!AE18</f>
        <v>0.04</v>
      </c>
      <c r="W16" s="183">
        <f ca="1">'Financing assumptions offshore'!AF18</f>
        <v>0.04</v>
      </c>
      <c r="X16" s="183">
        <f ca="1">'Financing assumptions offshore'!AG18</f>
        <v>0.04</v>
      </c>
      <c r="Y16" s="183">
        <f ca="1">'Financing assumptions offshore'!AH18</f>
        <v>0.04</v>
      </c>
      <c r="Z16" s="183">
        <f ca="1">'Financing assumptions offshore'!AI18</f>
        <v>0.04</v>
      </c>
      <c r="AA16" s="183">
        <f ca="1">'Financing assumptions offshore'!AJ18</f>
        <v>0.04</v>
      </c>
      <c r="AB16" s="183">
        <f ca="1">'Financing assumptions offshore'!AK18</f>
        <v>0.04</v>
      </c>
      <c r="AC16" s="183">
        <f ca="1">'Financing assumptions offshore'!AL18</f>
        <v>0.04</v>
      </c>
      <c r="AD16" s="183">
        <f ca="1">'Financing assumptions offshore'!AM18</f>
        <v>0.04</v>
      </c>
      <c r="AE16" s="183">
        <f ca="1">'Financing assumptions offshore'!AN18</f>
        <v>0.04</v>
      </c>
      <c r="AF16" s="183">
        <f ca="1">'Financing assumptions offshore'!AO18</f>
        <v>0.04</v>
      </c>
      <c r="AG16" s="183">
        <f>'Financing assumptions offshore'!AP18</f>
        <v>0</v>
      </c>
    </row>
    <row r="17" spans="3:33">
      <c r="C17" s="183" t="s">
        <v>741</v>
      </c>
      <c r="D17" s="183">
        <f>D16-'Financing assumptions offshore'!$F$19/10000</f>
        <v>0.04</v>
      </c>
      <c r="E17" s="183">
        <f>E16-'Financing assumptions offshore'!$F$19/10000</f>
        <v>0.04</v>
      </c>
      <c r="F17" s="183">
        <f>F16-'Financing assumptions offshore'!$F$19/10000</f>
        <v>0.04</v>
      </c>
      <c r="G17" s="183">
        <f>G16-'Financing assumptions offshore'!$F$19/10000</f>
        <v>0.04</v>
      </c>
      <c r="H17" s="183">
        <f ca="1">H16-'Financing assumptions offshore'!$F$19/10000</f>
        <v>0.04</v>
      </c>
      <c r="I17" s="183">
        <f ca="1">I16-'Financing assumptions offshore'!$F$19/10000</f>
        <v>0.04</v>
      </c>
      <c r="J17" s="183">
        <f ca="1">J16-'Financing assumptions offshore'!$F$19/10000</f>
        <v>0.04</v>
      </c>
      <c r="K17" s="183">
        <f ca="1">K16-'Financing assumptions offshore'!$F$19/10000</f>
        <v>0.04</v>
      </c>
      <c r="L17" s="183">
        <f ca="1">L16-'Financing assumptions offshore'!$F$19/10000</f>
        <v>0.04</v>
      </c>
      <c r="M17" s="183">
        <f ca="1">M16-'Financing assumptions offshore'!$F$19/10000</f>
        <v>0.04</v>
      </c>
      <c r="N17" s="183">
        <f ca="1">N16-'Financing assumptions offshore'!$F$19/10000</f>
        <v>0.04</v>
      </c>
      <c r="O17" s="183">
        <f ca="1">O16-'Financing assumptions offshore'!$F$19/10000</f>
        <v>0.04</v>
      </c>
      <c r="P17" s="183">
        <f ca="1">P16-'Financing assumptions offshore'!$F$19/10000</f>
        <v>0.04</v>
      </c>
      <c r="Q17" s="183">
        <f ca="1">Q16-'Financing assumptions offshore'!$F$19/10000</f>
        <v>0.04</v>
      </c>
      <c r="R17" s="183">
        <f ca="1">R16-'Financing assumptions offshore'!$F$19/10000</f>
        <v>0.04</v>
      </c>
      <c r="S17" s="183">
        <f ca="1">S16-'Financing assumptions offshore'!$F$19/10000</f>
        <v>0.04</v>
      </c>
      <c r="T17" s="183">
        <f ca="1">T16-'Financing assumptions offshore'!$F$19/10000</f>
        <v>0.04</v>
      </c>
      <c r="U17" s="183">
        <f ca="1">U16-'Financing assumptions offshore'!$F$19/10000</f>
        <v>0.04</v>
      </c>
      <c r="V17" s="183">
        <f ca="1">V16-'Financing assumptions offshore'!$F$19/10000</f>
        <v>0.04</v>
      </c>
      <c r="W17" s="183">
        <f ca="1">W16-'Financing assumptions offshore'!$F$19/10000</f>
        <v>0.04</v>
      </c>
      <c r="X17" s="183">
        <f ca="1">X16-'Financing assumptions offshore'!$F$19/10000</f>
        <v>0.04</v>
      </c>
      <c r="Y17" s="183">
        <f ca="1">Y16-'Financing assumptions offshore'!$F$19/10000</f>
        <v>0.04</v>
      </c>
      <c r="Z17" s="183">
        <f ca="1">Z16-'Financing assumptions offshore'!$F$19/10000</f>
        <v>0.04</v>
      </c>
      <c r="AA17" s="183">
        <f ca="1">AA16-'Financing assumptions offshore'!$F$19/10000</f>
        <v>0.04</v>
      </c>
      <c r="AB17" s="183">
        <f ca="1">AB16-'Financing assumptions offshore'!$F$19/10000</f>
        <v>0.04</v>
      </c>
      <c r="AC17" s="183">
        <f ca="1">AC16-'Financing assumptions offshore'!$F$19/10000</f>
        <v>0.04</v>
      </c>
      <c r="AD17" s="183">
        <f ca="1">AD16-'Financing assumptions offshore'!$F$19/10000</f>
        <v>0.04</v>
      </c>
      <c r="AE17" s="183">
        <f ca="1">AE16-'Financing assumptions offshore'!$F$19/10000</f>
        <v>0.04</v>
      </c>
      <c r="AF17" s="183">
        <f ca="1">AF16-'Financing assumptions offshore'!$F$19/10000</f>
        <v>0.04</v>
      </c>
      <c r="AG17" s="183">
        <f>AG16-'Financing assumptions offshore'!$F$19/10000</f>
        <v>0</v>
      </c>
    </row>
    <row r="18" spans="3:33">
      <c r="C18" s="180" t="s">
        <v>730</v>
      </c>
      <c r="D18" s="180">
        <v>0</v>
      </c>
      <c r="E18" s="180">
        <f>D25</f>
        <v>0</v>
      </c>
      <c r="F18" s="180">
        <f t="shared" ref="F18:AB18" ca="1" si="24">E25</f>
        <v>0</v>
      </c>
      <c r="G18" s="180">
        <f t="shared" ca="1" si="24"/>
        <v>0</v>
      </c>
      <c r="H18" s="180">
        <f t="shared" ca="1" si="24"/>
        <v>0</v>
      </c>
      <c r="I18" s="180">
        <f t="shared" ca="1" si="24"/>
        <v>0</v>
      </c>
      <c r="J18" s="180">
        <f t="shared" ca="1" si="24"/>
        <v>0</v>
      </c>
      <c r="K18" s="180">
        <f t="shared" ca="1" si="24"/>
        <v>0</v>
      </c>
      <c r="L18" s="180">
        <f t="shared" ca="1" si="24"/>
        <v>0</v>
      </c>
      <c r="M18" s="180">
        <f t="shared" ca="1" si="24"/>
        <v>0</v>
      </c>
      <c r="N18" s="180">
        <f t="shared" ca="1" si="24"/>
        <v>0</v>
      </c>
      <c r="O18" s="180">
        <f t="shared" ca="1" si="24"/>
        <v>0</v>
      </c>
      <c r="P18" s="180">
        <f t="shared" ca="1" si="24"/>
        <v>0</v>
      </c>
      <c r="Q18" s="180">
        <f t="shared" ca="1" si="24"/>
        <v>0</v>
      </c>
      <c r="R18" s="180">
        <f t="shared" ca="1" si="24"/>
        <v>0</v>
      </c>
      <c r="S18" s="180">
        <f t="shared" ca="1" si="24"/>
        <v>0</v>
      </c>
      <c r="T18" s="180">
        <f t="shared" ca="1" si="24"/>
        <v>0</v>
      </c>
      <c r="U18" s="180">
        <f t="shared" ca="1" si="24"/>
        <v>0</v>
      </c>
      <c r="V18" s="180">
        <f t="shared" ca="1" si="24"/>
        <v>0</v>
      </c>
      <c r="W18" s="180">
        <f t="shared" ca="1" si="24"/>
        <v>0</v>
      </c>
      <c r="X18" s="180">
        <f t="shared" ca="1" si="24"/>
        <v>0</v>
      </c>
      <c r="Y18" s="180">
        <f t="shared" ca="1" si="24"/>
        <v>0</v>
      </c>
      <c r="Z18" s="180">
        <f t="shared" ca="1" si="24"/>
        <v>0</v>
      </c>
      <c r="AA18" s="180">
        <f t="shared" ca="1" si="24"/>
        <v>0</v>
      </c>
      <c r="AB18" s="180">
        <f t="shared" ca="1" si="24"/>
        <v>0</v>
      </c>
      <c r="AC18" s="180">
        <f t="shared" ref="AC18" ca="1" si="25">AB25</f>
        <v>0</v>
      </c>
      <c r="AD18" s="180">
        <f t="shared" ref="AD18" ca="1" si="26">AC25</f>
        <v>0</v>
      </c>
      <c r="AE18" s="180">
        <f t="shared" ref="AE18" ca="1" si="27">AD25</f>
        <v>0</v>
      </c>
      <c r="AF18" s="180">
        <f t="shared" ref="AF18:AG18" ca="1" si="28">AE25</f>
        <v>0</v>
      </c>
      <c r="AG18" s="180">
        <f t="shared" ca="1" si="28"/>
        <v>0</v>
      </c>
    </row>
    <row r="19" spans="3:33">
      <c r="C19" s="295" t="s">
        <v>725</v>
      </c>
      <c r="D19" s="291">
        <f>'Financing assumptions offshore'!F15*1000</f>
        <v>0</v>
      </c>
      <c r="E19" s="291">
        <v>0</v>
      </c>
      <c r="F19" s="291">
        <v>0</v>
      </c>
      <c r="G19" s="291">
        <v>0</v>
      </c>
      <c r="H19" s="291">
        <v>0</v>
      </c>
      <c r="I19" s="291">
        <v>0</v>
      </c>
      <c r="J19" s="291">
        <v>0</v>
      </c>
      <c r="K19" s="291">
        <v>0</v>
      </c>
      <c r="L19" s="291">
        <v>0</v>
      </c>
      <c r="M19" s="291">
        <v>0</v>
      </c>
      <c r="N19" s="291">
        <v>0</v>
      </c>
      <c r="O19" s="291">
        <v>0</v>
      </c>
      <c r="P19" s="291">
        <v>0</v>
      </c>
      <c r="Q19" s="291">
        <v>0</v>
      </c>
      <c r="R19" s="291">
        <v>0</v>
      </c>
      <c r="S19" s="291">
        <v>0</v>
      </c>
      <c r="T19" s="291">
        <v>0</v>
      </c>
      <c r="U19" s="291">
        <v>0</v>
      </c>
      <c r="V19" s="291">
        <v>0</v>
      </c>
      <c r="W19" s="291">
        <v>0</v>
      </c>
      <c r="X19" s="291">
        <v>0</v>
      </c>
      <c r="Y19" s="291">
        <v>0</v>
      </c>
      <c r="Z19" s="291">
        <v>0</v>
      </c>
      <c r="AA19" s="291">
        <v>0</v>
      </c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</row>
    <row r="20" spans="3:33">
      <c r="C20" s="295" t="s">
        <v>726</v>
      </c>
      <c r="D20" s="291">
        <f>(D18+D19)*D16/4</f>
        <v>0</v>
      </c>
      <c r="E20" s="291">
        <f t="shared" ref="E20:AB20" si="29">(E18+E19)*E16/4</f>
        <v>0</v>
      </c>
      <c r="F20" s="291">
        <f t="shared" ca="1" si="29"/>
        <v>0</v>
      </c>
      <c r="G20" s="291">
        <f t="shared" ca="1" si="29"/>
        <v>0</v>
      </c>
      <c r="H20" s="291">
        <f t="shared" ca="1" si="29"/>
        <v>0</v>
      </c>
      <c r="I20" s="291">
        <f t="shared" ca="1" si="29"/>
        <v>0</v>
      </c>
      <c r="J20" s="291">
        <f t="shared" ca="1" si="29"/>
        <v>0</v>
      </c>
      <c r="K20" s="291">
        <f t="shared" ca="1" si="29"/>
        <v>0</v>
      </c>
      <c r="L20" s="291">
        <f t="shared" ca="1" si="29"/>
        <v>0</v>
      </c>
      <c r="M20" s="291">
        <f t="shared" ca="1" si="29"/>
        <v>0</v>
      </c>
      <c r="N20" s="291">
        <f t="shared" ca="1" si="29"/>
        <v>0</v>
      </c>
      <c r="O20" s="291">
        <f t="shared" ca="1" si="29"/>
        <v>0</v>
      </c>
      <c r="P20" s="291">
        <f t="shared" ca="1" si="29"/>
        <v>0</v>
      </c>
      <c r="Q20" s="291">
        <f t="shared" ca="1" si="29"/>
        <v>0</v>
      </c>
      <c r="R20" s="291">
        <f t="shared" ca="1" si="29"/>
        <v>0</v>
      </c>
      <c r="S20" s="291">
        <f t="shared" ca="1" si="29"/>
        <v>0</v>
      </c>
      <c r="T20" s="291">
        <f t="shared" ca="1" si="29"/>
        <v>0</v>
      </c>
      <c r="U20" s="291">
        <f t="shared" ca="1" si="29"/>
        <v>0</v>
      </c>
      <c r="V20" s="291">
        <f t="shared" ca="1" si="29"/>
        <v>0</v>
      </c>
      <c r="W20" s="291">
        <f t="shared" ca="1" si="29"/>
        <v>0</v>
      </c>
      <c r="X20" s="291">
        <f t="shared" ca="1" si="29"/>
        <v>0</v>
      </c>
      <c r="Y20" s="291">
        <f t="shared" ca="1" si="29"/>
        <v>0</v>
      </c>
      <c r="Z20" s="291">
        <f t="shared" ca="1" si="29"/>
        <v>0</v>
      </c>
      <c r="AA20" s="291">
        <f t="shared" ca="1" si="29"/>
        <v>0</v>
      </c>
      <c r="AB20" s="291">
        <f t="shared" ca="1" si="29"/>
        <v>0</v>
      </c>
      <c r="AC20" s="291">
        <f t="shared" ref="AC20:AF20" ca="1" si="30">(AC18+AC19)*AC16/4</f>
        <v>0</v>
      </c>
      <c r="AD20" s="291">
        <f t="shared" ca="1" si="30"/>
        <v>0</v>
      </c>
      <c r="AE20" s="291">
        <f t="shared" ca="1" si="30"/>
        <v>0</v>
      </c>
      <c r="AF20" s="291">
        <f t="shared" ca="1" si="30"/>
        <v>0</v>
      </c>
      <c r="AG20" s="291">
        <f t="shared" ref="AG20" ca="1" si="31">(AG18+AG19)*AG16/4</f>
        <v>0</v>
      </c>
    </row>
    <row r="21" spans="3:33">
      <c r="C21" s="295" t="s">
        <v>727</v>
      </c>
      <c r="D21" s="291">
        <f>MAX(+'Financing assumptions offshore'!M15*1000,-(D18+D19))</f>
        <v>0</v>
      </c>
      <c r="E21" s="291">
        <f>MAX(+'Financing assumptions offshore'!N15*1000,-(E18+E19))</f>
        <v>0</v>
      </c>
      <c r="F21" s="291">
        <f ca="1">MAX(+'Financing assumptions offshore'!O15*1000,-(F18+F19))</f>
        <v>0</v>
      </c>
      <c r="G21" s="291">
        <f ca="1">MAX(+'Financing assumptions offshore'!P15*1000,-(G18+G19))</f>
        <v>0</v>
      </c>
      <c r="H21" s="291">
        <f ca="1">MAX(+'Financing assumptions offshore'!Q15*1000,-(H18+H19))</f>
        <v>0</v>
      </c>
      <c r="I21" s="291">
        <f ca="1">MAX(+'Financing assumptions offshore'!R15*1000,-(I18+I19))</f>
        <v>0</v>
      </c>
      <c r="J21" s="291">
        <f ca="1">MAX(+'Financing assumptions offshore'!S15*1000,-(J18+J19))</f>
        <v>0</v>
      </c>
      <c r="K21" s="291">
        <f ca="1">MAX(+'Financing assumptions offshore'!T15*1000,-(K18+K19))</f>
        <v>0</v>
      </c>
      <c r="L21" s="291">
        <f ca="1">MAX(+'Financing assumptions offshore'!U15*1000,-(L18+L19))</f>
        <v>0</v>
      </c>
      <c r="M21" s="291">
        <f ca="1">MAX(+'Financing assumptions offshore'!V15*1000,-(M18+M19))</f>
        <v>0</v>
      </c>
      <c r="N21" s="291">
        <f ca="1">MAX(+'Financing assumptions offshore'!W15*1000,-(N18+N19))</f>
        <v>0</v>
      </c>
      <c r="O21" s="291">
        <f ca="1">MAX(+'Financing assumptions offshore'!X15*1000,-(O18+O19))</f>
        <v>0</v>
      </c>
      <c r="P21" s="291">
        <f ca="1">MAX(+'Financing assumptions offshore'!Y15*1000,-(P18+P19))</f>
        <v>0</v>
      </c>
      <c r="Q21" s="291">
        <f ca="1">MAX(+'Financing assumptions offshore'!Z15*1000,-(Q18+Q19))</f>
        <v>0</v>
      </c>
      <c r="R21" s="291">
        <f ca="1">MAX(+'Financing assumptions offshore'!AA15*1000,-(R18+R19))</f>
        <v>0</v>
      </c>
      <c r="S21" s="291">
        <f ca="1">MAX(+'Financing assumptions offshore'!AB15*1000,-(S18+S19))</f>
        <v>0</v>
      </c>
      <c r="T21" s="291">
        <f ca="1">MAX(+'Financing assumptions offshore'!AC15*1000,-(T18+T19))</f>
        <v>0</v>
      </c>
      <c r="U21" s="291">
        <f ca="1">MAX(+'Financing assumptions offshore'!AD15*1000,-(U18+U19))</f>
        <v>0</v>
      </c>
      <c r="V21" s="291">
        <f ca="1">MAX(+'Financing assumptions offshore'!AE15*1000,-(V18+V19))</f>
        <v>0</v>
      </c>
      <c r="W21" s="291">
        <f ca="1">MAX(+'Financing assumptions offshore'!AF15*1000,-(W18+W19))</f>
        <v>0</v>
      </c>
      <c r="X21" s="291">
        <f ca="1">MAX(+'Financing assumptions offshore'!AG15*1000,-(X18+X19))</f>
        <v>0</v>
      </c>
      <c r="Y21" s="291">
        <f ca="1">MAX(+'Financing assumptions offshore'!AH15*1000,-(Y18+Y19))</f>
        <v>0</v>
      </c>
      <c r="Z21" s="291">
        <f ca="1">MAX(+'Financing assumptions offshore'!AI15*1000,-(Z18+Z19))</f>
        <v>0</v>
      </c>
      <c r="AA21" s="291">
        <f ca="1">MAX(+'Financing assumptions offshore'!AJ15*1000,-(AA18+AA19))</f>
        <v>0</v>
      </c>
      <c r="AB21" s="291">
        <f ca="1">MAX(+'Financing assumptions offshore'!AK15*1000,-(AB18+AB19))</f>
        <v>0</v>
      </c>
      <c r="AC21" s="291">
        <f ca="1">MAX(+'Financing assumptions offshore'!AL15*1000,-(AC18+AC19))</f>
        <v>0</v>
      </c>
      <c r="AD21" s="291">
        <f ca="1">MAX(+'Financing assumptions offshore'!AM15*1000,-(AD18+AD19))</f>
        <v>0</v>
      </c>
      <c r="AE21" s="291">
        <f ca="1">MAX(+'Financing assumptions offshore'!AN15*1000,-(AE18+AE19))</f>
        <v>0</v>
      </c>
      <c r="AF21" s="291">
        <f ca="1">MAX(+'Financing assumptions offshore'!AO15*1000,-(AF18+AF19))</f>
        <v>0</v>
      </c>
      <c r="AG21" s="291">
        <f ca="1">MAX(+'Financing assumptions offshore'!AP15*1000,-(AG18+AG19))</f>
        <v>0</v>
      </c>
    </row>
    <row r="22" spans="3:33">
      <c r="C22" s="295" t="s">
        <v>733</v>
      </c>
      <c r="D22" s="291">
        <v>0</v>
      </c>
      <c r="E22" s="291">
        <f>IFERROR(SUM($D23:D23)/$D19*E21*Sweep_adj_repay_trigger,0)</f>
        <v>0</v>
      </c>
      <c r="F22" s="291">
        <f ca="1">IFERROR(SUM($D23:E23)/$D19*F21*Sweep_adj_repay_trigger,0)</f>
        <v>0</v>
      </c>
      <c r="G22" s="291">
        <f ca="1">IFERROR(SUM($D23:F23)/$D19*G21*Sweep_adj_repay_trigger,0)</f>
        <v>0</v>
      </c>
      <c r="H22" s="291">
        <f ca="1">IFERROR(SUM($D23:G23)/$D19*H21*Sweep_adj_repay_trigger,0)</f>
        <v>0</v>
      </c>
      <c r="I22" s="291">
        <f ca="1">IFERROR(SUM($D23:H23)/$D19*I21*Sweep_adj_repay_trigger,0)</f>
        <v>0</v>
      </c>
      <c r="J22" s="291">
        <f ca="1">IFERROR(SUM($D23:I23)/$D19*J21*Sweep_adj_repay_trigger,0)</f>
        <v>0</v>
      </c>
      <c r="K22" s="291">
        <f ca="1">IFERROR(SUM($D23:J23)/$D19*K21*Sweep_adj_repay_trigger,0)</f>
        <v>0</v>
      </c>
      <c r="L22" s="291">
        <f ca="1">IFERROR(SUM($D23:K23)/$D19*L21*Sweep_adj_repay_trigger,0)</f>
        <v>0</v>
      </c>
      <c r="M22" s="291">
        <f ca="1">IFERROR(SUM($D23:L23)/$D19*M21*Sweep_adj_repay_trigger,0)</f>
        <v>0</v>
      </c>
      <c r="N22" s="291">
        <f ca="1">IFERROR(SUM($D23:M23)/$D19*N21*Sweep_adj_repay_trigger,0)</f>
        <v>0</v>
      </c>
      <c r="O22" s="291">
        <f ca="1">IFERROR(SUM($D23:N23)/$D19*O21*Sweep_adj_repay_trigger,0)</f>
        <v>0</v>
      </c>
      <c r="P22" s="291">
        <f ca="1">IFERROR(SUM($D23:O23)/$D19*P21*Sweep_adj_repay_trigger,0)</f>
        <v>0</v>
      </c>
      <c r="Q22" s="291">
        <f ca="1">IFERROR(SUM($D23:P23)/$D19*Q21*Sweep_adj_repay_trigger,0)</f>
        <v>0</v>
      </c>
      <c r="R22" s="291">
        <f ca="1">IFERROR(SUM($D23:Q23)/$D19*R21*Sweep_adj_repay_trigger,0)</f>
        <v>0</v>
      </c>
      <c r="S22" s="291">
        <f ca="1">IFERROR(SUM($D23:R23)/$D19*S21*Sweep_adj_repay_trigger,0)</f>
        <v>0</v>
      </c>
      <c r="T22" s="291">
        <f ca="1">IFERROR(SUM($D23:S23)/$D19*T21*Sweep_adj_repay_trigger,0)</f>
        <v>0</v>
      </c>
      <c r="U22" s="291">
        <f ca="1">IFERROR(SUM($D23:T23)/$D19*U21*Sweep_adj_repay_trigger,0)</f>
        <v>0</v>
      </c>
      <c r="V22" s="291">
        <f ca="1">IFERROR(SUM($D23:U23)/$D19*V21*Sweep_adj_repay_trigger,0)</f>
        <v>0</v>
      </c>
      <c r="W22" s="291">
        <f ca="1">IFERROR(SUM($D23:V23)/$D19*W21*Sweep_adj_repay_trigger,0)</f>
        <v>0</v>
      </c>
      <c r="X22" s="291">
        <f ca="1">IFERROR(SUM($D23:W23)/$D19*X21*Sweep_adj_repay_trigger,0)</f>
        <v>0</v>
      </c>
      <c r="Y22" s="291">
        <f ca="1">IFERROR(SUM($D23:X23)/$D19*Y21*Sweep_adj_repay_trigger,0)</f>
        <v>0</v>
      </c>
      <c r="Z22" s="291">
        <f ca="1">IFERROR(SUM($D23:Y23)/$D19*Z21*Sweep_adj_repay_trigger,0)</f>
        <v>0</v>
      </c>
      <c r="AA22" s="291">
        <f ca="1">IFERROR(SUM($D23:Z23)/$D19*AA21*Sweep_adj_repay_trigger,0)</f>
        <v>0</v>
      </c>
      <c r="AB22" s="291">
        <f ca="1">IFERROR(SUM($D23:AA23)/$D19*AB21*Sweep_adj_repay_trigger,0)</f>
        <v>0</v>
      </c>
      <c r="AC22" s="291">
        <f ca="1">IFERROR(SUM($D23:AB23)/$D19*AC21*Sweep_adj_repay_trigger,0)</f>
        <v>0</v>
      </c>
      <c r="AD22" s="291">
        <f ca="1">IFERROR(SUM($D23:AC23)/$D19*AD21*Sweep_adj_repay_trigger,0)</f>
        <v>0</v>
      </c>
      <c r="AE22" s="291">
        <f ca="1">IFERROR(SUM($D23:AD23)/$D19*AE21*Sweep_adj_repay_trigger,0)</f>
        <v>0</v>
      </c>
      <c r="AF22" s="291">
        <f ca="1">IFERROR(SUM($D23:AE23)/$D19*AF21*Sweep_adj_repay_trigger,0)</f>
        <v>0</v>
      </c>
      <c r="AG22" s="291">
        <f ca="1">IFERROR(SUM($D23:AF23)/$D19*AG21*Sweep_adj_repay_trigger,0)</f>
        <v>0</v>
      </c>
    </row>
    <row r="23" spans="3:33">
      <c r="C23" s="295" t="s">
        <v>728</v>
      </c>
      <c r="D23" s="291">
        <f>'Cash sweep &amp; dividend offshore'!D39</f>
        <v>0</v>
      </c>
      <c r="E23" s="291">
        <f ca="1">'Cash sweep &amp; dividend offshore'!E39</f>
        <v>0</v>
      </c>
      <c r="F23" s="291">
        <f ca="1">'Cash sweep &amp; dividend offshore'!F39</f>
        <v>0</v>
      </c>
      <c r="G23" s="291">
        <f ca="1">'Cash sweep &amp; dividend offshore'!G39</f>
        <v>0</v>
      </c>
      <c r="H23" s="291">
        <f ca="1">'Cash sweep &amp; dividend offshore'!H39</f>
        <v>0</v>
      </c>
      <c r="I23" s="291">
        <f ca="1">'Cash sweep &amp; dividend offshore'!I39</f>
        <v>0</v>
      </c>
      <c r="J23" s="291">
        <f ca="1">'Cash sweep &amp; dividend offshore'!J39</f>
        <v>0</v>
      </c>
      <c r="K23" s="291">
        <f ca="1">'Cash sweep &amp; dividend offshore'!K39</f>
        <v>0</v>
      </c>
      <c r="L23" s="291">
        <f ca="1">'Cash sweep &amp; dividend offshore'!L39</f>
        <v>0</v>
      </c>
      <c r="M23" s="291">
        <f ca="1">'Cash sweep &amp; dividend offshore'!M39</f>
        <v>0</v>
      </c>
      <c r="N23" s="291">
        <f ca="1">'Cash sweep &amp; dividend offshore'!N39</f>
        <v>0</v>
      </c>
      <c r="O23" s="291">
        <f ca="1">'Cash sweep &amp; dividend offshore'!O39</f>
        <v>0</v>
      </c>
      <c r="P23" s="291">
        <f ca="1">'Cash sweep &amp; dividend offshore'!P39</f>
        <v>0</v>
      </c>
      <c r="Q23" s="291">
        <f ca="1">'Cash sweep &amp; dividend offshore'!Q39</f>
        <v>0</v>
      </c>
      <c r="R23" s="291">
        <f ca="1">'Cash sweep &amp; dividend offshore'!R39</f>
        <v>0</v>
      </c>
      <c r="S23" s="291">
        <f ca="1">'Cash sweep &amp; dividend offshore'!S39</f>
        <v>0</v>
      </c>
      <c r="T23" s="291">
        <f ca="1">'Cash sweep &amp; dividend offshore'!T39</f>
        <v>0</v>
      </c>
      <c r="U23" s="291">
        <f ca="1">'Cash sweep &amp; dividend offshore'!U39</f>
        <v>0</v>
      </c>
      <c r="V23" s="291">
        <f ca="1">'Cash sweep &amp; dividend offshore'!V39</f>
        <v>0</v>
      </c>
      <c r="W23" s="291">
        <f ca="1">'Cash sweep &amp; dividend offshore'!W39</f>
        <v>0</v>
      </c>
      <c r="X23" s="291">
        <f ca="1">'Cash sweep &amp; dividend offshore'!X39</f>
        <v>0</v>
      </c>
      <c r="Y23" s="291">
        <f ca="1">'Cash sweep &amp; dividend offshore'!Y39</f>
        <v>0</v>
      </c>
      <c r="Z23" s="291">
        <f ca="1">'Cash sweep &amp; dividend offshore'!Z39</f>
        <v>0</v>
      </c>
      <c r="AA23" s="291">
        <f ca="1">'Cash sweep &amp; dividend offshore'!AA39</f>
        <v>0</v>
      </c>
      <c r="AB23" s="291">
        <f ca="1">'Cash sweep &amp; dividend offshore'!AB39</f>
        <v>0</v>
      </c>
      <c r="AC23" s="291">
        <f ca="1">'Cash sweep &amp; dividend offshore'!AC39</f>
        <v>0</v>
      </c>
      <c r="AD23" s="291">
        <f ca="1">'Cash sweep &amp; dividend offshore'!AD39</f>
        <v>0</v>
      </c>
      <c r="AE23" s="291">
        <f ca="1">'Cash sweep &amp; dividend offshore'!AE39</f>
        <v>0</v>
      </c>
      <c r="AF23" s="291">
        <f ca="1">'Cash sweep &amp; dividend offshore'!AF39</f>
        <v>0</v>
      </c>
      <c r="AG23" s="291">
        <f ca="1">'Cash sweep &amp; dividend offshore'!AG39</f>
        <v>0</v>
      </c>
    </row>
    <row r="24" spans="3:33">
      <c r="C24" s="295" t="s">
        <v>729</v>
      </c>
      <c r="D24" s="291">
        <f>-D17*(D18+D19)/4</f>
        <v>0</v>
      </c>
      <c r="E24" s="291">
        <f t="shared" ref="E24:AB24" si="32">-E17*(E18+E19)/4</f>
        <v>0</v>
      </c>
      <c r="F24" s="291">
        <f t="shared" ca="1" si="32"/>
        <v>0</v>
      </c>
      <c r="G24" s="291">
        <f t="shared" ca="1" si="32"/>
        <v>0</v>
      </c>
      <c r="H24" s="291">
        <f t="shared" ca="1" si="32"/>
        <v>0</v>
      </c>
      <c r="I24" s="291">
        <f t="shared" ca="1" si="32"/>
        <v>0</v>
      </c>
      <c r="J24" s="291">
        <f t="shared" ca="1" si="32"/>
        <v>0</v>
      </c>
      <c r="K24" s="291">
        <f t="shared" ca="1" si="32"/>
        <v>0</v>
      </c>
      <c r="L24" s="291">
        <f t="shared" ca="1" si="32"/>
        <v>0</v>
      </c>
      <c r="M24" s="291">
        <f t="shared" ca="1" si="32"/>
        <v>0</v>
      </c>
      <c r="N24" s="291">
        <f t="shared" ca="1" si="32"/>
        <v>0</v>
      </c>
      <c r="O24" s="291">
        <f t="shared" ca="1" si="32"/>
        <v>0</v>
      </c>
      <c r="P24" s="291">
        <f t="shared" ca="1" si="32"/>
        <v>0</v>
      </c>
      <c r="Q24" s="291">
        <f t="shared" ca="1" si="32"/>
        <v>0</v>
      </c>
      <c r="R24" s="291">
        <f t="shared" ca="1" si="32"/>
        <v>0</v>
      </c>
      <c r="S24" s="291">
        <f t="shared" ca="1" si="32"/>
        <v>0</v>
      </c>
      <c r="T24" s="291">
        <f t="shared" ca="1" si="32"/>
        <v>0</v>
      </c>
      <c r="U24" s="291">
        <f t="shared" ca="1" si="32"/>
        <v>0</v>
      </c>
      <c r="V24" s="291">
        <f t="shared" ca="1" si="32"/>
        <v>0</v>
      </c>
      <c r="W24" s="291">
        <f t="shared" ca="1" si="32"/>
        <v>0</v>
      </c>
      <c r="X24" s="291">
        <f t="shared" ca="1" si="32"/>
        <v>0</v>
      </c>
      <c r="Y24" s="291">
        <f t="shared" ca="1" si="32"/>
        <v>0</v>
      </c>
      <c r="Z24" s="291">
        <f t="shared" ca="1" si="32"/>
        <v>0</v>
      </c>
      <c r="AA24" s="291">
        <f t="shared" ca="1" si="32"/>
        <v>0</v>
      </c>
      <c r="AB24" s="291">
        <f t="shared" ca="1" si="32"/>
        <v>0</v>
      </c>
      <c r="AC24" s="291">
        <f t="shared" ref="AC24:AF24" ca="1" si="33">-AC17*(AC18+AC19)/4</f>
        <v>0</v>
      </c>
      <c r="AD24" s="291">
        <f t="shared" ca="1" si="33"/>
        <v>0</v>
      </c>
      <c r="AE24" s="291">
        <f t="shared" ca="1" si="33"/>
        <v>0</v>
      </c>
      <c r="AF24" s="291">
        <f t="shared" ca="1" si="33"/>
        <v>0</v>
      </c>
      <c r="AG24" s="291">
        <f t="shared" ref="AG24" ca="1" si="34">-AG17*(AG18+AG19)/4</f>
        <v>0</v>
      </c>
    </row>
    <row r="25" spans="3:33">
      <c r="C25" s="195" t="s">
        <v>1040</v>
      </c>
      <c r="D25" s="195">
        <f>SUM(D18:D24)</f>
        <v>0</v>
      </c>
      <c r="E25" s="195">
        <f ca="1">SUM(E18:E24)</f>
        <v>0</v>
      </c>
      <c r="F25" s="195">
        <f t="shared" ref="F25:AB25" ca="1" si="35">SUM(F18:F24)</f>
        <v>0</v>
      </c>
      <c r="G25" s="195">
        <f t="shared" ca="1" si="35"/>
        <v>0</v>
      </c>
      <c r="H25" s="195">
        <f t="shared" ca="1" si="35"/>
        <v>0</v>
      </c>
      <c r="I25" s="195">
        <f t="shared" ca="1" si="35"/>
        <v>0</v>
      </c>
      <c r="J25" s="195">
        <f t="shared" ca="1" si="35"/>
        <v>0</v>
      </c>
      <c r="K25" s="195">
        <f t="shared" ca="1" si="35"/>
        <v>0</v>
      </c>
      <c r="L25" s="195">
        <f t="shared" ca="1" si="35"/>
        <v>0</v>
      </c>
      <c r="M25" s="195">
        <f t="shared" ca="1" si="35"/>
        <v>0</v>
      </c>
      <c r="N25" s="195">
        <f t="shared" ca="1" si="35"/>
        <v>0</v>
      </c>
      <c r="O25" s="195">
        <f t="shared" ca="1" si="35"/>
        <v>0</v>
      </c>
      <c r="P25" s="195">
        <f t="shared" ca="1" si="35"/>
        <v>0</v>
      </c>
      <c r="Q25" s="195">
        <f t="shared" ca="1" si="35"/>
        <v>0</v>
      </c>
      <c r="R25" s="195">
        <f t="shared" ca="1" si="35"/>
        <v>0</v>
      </c>
      <c r="S25" s="195">
        <f t="shared" ca="1" si="35"/>
        <v>0</v>
      </c>
      <c r="T25" s="195">
        <f t="shared" ca="1" si="35"/>
        <v>0</v>
      </c>
      <c r="U25" s="195">
        <f t="shared" ca="1" si="35"/>
        <v>0</v>
      </c>
      <c r="V25" s="195">
        <f t="shared" ca="1" si="35"/>
        <v>0</v>
      </c>
      <c r="W25" s="195">
        <f t="shared" ca="1" si="35"/>
        <v>0</v>
      </c>
      <c r="X25" s="195">
        <f t="shared" ca="1" si="35"/>
        <v>0</v>
      </c>
      <c r="Y25" s="195">
        <f t="shared" ca="1" si="35"/>
        <v>0</v>
      </c>
      <c r="Z25" s="195">
        <f t="shared" ca="1" si="35"/>
        <v>0</v>
      </c>
      <c r="AA25" s="195">
        <f t="shared" ca="1" si="35"/>
        <v>0</v>
      </c>
      <c r="AB25" s="195">
        <f t="shared" ca="1" si="35"/>
        <v>0</v>
      </c>
      <c r="AC25" s="195">
        <f t="shared" ref="AC25:AF25" ca="1" si="36">SUM(AC18:AC24)</f>
        <v>0</v>
      </c>
      <c r="AD25" s="195">
        <f t="shared" ca="1" si="36"/>
        <v>0</v>
      </c>
      <c r="AE25" s="195">
        <f t="shared" ca="1" si="36"/>
        <v>0</v>
      </c>
      <c r="AF25" s="195">
        <f t="shared" ca="1" si="36"/>
        <v>0</v>
      </c>
      <c r="AG25" s="195">
        <f t="shared" ref="AG25" ca="1" si="37">SUM(AG18:AG24)</f>
        <v>0</v>
      </c>
    </row>
    <row r="26" spans="3:33">
      <c r="C26" s="195" t="s">
        <v>1041</v>
      </c>
      <c r="D26" s="195">
        <f>+D19+SUM(D21:D24)</f>
        <v>0</v>
      </c>
      <c r="E26" s="195">
        <f t="shared" ref="E26:AB26" ca="1" si="38">+E19+SUM(E21:E24)</f>
        <v>0</v>
      </c>
      <c r="F26" s="195">
        <f t="shared" ca="1" si="38"/>
        <v>0</v>
      </c>
      <c r="G26" s="195">
        <f t="shared" ca="1" si="38"/>
        <v>0</v>
      </c>
      <c r="H26" s="195">
        <f t="shared" ca="1" si="38"/>
        <v>0</v>
      </c>
      <c r="I26" s="195">
        <f t="shared" ca="1" si="38"/>
        <v>0</v>
      </c>
      <c r="J26" s="195">
        <f t="shared" ca="1" si="38"/>
        <v>0</v>
      </c>
      <c r="K26" s="195">
        <f t="shared" ca="1" si="38"/>
        <v>0</v>
      </c>
      <c r="L26" s="195">
        <f t="shared" ca="1" si="38"/>
        <v>0</v>
      </c>
      <c r="M26" s="195">
        <f t="shared" ca="1" si="38"/>
        <v>0</v>
      </c>
      <c r="N26" s="195">
        <f t="shared" ca="1" si="38"/>
        <v>0</v>
      </c>
      <c r="O26" s="195">
        <f t="shared" ca="1" si="38"/>
        <v>0</v>
      </c>
      <c r="P26" s="195">
        <f t="shared" ca="1" si="38"/>
        <v>0</v>
      </c>
      <c r="Q26" s="195">
        <f t="shared" ca="1" si="38"/>
        <v>0</v>
      </c>
      <c r="R26" s="195">
        <f t="shared" ca="1" si="38"/>
        <v>0</v>
      </c>
      <c r="S26" s="195">
        <f t="shared" ca="1" si="38"/>
        <v>0</v>
      </c>
      <c r="T26" s="195">
        <f t="shared" ca="1" si="38"/>
        <v>0</v>
      </c>
      <c r="U26" s="195">
        <f t="shared" ca="1" si="38"/>
        <v>0</v>
      </c>
      <c r="V26" s="195">
        <f t="shared" ca="1" si="38"/>
        <v>0</v>
      </c>
      <c r="W26" s="195">
        <f t="shared" ca="1" si="38"/>
        <v>0</v>
      </c>
      <c r="X26" s="195">
        <f t="shared" ca="1" si="38"/>
        <v>0</v>
      </c>
      <c r="Y26" s="195">
        <f t="shared" ca="1" si="38"/>
        <v>0</v>
      </c>
      <c r="Z26" s="195">
        <f t="shared" ca="1" si="38"/>
        <v>0</v>
      </c>
      <c r="AA26" s="195">
        <f t="shared" ca="1" si="38"/>
        <v>0</v>
      </c>
      <c r="AB26" s="195">
        <f t="shared" ca="1" si="38"/>
        <v>0</v>
      </c>
      <c r="AC26" s="195">
        <f t="shared" ref="AC26:AF26" ca="1" si="39">+AC19+SUM(AC21:AC24)</f>
        <v>0</v>
      </c>
      <c r="AD26" s="195">
        <f t="shared" ca="1" si="39"/>
        <v>0</v>
      </c>
      <c r="AE26" s="195">
        <f t="shared" ca="1" si="39"/>
        <v>0</v>
      </c>
      <c r="AF26" s="195">
        <f t="shared" ca="1" si="39"/>
        <v>0</v>
      </c>
      <c r="AG26" s="195">
        <f t="shared" ref="AG26" ca="1" si="40">+AG19+SUM(AG21:AG24)</f>
        <v>0</v>
      </c>
    </row>
    <row r="27" spans="3:33"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</row>
    <row r="28" spans="3:33">
      <c r="C28" s="209" t="s">
        <v>737</v>
      </c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09"/>
      <c r="AC28" s="209"/>
      <c r="AD28" s="209"/>
      <c r="AE28" s="209"/>
      <c r="AF28" s="209"/>
      <c r="AG28" s="209"/>
    </row>
    <row r="29" spans="3:33">
      <c r="C29" s="183" t="s">
        <v>739</v>
      </c>
      <c r="D29" s="183">
        <f>'Financing assumptions offshore'!M27</f>
        <v>5.6600000000000004E-2</v>
      </c>
      <c r="E29" s="183">
        <f>'Financing assumptions offshore'!N27</f>
        <v>5.6600000000000004E-2</v>
      </c>
      <c r="F29" s="183">
        <f>'Financing assumptions offshore'!O27</f>
        <v>5.6600000000000004E-2</v>
      </c>
      <c r="G29" s="183">
        <f>'Financing assumptions offshore'!P27</f>
        <v>5.6600000000000004E-2</v>
      </c>
      <c r="H29" s="183">
        <f ca="1">'Financing assumptions offshore'!Q27</f>
        <v>5.6600000000000004E-2</v>
      </c>
      <c r="I29" s="183">
        <f ca="1">'Financing assumptions offshore'!R27</f>
        <v>5.6600000000000004E-2</v>
      </c>
      <c r="J29" s="183">
        <f ca="1">'Financing assumptions offshore'!S27</f>
        <v>5.6600000000000004E-2</v>
      </c>
      <c r="K29" s="183">
        <f ca="1">'Financing assumptions offshore'!T27</f>
        <v>5.6600000000000004E-2</v>
      </c>
      <c r="L29" s="183">
        <f ca="1">'Financing assumptions offshore'!U27</f>
        <v>5.6600000000000004E-2</v>
      </c>
      <c r="M29" s="183">
        <f ca="1">'Financing assumptions offshore'!V27</f>
        <v>5.6600000000000004E-2</v>
      </c>
      <c r="N29" s="183">
        <f ca="1">'Financing assumptions offshore'!W27</f>
        <v>5.6600000000000004E-2</v>
      </c>
      <c r="O29" s="183">
        <f ca="1">'Financing assumptions offshore'!X27</f>
        <v>5.6600000000000004E-2</v>
      </c>
      <c r="P29" s="183">
        <f ca="1">'Financing assumptions offshore'!Y27</f>
        <v>5.6600000000000004E-2</v>
      </c>
      <c r="Q29" s="183">
        <f ca="1">'Financing assumptions offshore'!Z27</f>
        <v>5.6600000000000004E-2</v>
      </c>
      <c r="R29" s="183">
        <f ca="1">'Financing assumptions offshore'!AA27</f>
        <v>5.6600000000000004E-2</v>
      </c>
      <c r="S29" s="183">
        <f ca="1">'Financing assumptions offshore'!AB27</f>
        <v>5.6600000000000004E-2</v>
      </c>
      <c r="T29" s="183">
        <f ca="1">'Financing assumptions offshore'!AC27</f>
        <v>5.6600000000000004E-2</v>
      </c>
      <c r="U29" s="183">
        <f ca="1">'Financing assumptions offshore'!AD27</f>
        <v>5.6600000000000004E-2</v>
      </c>
      <c r="V29" s="183">
        <f ca="1">'Financing assumptions offshore'!AE27</f>
        <v>5.6600000000000004E-2</v>
      </c>
      <c r="W29" s="183">
        <f ca="1">'Financing assumptions offshore'!AF27</f>
        <v>5.6600000000000004E-2</v>
      </c>
      <c r="X29" s="183">
        <f ca="1">'Financing assumptions offshore'!AG27</f>
        <v>5.6600000000000004E-2</v>
      </c>
      <c r="Y29" s="183">
        <f ca="1">'Financing assumptions offshore'!AH27</f>
        <v>5.6600000000000004E-2</v>
      </c>
      <c r="Z29" s="183">
        <f ca="1">'Financing assumptions offshore'!AI27</f>
        <v>5.6600000000000004E-2</v>
      </c>
      <c r="AA29" s="183">
        <f ca="1">'Financing assumptions offshore'!AJ27</f>
        <v>5.6600000000000004E-2</v>
      </c>
      <c r="AB29" s="183">
        <f ca="1">'Financing assumptions offshore'!AK27</f>
        <v>5.6600000000000004E-2</v>
      </c>
      <c r="AC29" s="183">
        <f ca="1">'Financing assumptions offshore'!AL27</f>
        <v>5.6600000000000004E-2</v>
      </c>
      <c r="AD29" s="183">
        <f ca="1">'Financing assumptions offshore'!AM27</f>
        <v>5.6600000000000004E-2</v>
      </c>
      <c r="AE29" s="183">
        <f ca="1">'Financing assumptions offshore'!AN27</f>
        <v>5.6600000000000004E-2</v>
      </c>
      <c r="AF29" s="183">
        <f ca="1">'Financing assumptions offshore'!AO27</f>
        <v>5.6600000000000004E-2</v>
      </c>
      <c r="AG29" s="183">
        <f>'Financing assumptions offshore'!AP27</f>
        <v>0</v>
      </c>
    </row>
    <row r="30" spans="3:33">
      <c r="C30" s="183" t="s">
        <v>741</v>
      </c>
      <c r="D30" s="183">
        <f>D29-'Financing assumptions offshore'!$F$28/10000</f>
        <v>5.6600000000000004E-2</v>
      </c>
      <c r="E30" s="183">
        <f>E29-'Financing assumptions offshore'!$F$28/10000</f>
        <v>5.6600000000000004E-2</v>
      </c>
      <c r="F30" s="183">
        <f>F29-'Financing assumptions offshore'!$F$28/10000</f>
        <v>5.6600000000000004E-2</v>
      </c>
      <c r="G30" s="183">
        <f>G29-'Financing assumptions offshore'!$F$28/10000</f>
        <v>5.6600000000000004E-2</v>
      </c>
      <c r="H30" s="183">
        <f ca="1">H29-'Financing assumptions offshore'!$F$28/10000</f>
        <v>5.6600000000000004E-2</v>
      </c>
      <c r="I30" s="183">
        <f ca="1">I29-'Financing assumptions offshore'!$F$28/10000</f>
        <v>5.6600000000000004E-2</v>
      </c>
      <c r="J30" s="183">
        <f ca="1">J29-'Financing assumptions offshore'!$F$28/10000</f>
        <v>5.6600000000000004E-2</v>
      </c>
      <c r="K30" s="183">
        <f ca="1">K29-'Financing assumptions offshore'!$F$28/10000</f>
        <v>5.6600000000000004E-2</v>
      </c>
      <c r="L30" s="183">
        <f ca="1">L29-'Financing assumptions offshore'!$F$28/10000</f>
        <v>5.6600000000000004E-2</v>
      </c>
      <c r="M30" s="183">
        <f ca="1">M29-'Financing assumptions offshore'!$F$28/10000</f>
        <v>5.6600000000000004E-2</v>
      </c>
      <c r="N30" s="183">
        <f ca="1">N29-'Financing assumptions offshore'!$F$28/10000</f>
        <v>5.6600000000000004E-2</v>
      </c>
      <c r="O30" s="183">
        <f ca="1">O29-'Financing assumptions offshore'!$F$28/10000</f>
        <v>5.6600000000000004E-2</v>
      </c>
      <c r="P30" s="183">
        <f ca="1">P29-'Financing assumptions offshore'!$F$28/10000</f>
        <v>5.6600000000000004E-2</v>
      </c>
      <c r="Q30" s="183">
        <f ca="1">Q29-'Financing assumptions offshore'!$F$28/10000</f>
        <v>5.6600000000000004E-2</v>
      </c>
      <c r="R30" s="183">
        <f ca="1">R29-'Financing assumptions offshore'!$F$28/10000</f>
        <v>5.6600000000000004E-2</v>
      </c>
      <c r="S30" s="183">
        <f ca="1">S29-'Financing assumptions offshore'!$F$28/10000</f>
        <v>5.6600000000000004E-2</v>
      </c>
      <c r="T30" s="183">
        <f ca="1">T29-'Financing assumptions offshore'!$F$28/10000</f>
        <v>5.6600000000000004E-2</v>
      </c>
      <c r="U30" s="183">
        <f ca="1">U29-'Financing assumptions offshore'!$F$28/10000</f>
        <v>5.6600000000000004E-2</v>
      </c>
      <c r="V30" s="183">
        <f ca="1">V29-'Financing assumptions offshore'!$F$28/10000</f>
        <v>5.6600000000000004E-2</v>
      </c>
      <c r="W30" s="183">
        <f ca="1">W29-'Financing assumptions offshore'!$F$28/10000</f>
        <v>5.6600000000000004E-2</v>
      </c>
      <c r="X30" s="183">
        <f ca="1">X29-'Financing assumptions offshore'!$F$28/10000</f>
        <v>5.6600000000000004E-2</v>
      </c>
      <c r="Y30" s="183">
        <f ca="1">Y29-'Financing assumptions offshore'!$F$28/10000</f>
        <v>5.6600000000000004E-2</v>
      </c>
      <c r="Z30" s="183">
        <f ca="1">Z29-'Financing assumptions offshore'!$F$28/10000</f>
        <v>5.6600000000000004E-2</v>
      </c>
      <c r="AA30" s="183">
        <f ca="1">AA29-'Financing assumptions offshore'!$F$28/10000</f>
        <v>5.6600000000000004E-2</v>
      </c>
      <c r="AB30" s="183">
        <f ca="1">AB29-'Financing assumptions offshore'!$F$28/10000</f>
        <v>5.6600000000000004E-2</v>
      </c>
      <c r="AC30" s="183">
        <f ca="1">AC29-'Financing assumptions offshore'!$F$28/10000</f>
        <v>5.6600000000000004E-2</v>
      </c>
      <c r="AD30" s="183">
        <f ca="1">AD29-'Financing assumptions offshore'!$F$28/10000</f>
        <v>5.6600000000000004E-2</v>
      </c>
      <c r="AE30" s="183">
        <f ca="1">AE29-'Financing assumptions offshore'!$F$28/10000</f>
        <v>5.6600000000000004E-2</v>
      </c>
      <c r="AF30" s="183">
        <f ca="1">AF29-'Financing assumptions offshore'!$F$28/10000</f>
        <v>5.6600000000000004E-2</v>
      </c>
      <c r="AG30" s="183">
        <f>AG29-'Financing assumptions offshore'!$F$28/10000</f>
        <v>0</v>
      </c>
    </row>
    <row r="31" spans="3:33">
      <c r="C31" s="180" t="s">
        <v>730</v>
      </c>
      <c r="D31" s="180">
        <v>0</v>
      </c>
      <c r="E31" s="180">
        <f>D38</f>
        <v>0</v>
      </c>
      <c r="F31" s="180">
        <f t="shared" ref="F31:AB31" ca="1" si="41">E38</f>
        <v>0</v>
      </c>
      <c r="G31" s="180">
        <f t="shared" ca="1" si="41"/>
        <v>0</v>
      </c>
      <c r="H31" s="180">
        <f t="shared" ca="1" si="41"/>
        <v>0</v>
      </c>
      <c r="I31" s="180">
        <f t="shared" ca="1" si="41"/>
        <v>0</v>
      </c>
      <c r="J31" s="180">
        <f t="shared" ca="1" si="41"/>
        <v>0</v>
      </c>
      <c r="K31" s="180">
        <f t="shared" ca="1" si="41"/>
        <v>0</v>
      </c>
      <c r="L31" s="180">
        <f t="shared" ca="1" si="41"/>
        <v>0</v>
      </c>
      <c r="M31" s="180">
        <f t="shared" ca="1" si="41"/>
        <v>0</v>
      </c>
      <c r="N31" s="180">
        <f t="shared" ca="1" si="41"/>
        <v>0</v>
      </c>
      <c r="O31" s="180">
        <f t="shared" ca="1" si="41"/>
        <v>0</v>
      </c>
      <c r="P31" s="180">
        <f t="shared" ca="1" si="41"/>
        <v>0</v>
      </c>
      <c r="Q31" s="180">
        <f t="shared" ca="1" si="41"/>
        <v>0</v>
      </c>
      <c r="R31" s="180">
        <f t="shared" ca="1" si="41"/>
        <v>0</v>
      </c>
      <c r="S31" s="180">
        <f t="shared" ca="1" si="41"/>
        <v>0</v>
      </c>
      <c r="T31" s="180">
        <f t="shared" ca="1" si="41"/>
        <v>0</v>
      </c>
      <c r="U31" s="180">
        <f t="shared" ca="1" si="41"/>
        <v>0</v>
      </c>
      <c r="V31" s="180">
        <f t="shared" ca="1" si="41"/>
        <v>0</v>
      </c>
      <c r="W31" s="180">
        <f t="shared" ca="1" si="41"/>
        <v>0</v>
      </c>
      <c r="X31" s="180">
        <f t="shared" ca="1" si="41"/>
        <v>0</v>
      </c>
      <c r="Y31" s="180">
        <f t="shared" ca="1" si="41"/>
        <v>0</v>
      </c>
      <c r="Z31" s="180">
        <f t="shared" ca="1" si="41"/>
        <v>0</v>
      </c>
      <c r="AA31" s="180">
        <f t="shared" ca="1" si="41"/>
        <v>0</v>
      </c>
      <c r="AB31" s="180">
        <f t="shared" ca="1" si="41"/>
        <v>0</v>
      </c>
      <c r="AC31" s="180">
        <f t="shared" ref="AC31" ca="1" si="42">AB38</f>
        <v>0</v>
      </c>
      <c r="AD31" s="180">
        <f t="shared" ref="AD31" ca="1" si="43">AC38</f>
        <v>0</v>
      </c>
      <c r="AE31" s="180">
        <f t="shared" ref="AE31" ca="1" si="44">AD38</f>
        <v>0</v>
      </c>
      <c r="AF31" s="180">
        <f t="shared" ref="AF31:AG31" ca="1" si="45">AE38</f>
        <v>0</v>
      </c>
      <c r="AG31" s="180">
        <f t="shared" ca="1" si="45"/>
        <v>0</v>
      </c>
    </row>
    <row r="32" spans="3:33">
      <c r="C32" s="295" t="s">
        <v>725</v>
      </c>
      <c r="D32" s="291">
        <f>'Financing assumptions offshore'!F24*1000</f>
        <v>0</v>
      </c>
      <c r="E32" s="291">
        <v>0</v>
      </c>
      <c r="F32" s="291">
        <v>0</v>
      </c>
      <c r="G32" s="291">
        <v>0</v>
      </c>
      <c r="H32" s="291">
        <v>0</v>
      </c>
      <c r="I32" s="291">
        <v>0</v>
      </c>
      <c r="J32" s="291">
        <v>0</v>
      </c>
      <c r="K32" s="291">
        <v>0</v>
      </c>
      <c r="L32" s="291">
        <v>0</v>
      </c>
      <c r="M32" s="291">
        <v>0</v>
      </c>
      <c r="N32" s="291">
        <v>0</v>
      </c>
      <c r="O32" s="291">
        <v>0</v>
      </c>
      <c r="P32" s="291">
        <v>0</v>
      </c>
      <c r="Q32" s="291">
        <v>0</v>
      </c>
      <c r="R32" s="291">
        <v>0</v>
      </c>
      <c r="S32" s="291">
        <v>0</v>
      </c>
      <c r="T32" s="291">
        <v>0</v>
      </c>
      <c r="U32" s="291">
        <v>0</v>
      </c>
      <c r="V32" s="291">
        <v>0</v>
      </c>
      <c r="W32" s="291">
        <v>0</v>
      </c>
      <c r="X32" s="291">
        <v>0</v>
      </c>
      <c r="Y32" s="291">
        <v>0</v>
      </c>
      <c r="Z32" s="291">
        <v>0</v>
      </c>
      <c r="AA32" s="291">
        <v>0</v>
      </c>
      <c r="AB32" s="291">
        <v>0</v>
      </c>
      <c r="AC32" s="291">
        <v>0</v>
      </c>
      <c r="AD32" s="291">
        <v>0</v>
      </c>
      <c r="AE32" s="291">
        <v>0</v>
      </c>
      <c r="AF32" s="291">
        <v>0</v>
      </c>
      <c r="AG32" s="291">
        <v>0</v>
      </c>
    </row>
    <row r="33" spans="3:33">
      <c r="C33" s="295" t="s">
        <v>726</v>
      </c>
      <c r="D33" s="291">
        <f>(D31+D32)*D29/4</f>
        <v>0</v>
      </c>
      <c r="E33" s="291">
        <f t="shared" ref="E33:AB33" si="46">(E31+E32)*E29/4</f>
        <v>0</v>
      </c>
      <c r="F33" s="291">
        <f t="shared" ca="1" si="46"/>
        <v>0</v>
      </c>
      <c r="G33" s="291">
        <f t="shared" ca="1" si="46"/>
        <v>0</v>
      </c>
      <c r="H33" s="291">
        <f t="shared" ca="1" si="46"/>
        <v>0</v>
      </c>
      <c r="I33" s="291">
        <f t="shared" ca="1" si="46"/>
        <v>0</v>
      </c>
      <c r="J33" s="291">
        <f t="shared" ca="1" si="46"/>
        <v>0</v>
      </c>
      <c r="K33" s="291">
        <f t="shared" ca="1" si="46"/>
        <v>0</v>
      </c>
      <c r="L33" s="291">
        <f t="shared" ca="1" si="46"/>
        <v>0</v>
      </c>
      <c r="M33" s="291">
        <f t="shared" ca="1" si="46"/>
        <v>0</v>
      </c>
      <c r="N33" s="291">
        <f t="shared" ca="1" si="46"/>
        <v>0</v>
      </c>
      <c r="O33" s="291">
        <f t="shared" ca="1" si="46"/>
        <v>0</v>
      </c>
      <c r="P33" s="291">
        <f t="shared" ca="1" si="46"/>
        <v>0</v>
      </c>
      <c r="Q33" s="291">
        <f t="shared" ca="1" si="46"/>
        <v>0</v>
      </c>
      <c r="R33" s="291">
        <f t="shared" ca="1" si="46"/>
        <v>0</v>
      </c>
      <c r="S33" s="291">
        <f t="shared" ca="1" si="46"/>
        <v>0</v>
      </c>
      <c r="T33" s="291">
        <f t="shared" ca="1" si="46"/>
        <v>0</v>
      </c>
      <c r="U33" s="291">
        <f t="shared" ca="1" si="46"/>
        <v>0</v>
      </c>
      <c r="V33" s="291">
        <f t="shared" ca="1" si="46"/>
        <v>0</v>
      </c>
      <c r="W33" s="291">
        <f t="shared" ca="1" si="46"/>
        <v>0</v>
      </c>
      <c r="X33" s="291">
        <f t="shared" ca="1" si="46"/>
        <v>0</v>
      </c>
      <c r="Y33" s="291">
        <f t="shared" ca="1" si="46"/>
        <v>0</v>
      </c>
      <c r="Z33" s="291">
        <f t="shared" ca="1" si="46"/>
        <v>0</v>
      </c>
      <c r="AA33" s="291">
        <f t="shared" ca="1" si="46"/>
        <v>0</v>
      </c>
      <c r="AB33" s="291">
        <f t="shared" ca="1" si="46"/>
        <v>0</v>
      </c>
      <c r="AC33" s="291">
        <f t="shared" ref="AC33:AF33" ca="1" si="47">(AC31+AC32)*AC29/4</f>
        <v>0</v>
      </c>
      <c r="AD33" s="291">
        <f t="shared" ca="1" si="47"/>
        <v>0</v>
      </c>
      <c r="AE33" s="291">
        <f t="shared" ca="1" si="47"/>
        <v>0</v>
      </c>
      <c r="AF33" s="291">
        <f t="shared" ca="1" si="47"/>
        <v>0</v>
      </c>
      <c r="AG33" s="291">
        <f t="shared" ref="AG33" ca="1" si="48">(AG31+AG32)*AG29/4</f>
        <v>0</v>
      </c>
    </row>
    <row r="34" spans="3:33">
      <c r="C34" s="295" t="s">
        <v>727</v>
      </c>
      <c r="D34" s="291">
        <f>MAX(+'Financing assumptions offshore'!M24*1000,-(D31+D32))</f>
        <v>0</v>
      </c>
      <c r="E34" s="291">
        <f>MAX(+'Financing assumptions offshore'!N24*1000,-(E31+E32))</f>
        <v>0</v>
      </c>
      <c r="F34" s="291">
        <f ca="1">MAX(+'Financing assumptions offshore'!O24*1000,-(F31+F32))</f>
        <v>0</v>
      </c>
      <c r="G34" s="291">
        <f ca="1">MAX(+'Financing assumptions offshore'!P24*1000,-(G31+G32))</f>
        <v>0</v>
      </c>
      <c r="H34" s="291">
        <f ca="1">MAX(+'Financing assumptions offshore'!Q24*1000,-(H31+H32))</f>
        <v>0</v>
      </c>
      <c r="I34" s="291">
        <f ca="1">MAX(+'Financing assumptions offshore'!R24*1000,-(I31+I32))</f>
        <v>0</v>
      </c>
      <c r="J34" s="291">
        <f ca="1">MAX(+'Financing assumptions offshore'!S24*1000,-(J31+J32))</f>
        <v>0</v>
      </c>
      <c r="K34" s="291">
        <f ca="1">MAX(+'Financing assumptions offshore'!T24*1000,-(K31+K32))</f>
        <v>0</v>
      </c>
      <c r="L34" s="291">
        <f ca="1">MAX(+'Financing assumptions offshore'!U24*1000,-(L31+L32))</f>
        <v>0</v>
      </c>
      <c r="M34" s="291">
        <f ca="1">MAX(+'Financing assumptions offshore'!V24*1000,-(M31+M32))</f>
        <v>0</v>
      </c>
      <c r="N34" s="291">
        <f ca="1">MAX(+'Financing assumptions offshore'!W24*1000,-(N31+N32))</f>
        <v>0</v>
      </c>
      <c r="O34" s="291">
        <f ca="1">MAX(+'Financing assumptions offshore'!X24*1000,-(O31+O32))</f>
        <v>0</v>
      </c>
      <c r="P34" s="291">
        <f ca="1">MAX(+'Financing assumptions offshore'!Y24*1000,-(P31+P32))</f>
        <v>0</v>
      </c>
      <c r="Q34" s="291">
        <f ca="1">MAX(+'Financing assumptions offshore'!Z24*1000,-(Q31+Q32))</f>
        <v>0</v>
      </c>
      <c r="R34" s="291">
        <f ca="1">MAX(+'Financing assumptions offshore'!AA24*1000,-(R31+R32))</f>
        <v>0</v>
      </c>
      <c r="S34" s="291">
        <f ca="1">MAX(+'Financing assumptions offshore'!AB24*1000,-(S31+S32))</f>
        <v>0</v>
      </c>
      <c r="T34" s="291">
        <f ca="1">MAX(+'Financing assumptions offshore'!AC24*1000,-(T31+T32))</f>
        <v>0</v>
      </c>
      <c r="U34" s="291">
        <f ca="1">MAX(+'Financing assumptions offshore'!AD24*1000,-(U31+U32))</f>
        <v>0</v>
      </c>
      <c r="V34" s="291">
        <f ca="1">MAX(+'Financing assumptions offshore'!AE24*1000,-(V31+V32))</f>
        <v>0</v>
      </c>
      <c r="W34" s="291">
        <f ca="1">MAX(+'Financing assumptions offshore'!AF24*1000,-(W31+W32))</f>
        <v>0</v>
      </c>
      <c r="X34" s="291">
        <f ca="1">MAX(+'Financing assumptions offshore'!AG24*1000,-(X31+X32))</f>
        <v>0</v>
      </c>
      <c r="Y34" s="291">
        <f ca="1">MAX(+'Financing assumptions offshore'!AH24*1000,-(Y31+Y32))</f>
        <v>0</v>
      </c>
      <c r="Z34" s="291">
        <f ca="1">MAX(+'Financing assumptions offshore'!AI24*1000,-(Z31+Z32))</f>
        <v>0</v>
      </c>
      <c r="AA34" s="291">
        <f ca="1">MAX(+'Financing assumptions offshore'!AJ24*1000,-(AA31+AA32))</f>
        <v>0</v>
      </c>
      <c r="AB34" s="291">
        <f ca="1">MAX(+'Financing assumptions offshore'!AK24*1000,-(AB31+AB32))</f>
        <v>0</v>
      </c>
      <c r="AC34" s="291">
        <f ca="1">MAX(+'Financing assumptions offshore'!AL24*1000,-(AC31+AC32))</f>
        <v>0</v>
      </c>
      <c r="AD34" s="291">
        <f ca="1">MAX(+'Financing assumptions offshore'!AM24*1000,-(AD31+AD32))</f>
        <v>0</v>
      </c>
      <c r="AE34" s="291">
        <f ca="1">MAX(+'Financing assumptions offshore'!AN24*1000,-(AE31+AE32))</f>
        <v>0</v>
      </c>
      <c r="AF34" s="291">
        <f ca="1">MAX(+'Financing assumptions offshore'!AO24*1000,-(AF31+AF32))</f>
        <v>0</v>
      </c>
      <c r="AG34" s="291">
        <f ca="1">MAX(+'Financing assumptions offshore'!AP24*1000,-(AG31+AG32))</f>
        <v>0</v>
      </c>
    </row>
    <row r="35" spans="3:33">
      <c r="C35" s="295" t="s">
        <v>733</v>
      </c>
      <c r="D35" s="291">
        <v>0</v>
      </c>
      <c r="E35" s="291">
        <f>IFERROR(SUM($D36:D36)/$D32*E34*Sweep_adj_repay_trigger,0)</f>
        <v>0</v>
      </c>
      <c r="F35" s="291">
        <f ca="1">IFERROR(SUM($D36:E36)/$D32*F34*Sweep_adj_repay_trigger,0)</f>
        <v>0</v>
      </c>
      <c r="G35" s="291">
        <f ca="1">IFERROR(SUM($D36:F36)/$D32*G34*Sweep_adj_repay_trigger,0)</f>
        <v>0</v>
      </c>
      <c r="H35" s="291">
        <f ca="1">IFERROR(SUM($D36:G36)/$D32*H34*Sweep_adj_repay_trigger,0)</f>
        <v>0</v>
      </c>
      <c r="I35" s="291">
        <f ca="1">IFERROR(SUM($D36:H36)/$D32*I34*Sweep_adj_repay_trigger,0)</f>
        <v>0</v>
      </c>
      <c r="J35" s="291">
        <f ca="1">IFERROR(SUM($D36:I36)/$D32*J34*Sweep_adj_repay_trigger,0)</f>
        <v>0</v>
      </c>
      <c r="K35" s="291">
        <f ca="1">IFERROR(SUM($D36:J36)/$D32*K34*Sweep_adj_repay_trigger,0)</f>
        <v>0</v>
      </c>
      <c r="L35" s="291">
        <f ca="1">IFERROR(SUM($D36:K36)/$D32*L34*Sweep_adj_repay_trigger,0)</f>
        <v>0</v>
      </c>
      <c r="M35" s="291">
        <f ca="1">IFERROR(SUM($D36:L36)/$D32*M34*Sweep_adj_repay_trigger,0)</f>
        <v>0</v>
      </c>
      <c r="N35" s="291">
        <f ca="1">IFERROR(SUM($D36:M36)/$D32*N34*Sweep_adj_repay_trigger,0)</f>
        <v>0</v>
      </c>
      <c r="O35" s="291">
        <f ca="1">IFERROR(SUM($D36:N36)/$D32*O34*Sweep_adj_repay_trigger,0)</f>
        <v>0</v>
      </c>
      <c r="P35" s="291">
        <f ca="1">IFERROR(SUM($D36:O36)/$D32*P34*Sweep_adj_repay_trigger,0)</f>
        <v>0</v>
      </c>
      <c r="Q35" s="291">
        <f ca="1">IFERROR(SUM($D36:P36)/$D32*Q34*Sweep_adj_repay_trigger,0)</f>
        <v>0</v>
      </c>
      <c r="R35" s="291">
        <f ca="1">IFERROR(SUM($D36:Q36)/$D32*R34*Sweep_adj_repay_trigger,0)</f>
        <v>0</v>
      </c>
      <c r="S35" s="291">
        <f ca="1">IFERROR(SUM($D36:R36)/$D32*S34*Sweep_adj_repay_trigger,0)</f>
        <v>0</v>
      </c>
      <c r="T35" s="291">
        <f ca="1">IFERROR(SUM($D36:S36)/$D32*T34*Sweep_adj_repay_trigger,0)</f>
        <v>0</v>
      </c>
      <c r="U35" s="291">
        <f ca="1">IFERROR(SUM($D36:T36)/$D32*U34*Sweep_adj_repay_trigger,0)</f>
        <v>0</v>
      </c>
      <c r="V35" s="291">
        <f ca="1">IFERROR(SUM($D36:U36)/$D32*V34*Sweep_adj_repay_trigger,0)</f>
        <v>0</v>
      </c>
      <c r="W35" s="291">
        <f ca="1">IFERROR(SUM($D36:V36)/$D32*W34*Sweep_adj_repay_trigger,0)</f>
        <v>0</v>
      </c>
      <c r="X35" s="291">
        <f ca="1">IFERROR(SUM($D36:W36)/$D32*X34*Sweep_adj_repay_trigger,0)</f>
        <v>0</v>
      </c>
      <c r="Y35" s="291">
        <f ca="1">IFERROR(SUM($D36:X36)/$D32*Y34*Sweep_adj_repay_trigger,0)</f>
        <v>0</v>
      </c>
      <c r="Z35" s="291">
        <f ca="1">IFERROR(SUM($D36:Y36)/$D32*Z34*Sweep_adj_repay_trigger,0)</f>
        <v>0</v>
      </c>
      <c r="AA35" s="291">
        <f ca="1">IFERROR(SUM($D36:Z36)/$D32*AA34*Sweep_adj_repay_trigger,0)</f>
        <v>0</v>
      </c>
      <c r="AB35" s="291">
        <f ca="1">IFERROR(SUM($D36:AA36)/$D32*AB34*Sweep_adj_repay_trigger,0)</f>
        <v>0</v>
      </c>
      <c r="AC35" s="291">
        <f ca="1">IFERROR(SUM($D36:AB36)/$D32*AC34*Sweep_adj_repay_trigger,0)</f>
        <v>0</v>
      </c>
      <c r="AD35" s="291">
        <f ca="1">IFERROR(SUM($D36:AC36)/$D32*AD34*Sweep_adj_repay_trigger,0)</f>
        <v>0</v>
      </c>
      <c r="AE35" s="291">
        <f ca="1">IFERROR(SUM($D36:AD36)/$D32*AE34*Sweep_adj_repay_trigger,0)</f>
        <v>0</v>
      </c>
      <c r="AF35" s="291">
        <f ca="1">IFERROR(SUM($D36:AE36)/$D32*AF34*Sweep_adj_repay_trigger,0)</f>
        <v>0</v>
      </c>
      <c r="AG35" s="291">
        <f ca="1">IFERROR(SUM($D36:AF36)/$D32*AG34*Sweep_adj_repay_trigger,0)</f>
        <v>0</v>
      </c>
    </row>
    <row r="36" spans="3:33">
      <c r="C36" s="295" t="s">
        <v>728</v>
      </c>
      <c r="D36" s="291">
        <f>'Cash sweep &amp; dividend offshore'!D41</f>
        <v>0</v>
      </c>
      <c r="E36" s="291">
        <f ca="1">'Cash sweep &amp; dividend offshore'!E41</f>
        <v>0</v>
      </c>
      <c r="F36" s="291">
        <f ca="1">'Cash sweep &amp; dividend offshore'!F41</f>
        <v>0</v>
      </c>
      <c r="G36" s="291">
        <f ca="1">'Cash sweep &amp; dividend offshore'!G41</f>
        <v>0</v>
      </c>
      <c r="H36" s="291">
        <f ca="1">'Cash sweep &amp; dividend offshore'!H41</f>
        <v>0</v>
      </c>
      <c r="I36" s="291">
        <f ca="1">'Cash sweep &amp; dividend offshore'!I41</f>
        <v>0</v>
      </c>
      <c r="J36" s="291">
        <f ca="1">'Cash sweep &amp; dividend offshore'!J41</f>
        <v>0</v>
      </c>
      <c r="K36" s="291">
        <f ca="1">'Cash sweep &amp; dividend offshore'!K41</f>
        <v>0</v>
      </c>
      <c r="L36" s="291">
        <f ca="1">'Cash sweep &amp; dividend offshore'!L41</f>
        <v>0</v>
      </c>
      <c r="M36" s="291">
        <f ca="1">'Cash sweep &amp; dividend offshore'!M41</f>
        <v>0</v>
      </c>
      <c r="N36" s="291">
        <f ca="1">'Cash sweep &amp; dividend offshore'!N41</f>
        <v>0</v>
      </c>
      <c r="O36" s="291">
        <f ca="1">'Cash sweep &amp; dividend offshore'!O41</f>
        <v>0</v>
      </c>
      <c r="P36" s="291">
        <f ca="1">'Cash sweep &amp; dividend offshore'!P41</f>
        <v>0</v>
      </c>
      <c r="Q36" s="291">
        <f ca="1">'Cash sweep &amp; dividend offshore'!Q41</f>
        <v>0</v>
      </c>
      <c r="R36" s="291">
        <f ca="1">'Cash sweep &amp; dividend offshore'!R41</f>
        <v>0</v>
      </c>
      <c r="S36" s="291">
        <f ca="1">'Cash sweep &amp; dividend offshore'!S41</f>
        <v>0</v>
      </c>
      <c r="T36" s="291">
        <f ca="1">'Cash sweep &amp; dividend offshore'!T41</f>
        <v>0</v>
      </c>
      <c r="U36" s="291">
        <f ca="1">'Cash sweep &amp; dividend offshore'!U41</f>
        <v>0</v>
      </c>
      <c r="V36" s="291">
        <f ca="1">'Cash sweep &amp; dividend offshore'!V41</f>
        <v>0</v>
      </c>
      <c r="W36" s="291">
        <f ca="1">'Cash sweep &amp; dividend offshore'!W41</f>
        <v>0</v>
      </c>
      <c r="X36" s="291">
        <f ca="1">'Cash sweep &amp; dividend offshore'!X41</f>
        <v>0</v>
      </c>
      <c r="Y36" s="291">
        <f ca="1">'Cash sweep &amp; dividend offshore'!Y41</f>
        <v>0</v>
      </c>
      <c r="Z36" s="291">
        <f ca="1">'Cash sweep &amp; dividend offshore'!Z41</f>
        <v>0</v>
      </c>
      <c r="AA36" s="291">
        <f ca="1">'Cash sweep &amp; dividend offshore'!AA41</f>
        <v>0</v>
      </c>
      <c r="AB36" s="291">
        <f ca="1">'Cash sweep &amp; dividend offshore'!AB41</f>
        <v>0</v>
      </c>
      <c r="AC36" s="291">
        <f ca="1">'Cash sweep &amp; dividend offshore'!AC41</f>
        <v>0</v>
      </c>
      <c r="AD36" s="291">
        <f ca="1">'Cash sweep &amp; dividend offshore'!AD41</f>
        <v>0</v>
      </c>
      <c r="AE36" s="291">
        <f ca="1">'Cash sweep &amp; dividend offshore'!AE41</f>
        <v>0</v>
      </c>
      <c r="AF36" s="291">
        <f ca="1">'Cash sweep &amp; dividend offshore'!AF41</f>
        <v>0</v>
      </c>
      <c r="AG36" s="291">
        <f ca="1">'Cash sweep &amp; dividend offshore'!AG41</f>
        <v>0</v>
      </c>
    </row>
    <row r="37" spans="3:33">
      <c r="C37" s="295" t="s">
        <v>729</v>
      </c>
      <c r="D37" s="291">
        <f>-D30*(D31+D32)/4</f>
        <v>0</v>
      </c>
      <c r="E37" s="291">
        <f t="shared" ref="E37:AB37" si="49">-E30*(E31+E32)/4</f>
        <v>0</v>
      </c>
      <c r="F37" s="291">
        <f t="shared" ca="1" si="49"/>
        <v>0</v>
      </c>
      <c r="G37" s="291">
        <f t="shared" ca="1" si="49"/>
        <v>0</v>
      </c>
      <c r="H37" s="291">
        <f t="shared" ca="1" si="49"/>
        <v>0</v>
      </c>
      <c r="I37" s="291">
        <f t="shared" ca="1" si="49"/>
        <v>0</v>
      </c>
      <c r="J37" s="291">
        <f t="shared" ca="1" si="49"/>
        <v>0</v>
      </c>
      <c r="K37" s="291">
        <f t="shared" ca="1" si="49"/>
        <v>0</v>
      </c>
      <c r="L37" s="291">
        <f t="shared" ca="1" si="49"/>
        <v>0</v>
      </c>
      <c r="M37" s="291">
        <f t="shared" ca="1" si="49"/>
        <v>0</v>
      </c>
      <c r="N37" s="291">
        <f t="shared" ca="1" si="49"/>
        <v>0</v>
      </c>
      <c r="O37" s="291">
        <f t="shared" ca="1" si="49"/>
        <v>0</v>
      </c>
      <c r="P37" s="291">
        <f t="shared" ca="1" si="49"/>
        <v>0</v>
      </c>
      <c r="Q37" s="291">
        <f t="shared" ca="1" si="49"/>
        <v>0</v>
      </c>
      <c r="R37" s="291">
        <f t="shared" ca="1" si="49"/>
        <v>0</v>
      </c>
      <c r="S37" s="291">
        <f t="shared" ca="1" si="49"/>
        <v>0</v>
      </c>
      <c r="T37" s="291">
        <f t="shared" ca="1" si="49"/>
        <v>0</v>
      </c>
      <c r="U37" s="291">
        <f t="shared" ca="1" si="49"/>
        <v>0</v>
      </c>
      <c r="V37" s="291">
        <f t="shared" ca="1" si="49"/>
        <v>0</v>
      </c>
      <c r="W37" s="291">
        <f t="shared" ca="1" si="49"/>
        <v>0</v>
      </c>
      <c r="X37" s="291">
        <f t="shared" ca="1" si="49"/>
        <v>0</v>
      </c>
      <c r="Y37" s="291">
        <f t="shared" ca="1" si="49"/>
        <v>0</v>
      </c>
      <c r="Z37" s="291">
        <f t="shared" ca="1" si="49"/>
        <v>0</v>
      </c>
      <c r="AA37" s="291">
        <f t="shared" ca="1" si="49"/>
        <v>0</v>
      </c>
      <c r="AB37" s="291">
        <f t="shared" ca="1" si="49"/>
        <v>0</v>
      </c>
      <c r="AC37" s="291">
        <f t="shared" ref="AC37:AF37" ca="1" si="50">-AC30*(AC31+AC32)/4</f>
        <v>0</v>
      </c>
      <c r="AD37" s="291">
        <f t="shared" ca="1" si="50"/>
        <v>0</v>
      </c>
      <c r="AE37" s="291">
        <f t="shared" ca="1" si="50"/>
        <v>0</v>
      </c>
      <c r="AF37" s="291">
        <f t="shared" ca="1" si="50"/>
        <v>0</v>
      </c>
      <c r="AG37" s="291">
        <f t="shared" ref="AG37" ca="1" si="51">-AG30*(AG31+AG32)/4</f>
        <v>0</v>
      </c>
    </row>
    <row r="38" spans="3:33">
      <c r="C38" s="195" t="s">
        <v>731</v>
      </c>
      <c r="D38" s="195">
        <f>SUM(D31:D37)</f>
        <v>0</v>
      </c>
      <c r="E38" s="195">
        <f ca="1">SUM(E31:E37)</f>
        <v>0</v>
      </c>
      <c r="F38" s="195">
        <f t="shared" ref="F38" ca="1" si="52">SUM(F31:F37)</f>
        <v>0</v>
      </c>
      <c r="G38" s="195">
        <f t="shared" ref="G38" ca="1" si="53">SUM(G31:G37)</f>
        <v>0</v>
      </c>
      <c r="H38" s="195">
        <f t="shared" ref="H38" ca="1" si="54">SUM(H31:H37)</f>
        <v>0</v>
      </c>
      <c r="I38" s="195">
        <f t="shared" ref="I38" ca="1" si="55">SUM(I31:I37)</f>
        <v>0</v>
      </c>
      <c r="J38" s="195">
        <f t="shared" ref="J38" ca="1" si="56">SUM(J31:J37)</f>
        <v>0</v>
      </c>
      <c r="K38" s="195">
        <f t="shared" ref="K38" ca="1" si="57">SUM(K31:K37)</f>
        <v>0</v>
      </c>
      <c r="L38" s="195">
        <f t="shared" ref="L38" ca="1" si="58">SUM(L31:L37)</f>
        <v>0</v>
      </c>
      <c r="M38" s="195">
        <f t="shared" ref="M38" ca="1" si="59">SUM(M31:M37)</f>
        <v>0</v>
      </c>
      <c r="N38" s="195">
        <f t="shared" ref="N38" ca="1" si="60">SUM(N31:N37)</f>
        <v>0</v>
      </c>
      <c r="O38" s="195">
        <f t="shared" ref="O38" ca="1" si="61">SUM(O31:O37)</f>
        <v>0</v>
      </c>
      <c r="P38" s="195">
        <f t="shared" ref="P38" ca="1" si="62">SUM(P31:P37)</f>
        <v>0</v>
      </c>
      <c r="Q38" s="195">
        <f t="shared" ref="Q38" ca="1" si="63">SUM(Q31:Q37)</f>
        <v>0</v>
      </c>
      <c r="R38" s="195">
        <f t="shared" ref="R38" ca="1" si="64">SUM(R31:R37)</f>
        <v>0</v>
      </c>
      <c r="S38" s="195">
        <f t="shared" ref="S38" ca="1" si="65">SUM(S31:S37)</f>
        <v>0</v>
      </c>
      <c r="T38" s="195">
        <f t="shared" ref="T38" ca="1" si="66">SUM(T31:T37)</f>
        <v>0</v>
      </c>
      <c r="U38" s="195">
        <f t="shared" ref="U38" ca="1" si="67">SUM(U31:U37)</f>
        <v>0</v>
      </c>
      <c r="V38" s="195">
        <f t="shared" ref="V38" ca="1" si="68">SUM(V31:V37)</f>
        <v>0</v>
      </c>
      <c r="W38" s="195">
        <f t="shared" ref="W38" ca="1" si="69">SUM(W31:W37)</f>
        <v>0</v>
      </c>
      <c r="X38" s="195">
        <f t="shared" ref="X38" ca="1" si="70">SUM(X31:X37)</f>
        <v>0</v>
      </c>
      <c r="Y38" s="195">
        <f t="shared" ref="Y38" ca="1" si="71">SUM(Y31:Y37)</f>
        <v>0</v>
      </c>
      <c r="Z38" s="195">
        <f t="shared" ref="Z38" ca="1" si="72">SUM(Z31:Z37)</f>
        <v>0</v>
      </c>
      <c r="AA38" s="195">
        <f t="shared" ref="AA38" ca="1" si="73">SUM(AA31:AA37)</f>
        <v>0</v>
      </c>
      <c r="AB38" s="195">
        <f t="shared" ref="AB38:AF38" ca="1" si="74">SUM(AB31:AB37)</f>
        <v>0</v>
      </c>
      <c r="AC38" s="195">
        <f t="shared" ca="1" si="74"/>
        <v>0</v>
      </c>
      <c r="AD38" s="195">
        <f t="shared" ca="1" si="74"/>
        <v>0</v>
      </c>
      <c r="AE38" s="195">
        <f t="shared" ca="1" si="74"/>
        <v>0</v>
      </c>
      <c r="AF38" s="195">
        <f t="shared" ca="1" si="74"/>
        <v>0</v>
      </c>
      <c r="AG38" s="195">
        <f t="shared" ref="AG38" ca="1" si="75">SUM(AG31:AG37)</f>
        <v>0</v>
      </c>
    </row>
    <row r="39" spans="3:33">
      <c r="C39" s="195" t="s">
        <v>751</v>
      </c>
      <c r="D39" s="195">
        <f>+D32+SUM(D34:D37)</f>
        <v>0</v>
      </c>
      <c r="E39" s="195">
        <f t="shared" ref="E39:AB39" ca="1" si="76">+E32+SUM(E34:E37)</f>
        <v>0</v>
      </c>
      <c r="F39" s="195">
        <f t="shared" ca="1" si="76"/>
        <v>0</v>
      </c>
      <c r="G39" s="195">
        <f t="shared" ca="1" si="76"/>
        <v>0</v>
      </c>
      <c r="H39" s="195">
        <f t="shared" ca="1" si="76"/>
        <v>0</v>
      </c>
      <c r="I39" s="195">
        <f t="shared" ca="1" si="76"/>
        <v>0</v>
      </c>
      <c r="J39" s="195">
        <f t="shared" ca="1" si="76"/>
        <v>0</v>
      </c>
      <c r="K39" s="195">
        <f t="shared" ca="1" si="76"/>
        <v>0</v>
      </c>
      <c r="L39" s="195">
        <f t="shared" ca="1" si="76"/>
        <v>0</v>
      </c>
      <c r="M39" s="195">
        <f t="shared" ca="1" si="76"/>
        <v>0</v>
      </c>
      <c r="N39" s="195">
        <f t="shared" ca="1" si="76"/>
        <v>0</v>
      </c>
      <c r="O39" s="195">
        <f t="shared" ca="1" si="76"/>
        <v>0</v>
      </c>
      <c r="P39" s="195">
        <f t="shared" ca="1" si="76"/>
        <v>0</v>
      </c>
      <c r="Q39" s="195">
        <f t="shared" ca="1" si="76"/>
        <v>0</v>
      </c>
      <c r="R39" s="195">
        <f t="shared" ca="1" si="76"/>
        <v>0</v>
      </c>
      <c r="S39" s="195">
        <f t="shared" ca="1" si="76"/>
        <v>0</v>
      </c>
      <c r="T39" s="195">
        <f t="shared" ca="1" si="76"/>
        <v>0</v>
      </c>
      <c r="U39" s="195">
        <f t="shared" ca="1" si="76"/>
        <v>0</v>
      </c>
      <c r="V39" s="195">
        <f t="shared" ca="1" si="76"/>
        <v>0</v>
      </c>
      <c r="W39" s="195">
        <f t="shared" ca="1" si="76"/>
        <v>0</v>
      </c>
      <c r="X39" s="195">
        <f t="shared" ca="1" si="76"/>
        <v>0</v>
      </c>
      <c r="Y39" s="195">
        <f t="shared" ca="1" si="76"/>
        <v>0</v>
      </c>
      <c r="Z39" s="195">
        <f t="shared" ca="1" si="76"/>
        <v>0</v>
      </c>
      <c r="AA39" s="195">
        <f t="shared" ca="1" si="76"/>
        <v>0</v>
      </c>
      <c r="AB39" s="195">
        <f t="shared" ca="1" si="76"/>
        <v>0</v>
      </c>
      <c r="AC39" s="195">
        <f t="shared" ref="AC39:AF39" ca="1" si="77">+AC32+SUM(AC34:AC37)</f>
        <v>0</v>
      </c>
      <c r="AD39" s="195">
        <f t="shared" ca="1" si="77"/>
        <v>0</v>
      </c>
      <c r="AE39" s="195">
        <f t="shared" ca="1" si="77"/>
        <v>0</v>
      </c>
      <c r="AF39" s="195">
        <f t="shared" ca="1" si="77"/>
        <v>0</v>
      </c>
      <c r="AG39" s="195">
        <f t="shared" ref="AG39" ca="1" si="78">+AG32+SUM(AG34:AG37)</f>
        <v>0</v>
      </c>
    </row>
    <row r="40" spans="3:33"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</row>
    <row r="41" spans="3:33">
      <c r="C41" s="209" t="s">
        <v>738</v>
      </c>
      <c r="D41" s="209"/>
      <c r="E41" s="209"/>
      <c r="F41" s="209"/>
      <c r="G41" s="209"/>
      <c r="H41" s="209"/>
      <c r="I41" s="209"/>
      <c r="J41" s="209"/>
      <c r="K41" s="209"/>
      <c r="L41" s="209"/>
      <c r="M41" s="209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09"/>
      <c r="Y41" s="209"/>
      <c r="Z41" s="209"/>
      <c r="AA41" s="209"/>
      <c r="AB41" s="209"/>
      <c r="AC41" s="209"/>
      <c r="AD41" s="209"/>
      <c r="AE41" s="209"/>
      <c r="AF41" s="209"/>
      <c r="AG41" s="209"/>
    </row>
    <row r="42" spans="3:33">
      <c r="C42" s="183" t="s">
        <v>739</v>
      </c>
      <c r="D42" s="183">
        <f>'Financing assumptions offshore'!M36</f>
        <v>5.6600000000000004E-2</v>
      </c>
      <c r="E42" s="183">
        <f>'Financing assumptions offshore'!N36</f>
        <v>5.6600000000000004E-2</v>
      </c>
      <c r="F42" s="183">
        <f>'Financing assumptions offshore'!O36</f>
        <v>5.6600000000000004E-2</v>
      </c>
      <c r="G42" s="183">
        <f>'Financing assumptions offshore'!P36</f>
        <v>5.6600000000000004E-2</v>
      </c>
      <c r="H42" s="183">
        <f ca="1">'Financing assumptions offshore'!Q36</f>
        <v>5.6600000000000004E-2</v>
      </c>
      <c r="I42" s="183">
        <f ca="1">'Financing assumptions offshore'!R36</f>
        <v>5.6600000000000004E-2</v>
      </c>
      <c r="J42" s="183">
        <f ca="1">'Financing assumptions offshore'!S36</f>
        <v>5.6600000000000004E-2</v>
      </c>
      <c r="K42" s="183">
        <f ca="1">'Financing assumptions offshore'!T36</f>
        <v>5.6600000000000004E-2</v>
      </c>
      <c r="L42" s="183">
        <f ca="1">'Financing assumptions offshore'!U36</f>
        <v>5.6600000000000004E-2</v>
      </c>
      <c r="M42" s="183">
        <f ca="1">'Financing assumptions offshore'!V36</f>
        <v>5.6600000000000004E-2</v>
      </c>
      <c r="N42" s="183">
        <f ca="1">'Financing assumptions offshore'!W36</f>
        <v>5.6600000000000004E-2</v>
      </c>
      <c r="O42" s="183">
        <f ca="1">'Financing assumptions offshore'!X36</f>
        <v>5.6600000000000004E-2</v>
      </c>
      <c r="P42" s="183">
        <f ca="1">'Financing assumptions offshore'!Y36</f>
        <v>5.6600000000000004E-2</v>
      </c>
      <c r="Q42" s="183">
        <f ca="1">'Financing assumptions offshore'!Z36</f>
        <v>5.6600000000000004E-2</v>
      </c>
      <c r="R42" s="183">
        <f ca="1">'Financing assumptions offshore'!AA36</f>
        <v>5.6600000000000004E-2</v>
      </c>
      <c r="S42" s="183">
        <f ca="1">'Financing assumptions offshore'!AB36</f>
        <v>5.6600000000000004E-2</v>
      </c>
      <c r="T42" s="183">
        <f ca="1">'Financing assumptions offshore'!AC36</f>
        <v>5.6600000000000004E-2</v>
      </c>
      <c r="U42" s="183">
        <f ca="1">'Financing assumptions offshore'!AD36</f>
        <v>5.6600000000000004E-2</v>
      </c>
      <c r="V42" s="183">
        <f ca="1">'Financing assumptions offshore'!AE36</f>
        <v>5.6600000000000004E-2</v>
      </c>
      <c r="W42" s="183">
        <f ca="1">'Financing assumptions offshore'!AF36</f>
        <v>5.6600000000000004E-2</v>
      </c>
      <c r="X42" s="183">
        <f ca="1">'Financing assumptions offshore'!AG36</f>
        <v>5.6600000000000004E-2</v>
      </c>
      <c r="Y42" s="183">
        <f ca="1">'Financing assumptions offshore'!AH36</f>
        <v>5.6600000000000004E-2</v>
      </c>
      <c r="Z42" s="183">
        <f ca="1">'Financing assumptions offshore'!AI36</f>
        <v>5.6600000000000004E-2</v>
      </c>
      <c r="AA42" s="183">
        <f ca="1">'Financing assumptions offshore'!AJ36</f>
        <v>5.6600000000000004E-2</v>
      </c>
      <c r="AB42" s="183">
        <f ca="1">'Financing assumptions offshore'!AK36</f>
        <v>5.6600000000000004E-2</v>
      </c>
      <c r="AC42" s="183">
        <f ca="1">'Financing assumptions offshore'!AL36</f>
        <v>5.6600000000000004E-2</v>
      </c>
      <c r="AD42" s="183">
        <f ca="1">'Financing assumptions offshore'!AM36</f>
        <v>5.6600000000000004E-2</v>
      </c>
      <c r="AE42" s="183">
        <f ca="1">'Financing assumptions offshore'!AN36</f>
        <v>5.6600000000000004E-2</v>
      </c>
      <c r="AF42" s="183">
        <f ca="1">'Financing assumptions offshore'!AO36</f>
        <v>5.6600000000000004E-2</v>
      </c>
      <c r="AG42" s="183">
        <f>'Financing assumptions offshore'!AP36</f>
        <v>0</v>
      </c>
    </row>
    <row r="43" spans="3:33">
      <c r="C43" s="183" t="s">
        <v>741</v>
      </c>
      <c r="D43" s="183">
        <f>D42-'Financing assumptions offshore'!$F$37/10000</f>
        <v>5.6600000000000004E-2</v>
      </c>
      <c r="E43" s="183">
        <f>E42-'Financing assumptions offshore'!$F$28/10000</f>
        <v>5.6600000000000004E-2</v>
      </c>
      <c r="F43" s="183">
        <f>F42-'Financing assumptions offshore'!$F$28/10000</f>
        <v>5.6600000000000004E-2</v>
      </c>
      <c r="G43" s="183">
        <f>G42-'Financing assumptions offshore'!$F$28/10000</f>
        <v>5.6600000000000004E-2</v>
      </c>
      <c r="H43" s="183">
        <f ca="1">H42-'Financing assumptions offshore'!$F$28/10000</f>
        <v>5.6600000000000004E-2</v>
      </c>
      <c r="I43" s="183">
        <f ca="1">I42-'Financing assumptions offshore'!$F$28/10000</f>
        <v>5.6600000000000004E-2</v>
      </c>
      <c r="J43" s="183">
        <f ca="1">J42-'Financing assumptions offshore'!$F$28/10000</f>
        <v>5.6600000000000004E-2</v>
      </c>
      <c r="K43" s="183">
        <f ca="1">K42-'Financing assumptions offshore'!$F$28/10000</f>
        <v>5.6600000000000004E-2</v>
      </c>
      <c r="L43" s="183">
        <f ca="1">L42-'Financing assumptions offshore'!$F$28/10000</f>
        <v>5.6600000000000004E-2</v>
      </c>
      <c r="M43" s="183">
        <f ca="1">M42-'Financing assumptions offshore'!$F$28/10000</f>
        <v>5.6600000000000004E-2</v>
      </c>
      <c r="N43" s="183">
        <f ca="1">N42-'Financing assumptions offshore'!$F$28/10000</f>
        <v>5.6600000000000004E-2</v>
      </c>
      <c r="O43" s="183">
        <f ca="1">O42-'Financing assumptions offshore'!$F$28/10000</f>
        <v>5.6600000000000004E-2</v>
      </c>
      <c r="P43" s="183">
        <f ca="1">P42-'Financing assumptions offshore'!$F$28/10000</f>
        <v>5.6600000000000004E-2</v>
      </c>
      <c r="Q43" s="183">
        <f ca="1">Q42-'Financing assumptions offshore'!$F$28/10000</f>
        <v>5.6600000000000004E-2</v>
      </c>
      <c r="R43" s="183">
        <f ca="1">R42-'Financing assumptions offshore'!$F$28/10000</f>
        <v>5.6600000000000004E-2</v>
      </c>
      <c r="S43" s="183">
        <f ca="1">S42-'Financing assumptions offshore'!$F$28/10000</f>
        <v>5.6600000000000004E-2</v>
      </c>
      <c r="T43" s="183">
        <f ca="1">T42-'Financing assumptions offshore'!$F$28/10000</f>
        <v>5.6600000000000004E-2</v>
      </c>
      <c r="U43" s="183">
        <f ca="1">U42-'Financing assumptions offshore'!$F$28/10000</f>
        <v>5.6600000000000004E-2</v>
      </c>
      <c r="V43" s="183">
        <f ca="1">V42-'Financing assumptions offshore'!$F$28/10000</f>
        <v>5.6600000000000004E-2</v>
      </c>
      <c r="W43" s="183">
        <f ca="1">W42-'Financing assumptions offshore'!$F$28/10000</f>
        <v>5.6600000000000004E-2</v>
      </c>
      <c r="X43" s="183">
        <f ca="1">X42-'Financing assumptions offshore'!$F$28/10000</f>
        <v>5.6600000000000004E-2</v>
      </c>
      <c r="Y43" s="183">
        <f ca="1">Y42-'Financing assumptions offshore'!$F$28/10000</f>
        <v>5.6600000000000004E-2</v>
      </c>
      <c r="Z43" s="183">
        <f ca="1">Z42-'Financing assumptions offshore'!$F$28/10000</f>
        <v>5.6600000000000004E-2</v>
      </c>
      <c r="AA43" s="183">
        <f ca="1">AA42-'Financing assumptions offshore'!$F$28/10000</f>
        <v>5.6600000000000004E-2</v>
      </c>
      <c r="AB43" s="183">
        <f ca="1">AB42-'Financing assumptions offshore'!$F$28/10000</f>
        <v>5.6600000000000004E-2</v>
      </c>
      <c r="AC43" s="183">
        <f ca="1">AC42-'Financing assumptions offshore'!$F$28/10000</f>
        <v>5.6600000000000004E-2</v>
      </c>
      <c r="AD43" s="183">
        <f ca="1">AD42-'Financing assumptions offshore'!$F$28/10000</f>
        <v>5.6600000000000004E-2</v>
      </c>
      <c r="AE43" s="183">
        <f ca="1">AE42-'Financing assumptions offshore'!$F$28/10000</f>
        <v>5.6600000000000004E-2</v>
      </c>
      <c r="AF43" s="183">
        <f ca="1">AF42-'Financing assumptions offshore'!$F$28/10000</f>
        <v>5.6600000000000004E-2</v>
      </c>
      <c r="AG43" s="183">
        <f>AG42-'Financing assumptions offshore'!$F$28/10000</f>
        <v>0</v>
      </c>
    </row>
    <row r="44" spans="3:33">
      <c r="C44" s="180" t="s">
        <v>730</v>
      </c>
      <c r="D44" s="180">
        <v>0</v>
      </c>
      <c r="E44" s="180">
        <f>D51</f>
        <v>0</v>
      </c>
      <c r="F44" s="180">
        <f t="shared" ref="F44:AB44" ca="1" si="79">E51</f>
        <v>0</v>
      </c>
      <c r="G44" s="180">
        <f t="shared" ca="1" si="79"/>
        <v>0</v>
      </c>
      <c r="H44" s="180">
        <f t="shared" ca="1" si="79"/>
        <v>0</v>
      </c>
      <c r="I44" s="180">
        <f t="shared" ca="1" si="79"/>
        <v>0</v>
      </c>
      <c r="J44" s="180">
        <f t="shared" ca="1" si="79"/>
        <v>0</v>
      </c>
      <c r="K44" s="180">
        <f t="shared" ca="1" si="79"/>
        <v>0</v>
      </c>
      <c r="L44" s="180">
        <f t="shared" ca="1" si="79"/>
        <v>0</v>
      </c>
      <c r="M44" s="180">
        <f t="shared" ca="1" si="79"/>
        <v>0</v>
      </c>
      <c r="N44" s="180">
        <f t="shared" ca="1" si="79"/>
        <v>0</v>
      </c>
      <c r="O44" s="180">
        <f t="shared" ca="1" si="79"/>
        <v>0</v>
      </c>
      <c r="P44" s="180">
        <f t="shared" ca="1" si="79"/>
        <v>0</v>
      </c>
      <c r="Q44" s="180">
        <f t="shared" ca="1" si="79"/>
        <v>0</v>
      </c>
      <c r="R44" s="180">
        <f t="shared" ca="1" si="79"/>
        <v>0</v>
      </c>
      <c r="S44" s="180">
        <f t="shared" ca="1" si="79"/>
        <v>0</v>
      </c>
      <c r="T44" s="180">
        <f t="shared" ca="1" si="79"/>
        <v>0</v>
      </c>
      <c r="U44" s="180">
        <f t="shared" ca="1" si="79"/>
        <v>0</v>
      </c>
      <c r="V44" s="180">
        <f t="shared" ca="1" si="79"/>
        <v>0</v>
      </c>
      <c r="W44" s="180">
        <f t="shared" ca="1" si="79"/>
        <v>0</v>
      </c>
      <c r="X44" s="180">
        <f t="shared" ca="1" si="79"/>
        <v>0</v>
      </c>
      <c r="Y44" s="180">
        <f t="shared" ca="1" si="79"/>
        <v>0</v>
      </c>
      <c r="Z44" s="180">
        <f t="shared" ca="1" si="79"/>
        <v>0</v>
      </c>
      <c r="AA44" s="180">
        <f t="shared" ca="1" si="79"/>
        <v>0</v>
      </c>
      <c r="AB44" s="180">
        <f t="shared" ca="1" si="79"/>
        <v>0</v>
      </c>
      <c r="AC44" s="180">
        <f t="shared" ref="AC44" ca="1" si="80">AB51</f>
        <v>0</v>
      </c>
      <c r="AD44" s="180">
        <f t="shared" ref="AD44" ca="1" si="81">AC51</f>
        <v>0</v>
      </c>
      <c r="AE44" s="180">
        <f t="shared" ref="AE44" ca="1" si="82">AD51</f>
        <v>0</v>
      </c>
      <c r="AF44" s="180">
        <f t="shared" ref="AF44:AG44" ca="1" si="83">AE51</f>
        <v>0</v>
      </c>
      <c r="AG44" s="180">
        <f t="shared" ca="1" si="83"/>
        <v>0</v>
      </c>
    </row>
    <row r="45" spans="3:33">
      <c r="C45" s="295" t="s">
        <v>725</v>
      </c>
      <c r="D45" s="291">
        <f>'Financing assumptions offshore'!F33*1000</f>
        <v>0</v>
      </c>
      <c r="E45" s="291">
        <v>0</v>
      </c>
      <c r="F45" s="291">
        <v>0</v>
      </c>
      <c r="G45" s="291">
        <v>0</v>
      </c>
      <c r="H45" s="291">
        <v>0</v>
      </c>
      <c r="I45" s="291">
        <v>0</v>
      </c>
      <c r="J45" s="291">
        <v>0</v>
      </c>
      <c r="K45" s="291">
        <v>0</v>
      </c>
      <c r="L45" s="291">
        <v>0</v>
      </c>
      <c r="M45" s="291">
        <v>0</v>
      </c>
      <c r="N45" s="291">
        <v>0</v>
      </c>
      <c r="O45" s="291">
        <v>0</v>
      </c>
      <c r="P45" s="291">
        <v>0</v>
      </c>
      <c r="Q45" s="291">
        <v>0</v>
      </c>
      <c r="R45" s="291">
        <v>0</v>
      </c>
      <c r="S45" s="291">
        <v>0</v>
      </c>
      <c r="T45" s="291">
        <v>0</v>
      </c>
      <c r="U45" s="291">
        <v>0</v>
      </c>
      <c r="V45" s="291">
        <v>0</v>
      </c>
      <c r="W45" s="291">
        <v>0</v>
      </c>
      <c r="X45" s="291">
        <v>0</v>
      </c>
      <c r="Y45" s="291">
        <v>0</v>
      </c>
      <c r="Z45" s="291">
        <v>0</v>
      </c>
      <c r="AA45" s="291">
        <v>0</v>
      </c>
      <c r="AB45" s="291">
        <v>0</v>
      </c>
      <c r="AC45" s="291">
        <v>0</v>
      </c>
      <c r="AD45" s="291">
        <v>0</v>
      </c>
      <c r="AE45" s="291">
        <v>0</v>
      </c>
      <c r="AF45" s="291">
        <v>0</v>
      </c>
      <c r="AG45" s="291">
        <v>0</v>
      </c>
    </row>
    <row r="46" spans="3:33">
      <c r="C46" s="295" t="s">
        <v>726</v>
      </c>
      <c r="D46" s="291">
        <f>(D44+D45)*D42/4</f>
        <v>0</v>
      </c>
      <c r="E46" s="291">
        <f t="shared" ref="E46:AB46" si="84">(E44+E45)*E42/4</f>
        <v>0</v>
      </c>
      <c r="F46" s="291">
        <f t="shared" ca="1" si="84"/>
        <v>0</v>
      </c>
      <c r="G46" s="291">
        <f t="shared" ca="1" si="84"/>
        <v>0</v>
      </c>
      <c r="H46" s="291">
        <f t="shared" ca="1" si="84"/>
        <v>0</v>
      </c>
      <c r="I46" s="291">
        <f t="shared" ca="1" si="84"/>
        <v>0</v>
      </c>
      <c r="J46" s="291">
        <f t="shared" ca="1" si="84"/>
        <v>0</v>
      </c>
      <c r="K46" s="291">
        <f t="shared" ca="1" si="84"/>
        <v>0</v>
      </c>
      <c r="L46" s="291">
        <f t="shared" ca="1" si="84"/>
        <v>0</v>
      </c>
      <c r="M46" s="291">
        <f t="shared" ca="1" si="84"/>
        <v>0</v>
      </c>
      <c r="N46" s="291">
        <f t="shared" ca="1" si="84"/>
        <v>0</v>
      </c>
      <c r="O46" s="291">
        <f t="shared" ca="1" si="84"/>
        <v>0</v>
      </c>
      <c r="P46" s="291">
        <f t="shared" ca="1" si="84"/>
        <v>0</v>
      </c>
      <c r="Q46" s="291">
        <f t="shared" ca="1" si="84"/>
        <v>0</v>
      </c>
      <c r="R46" s="291">
        <f t="shared" ca="1" si="84"/>
        <v>0</v>
      </c>
      <c r="S46" s="291">
        <f t="shared" ca="1" si="84"/>
        <v>0</v>
      </c>
      <c r="T46" s="291">
        <f t="shared" ca="1" si="84"/>
        <v>0</v>
      </c>
      <c r="U46" s="291">
        <f t="shared" ca="1" si="84"/>
        <v>0</v>
      </c>
      <c r="V46" s="291">
        <f t="shared" ca="1" si="84"/>
        <v>0</v>
      </c>
      <c r="W46" s="291">
        <f t="shared" ca="1" si="84"/>
        <v>0</v>
      </c>
      <c r="X46" s="291">
        <f t="shared" ca="1" si="84"/>
        <v>0</v>
      </c>
      <c r="Y46" s="291">
        <f t="shared" ca="1" si="84"/>
        <v>0</v>
      </c>
      <c r="Z46" s="291">
        <f t="shared" ca="1" si="84"/>
        <v>0</v>
      </c>
      <c r="AA46" s="291">
        <f t="shared" ca="1" si="84"/>
        <v>0</v>
      </c>
      <c r="AB46" s="291">
        <f t="shared" ca="1" si="84"/>
        <v>0</v>
      </c>
      <c r="AC46" s="291">
        <f t="shared" ref="AC46:AF46" ca="1" si="85">(AC44+AC45)*AC42/4</f>
        <v>0</v>
      </c>
      <c r="AD46" s="291">
        <f t="shared" ca="1" si="85"/>
        <v>0</v>
      </c>
      <c r="AE46" s="291">
        <f t="shared" ca="1" si="85"/>
        <v>0</v>
      </c>
      <c r="AF46" s="291">
        <f t="shared" ca="1" si="85"/>
        <v>0</v>
      </c>
      <c r="AG46" s="291">
        <f t="shared" ref="AG46" ca="1" si="86">(AG44+AG45)*AG42/4</f>
        <v>0</v>
      </c>
    </row>
    <row r="47" spans="3:33">
      <c r="C47" s="295" t="s">
        <v>727</v>
      </c>
      <c r="D47" s="291">
        <f>MAX(+'Financing assumptions offshore'!M33*1000,-(D44+D45))</f>
        <v>0</v>
      </c>
      <c r="E47" s="291">
        <f>MAX(+'Financing assumptions offshore'!N33*1000,-(E44+E45))</f>
        <v>0</v>
      </c>
      <c r="F47" s="291">
        <f ca="1">MAX(+'Financing assumptions offshore'!O33*1000,-(F44+F45))</f>
        <v>0</v>
      </c>
      <c r="G47" s="291">
        <f ca="1">MAX(+'Financing assumptions offshore'!P33*1000,-(G44+G45))</f>
        <v>0</v>
      </c>
      <c r="H47" s="291">
        <f ca="1">MAX(+'Financing assumptions offshore'!Q33*1000,-(H44+H45))</f>
        <v>0</v>
      </c>
      <c r="I47" s="291">
        <f ca="1">MAX(+'Financing assumptions offshore'!R33*1000,-(I44+I45))</f>
        <v>0</v>
      </c>
      <c r="J47" s="291">
        <f ca="1">MAX(+'Financing assumptions offshore'!S33*1000,-(J44+J45))</f>
        <v>0</v>
      </c>
      <c r="K47" s="291">
        <f ca="1">MAX(+'Financing assumptions offshore'!T33*1000,-(K44+K45))</f>
        <v>0</v>
      </c>
      <c r="L47" s="291">
        <f ca="1">MAX(+'Financing assumptions offshore'!U33*1000,-(L44+L45))</f>
        <v>0</v>
      </c>
      <c r="M47" s="291">
        <f ca="1">MAX(+'Financing assumptions offshore'!V33*1000,-(M44+M45))</f>
        <v>0</v>
      </c>
      <c r="N47" s="291">
        <f ca="1">MAX(+'Financing assumptions offshore'!W33*1000,-(N44+N45))</f>
        <v>0</v>
      </c>
      <c r="O47" s="291">
        <f ca="1">MAX(+'Financing assumptions offshore'!X33*1000,-(O44+O45))</f>
        <v>0</v>
      </c>
      <c r="P47" s="291">
        <f ca="1">MAX(+'Financing assumptions offshore'!Y33*1000,-(P44+P45))</f>
        <v>0</v>
      </c>
      <c r="Q47" s="291">
        <f ca="1">MAX(+'Financing assumptions offshore'!Z33*1000,-(Q44+Q45))</f>
        <v>0</v>
      </c>
      <c r="R47" s="291">
        <f ca="1">MAX(+'Financing assumptions offshore'!AA33*1000,-(R44+R45))</f>
        <v>0</v>
      </c>
      <c r="S47" s="291">
        <f ca="1">MAX(+'Financing assumptions offshore'!AB33*1000,-(S44+S45))</f>
        <v>0</v>
      </c>
      <c r="T47" s="291">
        <f ca="1">MAX(+'Financing assumptions offshore'!AC33*1000,-(T44+T45))</f>
        <v>0</v>
      </c>
      <c r="U47" s="291">
        <f ca="1">MAX(+'Financing assumptions offshore'!AD33*1000,-(U44+U45))</f>
        <v>0</v>
      </c>
      <c r="V47" s="291">
        <f ca="1">MAX(+'Financing assumptions offshore'!AE33*1000,-(V44+V45))</f>
        <v>0</v>
      </c>
      <c r="W47" s="291">
        <f ca="1">MAX(+'Financing assumptions offshore'!AF33*1000,-(W44+W45))</f>
        <v>0</v>
      </c>
      <c r="X47" s="291">
        <f ca="1">MAX(+'Financing assumptions offshore'!AG33*1000,-(X44+X45))</f>
        <v>0</v>
      </c>
      <c r="Y47" s="291">
        <f ca="1">MAX(+'Financing assumptions offshore'!AH33*1000,-(Y44+Y45))</f>
        <v>0</v>
      </c>
      <c r="Z47" s="291">
        <f ca="1">MAX(+'Financing assumptions offshore'!AI33*1000,-(Z44+Z45))</f>
        <v>0</v>
      </c>
      <c r="AA47" s="291">
        <f ca="1">MAX(+'Financing assumptions offshore'!AJ33*1000,-(AA44+AA45))</f>
        <v>0</v>
      </c>
      <c r="AB47" s="291">
        <f ca="1">MAX(+'Financing assumptions offshore'!AK33*1000,-(AB44+AB45))</f>
        <v>0</v>
      </c>
      <c r="AC47" s="291">
        <f ca="1">MAX(+'Financing assumptions offshore'!AL33*1000,-(AC44+AC45))</f>
        <v>0</v>
      </c>
      <c r="AD47" s="291">
        <f ca="1">MAX(+'Financing assumptions offshore'!AM33*1000,-(AD44+AD45))</f>
        <v>0</v>
      </c>
      <c r="AE47" s="291">
        <f ca="1">MAX(+'Financing assumptions offshore'!AN33*1000,-(AE44+AE45))</f>
        <v>0</v>
      </c>
      <c r="AF47" s="291">
        <f ca="1">MAX(+'Financing assumptions offshore'!AO33*1000,-(AF44+AF45))</f>
        <v>0</v>
      </c>
      <c r="AG47" s="291">
        <f ca="1">MAX(+'Financing assumptions offshore'!AP33*1000,-(AG44+AG45))</f>
        <v>0</v>
      </c>
    </row>
    <row r="48" spans="3:33">
      <c r="C48" s="295" t="s">
        <v>733</v>
      </c>
      <c r="D48" s="291">
        <v>0</v>
      </c>
      <c r="E48" s="291">
        <f>IFERROR(SUM($D49:D49)/$D45*E47*Sweep_adj_repay_trigger,0)</f>
        <v>0</v>
      </c>
      <c r="F48" s="291">
        <f ca="1">IFERROR(SUM($D49:E49)/$D45*F47*Sweep_adj_repay_trigger,0)</f>
        <v>0</v>
      </c>
      <c r="G48" s="291">
        <f ca="1">IFERROR(SUM($D49:F49)/$D45*G47*Sweep_adj_repay_trigger,0)</f>
        <v>0</v>
      </c>
      <c r="H48" s="291">
        <f ca="1">IFERROR(SUM($D49:G49)/$D45*H47*Sweep_adj_repay_trigger,0)</f>
        <v>0</v>
      </c>
      <c r="I48" s="291">
        <f ca="1">IFERROR(SUM($D49:H49)/$D45*I47*Sweep_adj_repay_trigger,0)</f>
        <v>0</v>
      </c>
      <c r="J48" s="291">
        <f ca="1">IFERROR(SUM($D49:I49)/$D45*J47*Sweep_adj_repay_trigger,0)</f>
        <v>0</v>
      </c>
      <c r="K48" s="291">
        <f ca="1">IFERROR(SUM($D49:J49)/$D45*K47*Sweep_adj_repay_trigger,0)</f>
        <v>0</v>
      </c>
      <c r="L48" s="291">
        <f ca="1">IFERROR(SUM($D49:K49)/$D45*L47*Sweep_adj_repay_trigger,0)</f>
        <v>0</v>
      </c>
      <c r="M48" s="291">
        <f ca="1">IFERROR(SUM($D49:L49)/$D45*M47*Sweep_adj_repay_trigger,0)</f>
        <v>0</v>
      </c>
      <c r="N48" s="291">
        <f ca="1">IFERROR(SUM($D49:M49)/$D45*N47*Sweep_adj_repay_trigger,0)</f>
        <v>0</v>
      </c>
      <c r="O48" s="291">
        <f ca="1">IFERROR(SUM($D49:N49)/$D45*O47*Sweep_adj_repay_trigger,0)</f>
        <v>0</v>
      </c>
      <c r="P48" s="291">
        <f ca="1">IFERROR(SUM($D49:O49)/$D45*P47*Sweep_adj_repay_trigger,0)</f>
        <v>0</v>
      </c>
      <c r="Q48" s="291">
        <f ca="1">IFERROR(SUM($D49:P49)/$D45*Q47*Sweep_adj_repay_trigger,0)</f>
        <v>0</v>
      </c>
      <c r="R48" s="291">
        <f ca="1">IFERROR(SUM($D49:Q49)/$D45*R47*Sweep_adj_repay_trigger,0)</f>
        <v>0</v>
      </c>
      <c r="S48" s="291">
        <f ca="1">IFERROR(SUM($D49:R49)/$D45*S47*Sweep_adj_repay_trigger,0)</f>
        <v>0</v>
      </c>
      <c r="T48" s="291">
        <f ca="1">IFERROR(SUM($D49:S49)/$D45*T47*Sweep_adj_repay_trigger,0)</f>
        <v>0</v>
      </c>
      <c r="U48" s="291">
        <f ca="1">IFERROR(SUM($D49:T49)/$D45*U47*Sweep_adj_repay_trigger,0)</f>
        <v>0</v>
      </c>
      <c r="V48" s="291">
        <f ca="1">IFERROR(SUM($D49:U49)/$D45*V47*Sweep_adj_repay_trigger,0)</f>
        <v>0</v>
      </c>
      <c r="W48" s="291">
        <f ca="1">IFERROR(SUM($D49:V49)/$D45*W47*Sweep_adj_repay_trigger,0)</f>
        <v>0</v>
      </c>
      <c r="X48" s="291">
        <f ca="1">IFERROR(SUM($D49:W49)/$D45*X47*Sweep_adj_repay_trigger,0)</f>
        <v>0</v>
      </c>
      <c r="Y48" s="291">
        <f ca="1">IFERROR(SUM($D49:X49)/$D45*Y47*Sweep_adj_repay_trigger,0)</f>
        <v>0</v>
      </c>
      <c r="Z48" s="291">
        <f ca="1">IFERROR(SUM($D49:Y49)/$D45*Z47*Sweep_adj_repay_trigger,0)</f>
        <v>0</v>
      </c>
      <c r="AA48" s="291">
        <f ca="1">IFERROR(SUM($D49:Z49)/$D45*AA47*Sweep_adj_repay_trigger,0)</f>
        <v>0</v>
      </c>
      <c r="AB48" s="291">
        <f ca="1">IFERROR(SUM($D49:AA49)/$D45*AB47*Sweep_adj_repay_trigger,0)</f>
        <v>0</v>
      </c>
      <c r="AC48" s="291">
        <f ca="1">IFERROR(SUM($D49:AB49)/$D45*AC47*Sweep_adj_repay_trigger,0)</f>
        <v>0</v>
      </c>
      <c r="AD48" s="291">
        <f ca="1">IFERROR(SUM($D49:AC49)/$D45*AD47*Sweep_adj_repay_trigger,0)</f>
        <v>0</v>
      </c>
      <c r="AE48" s="291">
        <f ca="1">IFERROR(SUM($D49:AD49)/$D45*AE47*Sweep_adj_repay_trigger,0)</f>
        <v>0</v>
      </c>
      <c r="AF48" s="291">
        <f ca="1">IFERROR(SUM($D49:AE49)/$D45*AF47*Sweep_adj_repay_trigger,0)</f>
        <v>0</v>
      </c>
      <c r="AG48" s="291">
        <f ca="1">IFERROR(SUM($D49:AF49)/$D45*AG47*Sweep_adj_repay_trigger,0)</f>
        <v>0</v>
      </c>
    </row>
    <row r="49" spans="3:33">
      <c r="C49" s="295" t="s">
        <v>728</v>
      </c>
      <c r="D49" s="291">
        <f>'Cash sweep &amp; dividend offshore'!D43</f>
        <v>0</v>
      </c>
      <c r="E49" s="291">
        <f ca="1">'Cash sweep &amp; dividend offshore'!E43</f>
        <v>0</v>
      </c>
      <c r="F49" s="291">
        <f ca="1">'Cash sweep &amp; dividend offshore'!F43</f>
        <v>0</v>
      </c>
      <c r="G49" s="291">
        <f ca="1">'Cash sweep &amp; dividend offshore'!G43</f>
        <v>0</v>
      </c>
      <c r="H49" s="291">
        <f ca="1">'Cash sweep &amp; dividend offshore'!H43</f>
        <v>0</v>
      </c>
      <c r="I49" s="291">
        <f ca="1">'Cash sweep &amp; dividend offshore'!I43</f>
        <v>0</v>
      </c>
      <c r="J49" s="291">
        <f ca="1">'Cash sweep &amp; dividend offshore'!J43</f>
        <v>0</v>
      </c>
      <c r="K49" s="291">
        <f ca="1">'Cash sweep &amp; dividend offshore'!K43</f>
        <v>0</v>
      </c>
      <c r="L49" s="291">
        <f ca="1">'Cash sweep &amp; dividend offshore'!L43</f>
        <v>0</v>
      </c>
      <c r="M49" s="291">
        <f ca="1">'Cash sweep &amp; dividend offshore'!M43</f>
        <v>0</v>
      </c>
      <c r="N49" s="291">
        <f ca="1">'Cash sweep &amp; dividend offshore'!N43</f>
        <v>0</v>
      </c>
      <c r="O49" s="291">
        <f ca="1">'Cash sweep &amp; dividend offshore'!O43</f>
        <v>0</v>
      </c>
      <c r="P49" s="291">
        <f ca="1">'Cash sweep &amp; dividend offshore'!P43</f>
        <v>0</v>
      </c>
      <c r="Q49" s="291">
        <f ca="1">'Cash sweep &amp; dividend offshore'!Q43</f>
        <v>0</v>
      </c>
      <c r="R49" s="291">
        <f ca="1">'Cash sweep &amp; dividend offshore'!R43</f>
        <v>0</v>
      </c>
      <c r="S49" s="291">
        <f ca="1">'Cash sweep &amp; dividend offshore'!S43</f>
        <v>0</v>
      </c>
      <c r="T49" s="291">
        <f ca="1">'Cash sweep &amp; dividend offshore'!T43</f>
        <v>0</v>
      </c>
      <c r="U49" s="291">
        <f ca="1">'Cash sweep &amp; dividend offshore'!U43</f>
        <v>0</v>
      </c>
      <c r="V49" s="291">
        <f ca="1">'Cash sweep &amp; dividend offshore'!V43</f>
        <v>0</v>
      </c>
      <c r="W49" s="291">
        <f ca="1">'Cash sweep &amp; dividend offshore'!W43</f>
        <v>0</v>
      </c>
      <c r="X49" s="291">
        <f ca="1">'Cash sweep &amp; dividend offshore'!X43</f>
        <v>0</v>
      </c>
      <c r="Y49" s="291">
        <f ca="1">'Cash sweep &amp; dividend offshore'!Y43</f>
        <v>0</v>
      </c>
      <c r="Z49" s="291">
        <f ca="1">'Cash sweep &amp; dividend offshore'!Z43</f>
        <v>0</v>
      </c>
      <c r="AA49" s="291">
        <f ca="1">'Cash sweep &amp; dividend offshore'!AA43</f>
        <v>0</v>
      </c>
      <c r="AB49" s="291">
        <f ca="1">'Cash sweep &amp; dividend offshore'!AB43</f>
        <v>0</v>
      </c>
      <c r="AC49" s="291">
        <f ca="1">'Cash sweep &amp; dividend offshore'!AC43</f>
        <v>0</v>
      </c>
      <c r="AD49" s="291">
        <f ca="1">'Cash sweep &amp; dividend offshore'!AD43</f>
        <v>0</v>
      </c>
      <c r="AE49" s="291">
        <f ca="1">'Cash sweep &amp; dividend offshore'!AE43</f>
        <v>0</v>
      </c>
      <c r="AF49" s="291">
        <f ca="1">'Cash sweep &amp; dividend offshore'!AF43</f>
        <v>0</v>
      </c>
      <c r="AG49" s="291">
        <f ca="1">'Cash sweep &amp; dividend offshore'!AG43</f>
        <v>0</v>
      </c>
    </row>
    <row r="50" spans="3:33">
      <c r="C50" s="295" t="s">
        <v>729</v>
      </c>
      <c r="D50" s="291">
        <f>-D43*(D44+D45)/4</f>
        <v>0</v>
      </c>
      <c r="E50" s="291">
        <f t="shared" ref="E50:AB50" si="87">-E43*(E44+E45)/4</f>
        <v>0</v>
      </c>
      <c r="F50" s="291">
        <f t="shared" ca="1" si="87"/>
        <v>0</v>
      </c>
      <c r="G50" s="291">
        <f t="shared" ca="1" si="87"/>
        <v>0</v>
      </c>
      <c r="H50" s="291">
        <f t="shared" ca="1" si="87"/>
        <v>0</v>
      </c>
      <c r="I50" s="291">
        <f t="shared" ca="1" si="87"/>
        <v>0</v>
      </c>
      <c r="J50" s="291">
        <f t="shared" ca="1" si="87"/>
        <v>0</v>
      </c>
      <c r="K50" s="291">
        <f t="shared" ca="1" si="87"/>
        <v>0</v>
      </c>
      <c r="L50" s="291">
        <f t="shared" ca="1" si="87"/>
        <v>0</v>
      </c>
      <c r="M50" s="291">
        <f t="shared" ca="1" si="87"/>
        <v>0</v>
      </c>
      <c r="N50" s="291">
        <f t="shared" ca="1" si="87"/>
        <v>0</v>
      </c>
      <c r="O50" s="291">
        <f t="shared" ca="1" si="87"/>
        <v>0</v>
      </c>
      <c r="P50" s="291">
        <f t="shared" ca="1" si="87"/>
        <v>0</v>
      </c>
      <c r="Q50" s="291">
        <f t="shared" ca="1" si="87"/>
        <v>0</v>
      </c>
      <c r="R50" s="291">
        <f t="shared" ca="1" si="87"/>
        <v>0</v>
      </c>
      <c r="S50" s="291">
        <f t="shared" ca="1" si="87"/>
        <v>0</v>
      </c>
      <c r="T50" s="291">
        <f t="shared" ca="1" si="87"/>
        <v>0</v>
      </c>
      <c r="U50" s="291">
        <f t="shared" ca="1" si="87"/>
        <v>0</v>
      </c>
      <c r="V50" s="291">
        <f t="shared" ca="1" si="87"/>
        <v>0</v>
      </c>
      <c r="W50" s="291">
        <f t="shared" ca="1" si="87"/>
        <v>0</v>
      </c>
      <c r="X50" s="291">
        <f t="shared" ca="1" si="87"/>
        <v>0</v>
      </c>
      <c r="Y50" s="291">
        <f t="shared" ca="1" si="87"/>
        <v>0</v>
      </c>
      <c r="Z50" s="291">
        <f t="shared" ca="1" si="87"/>
        <v>0</v>
      </c>
      <c r="AA50" s="291">
        <f t="shared" ca="1" si="87"/>
        <v>0</v>
      </c>
      <c r="AB50" s="291">
        <f t="shared" ca="1" si="87"/>
        <v>0</v>
      </c>
      <c r="AC50" s="291">
        <f t="shared" ref="AC50:AF50" ca="1" si="88">-AC43*(AC44+AC45)/4</f>
        <v>0</v>
      </c>
      <c r="AD50" s="291">
        <f t="shared" ca="1" si="88"/>
        <v>0</v>
      </c>
      <c r="AE50" s="291">
        <f t="shared" ca="1" si="88"/>
        <v>0</v>
      </c>
      <c r="AF50" s="291">
        <f t="shared" ca="1" si="88"/>
        <v>0</v>
      </c>
      <c r="AG50" s="291">
        <f t="shared" ref="AG50" ca="1" si="89">-AG43*(AG44+AG45)/4</f>
        <v>0</v>
      </c>
    </row>
    <row r="51" spans="3:33">
      <c r="C51" s="195" t="s">
        <v>731</v>
      </c>
      <c r="D51" s="195">
        <f>SUM(D44:D50)</f>
        <v>0</v>
      </c>
      <c r="E51" s="195">
        <f ca="1">SUM(E44:E50)</f>
        <v>0</v>
      </c>
      <c r="F51" s="195">
        <f t="shared" ref="F51" ca="1" si="90">SUM(F44:F50)</f>
        <v>0</v>
      </c>
      <c r="G51" s="195">
        <f t="shared" ref="G51" ca="1" si="91">SUM(G44:G50)</f>
        <v>0</v>
      </c>
      <c r="H51" s="195">
        <f t="shared" ref="H51" ca="1" si="92">SUM(H44:H50)</f>
        <v>0</v>
      </c>
      <c r="I51" s="195">
        <f t="shared" ref="I51" ca="1" si="93">SUM(I44:I50)</f>
        <v>0</v>
      </c>
      <c r="J51" s="195">
        <f t="shared" ref="J51" ca="1" si="94">SUM(J44:J50)</f>
        <v>0</v>
      </c>
      <c r="K51" s="195">
        <f t="shared" ref="K51" ca="1" si="95">SUM(K44:K50)</f>
        <v>0</v>
      </c>
      <c r="L51" s="195">
        <f t="shared" ref="L51" ca="1" si="96">SUM(L44:L50)</f>
        <v>0</v>
      </c>
      <c r="M51" s="195">
        <f t="shared" ref="M51" ca="1" si="97">SUM(M44:M50)</f>
        <v>0</v>
      </c>
      <c r="N51" s="195">
        <f t="shared" ref="N51" ca="1" si="98">SUM(N44:N50)</f>
        <v>0</v>
      </c>
      <c r="O51" s="195">
        <f t="shared" ref="O51" ca="1" si="99">SUM(O44:O50)</f>
        <v>0</v>
      </c>
      <c r="P51" s="195">
        <f t="shared" ref="P51" ca="1" si="100">SUM(P44:P50)</f>
        <v>0</v>
      </c>
      <c r="Q51" s="195">
        <f t="shared" ref="Q51" ca="1" si="101">SUM(Q44:Q50)</f>
        <v>0</v>
      </c>
      <c r="R51" s="195">
        <f t="shared" ref="R51" ca="1" si="102">SUM(R44:R50)</f>
        <v>0</v>
      </c>
      <c r="S51" s="195">
        <f t="shared" ref="S51" ca="1" si="103">SUM(S44:S50)</f>
        <v>0</v>
      </c>
      <c r="T51" s="195">
        <f t="shared" ref="T51" ca="1" si="104">SUM(T44:T50)</f>
        <v>0</v>
      </c>
      <c r="U51" s="195">
        <f t="shared" ref="U51" ca="1" si="105">SUM(U44:U50)</f>
        <v>0</v>
      </c>
      <c r="V51" s="195">
        <f t="shared" ref="V51" ca="1" si="106">SUM(V44:V50)</f>
        <v>0</v>
      </c>
      <c r="W51" s="195">
        <f t="shared" ref="W51" ca="1" si="107">SUM(W44:W50)</f>
        <v>0</v>
      </c>
      <c r="X51" s="195">
        <f t="shared" ref="X51" ca="1" si="108">SUM(X44:X50)</f>
        <v>0</v>
      </c>
      <c r="Y51" s="195">
        <f t="shared" ref="Y51" ca="1" si="109">SUM(Y44:Y50)</f>
        <v>0</v>
      </c>
      <c r="Z51" s="195">
        <f t="shared" ref="Z51" ca="1" si="110">SUM(Z44:Z50)</f>
        <v>0</v>
      </c>
      <c r="AA51" s="195">
        <f t="shared" ref="AA51" ca="1" si="111">SUM(AA44:AA50)</f>
        <v>0</v>
      </c>
      <c r="AB51" s="195">
        <f t="shared" ref="AB51:AF51" ca="1" si="112">SUM(AB44:AB50)</f>
        <v>0</v>
      </c>
      <c r="AC51" s="195">
        <f t="shared" ca="1" si="112"/>
        <v>0</v>
      </c>
      <c r="AD51" s="195">
        <f t="shared" ca="1" si="112"/>
        <v>0</v>
      </c>
      <c r="AE51" s="195">
        <f t="shared" ca="1" si="112"/>
        <v>0</v>
      </c>
      <c r="AF51" s="195">
        <f t="shared" ca="1" si="112"/>
        <v>0</v>
      </c>
      <c r="AG51" s="195">
        <f t="shared" ref="AG51" ca="1" si="113">SUM(AG44:AG50)</f>
        <v>0</v>
      </c>
    </row>
    <row r="52" spans="3:33">
      <c r="C52" s="195" t="s">
        <v>750</v>
      </c>
      <c r="D52" s="195">
        <f>+D45+SUM(D47:D50)</f>
        <v>0</v>
      </c>
      <c r="E52" s="195">
        <f t="shared" ref="E52:AB52" ca="1" si="114">+E45+SUM(E47:E50)</f>
        <v>0</v>
      </c>
      <c r="F52" s="195">
        <f t="shared" ca="1" si="114"/>
        <v>0</v>
      </c>
      <c r="G52" s="195">
        <f t="shared" ca="1" si="114"/>
        <v>0</v>
      </c>
      <c r="H52" s="195">
        <f t="shared" ca="1" si="114"/>
        <v>0</v>
      </c>
      <c r="I52" s="195">
        <f t="shared" ca="1" si="114"/>
        <v>0</v>
      </c>
      <c r="J52" s="195">
        <f t="shared" ca="1" si="114"/>
        <v>0</v>
      </c>
      <c r="K52" s="195">
        <f t="shared" ca="1" si="114"/>
        <v>0</v>
      </c>
      <c r="L52" s="195">
        <f t="shared" ca="1" si="114"/>
        <v>0</v>
      </c>
      <c r="M52" s="195">
        <f t="shared" ca="1" si="114"/>
        <v>0</v>
      </c>
      <c r="N52" s="195">
        <f t="shared" ca="1" si="114"/>
        <v>0</v>
      </c>
      <c r="O52" s="195">
        <f t="shared" ca="1" si="114"/>
        <v>0</v>
      </c>
      <c r="P52" s="195">
        <f t="shared" ca="1" si="114"/>
        <v>0</v>
      </c>
      <c r="Q52" s="195">
        <f t="shared" ca="1" si="114"/>
        <v>0</v>
      </c>
      <c r="R52" s="195">
        <f t="shared" ca="1" si="114"/>
        <v>0</v>
      </c>
      <c r="S52" s="195">
        <f t="shared" ca="1" si="114"/>
        <v>0</v>
      </c>
      <c r="T52" s="195">
        <f t="shared" ca="1" si="114"/>
        <v>0</v>
      </c>
      <c r="U52" s="195">
        <f t="shared" ca="1" si="114"/>
        <v>0</v>
      </c>
      <c r="V52" s="195">
        <f t="shared" ca="1" si="114"/>
        <v>0</v>
      </c>
      <c r="W52" s="195">
        <f t="shared" ca="1" si="114"/>
        <v>0</v>
      </c>
      <c r="X52" s="195">
        <f t="shared" ca="1" si="114"/>
        <v>0</v>
      </c>
      <c r="Y52" s="195">
        <f t="shared" ca="1" si="114"/>
        <v>0</v>
      </c>
      <c r="Z52" s="195">
        <f t="shared" ca="1" si="114"/>
        <v>0</v>
      </c>
      <c r="AA52" s="195">
        <f t="shared" ca="1" si="114"/>
        <v>0</v>
      </c>
      <c r="AB52" s="195">
        <f t="shared" ca="1" si="114"/>
        <v>0</v>
      </c>
      <c r="AC52" s="195">
        <f t="shared" ref="AC52:AF52" ca="1" si="115">+AC45+SUM(AC47:AC50)</f>
        <v>0</v>
      </c>
      <c r="AD52" s="195">
        <f t="shared" ca="1" si="115"/>
        <v>0</v>
      </c>
      <c r="AE52" s="195">
        <f t="shared" ca="1" si="115"/>
        <v>0</v>
      </c>
      <c r="AF52" s="195">
        <f t="shared" ca="1" si="115"/>
        <v>0</v>
      </c>
      <c r="AG52" s="195">
        <f t="shared" ref="AG52" ca="1" si="116">+AG45+SUM(AG47:AG50)</f>
        <v>0</v>
      </c>
    </row>
    <row r="54" spans="3:33">
      <c r="C54" s="180" t="s">
        <v>749</v>
      </c>
      <c r="D54" s="180">
        <f>+D12+D26+D39+D52</f>
        <v>0</v>
      </c>
      <c r="E54" s="180">
        <f t="shared" ref="E54:AB54" ca="1" si="117">+E12+E26+E39+E52</f>
        <v>0</v>
      </c>
      <c r="F54" s="180">
        <f t="shared" ca="1" si="117"/>
        <v>0</v>
      </c>
      <c r="G54" s="180">
        <f t="shared" ca="1" si="117"/>
        <v>0</v>
      </c>
      <c r="H54" s="180">
        <f t="shared" ca="1" si="117"/>
        <v>0</v>
      </c>
      <c r="I54" s="180">
        <f t="shared" ca="1" si="117"/>
        <v>0</v>
      </c>
      <c r="J54" s="180">
        <f t="shared" ca="1" si="117"/>
        <v>0</v>
      </c>
      <c r="K54" s="180">
        <f t="shared" ca="1" si="117"/>
        <v>0</v>
      </c>
      <c r="L54" s="180">
        <f t="shared" ca="1" si="117"/>
        <v>0</v>
      </c>
      <c r="M54" s="180">
        <f t="shared" ca="1" si="117"/>
        <v>0</v>
      </c>
      <c r="N54" s="180">
        <f t="shared" ca="1" si="117"/>
        <v>0</v>
      </c>
      <c r="O54" s="180">
        <f t="shared" ca="1" si="117"/>
        <v>0</v>
      </c>
      <c r="P54" s="180">
        <f t="shared" ca="1" si="117"/>
        <v>0</v>
      </c>
      <c r="Q54" s="180">
        <f t="shared" ca="1" si="117"/>
        <v>0</v>
      </c>
      <c r="R54" s="180">
        <f t="shared" ca="1" si="117"/>
        <v>0</v>
      </c>
      <c r="S54" s="180">
        <f t="shared" ca="1" si="117"/>
        <v>0</v>
      </c>
      <c r="T54" s="180">
        <f t="shared" ca="1" si="117"/>
        <v>0</v>
      </c>
      <c r="U54" s="180">
        <f t="shared" ca="1" si="117"/>
        <v>0</v>
      </c>
      <c r="V54" s="180">
        <f t="shared" ca="1" si="117"/>
        <v>0</v>
      </c>
      <c r="W54" s="180">
        <f t="shared" ca="1" si="117"/>
        <v>0</v>
      </c>
      <c r="X54" s="180">
        <f t="shared" ca="1" si="117"/>
        <v>0</v>
      </c>
      <c r="Y54" s="180">
        <f ca="1">+Y12+Y26+Y39+Y52</f>
        <v>0</v>
      </c>
      <c r="Z54" s="180">
        <f t="shared" ca="1" si="117"/>
        <v>0</v>
      </c>
      <c r="AA54" s="180">
        <f t="shared" ca="1" si="117"/>
        <v>0</v>
      </c>
      <c r="AB54" s="180" t="e">
        <f t="shared" ca="1" si="117"/>
        <v>#N/A</v>
      </c>
      <c r="AC54" s="180" t="e">
        <f t="shared" ref="AC54:AF54" ca="1" si="118">+AC12+AC26+AC39+AC52</f>
        <v>#N/A</v>
      </c>
      <c r="AD54" s="180" t="e">
        <f t="shared" ca="1" si="118"/>
        <v>#N/A</v>
      </c>
      <c r="AE54" s="180" t="e">
        <f t="shared" ca="1" si="118"/>
        <v>#N/A</v>
      </c>
      <c r="AF54" s="180" t="e">
        <f t="shared" ca="1" si="118"/>
        <v>#N/A</v>
      </c>
      <c r="AG54" s="180" t="e">
        <f t="shared" ref="AG54" ca="1" si="119">+AG12+AG26+AG39+AG52</f>
        <v>#N/A</v>
      </c>
    </row>
    <row r="56" spans="3:33">
      <c r="C56" s="209" t="s">
        <v>746</v>
      </c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209"/>
    </row>
    <row r="57" spans="3:33">
      <c r="C57" s="183" t="s">
        <v>739</v>
      </c>
      <c r="D57" s="183">
        <f>'Financing assumptions offshore'!M45</f>
        <v>5.6600000000000004E-2</v>
      </c>
      <c r="E57" s="183">
        <f>'Financing assumptions offshore'!N45</f>
        <v>5.6600000000000004E-2</v>
      </c>
      <c r="F57" s="183">
        <f>'Financing assumptions offshore'!O45</f>
        <v>5.6600000000000004E-2</v>
      </c>
      <c r="G57" s="183">
        <f>'Financing assumptions offshore'!P45</f>
        <v>5.6600000000000004E-2</v>
      </c>
      <c r="H57" s="183">
        <f ca="1">'Financing assumptions offshore'!Q45</f>
        <v>5.6600000000000004E-2</v>
      </c>
      <c r="I57" s="183">
        <f ca="1">'Financing assumptions offshore'!R45</f>
        <v>5.6600000000000004E-2</v>
      </c>
      <c r="J57" s="183">
        <f ca="1">'Financing assumptions offshore'!S45</f>
        <v>5.6600000000000004E-2</v>
      </c>
      <c r="K57" s="183">
        <f ca="1">'Financing assumptions offshore'!T45</f>
        <v>5.6600000000000004E-2</v>
      </c>
      <c r="L57" s="183">
        <f ca="1">'Financing assumptions offshore'!U45</f>
        <v>5.6600000000000004E-2</v>
      </c>
      <c r="M57" s="183">
        <f ca="1">'Financing assumptions offshore'!V45</f>
        <v>5.6600000000000004E-2</v>
      </c>
      <c r="N57" s="183">
        <f ca="1">'Financing assumptions offshore'!W45</f>
        <v>5.6600000000000004E-2</v>
      </c>
      <c r="O57" s="183">
        <f ca="1">'Financing assumptions offshore'!X45</f>
        <v>5.6600000000000004E-2</v>
      </c>
      <c r="P57" s="183">
        <f ca="1">'Financing assumptions offshore'!Y45</f>
        <v>5.6600000000000004E-2</v>
      </c>
      <c r="Q57" s="183">
        <f ca="1">'Financing assumptions offshore'!Z45</f>
        <v>5.6600000000000004E-2</v>
      </c>
      <c r="R57" s="183">
        <f ca="1">'Financing assumptions offshore'!AA45</f>
        <v>5.6600000000000004E-2</v>
      </c>
      <c r="S57" s="183">
        <f ca="1">'Financing assumptions offshore'!AB45</f>
        <v>5.6600000000000004E-2</v>
      </c>
      <c r="T57" s="183">
        <f ca="1">'Financing assumptions offshore'!AC45</f>
        <v>5.6600000000000004E-2</v>
      </c>
      <c r="U57" s="183">
        <f ca="1">'Financing assumptions offshore'!AD45</f>
        <v>5.6600000000000004E-2</v>
      </c>
      <c r="V57" s="183">
        <f ca="1">'Financing assumptions offshore'!AE45</f>
        <v>5.6600000000000004E-2</v>
      </c>
      <c r="W57" s="183">
        <f ca="1">'Financing assumptions offshore'!AF45</f>
        <v>5.6600000000000004E-2</v>
      </c>
      <c r="X57" s="183">
        <f ca="1">'Financing assumptions offshore'!AG45</f>
        <v>5.6600000000000004E-2</v>
      </c>
      <c r="Y57" s="183">
        <f ca="1">'Financing assumptions offshore'!AH45</f>
        <v>5.6600000000000004E-2</v>
      </c>
      <c r="Z57" s="183">
        <f ca="1">'Financing assumptions offshore'!AI45</f>
        <v>5.6600000000000004E-2</v>
      </c>
      <c r="AA57" s="183">
        <f ca="1">'Financing assumptions offshore'!AJ45</f>
        <v>5.6600000000000004E-2</v>
      </c>
      <c r="AB57" s="183">
        <f ca="1">'Financing assumptions offshore'!AK45</f>
        <v>5.6600000000000004E-2</v>
      </c>
      <c r="AC57" s="183">
        <f ca="1">'Financing assumptions offshore'!AL45</f>
        <v>5.6600000000000004E-2</v>
      </c>
      <c r="AD57" s="183">
        <f ca="1">'Financing assumptions offshore'!AM45</f>
        <v>5.6600000000000004E-2</v>
      </c>
      <c r="AE57" s="183">
        <f ca="1">'Financing assumptions offshore'!AN45</f>
        <v>5.6600000000000004E-2</v>
      </c>
      <c r="AF57" s="183">
        <f ca="1">'Financing assumptions offshore'!AO45</f>
        <v>5.6600000000000004E-2</v>
      </c>
      <c r="AG57" s="183">
        <f>'Financing assumptions offshore'!AP45</f>
        <v>0</v>
      </c>
    </row>
    <row r="58" spans="3:33">
      <c r="C58" s="183" t="s">
        <v>741</v>
      </c>
      <c r="D58" s="183">
        <f>D57-'Financing assumptions offshore'!$F$46/10000</f>
        <v>3.6600000000000008E-2</v>
      </c>
      <c r="E58" s="183">
        <f>E57-'Financing assumptions offshore'!$F$46/10000</f>
        <v>3.6600000000000008E-2</v>
      </c>
      <c r="F58" s="183">
        <f>F57-'Financing assumptions offshore'!$F$46/10000</f>
        <v>3.6600000000000008E-2</v>
      </c>
      <c r="G58" s="183">
        <f>G57-'Financing assumptions offshore'!$F$46/10000</f>
        <v>3.6600000000000008E-2</v>
      </c>
      <c r="H58" s="183">
        <f ca="1">H57-'Financing assumptions offshore'!$F$46/10000</f>
        <v>3.6600000000000008E-2</v>
      </c>
      <c r="I58" s="183">
        <f ca="1">I57-'Financing assumptions offshore'!$F$46/10000</f>
        <v>3.6600000000000008E-2</v>
      </c>
      <c r="J58" s="183">
        <f ca="1">J57-'Financing assumptions offshore'!$F$46/10000</f>
        <v>3.6600000000000008E-2</v>
      </c>
      <c r="K58" s="183">
        <f ca="1">K57-'Financing assumptions offshore'!$F$46/10000</f>
        <v>3.6600000000000008E-2</v>
      </c>
      <c r="L58" s="183">
        <f ca="1">L57-'Financing assumptions offshore'!$F$46/10000</f>
        <v>3.6600000000000008E-2</v>
      </c>
      <c r="M58" s="183">
        <f ca="1">M57-'Financing assumptions offshore'!$F$46/10000</f>
        <v>3.6600000000000008E-2</v>
      </c>
      <c r="N58" s="183">
        <f ca="1">N57-'Financing assumptions offshore'!$F$46/10000</f>
        <v>3.6600000000000008E-2</v>
      </c>
      <c r="O58" s="183">
        <f ca="1">O57-'Financing assumptions offshore'!$F$46/10000</f>
        <v>3.6600000000000008E-2</v>
      </c>
      <c r="P58" s="183">
        <f ca="1">P57-'Financing assumptions offshore'!$F$46/10000</f>
        <v>3.6600000000000008E-2</v>
      </c>
      <c r="Q58" s="183">
        <f ca="1">Q57-'Financing assumptions offshore'!$F$46/10000</f>
        <v>3.6600000000000008E-2</v>
      </c>
      <c r="R58" s="183">
        <f ca="1">R57-'Financing assumptions offshore'!$F$46/10000</f>
        <v>3.6600000000000008E-2</v>
      </c>
      <c r="S58" s="183">
        <f ca="1">S57-'Financing assumptions offshore'!$F$46/10000</f>
        <v>3.6600000000000008E-2</v>
      </c>
      <c r="T58" s="183">
        <f ca="1">T57-'Financing assumptions offshore'!$F$46/10000</f>
        <v>3.6600000000000008E-2</v>
      </c>
      <c r="U58" s="183">
        <f ca="1">U57-'Financing assumptions offshore'!$F$46/10000</f>
        <v>3.6600000000000008E-2</v>
      </c>
      <c r="V58" s="183">
        <f ca="1">V57-'Financing assumptions offshore'!$F$46/10000</f>
        <v>3.6600000000000008E-2</v>
      </c>
      <c r="W58" s="183">
        <f ca="1">W57-'Financing assumptions offshore'!$F$46/10000</f>
        <v>3.6600000000000008E-2</v>
      </c>
      <c r="X58" s="183">
        <f ca="1">X57-'Financing assumptions offshore'!$F$46/10000</f>
        <v>3.6600000000000008E-2</v>
      </c>
      <c r="Y58" s="183">
        <f ca="1">Y57-'Financing assumptions offshore'!$F$46/10000</f>
        <v>3.6600000000000008E-2</v>
      </c>
      <c r="Z58" s="183">
        <f ca="1">Z57-'Financing assumptions offshore'!$F$46/10000</f>
        <v>3.6600000000000008E-2</v>
      </c>
      <c r="AA58" s="183">
        <f ca="1">AA57-'Financing assumptions offshore'!$F$46/10000</f>
        <v>3.6600000000000008E-2</v>
      </c>
      <c r="AB58" s="183">
        <f ca="1">AB57-'Financing assumptions offshore'!$F$46/10000</f>
        <v>3.6600000000000008E-2</v>
      </c>
      <c r="AC58" s="183">
        <f ca="1">AC57-'Financing assumptions offshore'!$F$46/10000</f>
        <v>3.6600000000000008E-2</v>
      </c>
      <c r="AD58" s="183">
        <f ca="1">AD57-'Financing assumptions offshore'!$F$46/10000</f>
        <v>3.6600000000000008E-2</v>
      </c>
      <c r="AE58" s="183">
        <f ca="1">AE57-'Financing assumptions offshore'!$F$46/10000</f>
        <v>3.6600000000000008E-2</v>
      </c>
      <c r="AF58" s="183">
        <f ca="1">AF57-'Financing assumptions offshore'!$F$46/10000</f>
        <v>3.6600000000000008E-2</v>
      </c>
      <c r="AG58" s="183">
        <f>AG57-'Financing assumptions offshore'!$F$46/10000</f>
        <v>-0.02</v>
      </c>
    </row>
    <row r="59" spans="3:33">
      <c r="C59" s="291" t="s">
        <v>730</v>
      </c>
      <c r="D59" s="291">
        <v>0</v>
      </c>
      <c r="E59" s="291">
        <f>D67</f>
        <v>0</v>
      </c>
      <c r="F59" s="291">
        <f t="shared" ref="F59:AB59" ca="1" si="120">E67</f>
        <v>0</v>
      </c>
      <c r="G59" s="291">
        <f t="shared" ca="1" si="120"/>
        <v>0</v>
      </c>
      <c r="H59" s="291">
        <f t="shared" ca="1" si="120"/>
        <v>0</v>
      </c>
      <c r="I59" s="291">
        <f t="shared" ca="1" si="120"/>
        <v>0</v>
      </c>
      <c r="J59" s="291">
        <f t="shared" ca="1" si="120"/>
        <v>0</v>
      </c>
      <c r="K59" s="291">
        <f t="shared" ca="1" si="120"/>
        <v>0</v>
      </c>
      <c r="L59" s="291">
        <f t="shared" ca="1" si="120"/>
        <v>0</v>
      </c>
      <c r="M59" s="291">
        <f t="shared" ca="1" si="120"/>
        <v>0</v>
      </c>
      <c r="N59" s="291">
        <f t="shared" ca="1" si="120"/>
        <v>0</v>
      </c>
      <c r="O59" s="291">
        <f t="shared" ca="1" si="120"/>
        <v>0</v>
      </c>
      <c r="P59" s="291">
        <f t="shared" ca="1" si="120"/>
        <v>0</v>
      </c>
      <c r="Q59" s="291">
        <f t="shared" ca="1" si="120"/>
        <v>0</v>
      </c>
      <c r="R59" s="291">
        <f t="shared" ca="1" si="120"/>
        <v>0</v>
      </c>
      <c r="S59" s="291">
        <f t="shared" ca="1" si="120"/>
        <v>0</v>
      </c>
      <c r="T59" s="291">
        <f t="shared" ca="1" si="120"/>
        <v>0</v>
      </c>
      <c r="U59" s="291">
        <f t="shared" ca="1" si="120"/>
        <v>0</v>
      </c>
      <c r="V59" s="291">
        <f t="shared" ca="1" si="120"/>
        <v>0</v>
      </c>
      <c r="W59" s="291">
        <f t="shared" ca="1" si="120"/>
        <v>0</v>
      </c>
      <c r="X59" s="291">
        <f t="shared" ca="1" si="120"/>
        <v>0</v>
      </c>
      <c r="Y59" s="291">
        <f t="shared" ca="1" si="120"/>
        <v>0</v>
      </c>
      <c r="Z59" s="291">
        <f t="shared" ca="1" si="120"/>
        <v>0</v>
      </c>
      <c r="AA59" s="291">
        <f t="shared" ca="1" si="120"/>
        <v>0</v>
      </c>
      <c r="AB59" s="291">
        <f t="shared" ca="1" si="120"/>
        <v>0</v>
      </c>
      <c r="AC59" s="291" t="e">
        <f t="shared" ref="AC59" ca="1" si="121">AB67</f>
        <v>#N/A</v>
      </c>
      <c r="AD59" s="291" t="e">
        <f t="shared" ref="AD59" ca="1" si="122">AC67</f>
        <v>#N/A</v>
      </c>
      <c r="AE59" s="291" t="e">
        <f t="shared" ref="AE59" ca="1" si="123">AD67</f>
        <v>#N/A</v>
      </c>
      <c r="AF59" s="291" t="e">
        <f t="shared" ref="AF59:AG59" ca="1" si="124">AE67</f>
        <v>#N/A</v>
      </c>
      <c r="AG59" s="291" t="e">
        <f t="shared" ca="1" si="124"/>
        <v>#N/A</v>
      </c>
    </row>
    <row r="60" spans="3:33">
      <c r="C60" s="310" t="s">
        <v>725</v>
      </c>
      <c r="D60" s="291">
        <f>'Financing assumptions offshore'!$F$42*1000</f>
        <v>0</v>
      </c>
      <c r="E60" s="291">
        <v>0</v>
      </c>
      <c r="F60" s="291">
        <v>0</v>
      </c>
      <c r="G60" s="291">
        <v>0</v>
      </c>
      <c r="H60" s="291">
        <v>0</v>
      </c>
      <c r="I60" s="291">
        <v>0</v>
      </c>
      <c r="J60" s="291">
        <v>0</v>
      </c>
      <c r="K60" s="291">
        <v>0</v>
      </c>
      <c r="L60" s="291">
        <v>0</v>
      </c>
      <c r="M60" s="291">
        <v>0</v>
      </c>
      <c r="N60" s="291">
        <v>0</v>
      </c>
      <c r="O60" s="291">
        <v>0</v>
      </c>
      <c r="P60" s="291">
        <v>0</v>
      </c>
      <c r="Q60" s="291">
        <v>0</v>
      </c>
      <c r="R60" s="291">
        <v>0</v>
      </c>
      <c r="S60" s="291">
        <v>0</v>
      </c>
      <c r="T60" s="291">
        <v>0</v>
      </c>
      <c r="U60" s="291">
        <v>0</v>
      </c>
      <c r="V60" s="291">
        <v>0</v>
      </c>
      <c r="W60" s="291">
        <v>0</v>
      </c>
      <c r="X60" s="291">
        <v>0</v>
      </c>
      <c r="Y60" s="291">
        <v>0</v>
      </c>
      <c r="Z60" s="291">
        <v>0</v>
      </c>
      <c r="AA60" s="291">
        <v>0</v>
      </c>
      <c r="AB60" s="291">
        <v>0</v>
      </c>
      <c r="AC60" s="291">
        <v>0</v>
      </c>
      <c r="AD60" s="291">
        <v>0</v>
      </c>
      <c r="AE60" s="291">
        <v>0</v>
      </c>
      <c r="AF60" s="291">
        <v>0</v>
      </c>
      <c r="AG60" s="291">
        <v>0</v>
      </c>
    </row>
    <row r="61" spans="3:33">
      <c r="C61" s="310" t="s">
        <v>726</v>
      </c>
      <c r="D61" s="291">
        <f>(D59+D60)*D57/4</f>
        <v>0</v>
      </c>
      <c r="E61" s="291">
        <f t="shared" ref="E61:AB61" si="125">(E59+E60)*E57/4</f>
        <v>0</v>
      </c>
      <c r="F61" s="291">
        <f t="shared" ca="1" si="125"/>
        <v>0</v>
      </c>
      <c r="G61" s="291">
        <f t="shared" ca="1" si="125"/>
        <v>0</v>
      </c>
      <c r="H61" s="291">
        <f t="shared" ca="1" si="125"/>
        <v>0</v>
      </c>
      <c r="I61" s="291">
        <f t="shared" ca="1" si="125"/>
        <v>0</v>
      </c>
      <c r="J61" s="291">
        <f t="shared" ca="1" si="125"/>
        <v>0</v>
      </c>
      <c r="K61" s="291">
        <f t="shared" ca="1" si="125"/>
        <v>0</v>
      </c>
      <c r="L61" s="291">
        <f t="shared" ca="1" si="125"/>
        <v>0</v>
      </c>
      <c r="M61" s="291">
        <f t="shared" ca="1" si="125"/>
        <v>0</v>
      </c>
      <c r="N61" s="291">
        <f t="shared" ca="1" si="125"/>
        <v>0</v>
      </c>
      <c r="O61" s="291">
        <f t="shared" ca="1" si="125"/>
        <v>0</v>
      </c>
      <c r="P61" s="291">
        <f t="shared" ca="1" si="125"/>
        <v>0</v>
      </c>
      <c r="Q61" s="291">
        <f t="shared" ca="1" si="125"/>
        <v>0</v>
      </c>
      <c r="R61" s="291">
        <f t="shared" ca="1" si="125"/>
        <v>0</v>
      </c>
      <c r="S61" s="291">
        <f t="shared" ca="1" si="125"/>
        <v>0</v>
      </c>
      <c r="T61" s="291">
        <f t="shared" ca="1" si="125"/>
        <v>0</v>
      </c>
      <c r="U61" s="291">
        <f t="shared" ca="1" si="125"/>
        <v>0</v>
      </c>
      <c r="V61" s="291">
        <f t="shared" ca="1" si="125"/>
        <v>0</v>
      </c>
      <c r="W61" s="291">
        <f t="shared" ca="1" si="125"/>
        <v>0</v>
      </c>
      <c r="X61" s="291">
        <f t="shared" ca="1" si="125"/>
        <v>0</v>
      </c>
      <c r="Y61" s="291">
        <f t="shared" ca="1" si="125"/>
        <v>0</v>
      </c>
      <c r="Z61" s="291">
        <f t="shared" ca="1" si="125"/>
        <v>0</v>
      </c>
      <c r="AA61" s="291">
        <f t="shared" ca="1" si="125"/>
        <v>0</v>
      </c>
      <c r="AB61" s="291">
        <f t="shared" ca="1" si="125"/>
        <v>0</v>
      </c>
      <c r="AC61" s="291" t="e">
        <f t="shared" ref="AC61:AF61" ca="1" si="126">(AC59+AC60)*AC57/4</f>
        <v>#N/A</v>
      </c>
      <c r="AD61" s="291" t="e">
        <f t="shared" ca="1" si="126"/>
        <v>#N/A</v>
      </c>
      <c r="AE61" s="291" t="e">
        <f t="shared" ca="1" si="126"/>
        <v>#N/A</v>
      </c>
      <c r="AF61" s="291" t="e">
        <f t="shared" ca="1" si="126"/>
        <v>#N/A</v>
      </c>
      <c r="AG61" s="291" t="e">
        <f t="shared" ref="AG61" ca="1" si="127">(AG59+AG60)*AG57/4</f>
        <v>#N/A</v>
      </c>
    </row>
    <row r="62" spans="3:33">
      <c r="C62" s="310" t="s">
        <v>727</v>
      </c>
      <c r="D62" s="291">
        <f>MAX('Financing assumptions offshore'!M42*1000,-(D60+D59))</f>
        <v>0</v>
      </c>
      <c r="E62" s="291">
        <f>MAX('Financing assumptions offshore'!N42*1000,-(E60+E59))</f>
        <v>0</v>
      </c>
      <c r="F62" s="291">
        <f ca="1">MAX('Financing assumptions offshore'!O42*1000,-(F60+F59))</f>
        <v>0</v>
      </c>
      <c r="G62" s="291">
        <f ca="1">MAX('Financing assumptions offshore'!P42*1000,-(G60+G59))</f>
        <v>0</v>
      </c>
      <c r="H62" s="291">
        <f ca="1">MAX('Financing assumptions offshore'!Q42*1000,-(H60+H59))</f>
        <v>0</v>
      </c>
      <c r="I62" s="291">
        <f ca="1">MAX('Financing assumptions offshore'!R42*1000,-(I60+I59))</f>
        <v>0</v>
      </c>
      <c r="J62" s="291">
        <f ca="1">MAX('Financing assumptions offshore'!S42*1000,-(J60+J59))</f>
        <v>0</v>
      </c>
      <c r="K62" s="291">
        <f ca="1">MAX('Financing assumptions offshore'!T42*1000,-(K60+K59))</f>
        <v>0</v>
      </c>
      <c r="L62" s="291">
        <f ca="1">MAX('Financing assumptions offshore'!U42*1000,-(L60+L59))</f>
        <v>0</v>
      </c>
      <c r="M62" s="291">
        <f ca="1">MAX('Financing assumptions offshore'!V42*1000,-(M60+M59))</f>
        <v>0</v>
      </c>
      <c r="N62" s="291">
        <f ca="1">MAX('Financing assumptions offshore'!W42*1000,-(N60+N59))</f>
        <v>0</v>
      </c>
      <c r="O62" s="291">
        <f ca="1">MAX('Financing assumptions offshore'!X42*1000,-(O60+O59))</f>
        <v>0</v>
      </c>
      <c r="P62" s="291">
        <f ca="1">MAX('Financing assumptions offshore'!Y42*1000,-(P60+P59))</f>
        <v>0</v>
      </c>
      <c r="Q62" s="291">
        <f ca="1">MAX('Financing assumptions offshore'!Z42*1000,-(Q60+Q59))</f>
        <v>0</v>
      </c>
      <c r="R62" s="291">
        <f ca="1">MAX('Financing assumptions offshore'!AA42*1000,-(R60+R59))</f>
        <v>0</v>
      </c>
      <c r="S62" s="291">
        <f ca="1">MAX('Financing assumptions offshore'!AB42*1000,-(S60+S59))</f>
        <v>0</v>
      </c>
      <c r="T62" s="291">
        <f ca="1">MAX('Financing assumptions offshore'!AC42*1000,-(T60+T59))</f>
        <v>0</v>
      </c>
      <c r="U62" s="291">
        <f ca="1">MAX('Financing assumptions offshore'!AD42*1000,-(U60+U59))</f>
        <v>0</v>
      </c>
      <c r="V62" s="291">
        <f ca="1">MAX('Financing assumptions offshore'!AE42*1000,-(V60+V59))</f>
        <v>0</v>
      </c>
      <c r="W62" s="291">
        <f ca="1">MAX('Financing assumptions offshore'!AF42*1000,-(W60+W59))</f>
        <v>0</v>
      </c>
      <c r="X62" s="291">
        <f ca="1">MAX('Financing assumptions offshore'!AG42*1000,-(X60+X59))</f>
        <v>0</v>
      </c>
      <c r="Y62" s="291">
        <f ca="1">MAX('Financing assumptions offshore'!AH42*1000,-(Y60+Y59))</f>
        <v>0</v>
      </c>
      <c r="Z62" s="291">
        <f ca="1">MAX('Financing assumptions offshore'!AI42*1000,-(Z60+Z59))</f>
        <v>0</v>
      </c>
      <c r="AA62" s="291">
        <f ca="1">MAX('Financing assumptions offshore'!AJ42*1000,-(AA60+AA59))</f>
        <v>0</v>
      </c>
      <c r="AB62" s="291">
        <f ca="1">MAX('Financing assumptions offshore'!AK42*1000,-(AB60+AB59))</f>
        <v>0</v>
      </c>
      <c r="AC62" s="291" t="e">
        <f ca="1">MAX('Financing assumptions offshore'!AL42*1000,-(AC60+AC59))</f>
        <v>#N/A</v>
      </c>
      <c r="AD62" s="291" t="e">
        <f ca="1">MAX('Financing assumptions offshore'!AM42*1000,-(AD60+AD59))</f>
        <v>#N/A</v>
      </c>
      <c r="AE62" s="291" t="e">
        <f ca="1">MAX('Financing assumptions offshore'!AN42*1000,-(AE60+AE59))</f>
        <v>#N/A</v>
      </c>
      <c r="AF62" s="291" t="e">
        <f ca="1">MAX('Financing assumptions offshore'!AO42*1000,-(AF60+AF59))</f>
        <v>#N/A</v>
      </c>
      <c r="AG62" s="291" t="e">
        <f ca="1">MAX('Financing assumptions offshore'!AP42*1000,-(AG60+AG59))</f>
        <v>#N/A</v>
      </c>
    </row>
    <row r="63" spans="3:33">
      <c r="C63" s="310" t="s">
        <v>733</v>
      </c>
      <c r="D63" s="291">
        <v>0</v>
      </c>
      <c r="E63" s="291">
        <f>IFERROR(SUM($D64:D64)/$D60*E62*Sweep_adj_repay_trigger,0)</f>
        <v>0</v>
      </c>
      <c r="F63" s="291">
        <f ca="1">IFERROR(SUM($D64:E64)/$D60*F62*Sweep_adj_repay_trigger,0)</f>
        <v>0</v>
      </c>
      <c r="G63" s="291">
        <f ca="1">IFERROR(SUM($D64:F64)/$D60*G62*Sweep_adj_repay_trigger,0)</f>
        <v>0</v>
      </c>
      <c r="H63" s="291">
        <f ca="1">IFERROR(SUM($D64:G64)/$D60*H62*Sweep_adj_repay_trigger,0)</f>
        <v>0</v>
      </c>
      <c r="I63" s="291">
        <f ca="1">IFERROR(SUM($D64:H64)/$D60*I62*Sweep_adj_repay_trigger,0)</f>
        <v>0</v>
      </c>
      <c r="J63" s="291">
        <f ca="1">IFERROR(SUM($D64:I64)/$D60*J62*Sweep_adj_repay_trigger,0)</f>
        <v>0</v>
      </c>
      <c r="K63" s="291">
        <f ca="1">IFERROR(SUM($D64:J64)/$D60*K62*Sweep_adj_repay_trigger,0)</f>
        <v>0</v>
      </c>
      <c r="L63" s="291">
        <f ca="1">IFERROR(SUM($D64:K64)/$D60*L62*Sweep_adj_repay_trigger,0)</f>
        <v>0</v>
      </c>
      <c r="M63" s="291">
        <f ca="1">IFERROR(SUM($D64:L64)/$D60*M62*Sweep_adj_repay_trigger,0)</f>
        <v>0</v>
      </c>
      <c r="N63" s="291">
        <f ca="1">IFERROR(SUM($D64:M64)/$D60*N62*Sweep_adj_repay_trigger,0)</f>
        <v>0</v>
      </c>
      <c r="O63" s="291">
        <f ca="1">IFERROR(SUM($D64:N64)/$D60*O62*Sweep_adj_repay_trigger,0)</f>
        <v>0</v>
      </c>
      <c r="P63" s="291">
        <f ca="1">IFERROR(SUM($D64:O64)/$D60*P62*Sweep_adj_repay_trigger,0)</f>
        <v>0</v>
      </c>
      <c r="Q63" s="291">
        <f ca="1">IFERROR(SUM($D64:P64)/$D60*Q62*Sweep_adj_repay_trigger,0)</f>
        <v>0</v>
      </c>
      <c r="R63" s="291">
        <f ca="1">IFERROR(SUM($D64:Q64)/$D60*R62*Sweep_adj_repay_trigger,0)</f>
        <v>0</v>
      </c>
      <c r="S63" s="291">
        <f ca="1">IFERROR(SUM($D64:R64)/$D60*S62*Sweep_adj_repay_trigger,0)</f>
        <v>0</v>
      </c>
      <c r="T63" s="291">
        <f ca="1">IFERROR(SUM($D64:S64)/$D60*T62*Sweep_adj_repay_trigger,0)</f>
        <v>0</v>
      </c>
      <c r="U63" s="291">
        <f ca="1">IFERROR(SUM($D64:T64)/$D60*U62*Sweep_adj_repay_trigger,0)</f>
        <v>0</v>
      </c>
      <c r="V63" s="291">
        <f ca="1">IFERROR(SUM($D64:U64)/$D60*V62*Sweep_adj_repay_trigger,0)</f>
        <v>0</v>
      </c>
      <c r="W63" s="291">
        <f ca="1">IFERROR(SUM($D64:V64)/$D60*W62*Sweep_adj_repay_trigger,0)</f>
        <v>0</v>
      </c>
      <c r="X63" s="291">
        <f ca="1">IFERROR(SUM($D64:W64)/$D60*X62*Sweep_adj_repay_trigger,0)</f>
        <v>0</v>
      </c>
      <c r="Y63" s="291">
        <f ca="1">IFERROR(SUM($D64:X64)/$D60*Y62*Sweep_adj_repay_trigger,0)</f>
        <v>0</v>
      </c>
      <c r="Z63" s="291">
        <f ca="1">IFERROR(SUM($D64:Y64)/$D60*Z62*Sweep_adj_repay_trigger,0)</f>
        <v>0</v>
      </c>
      <c r="AA63" s="291">
        <f ca="1">IFERROR(SUM($D64:Z64)/$D60*AA62*Sweep_adj_repay_trigger,0)</f>
        <v>0</v>
      </c>
      <c r="AB63" s="291">
        <f ca="1">IFERROR(SUM($D64:AA64)/$D60*AB62*Sweep_adj_repay_trigger,0)</f>
        <v>0</v>
      </c>
      <c r="AC63" s="291">
        <f ca="1">IFERROR(SUM($D64:AB64)/$D60*AC62*Sweep_adj_repay_trigger,0)</f>
        <v>0</v>
      </c>
      <c r="AD63" s="291">
        <f ca="1">IFERROR(SUM($D64:AC64)/$D60*AD62*Sweep_adj_repay_trigger,0)</f>
        <v>0</v>
      </c>
      <c r="AE63" s="291">
        <f ca="1">IFERROR(SUM($D64:AD64)/$D60*AE62*Sweep_adj_repay_trigger,0)</f>
        <v>0</v>
      </c>
      <c r="AF63" s="291">
        <f ca="1">IFERROR(SUM($D64:AE64)/$D60*AF62*Sweep_adj_repay_trigger,0)</f>
        <v>0</v>
      </c>
      <c r="AG63" s="291">
        <f ca="1">IFERROR(SUM($D64:AF64)/$D60*AG62*Sweep_adj_repay_trigger,0)</f>
        <v>0</v>
      </c>
    </row>
    <row r="64" spans="3:33">
      <c r="C64" s="310" t="s">
        <v>728</v>
      </c>
      <c r="D64" s="291">
        <f>'Cash sweep &amp; dividend offshore'!D45</f>
        <v>0</v>
      </c>
      <c r="E64" s="291">
        <f ca="1">'Cash sweep &amp; dividend offshore'!E45</f>
        <v>0</v>
      </c>
      <c r="F64" s="291">
        <f ca="1">'Cash sweep &amp; dividend offshore'!F45</f>
        <v>0</v>
      </c>
      <c r="G64" s="291">
        <f ca="1">'Cash sweep &amp; dividend offshore'!G45</f>
        <v>0</v>
      </c>
      <c r="H64" s="291">
        <f ca="1">'Cash sweep &amp; dividend offshore'!H45</f>
        <v>0</v>
      </c>
      <c r="I64" s="291">
        <f ca="1">'Cash sweep &amp; dividend offshore'!I45</f>
        <v>0</v>
      </c>
      <c r="J64" s="291">
        <f ca="1">'Cash sweep &amp; dividend offshore'!J45</f>
        <v>0</v>
      </c>
      <c r="K64" s="291">
        <f ca="1">'Cash sweep &amp; dividend offshore'!K45</f>
        <v>0</v>
      </c>
      <c r="L64" s="291">
        <f ca="1">'Cash sweep &amp; dividend offshore'!L45</f>
        <v>0</v>
      </c>
      <c r="M64" s="291">
        <f ca="1">'Cash sweep &amp; dividend offshore'!M45</f>
        <v>0</v>
      </c>
      <c r="N64" s="291">
        <f ca="1">'Cash sweep &amp; dividend offshore'!N45</f>
        <v>0</v>
      </c>
      <c r="O64" s="291">
        <f ca="1">'Cash sweep &amp; dividend offshore'!O45</f>
        <v>0</v>
      </c>
      <c r="P64" s="291">
        <f ca="1">'Cash sweep &amp; dividend offshore'!P45</f>
        <v>0</v>
      </c>
      <c r="Q64" s="291">
        <f ca="1">'Cash sweep &amp; dividend offshore'!Q45</f>
        <v>0</v>
      </c>
      <c r="R64" s="291">
        <f ca="1">'Cash sweep &amp; dividend offshore'!R45</f>
        <v>0</v>
      </c>
      <c r="S64" s="291">
        <f ca="1">'Cash sweep &amp; dividend offshore'!S45</f>
        <v>0</v>
      </c>
      <c r="T64" s="291">
        <f ca="1">'Cash sweep &amp; dividend offshore'!T45</f>
        <v>0</v>
      </c>
      <c r="U64" s="291">
        <f ca="1">'Cash sweep &amp; dividend offshore'!U45</f>
        <v>0</v>
      </c>
      <c r="V64" s="291">
        <f ca="1">'Cash sweep &amp; dividend offshore'!V45</f>
        <v>0</v>
      </c>
      <c r="W64" s="291">
        <f ca="1">'Cash sweep &amp; dividend offshore'!W45</f>
        <v>0</v>
      </c>
      <c r="X64" s="291">
        <f ca="1">'Cash sweep &amp; dividend offshore'!X45</f>
        <v>0</v>
      </c>
      <c r="Y64" s="291">
        <f ca="1">'Cash sweep &amp; dividend offshore'!Y45</f>
        <v>0</v>
      </c>
      <c r="Z64" s="291">
        <f ca="1">'Cash sweep &amp; dividend offshore'!Z45</f>
        <v>0</v>
      </c>
      <c r="AA64" s="291">
        <f ca="1">'Cash sweep &amp; dividend offshore'!AA45</f>
        <v>0</v>
      </c>
      <c r="AB64" s="291">
        <f ca="1">'Cash sweep &amp; dividend offshore'!AB45</f>
        <v>0</v>
      </c>
      <c r="AC64" s="291" t="e">
        <f ca="1">'Cash sweep &amp; dividend offshore'!AC45</f>
        <v>#N/A</v>
      </c>
      <c r="AD64" s="291" t="e">
        <f ca="1">'Cash sweep &amp; dividend offshore'!AD45</f>
        <v>#N/A</v>
      </c>
      <c r="AE64" s="291" t="e">
        <f ca="1">'Cash sweep &amp; dividend offshore'!AE45</f>
        <v>#N/A</v>
      </c>
      <c r="AF64" s="291" t="e">
        <f ca="1">'Cash sweep &amp; dividend offshore'!AF45</f>
        <v>#N/A</v>
      </c>
      <c r="AG64" s="291" t="e">
        <f ca="1">'Cash sweep &amp; dividend offshore'!AG45</f>
        <v>#N/A</v>
      </c>
    </row>
    <row r="65" spans="1:33">
      <c r="C65" s="310" t="s">
        <v>729</v>
      </c>
      <c r="D65" s="291">
        <f>-D58*(D59+D60)/4</f>
        <v>0</v>
      </c>
      <c r="E65" s="291">
        <f t="shared" ref="E65:AB65" si="128">-E58*(E59+E60)/4</f>
        <v>0</v>
      </c>
      <c r="F65" s="291">
        <f t="shared" ca="1" si="128"/>
        <v>0</v>
      </c>
      <c r="G65" s="291">
        <f t="shared" ca="1" si="128"/>
        <v>0</v>
      </c>
      <c r="H65" s="291">
        <f t="shared" ca="1" si="128"/>
        <v>0</v>
      </c>
      <c r="I65" s="291">
        <f t="shared" ca="1" si="128"/>
        <v>0</v>
      </c>
      <c r="J65" s="291">
        <f t="shared" ca="1" si="128"/>
        <v>0</v>
      </c>
      <c r="K65" s="291">
        <f t="shared" ca="1" si="128"/>
        <v>0</v>
      </c>
      <c r="L65" s="291">
        <f t="shared" ca="1" si="128"/>
        <v>0</v>
      </c>
      <c r="M65" s="291">
        <f t="shared" ca="1" si="128"/>
        <v>0</v>
      </c>
      <c r="N65" s="291">
        <f t="shared" ca="1" si="128"/>
        <v>0</v>
      </c>
      <c r="O65" s="291">
        <f t="shared" ca="1" si="128"/>
        <v>0</v>
      </c>
      <c r="P65" s="291">
        <f t="shared" ca="1" si="128"/>
        <v>0</v>
      </c>
      <c r="Q65" s="291">
        <f t="shared" ca="1" si="128"/>
        <v>0</v>
      </c>
      <c r="R65" s="291">
        <f t="shared" ca="1" si="128"/>
        <v>0</v>
      </c>
      <c r="S65" s="291">
        <f t="shared" ca="1" si="128"/>
        <v>0</v>
      </c>
      <c r="T65" s="291">
        <f t="shared" ca="1" si="128"/>
        <v>0</v>
      </c>
      <c r="U65" s="291">
        <f t="shared" ca="1" si="128"/>
        <v>0</v>
      </c>
      <c r="V65" s="291">
        <f t="shared" ca="1" si="128"/>
        <v>0</v>
      </c>
      <c r="W65" s="291">
        <f t="shared" ca="1" si="128"/>
        <v>0</v>
      </c>
      <c r="X65" s="291">
        <f t="shared" ca="1" si="128"/>
        <v>0</v>
      </c>
      <c r="Y65" s="291">
        <f t="shared" ca="1" si="128"/>
        <v>0</v>
      </c>
      <c r="Z65" s="291">
        <f t="shared" ca="1" si="128"/>
        <v>0</v>
      </c>
      <c r="AA65" s="291">
        <f t="shared" ca="1" si="128"/>
        <v>0</v>
      </c>
      <c r="AB65" s="291">
        <f t="shared" ca="1" si="128"/>
        <v>0</v>
      </c>
      <c r="AC65" s="291" t="e">
        <f t="shared" ref="AC65:AF65" ca="1" si="129">-AC58*(AC59+AC60)/4</f>
        <v>#N/A</v>
      </c>
      <c r="AD65" s="291" t="e">
        <f t="shared" ca="1" si="129"/>
        <v>#N/A</v>
      </c>
      <c r="AE65" s="291" t="e">
        <f t="shared" ca="1" si="129"/>
        <v>#N/A</v>
      </c>
      <c r="AF65" s="291" t="e">
        <f t="shared" ca="1" si="129"/>
        <v>#N/A</v>
      </c>
      <c r="AG65" s="291" t="e">
        <f t="shared" ref="AG65" ca="1" si="130">-AG58*(AG59+AG60)/4</f>
        <v>#N/A</v>
      </c>
    </row>
    <row r="66" spans="1:33">
      <c r="C66" s="310" t="s">
        <v>747</v>
      </c>
      <c r="D66" s="291">
        <v>0</v>
      </c>
      <c r="E66" s="291">
        <f ca="1">MIN(MAX((-SUM(E62:E65)-E54-E77-E79),-SUM(D$66:$D66)),-SUM(E62:E65))</f>
        <v>0</v>
      </c>
      <c r="F66" s="291">
        <f ca="1">MIN(MAX((-SUM(F62:F65)-F54-F77-F79),-SUM($D$66:E66)),-SUM(F62:F65))</f>
        <v>0</v>
      </c>
      <c r="G66" s="291">
        <f ca="1">MIN(MAX((-SUM(G62:G65)-G54-G77-G79),-SUM($D$66:F66)),-SUM(G62:G65))</f>
        <v>0</v>
      </c>
      <c r="H66" s="291">
        <f ca="1">MIN(MAX((-SUM(H62:H65)-H54-H77-H79),-SUM($D$66:G66)),-SUM(H62:H65))</f>
        <v>0</v>
      </c>
      <c r="I66" s="291">
        <f ca="1">MIN(MAX((-SUM(I62:I65)-I54-I77-I79),-SUM($D$66:H66)),-SUM(I62:I65))</f>
        <v>0</v>
      </c>
      <c r="J66" s="291">
        <f ca="1">MIN(MAX((-SUM(J62:J65)-J54-J77-J79),-SUM($D$66:I66)),-SUM(J62:J65))</f>
        <v>0</v>
      </c>
      <c r="K66" s="291">
        <f ca="1">MIN(MAX((-SUM(K62:K65)-K54-K77-K79),-SUM($D$66:J66)),-SUM(K62:K65))</f>
        <v>0</v>
      </c>
      <c r="L66" s="291">
        <f ca="1">MIN(MAX((-SUM(L62:L65)-L54-L77-L79),-SUM($D$66:K66)),-SUM(L62:L65))</f>
        <v>0</v>
      </c>
      <c r="M66" s="291">
        <f ca="1">MIN(MAX((-SUM(M62:M65)-M54-M77-M79),-SUM($D$66:L66)),-SUM(M62:M65))</f>
        <v>0</v>
      </c>
      <c r="N66" s="291">
        <f ca="1">MIN(MAX((-SUM(N62:N65)-N54-N77-N79),-SUM($D$66:M66)),-SUM(N62:N65))</f>
        <v>0</v>
      </c>
      <c r="O66" s="291">
        <f ca="1">MIN(MAX((-SUM(O62:O65)-O54-O77-O79),-SUM($D$66:N66)),-SUM(O62:O65))</f>
        <v>0</v>
      </c>
      <c r="P66" s="291">
        <f ca="1">MIN(MAX((-SUM(P62:P65)-P54-P77-P79),-SUM($D$66:O66)),-SUM(P62:P65))</f>
        <v>0</v>
      </c>
      <c r="Q66" s="291">
        <f ca="1">MIN(MAX((-SUM(Q62:Q65)-Q54-Q77-Q79),-SUM($D$66:P66)),-SUM(Q62:Q65))</f>
        <v>0</v>
      </c>
      <c r="R66" s="291">
        <f ca="1">MIN(MAX((-SUM(R62:R65)-R54-R77-R79),-SUM($D$66:Q66)),-SUM(R62:R65))</f>
        <v>0</v>
      </c>
      <c r="S66" s="291">
        <f ca="1">MIN(MAX((-SUM(S62:S65)-S54-S77-S79),-SUM($D$66:R66)),-SUM(S62:S65))</f>
        <v>0</v>
      </c>
      <c r="T66" s="291">
        <f ca="1">MIN(MAX((-SUM(T62:T65)-T54-T77-T79),-SUM($D$66:S66)),-SUM(T62:T65))</f>
        <v>0</v>
      </c>
      <c r="U66" s="291">
        <f ca="1">MIN(MAX((-SUM(U62:U65)-U54-U77-U79),-SUM($D$66:T66)),-SUM(U62:U65))</f>
        <v>0</v>
      </c>
      <c r="V66" s="291">
        <f ca="1">MIN(MAX((-SUM(V62:V65)-V54-V77-V79),-SUM($D$66:U66)),-SUM(V62:V65))</f>
        <v>0</v>
      </c>
      <c r="W66" s="291">
        <f ca="1">MIN(MAX((-SUM(W62:W65)-W54-W77-W79),-SUM($D$66:V66)),-SUM(W62:W65))</f>
        <v>0</v>
      </c>
      <c r="X66" s="291">
        <f ca="1">MIN(MAX((-SUM(X62:X65)-X54-X77-X79),-SUM($D$66:W66)),-SUM(X62:X65))</f>
        <v>0</v>
      </c>
      <c r="Y66" s="291">
        <f ca="1">MIN(MAX((-SUM(Y62:Y65)-Y54-Y77-Y79),-SUM($D$66:X66)),-SUM(Y62:Y65))</f>
        <v>0</v>
      </c>
      <c r="Z66" s="291">
        <f ca="1">MIN(MAX((-SUM(Z62:Z65)-Z54-Z77-Z79),-SUM($D$66:Y66)),-SUM(Z62:Z65))</f>
        <v>0</v>
      </c>
      <c r="AA66" s="291">
        <f ca="1">MIN(MAX((-SUM(AA62:AA65)-AA54-AA77-AA79),-SUM($D$66:Z66)),-SUM(AA62:AA65))</f>
        <v>0</v>
      </c>
      <c r="AB66" s="291" t="e">
        <f ca="1">MIN(MAX((-SUM(AB62:AB65)-AB54-AB77-AB79),-SUM($D$66:AA66)),-SUM(AB62:AB65))</f>
        <v>#N/A</v>
      </c>
      <c r="AC66" s="291" t="e">
        <f ca="1">MIN(MAX((-SUM(AC62:AC65)-AC54-AC77-AC79),-SUM($D$66:AB66)),-SUM(AC62:AC65))</f>
        <v>#N/A</v>
      </c>
      <c r="AD66" s="291" t="e">
        <f ca="1">MIN(MAX((-SUM(AD62:AD65)-AD54-AD77-AD79),-SUM($D$66:AC66)),-SUM(AD62:AD65))</f>
        <v>#N/A</v>
      </c>
      <c r="AE66" s="291" t="e">
        <f ca="1">MIN(MAX((-SUM(AE62:AE65)-AE54-AE77-AE79),-SUM($D$66:AD66)),-SUM(AE62:AE65))</f>
        <v>#N/A</v>
      </c>
      <c r="AF66" s="291" t="e">
        <f ca="1">MIN(MAX((-SUM(AF62:AF65)-AF54-AF77-AF79),-SUM($D$66:AE66)),-SUM(AF62:AF65))</f>
        <v>#N/A</v>
      </c>
      <c r="AG66" s="291" t="e">
        <f ca="1">MIN(MAX((-SUM(AG62:AG65)-AG54-AG77-AG79),-SUM($D$66:AF66)),-SUM(AG62:AG65))</f>
        <v>#N/A</v>
      </c>
    </row>
    <row r="67" spans="1:33">
      <c r="C67" s="195" t="s">
        <v>1040</v>
      </c>
      <c r="D67" s="195">
        <f t="shared" ref="D67:AB67" si="131">SUM(D59:D66)</f>
        <v>0</v>
      </c>
      <c r="E67" s="195">
        <f t="shared" ca="1" si="131"/>
        <v>0</v>
      </c>
      <c r="F67" s="195">
        <f t="shared" ca="1" si="131"/>
        <v>0</v>
      </c>
      <c r="G67" s="195">
        <f t="shared" ca="1" si="131"/>
        <v>0</v>
      </c>
      <c r="H67" s="195">
        <f t="shared" ca="1" si="131"/>
        <v>0</v>
      </c>
      <c r="I67" s="195">
        <f t="shared" ca="1" si="131"/>
        <v>0</v>
      </c>
      <c r="J67" s="195">
        <f t="shared" ca="1" si="131"/>
        <v>0</v>
      </c>
      <c r="K67" s="195">
        <f t="shared" ca="1" si="131"/>
        <v>0</v>
      </c>
      <c r="L67" s="195">
        <f t="shared" ca="1" si="131"/>
        <v>0</v>
      </c>
      <c r="M67" s="195">
        <f t="shared" ca="1" si="131"/>
        <v>0</v>
      </c>
      <c r="N67" s="195">
        <f t="shared" ca="1" si="131"/>
        <v>0</v>
      </c>
      <c r="O67" s="195">
        <f t="shared" ca="1" si="131"/>
        <v>0</v>
      </c>
      <c r="P67" s="195">
        <f t="shared" ca="1" si="131"/>
        <v>0</v>
      </c>
      <c r="Q67" s="195">
        <f t="shared" ca="1" si="131"/>
        <v>0</v>
      </c>
      <c r="R67" s="195">
        <f t="shared" ca="1" si="131"/>
        <v>0</v>
      </c>
      <c r="S67" s="195">
        <f t="shared" ca="1" si="131"/>
        <v>0</v>
      </c>
      <c r="T67" s="195">
        <f t="shared" ca="1" si="131"/>
        <v>0</v>
      </c>
      <c r="U67" s="195">
        <f t="shared" ca="1" si="131"/>
        <v>0</v>
      </c>
      <c r="V67" s="195">
        <f t="shared" ca="1" si="131"/>
        <v>0</v>
      </c>
      <c r="W67" s="195">
        <f t="shared" ca="1" si="131"/>
        <v>0</v>
      </c>
      <c r="X67" s="195">
        <f t="shared" ca="1" si="131"/>
        <v>0</v>
      </c>
      <c r="Y67" s="195">
        <f t="shared" ca="1" si="131"/>
        <v>0</v>
      </c>
      <c r="Z67" s="195">
        <f t="shared" ca="1" si="131"/>
        <v>0</v>
      </c>
      <c r="AA67" s="195">
        <f t="shared" ca="1" si="131"/>
        <v>0</v>
      </c>
      <c r="AB67" s="195" t="e">
        <f t="shared" ca="1" si="131"/>
        <v>#N/A</v>
      </c>
      <c r="AC67" s="195" t="e">
        <f t="shared" ref="AC67:AF67" ca="1" si="132">SUM(AC59:AC66)</f>
        <v>#N/A</v>
      </c>
      <c r="AD67" s="195" t="e">
        <f t="shared" ca="1" si="132"/>
        <v>#N/A</v>
      </c>
      <c r="AE67" s="195" t="e">
        <f t="shared" ca="1" si="132"/>
        <v>#N/A</v>
      </c>
      <c r="AF67" s="195" t="e">
        <f t="shared" ca="1" si="132"/>
        <v>#N/A</v>
      </c>
      <c r="AG67" s="195" t="e">
        <f t="shared" ref="AG67" ca="1" si="133">SUM(AG59:AG66)</f>
        <v>#N/A</v>
      </c>
    </row>
    <row r="68" spans="1:33">
      <c r="C68" s="195" t="s">
        <v>1042</v>
      </c>
      <c r="D68" s="195">
        <f t="shared" ref="D68:AB68" si="134">+D60+SUM(D62:D66)</f>
        <v>0</v>
      </c>
      <c r="E68" s="195">
        <f t="shared" ca="1" si="134"/>
        <v>0</v>
      </c>
      <c r="F68" s="195">
        <f t="shared" ca="1" si="134"/>
        <v>0</v>
      </c>
      <c r="G68" s="195">
        <f t="shared" ca="1" si="134"/>
        <v>0</v>
      </c>
      <c r="H68" s="195">
        <f t="shared" ca="1" si="134"/>
        <v>0</v>
      </c>
      <c r="I68" s="195">
        <f t="shared" ca="1" si="134"/>
        <v>0</v>
      </c>
      <c r="J68" s="195">
        <f t="shared" ca="1" si="134"/>
        <v>0</v>
      </c>
      <c r="K68" s="195">
        <f t="shared" ca="1" si="134"/>
        <v>0</v>
      </c>
      <c r="L68" s="195">
        <f t="shared" ca="1" si="134"/>
        <v>0</v>
      </c>
      <c r="M68" s="195">
        <f t="shared" ca="1" si="134"/>
        <v>0</v>
      </c>
      <c r="N68" s="195">
        <f t="shared" ca="1" si="134"/>
        <v>0</v>
      </c>
      <c r="O68" s="195">
        <f t="shared" ca="1" si="134"/>
        <v>0</v>
      </c>
      <c r="P68" s="195">
        <f t="shared" ca="1" si="134"/>
        <v>0</v>
      </c>
      <c r="Q68" s="195">
        <f t="shared" ca="1" si="134"/>
        <v>0</v>
      </c>
      <c r="R68" s="195">
        <f t="shared" ca="1" si="134"/>
        <v>0</v>
      </c>
      <c r="S68" s="195">
        <f t="shared" ca="1" si="134"/>
        <v>0</v>
      </c>
      <c r="T68" s="195">
        <f t="shared" ca="1" si="134"/>
        <v>0</v>
      </c>
      <c r="U68" s="195">
        <f t="shared" ca="1" si="134"/>
        <v>0</v>
      </c>
      <c r="V68" s="195">
        <f t="shared" ca="1" si="134"/>
        <v>0</v>
      </c>
      <c r="W68" s="195">
        <f t="shared" ca="1" si="134"/>
        <v>0</v>
      </c>
      <c r="X68" s="195">
        <f t="shared" ca="1" si="134"/>
        <v>0</v>
      </c>
      <c r="Y68" s="195">
        <f t="shared" ca="1" si="134"/>
        <v>0</v>
      </c>
      <c r="Z68" s="195">
        <f t="shared" ca="1" si="134"/>
        <v>0</v>
      </c>
      <c r="AA68" s="195">
        <f t="shared" ca="1" si="134"/>
        <v>0</v>
      </c>
      <c r="AB68" s="195" t="e">
        <f t="shared" ca="1" si="134"/>
        <v>#N/A</v>
      </c>
      <c r="AC68" s="195" t="e">
        <f t="shared" ref="AC68:AF68" ca="1" si="135">+AC60+SUM(AC62:AC66)</f>
        <v>#N/A</v>
      </c>
      <c r="AD68" s="195" t="e">
        <f t="shared" ca="1" si="135"/>
        <v>#N/A</v>
      </c>
      <c r="AE68" s="195" t="e">
        <f t="shared" ca="1" si="135"/>
        <v>#N/A</v>
      </c>
      <c r="AF68" s="195" t="e">
        <f t="shared" ca="1" si="135"/>
        <v>#N/A</v>
      </c>
      <c r="AG68" s="195" t="e">
        <f t="shared" ref="AG68" ca="1" si="136">+AG60+SUM(AG62:AG66)</f>
        <v>#N/A</v>
      </c>
    </row>
    <row r="69" spans="1:3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</row>
    <row r="70" spans="1:33">
      <c r="C70" s="180" t="s">
        <v>753</v>
      </c>
      <c r="D70" s="180">
        <f t="shared" ref="D70:AB70" si="137">D68+D54</f>
        <v>0</v>
      </c>
      <c r="E70" s="180">
        <f t="shared" ca="1" si="137"/>
        <v>0</v>
      </c>
      <c r="F70" s="180">
        <f t="shared" ca="1" si="137"/>
        <v>0</v>
      </c>
      <c r="G70" s="180">
        <f t="shared" ca="1" si="137"/>
        <v>0</v>
      </c>
      <c r="H70" s="180">
        <f t="shared" ca="1" si="137"/>
        <v>0</v>
      </c>
      <c r="I70" s="180">
        <f t="shared" ca="1" si="137"/>
        <v>0</v>
      </c>
      <c r="J70" s="180">
        <f t="shared" ca="1" si="137"/>
        <v>0</v>
      </c>
      <c r="K70" s="180">
        <f t="shared" ca="1" si="137"/>
        <v>0</v>
      </c>
      <c r="L70" s="180">
        <f t="shared" ca="1" si="137"/>
        <v>0</v>
      </c>
      <c r="M70" s="180">
        <f t="shared" ca="1" si="137"/>
        <v>0</v>
      </c>
      <c r="N70" s="180">
        <f t="shared" ca="1" si="137"/>
        <v>0</v>
      </c>
      <c r="O70" s="180">
        <f t="shared" ca="1" si="137"/>
        <v>0</v>
      </c>
      <c r="P70" s="180">
        <f t="shared" ca="1" si="137"/>
        <v>0</v>
      </c>
      <c r="Q70" s="180">
        <f t="shared" ca="1" si="137"/>
        <v>0</v>
      </c>
      <c r="R70" s="180">
        <f t="shared" ca="1" si="137"/>
        <v>0</v>
      </c>
      <c r="S70" s="180">
        <f t="shared" ca="1" si="137"/>
        <v>0</v>
      </c>
      <c r="T70" s="180">
        <f t="shared" ca="1" si="137"/>
        <v>0</v>
      </c>
      <c r="U70" s="180">
        <f t="shared" ca="1" si="137"/>
        <v>0</v>
      </c>
      <c r="V70" s="180">
        <f t="shared" ca="1" si="137"/>
        <v>0</v>
      </c>
      <c r="W70" s="180">
        <f t="shared" ca="1" si="137"/>
        <v>0</v>
      </c>
      <c r="X70" s="180">
        <f t="shared" ca="1" si="137"/>
        <v>0</v>
      </c>
      <c r="Y70" s="180">
        <f t="shared" ca="1" si="137"/>
        <v>0</v>
      </c>
      <c r="Z70" s="180">
        <f t="shared" ca="1" si="137"/>
        <v>0</v>
      </c>
      <c r="AA70" s="180">
        <f t="shared" ca="1" si="137"/>
        <v>0</v>
      </c>
      <c r="AB70" s="180" t="e">
        <f t="shared" ca="1" si="137"/>
        <v>#N/A</v>
      </c>
      <c r="AC70" s="180" t="e">
        <f t="shared" ref="AC70:AF70" ca="1" si="138">AC68+AC54</f>
        <v>#N/A</v>
      </c>
      <c r="AD70" s="180" t="e">
        <f t="shared" ca="1" si="138"/>
        <v>#N/A</v>
      </c>
      <c r="AE70" s="180" t="e">
        <f t="shared" ca="1" si="138"/>
        <v>#N/A</v>
      </c>
      <c r="AF70" s="180" t="e">
        <f t="shared" ca="1" si="138"/>
        <v>#N/A</v>
      </c>
      <c r="AG70" s="180" t="e">
        <f t="shared" ref="AG70" ca="1" si="139">AG68+AG54</f>
        <v>#N/A</v>
      </c>
    </row>
    <row r="72" spans="1:33">
      <c r="C72" s="209" t="s">
        <v>1043</v>
      </c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</row>
    <row r="73" spans="1:33">
      <c r="C73" s="180" t="s">
        <v>1044</v>
      </c>
      <c r="D73" s="180">
        <f>'Financing assumptions offshore'!$F$51*1000</f>
        <v>0</v>
      </c>
      <c r="E73" s="180">
        <f>'Financing assumptions offshore'!$F$51*1000</f>
        <v>0</v>
      </c>
      <c r="F73" s="180">
        <f>'Financing assumptions offshore'!$F$51*1000</f>
        <v>0</v>
      </c>
      <c r="G73" s="180">
        <f>'Financing assumptions offshore'!$F$51*1000</f>
        <v>0</v>
      </c>
      <c r="H73" s="180">
        <f>'Financing assumptions offshore'!$F$51*1000</f>
        <v>0</v>
      </c>
      <c r="I73" s="180">
        <f>'Financing assumptions offshore'!$F$51*1000</f>
        <v>0</v>
      </c>
      <c r="J73" s="180">
        <f>'Financing assumptions offshore'!$F$51*1000</f>
        <v>0</v>
      </c>
      <c r="K73" s="180">
        <f>'Financing assumptions offshore'!$F$51*1000</f>
        <v>0</v>
      </c>
      <c r="L73" s="180">
        <f>'Financing assumptions offshore'!$F$51*1000</f>
        <v>0</v>
      </c>
      <c r="M73" s="180">
        <f>'Financing assumptions offshore'!$F$51*1000</f>
        <v>0</v>
      </c>
      <c r="N73" s="180">
        <f>'Financing assumptions offshore'!$F$51*1000</f>
        <v>0</v>
      </c>
      <c r="O73" s="180">
        <f>'Financing assumptions offshore'!$F$51*1000</f>
        <v>0</v>
      </c>
      <c r="P73" s="180">
        <f>'Financing assumptions offshore'!$F$51*1000</f>
        <v>0</v>
      </c>
      <c r="Q73" s="180">
        <f>'Financing assumptions offshore'!$F$51*1000</f>
        <v>0</v>
      </c>
      <c r="R73" s="180">
        <f>'Financing assumptions offshore'!$F$51*1000</f>
        <v>0</v>
      </c>
      <c r="S73" s="180">
        <f>'Financing assumptions offshore'!$F$51*1000</f>
        <v>0</v>
      </c>
      <c r="T73" s="180">
        <f>'Financing assumptions offshore'!$F$51*1000</f>
        <v>0</v>
      </c>
      <c r="U73" s="180">
        <f>'Financing assumptions offshore'!$F$51*1000</f>
        <v>0</v>
      </c>
      <c r="V73" s="180">
        <f>'Financing assumptions offshore'!$F$51*1000</f>
        <v>0</v>
      </c>
      <c r="W73" s="180">
        <f>'Financing assumptions offshore'!$F$51*1000</f>
        <v>0</v>
      </c>
      <c r="X73" s="180">
        <f>'Financing assumptions offshore'!$F$51*1000</f>
        <v>0</v>
      </c>
      <c r="Y73" s="180">
        <f>'Financing assumptions offshore'!$F$51*1000</f>
        <v>0</v>
      </c>
      <c r="Z73" s="180">
        <f>'Financing assumptions offshore'!$F$51*1000</f>
        <v>0</v>
      </c>
      <c r="AA73" s="180">
        <f>'Financing assumptions offshore'!$F$51*1000</f>
        <v>0</v>
      </c>
      <c r="AB73" s="180">
        <f>'Financing assumptions offshore'!$F$51*1000</f>
        <v>0</v>
      </c>
      <c r="AC73" s="180">
        <f>'Financing assumptions offshore'!$F$51*1000</f>
        <v>0</v>
      </c>
      <c r="AD73" s="180">
        <f>'Financing assumptions offshore'!$F$51*1000</f>
        <v>0</v>
      </c>
      <c r="AE73" s="180">
        <f>'Financing assumptions offshore'!$F$51*1000</f>
        <v>0</v>
      </c>
      <c r="AF73" s="180">
        <f>'Financing assumptions offshore'!$F$51*1000</f>
        <v>0</v>
      </c>
      <c r="AG73" s="180">
        <f>'Financing assumptions offshore'!$F$51*1000</f>
        <v>0</v>
      </c>
    </row>
    <row r="74" spans="1:33">
      <c r="C74" s="183" t="s">
        <v>739</v>
      </c>
      <c r="D74" s="183">
        <f>'Financing assumptions offshore'!M52</f>
        <v>5.21E-2</v>
      </c>
      <c r="E74" s="183">
        <f>'Financing assumptions offshore'!N52</f>
        <v>5.21E-2</v>
      </c>
      <c r="F74" s="183">
        <f>'Financing assumptions offshore'!O52</f>
        <v>5.21E-2</v>
      </c>
      <c r="G74" s="183">
        <f>'Financing assumptions offshore'!P52</f>
        <v>5.21E-2</v>
      </c>
      <c r="H74" s="183">
        <f ca="1">'Financing assumptions offshore'!Q52</f>
        <v>5.21E-2</v>
      </c>
      <c r="I74" s="183">
        <f ca="1">'Financing assumptions offshore'!R52</f>
        <v>5.21E-2</v>
      </c>
      <c r="J74" s="183">
        <f ca="1">'Financing assumptions offshore'!S52</f>
        <v>5.21E-2</v>
      </c>
      <c r="K74" s="183">
        <f ca="1">'Financing assumptions offshore'!T52</f>
        <v>5.21E-2</v>
      </c>
      <c r="L74" s="183">
        <f ca="1">'Financing assumptions offshore'!U52</f>
        <v>5.21E-2</v>
      </c>
      <c r="M74" s="183">
        <f ca="1">'Financing assumptions offshore'!V52</f>
        <v>5.21E-2</v>
      </c>
      <c r="N74" s="183">
        <f ca="1">'Financing assumptions offshore'!W52</f>
        <v>5.21E-2</v>
      </c>
      <c r="O74" s="183">
        <f ca="1">'Financing assumptions offshore'!X52</f>
        <v>5.21E-2</v>
      </c>
      <c r="P74" s="183">
        <f ca="1">'Financing assumptions offshore'!Y52</f>
        <v>5.21E-2</v>
      </c>
      <c r="Q74" s="183">
        <f ca="1">'Financing assumptions offshore'!Z52</f>
        <v>5.21E-2</v>
      </c>
      <c r="R74" s="183">
        <f ca="1">'Financing assumptions offshore'!AA52</f>
        <v>5.21E-2</v>
      </c>
      <c r="S74" s="183">
        <f ca="1">'Financing assumptions offshore'!AB52</f>
        <v>5.21E-2</v>
      </c>
      <c r="T74" s="183">
        <f ca="1">'Financing assumptions offshore'!AC52</f>
        <v>5.21E-2</v>
      </c>
      <c r="U74" s="183">
        <f ca="1">'Financing assumptions offshore'!AD52</f>
        <v>5.21E-2</v>
      </c>
      <c r="V74" s="183">
        <f ca="1">'Financing assumptions offshore'!AE52</f>
        <v>5.21E-2</v>
      </c>
      <c r="W74" s="183">
        <f ca="1">'Financing assumptions offshore'!AF52</f>
        <v>5.21E-2</v>
      </c>
      <c r="X74" s="183">
        <f ca="1">'Financing assumptions offshore'!AG52</f>
        <v>5.21E-2</v>
      </c>
      <c r="Y74" s="183">
        <f ca="1">'Financing assumptions offshore'!AH52</f>
        <v>5.21E-2</v>
      </c>
      <c r="Z74" s="183">
        <f ca="1">'Financing assumptions offshore'!AI52</f>
        <v>5.21E-2</v>
      </c>
      <c r="AA74" s="183">
        <f ca="1">'Financing assumptions offshore'!AJ52</f>
        <v>5.21E-2</v>
      </c>
      <c r="AB74" s="183">
        <f ca="1">'Financing assumptions offshore'!AK52</f>
        <v>5.21E-2</v>
      </c>
      <c r="AC74" s="183">
        <f ca="1">'Financing assumptions offshore'!AL52</f>
        <v>5.21E-2</v>
      </c>
      <c r="AD74" s="183">
        <f ca="1">'Financing assumptions offshore'!AM52</f>
        <v>5.21E-2</v>
      </c>
      <c r="AE74" s="183">
        <f ca="1">'Financing assumptions offshore'!AN52</f>
        <v>5.21E-2</v>
      </c>
      <c r="AF74" s="183">
        <f ca="1">'Financing assumptions offshore'!AO52</f>
        <v>5.21E-2</v>
      </c>
      <c r="AG74" s="183">
        <f>'Financing assumptions offshore'!AP52</f>
        <v>0</v>
      </c>
    </row>
    <row r="75" spans="1:33">
      <c r="C75" s="183" t="s">
        <v>756</v>
      </c>
      <c r="D75" s="183">
        <f>'Financing assumptions offshore'!$F$53/10000</f>
        <v>5.0000000000000001E-3</v>
      </c>
      <c r="E75" s="183">
        <f>'Financing assumptions offshore'!$F$53/10000</f>
        <v>5.0000000000000001E-3</v>
      </c>
      <c r="F75" s="183">
        <f>'Financing assumptions offshore'!$F$53/10000</f>
        <v>5.0000000000000001E-3</v>
      </c>
      <c r="G75" s="183">
        <f>'Financing assumptions offshore'!$F$53/10000</f>
        <v>5.0000000000000001E-3</v>
      </c>
      <c r="H75" s="183">
        <f>'Financing assumptions offshore'!$F$53/10000</f>
        <v>5.0000000000000001E-3</v>
      </c>
      <c r="I75" s="183">
        <f>'Financing assumptions offshore'!$F$53/10000</f>
        <v>5.0000000000000001E-3</v>
      </c>
      <c r="J75" s="183">
        <f>'Financing assumptions offshore'!$F$53/10000</f>
        <v>5.0000000000000001E-3</v>
      </c>
      <c r="K75" s="183">
        <f>'Financing assumptions offshore'!$F$53/10000</f>
        <v>5.0000000000000001E-3</v>
      </c>
      <c r="L75" s="183">
        <f>'Financing assumptions offshore'!$F$53/10000</f>
        <v>5.0000000000000001E-3</v>
      </c>
      <c r="M75" s="183">
        <f>'Financing assumptions offshore'!$F$53/10000</f>
        <v>5.0000000000000001E-3</v>
      </c>
      <c r="N75" s="183">
        <f>'Financing assumptions offshore'!$F$53/10000</f>
        <v>5.0000000000000001E-3</v>
      </c>
      <c r="O75" s="183">
        <f>'Financing assumptions offshore'!$F$53/10000</f>
        <v>5.0000000000000001E-3</v>
      </c>
      <c r="P75" s="183">
        <f>'Financing assumptions offshore'!$F$53/10000</f>
        <v>5.0000000000000001E-3</v>
      </c>
      <c r="Q75" s="183">
        <f>'Financing assumptions offshore'!$F$53/10000</f>
        <v>5.0000000000000001E-3</v>
      </c>
      <c r="R75" s="183">
        <f>'Financing assumptions offshore'!$F$53/10000</f>
        <v>5.0000000000000001E-3</v>
      </c>
      <c r="S75" s="183">
        <f>'Financing assumptions offshore'!$F$53/10000</f>
        <v>5.0000000000000001E-3</v>
      </c>
      <c r="T75" s="183">
        <f>'Financing assumptions offshore'!$F$53/10000</f>
        <v>5.0000000000000001E-3</v>
      </c>
      <c r="U75" s="183">
        <f>'Financing assumptions offshore'!$F$53/10000</f>
        <v>5.0000000000000001E-3</v>
      </c>
      <c r="V75" s="183">
        <f>'Financing assumptions offshore'!$F$53/10000</f>
        <v>5.0000000000000001E-3</v>
      </c>
      <c r="W75" s="183">
        <f>'Financing assumptions offshore'!$F$53/10000</f>
        <v>5.0000000000000001E-3</v>
      </c>
      <c r="X75" s="183">
        <f>'Financing assumptions offshore'!$F$53/10000</f>
        <v>5.0000000000000001E-3</v>
      </c>
      <c r="Y75" s="183">
        <f>'Financing assumptions offshore'!$F$53/10000</f>
        <v>5.0000000000000001E-3</v>
      </c>
      <c r="Z75" s="183">
        <f>'Financing assumptions offshore'!$F$53/10000</f>
        <v>5.0000000000000001E-3</v>
      </c>
      <c r="AA75" s="183">
        <f>'Financing assumptions offshore'!$F$53/10000</f>
        <v>5.0000000000000001E-3</v>
      </c>
      <c r="AB75" s="183">
        <f>'Financing assumptions offshore'!$F$53/10000</f>
        <v>5.0000000000000001E-3</v>
      </c>
      <c r="AC75" s="183">
        <f>'Financing assumptions offshore'!$F$53/10000</f>
        <v>5.0000000000000001E-3</v>
      </c>
      <c r="AD75" s="183">
        <f>'Financing assumptions offshore'!$F$53/10000</f>
        <v>5.0000000000000001E-3</v>
      </c>
      <c r="AE75" s="183">
        <f>'Financing assumptions offshore'!$F$53/10000</f>
        <v>5.0000000000000001E-3</v>
      </c>
      <c r="AF75" s="183">
        <f>'Financing assumptions offshore'!$F$53/10000</f>
        <v>5.0000000000000001E-3</v>
      </c>
      <c r="AG75" s="183">
        <f>'Financing assumptions offshore'!$F$53/10000</f>
        <v>5.0000000000000001E-3</v>
      </c>
    </row>
    <row r="76" spans="1:33">
      <c r="C76" s="28" t="s">
        <v>730</v>
      </c>
      <c r="D76" s="291">
        <v>0</v>
      </c>
      <c r="E76" s="291">
        <f>D80</f>
        <v>0</v>
      </c>
      <c r="F76" s="291">
        <f t="shared" ref="F76:AB76" ca="1" si="140">E80</f>
        <v>0</v>
      </c>
      <c r="G76" s="291">
        <f t="shared" ca="1" si="140"/>
        <v>0</v>
      </c>
      <c r="H76" s="291">
        <f t="shared" ca="1" si="140"/>
        <v>0</v>
      </c>
      <c r="I76" s="291">
        <f t="shared" ca="1" si="140"/>
        <v>0</v>
      </c>
      <c r="J76" s="291">
        <f t="shared" ca="1" si="140"/>
        <v>0</v>
      </c>
      <c r="K76" s="291">
        <f t="shared" ca="1" si="140"/>
        <v>0</v>
      </c>
      <c r="L76" s="291">
        <f t="shared" ca="1" si="140"/>
        <v>0</v>
      </c>
      <c r="M76" s="291">
        <f t="shared" ca="1" si="140"/>
        <v>0</v>
      </c>
      <c r="N76" s="291">
        <f t="shared" ca="1" si="140"/>
        <v>0</v>
      </c>
      <c r="O76" s="291">
        <f t="shared" ca="1" si="140"/>
        <v>0</v>
      </c>
      <c r="P76" s="291">
        <f t="shared" ca="1" si="140"/>
        <v>0</v>
      </c>
      <c r="Q76" s="291">
        <f t="shared" ca="1" si="140"/>
        <v>0</v>
      </c>
      <c r="R76" s="291">
        <f t="shared" ca="1" si="140"/>
        <v>0</v>
      </c>
      <c r="S76" s="291">
        <f t="shared" ca="1" si="140"/>
        <v>0</v>
      </c>
      <c r="T76" s="291">
        <f t="shared" ca="1" si="140"/>
        <v>0</v>
      </c>
      <c r="U76" s="291">
        <f t="shared" ca="1" si="140"/>
        <v>0</v>
      </c>
      <c r="V76" s="291">
        <f t="shared" ca="1" si="140"/>
        <v>0</v>
      </c>
      <c r="W76" s="291">
        <f t="shared" ca="1" si="140"/>
        <v>0</v>
      </c>
      <c r="X76" s="291">
        <f t="shared" ca="1" si="140"/>
        <v>0</v>
      </c>
      <c r="Y76" s="291">
        <f t="shared" ca="1" si="140"/>
        <v>0</v>
      </c>
      <c r="Z76" s="291">
        <f t="shared" ca="1" si="140"/>
        <v>0</v>
      </c>
      <c r="AA76" s="291">
        <f t="shared" ca="1" si="140"/>
        <v>0</v>
      </c>
      <c r="AB76" s="291">
        <f t="shared" ca="1" si="140"/>
        <v>0</v>
      </c>
      <c r="AC76" s="291" t="e">
        <f t="shared" ref="AC76" ca="1" si="141">AB80</f>
        <v>#N/A</v>
      </c>
      <c r="AD76" s="291" t="e">
        <f t="shared" ref="AD76" ca="1" si="142">AC80</f>
        <v>#N/A</v>
      </c>
      <c r="AE76" s="291" t="e">
        <f t="shared" ref="AE76" ca="1" si="143">AD80</f>
        <v>#N/A</v>
      </c>
      <c r="AF76" s="291" t="e">
        <f t="shared" ref="AF76:AG76" ca="1" si="144">AE80</f>
        <v>#N/A</v>
      </c>
      <c r="AG76" s="291" t="e">
        <f t="shared" ca="1" si="144"/>
        <v>#N/A</v>
      </c>
    </row>
    <row r="77" spans="1:33">
      <c r="C77" s="28" t="s">
        <v>758</v>
      </c>
      <c r="D77" s="291">
        <f>D73-D76</f>
        <v>0</v>
      </c>
      <c r="E77" s="291">
        <f t="shared" ref="E77:AB77" si="145">E73-E76</f>
        <v>0</v>
      </c>
      <c r="F77" s="291">
        <f t="shared" ca="1" si="145"/>
        <v>0</v>
      </c>
      <c r="G77" s="291">
        <f t="shared" ca="1" si="145"/>
        <v>0</v>
      </c>
      <c r="H77" s="291">
        <f t="shared" ca="1" si="145"/>
        <v>0</v>
      </c>
      <c r="I77" s="291">
        <f t="shared" ca="1" si="145"/>
        <v>0</v>
      </c>
      <c r="J77" s="291">
        <f t="shared" ca="1" si="145"/>
        <v>0</v>
      </c>
      <c r="K77" s="291">
        <f t="shared" ca="1" si="145"/>
        <v>0</v>
      </c>
      <c r="L77" s="291">
        <f t="shared" ca="1" si="145"/>
        <v>0</v>
      </c>
      <c r="M77" s="291">
        <f t="shared" ca="1" si="145"/>
        <v>0</v>
      </c>
      <c r="N77" s="291">
        <f t="shared" ca="1" si="145"/>
        <v>0</v>
      </c>
      <c r="O77" s="291">
        <f t="shared" ca="1" si="145"/>
        <v>0</v>
      </c>
      <c r="P77" s="291">
        <f t="shared" ca="1" si="145"/>
        <v>0</v>
      </c>
      <c r="Q77" s="291">
        <f t="shared" ca="1" si="145"/>
        <v>0</v>
      </c>
      <c r="R77" s="291">
        <f t="shared" ca="1" si="145"/>
        <v>0</v>
      </c>
      <c r="S77" s="291">
        <f t="shared" ca="1" si="145"/>
        <v>0</v>
      </c>
      <c r="T77" s="291">
        <f t="shared" ca="1" si="145"/>
        <v>0</v>
      </c>
      <c r="U77" s="291">
        <f t="shared" ca="1" si="145"/>
        <v>0</v>
      </c>
      <c r="V77" s="291">
        <f t="shared" ca="1" si="145"/>
        <v>0</v>
      </c>
      <c r="W77" s="291">
        <f t="shared" ca="1" si="145"/>
        <v>0</v>
      </c>
      <c r="X77" s="291">
        <f t="shared" ca="1" si="145"/>
        <v>0</v>
      </c>
      <c r="Y77" s="291">
        <f t="shared" ca="1" si="145"/>
        <v>0</v>
      </c>
      <c r="Z77" s="291">
        <f t="shared" ca="1" si="145"/>
        <v>0</v>
      </c>
      <c r="AA77" s="291">
        <f t="shared" ca="1" si="145"/>
        <v>0</v>
      </c>
      <c r="AB77" s="291">
        <f t="shared" ca="1" si="145"/>
        <v>0</v>
      </c>
      <c r="AC77" s="291" t="e">
        <f t="shared" ref="AC77:AF77" ca="1" si="146">AC73-AC76</f>
        <v>#N/A</v>
      </c>
      <c r="AD77" s="291" t="e">
        <f t="shared" ca="1" si="146"/>
        <v>#N/A</v>
      </c>
      <c r="AE77" s="291" t="e">
        <f t="shared" ca="1" si="146"/>
        <v>#N/A</v>
      </c>
      <c r="AF77" s="291" t="e">
        <f t="shared" ca="1" si="146"/>
        <v>#N/A</v>
      </c>
      <c r="AG77" s="291" t="e">
        <f t="shared" ref="AG77" ca="1" si="147">AG73-AG76</f>
        <v>#N/A</v>
      </c>
    </row>
    <row r="78" spans="1:33">
      <c r="C78" s="295" t="s">
        <v>732</v>
      </c>
      <c r="D78" s="291">
        <f>'Financing assumptions offshore'!F54</f>
        <v>0</v>
      </c>
      <c r="E78" s="291">
        <f t="shared" ref="E78:AB78" ca="1" si="148">MAX(MIN(-E70-E79,E77),-E76)</f>
        <v>0</v>
      </c>
      <c r="F78" s="291">
        <f t="shared" ca="1" si="148"/>
        <v>0</v>
      </c>
      <c r="G78" s="291">
        <f t="shared" ca="1" si="148"/>
        <v>0</v>
      </c>
      <c r="H78" s="291">
        <f t="shared" ca="1" si="148"/>
        <v>0</v>
      </c>
      <c r="I78" s="291">
        <f t="shared" ca="1" si="148"/>
        <v>0</v>
      </c>
      <c r="J78" s="291">
        <f t="shared" ca="1" si="148"/>
        <v>0</v>
      </c>
      <c r="K78" s="291">
        <f t="shared" ca="1" si="148"/>
        <v>0</v>
      </c>
      <c r="L78" s="291">
        <f t="shared" ca="1" si="148"/>
        <v>0</v>
      </c>
      <c r="M78" s="291">
        <f t="shared" ca="1" si="148"/>
        <v>0</v>
      </c>
      <c r="N78" s="291">
        <f t="shared" ca="1" si="148"/>
        <v>0</v>
      </c>
      <c r="O78" s="291">
        <f t="shared" ca="1" si="148"/>
        <v>0</v>
      </c>
      <c r="P78" s="291">
        <f ca="1">MAX(MIN(-P70-P79,P77),-P76)</f>
        <v>0</v>
      </c>
      <c r="Q78" s="291">
        <f t="shared" ca="1" si="148"/>
        <v>0</v>
      </c>
      <c r="R78" s="291">
        <f t="shared" ca="1" si="148"/>
        <v>0</v>
      </c>
      <c r="S78" s="291">
        <f t="shared" ca="1" si="148"/>
        <v>0</v>
      </c>
      <c r="T78" s="291">
        <f t="shared" ca="1" si="148"/>
        <v>0</v>
      </c>
      <c r="U78" s="291">
        <f t="shared" ca="1" si="148"/>
        <v>0</v>
      </c>
      <c r="V78" s="291">
        <f t="shared" ca="1" si="148"/>
        <v>0</v>
      </c>
      <c r="W78" s="291">
        <f t="shared" ca="1" si="148"/>
        <v>0</v>
      </c>
      <c r="X78" s="291">
        <f t="shared" ca="1" si="148"/>
        <v>0</v>
      </c>
      <c r="Y78" s="291">
        <f t="shared" ca="1" si="148"/>
        <v>0</v>
      </c>
      <c r="Z78" s="291">
        <f t="shared" ca="1" si="148"/>
        <v>0</v>
      </c>
      <c r="AA78" s="291">
        <f t="shared" ca="1" si="148"/>
        <v>0</v>
      </c>
      <c r="AB78" s="291" t="e">
        <f t="shared" ca="1" si="148"/>
        <v>#N/A</v>
      </c>
      <c r="AC78" s="291" t="e">
        <f t="shared" ref="AC78:AF78" ca="1" si="149">MAX(MIN(-AC70-AC79,AC77),-AC76)</f>
        <v>#N/A</v>
      </c>
      <c r="AD78" s="291" t="e">
        <f t="shared" ca="1" si="149"/>
        <v>#N/A</v>
      </c>
      <c r="AE78" s="291" t="e">
        <f t="shared" ca="1" si="149"/>
        <v>#N/A</v>
      </c>
      <c r="AF78" s="291" t="e">
        <f t="shared" ca="1" si="149"/>
        <v>#N/A</v>
      </c>
      <c r="AG78" s="291" t="e">
        <f t="shared" ref="AG78" ca="1" si="150">MAX(MIN(-AG70-AG79,AG77),-AG76)</f>
        <v>#N/A</v>
      </c>
    </row>
    <row r="79" spans="1:33">
      <c r="C79" s="295" t="s">
        <v>729</v>
      </c>
      <c r="D79" s="291">
        <f t="shared" ref="D79:AB79" si="151">NOT(D6)*-(D74*D76/4+D77*D75/4)</f>
        <v>0</v>
      </c>
      <c r="E79" s="291">
        <f t="shared" si="151"/>
        <v>0</v>
      </c>
      <c r="F79" s="291">
        <f t="shared" ca="1" si="151"/>
        <v>0</v>
      </c>
      <c r="G79" s="291">
        <f t="shared" ca="1" si="151"/>
        <v>0</v>
      </c>
      <c r="H79" s="291">
        <f t="shared" ca="1" si="151"/>
        <v>0</v>
      </c>
      <c r="I79" s="291">
        <f t="shared" ca="1" si="151"/>
        <v>0</v>
      </c>
      <c r="J79" s="291">
        <f t="shared" ca="1" si="151"/>
        <v>0</v>
      </c>
      <c r="K79" s="291">
        <f t="shared" ca="1" si="151"/>
        <v>0</v>
      </c>
      <c r="L79" s="291">
        <f t="shared" ca="1" si="151"/>
        <v>0</v>
      </c>
      <c r="M79" s="291">
        <f t="shared" ca="1" si="151"/>
        <v>0</v>
      </c>
      <c r="N79" s="291">
        <f t="shared" ca="1" si="151"/>
        <v>0</v>
      </c>
      <c r="O79" s="291">
        <f t="shared" ca="1" si="151"/>
        <v>0</v>
      </c>
      <c r="P79" s="291">
        <f t="shared" ca="1" si="151"/>
        <v>0</v>
      </c>
      <c r="Q79" s="291">
        <f t="shared" ca="1" si="151"/>
        <v>0</v>
      </c>
      <c r="R79" s="291">
        <f t="shared" ca="1" si="151"/>
        <v>0</v>
      </c>
      <c r="S79" s="291">
        <f t="shared" ca="1" si="151"/>
        <v>0</v>
      </c>
      <c r="T79" s="291">
        <f t="shared" ca="1" si="151"/>
        <v>0</v>
      </c>
      <c r="U79" s="291">
        <f t="shared" ca="1" si="151"/>
        <v>0</v>
      </c>
      <c r="V79" s="291">
        <f t="shared" ca="1" si="151"/>
        <v>0</v>
      </c>
      <c r="W79" s="291">
        <f t="shared" ca="1" si="151"/>
        <v>0</v>
      </c>
      <c r="X79" s="291">
        <f t="shared" ca="1" si="151"/>
        <v>0</v>
      </c>
      <c r="Y79" s="291">
        <f t="shared" ca="1" si="151"/>
        <v>0</v>
      </c>
      <c r="Z79" s="291">
        <f t="shared" ca="1" si="151"/>
        <v>0</v>
      </c>
      <c r="AA79" s="291">
        <f t="shared" ca="1" si="151"/>
        <v>0</v>
      </c>
      <c r="AB79" s="291">
        <f t="shared" ca="1" si="151"/>
        <v>0</v>
      </c>
      <c r="AC79" s="291" t="e">
        <f t="shared" ref="AC79:AF79" ca="1" si="152">NOT(AC6)*-(AC74*AC76/4+AC77*AC75/4)</f>
        <v>#N/A</v>
      </c>
      <c r="AD79" s="291" t="e">
        <f t="shared" ca="1" si="152"/>
        <v>#N/A</v>
      </c>
      <c r="AE79" s="291" t="e">
        <f t="shared" ca="1" si="152"/>
        <v>#N/A</v>
      </c>
      <c r="AF79" s="291" t="e">
        <f t="shared" ca="1" si="152"/>
        <v>#N/A</v>
      </c>
      <c r="AG79" s="291" t="e">
        <f t="shared" ref="AG79" ca="1" si="153">NOT(AG6)*-(AG74*AG76/4+AG77*AG75/4)</f>
        <v>#N/A</v>
      </c>
    </row>
    <row r="80" spans="1:33">
      <c r="C80" s="195" t="s">
        <v>1040</v>
      </c>
      <c r="D80" s="195">
        <f>D76+D78</f>
        <v>0</v>
      </c>
      <c r="E80" s="195">
        <f t="shared" ref="E80:AB80" ca="1" si="154">E76+E78</f>
        <v>0</v>
      </c>
      <c r="F80" s="195">
        <f t="shared" ca="1" si="154"/>
        <v>0</v>
      </c>
      <c r="G80" s="195">
        <f t="shared" ca="1" si="154"/>
        <v>0</v>
      </c>
      <c r="H80" s="195">
        <f t="shared" ca="1" si="154"/>
        <v>0</v>
      </c>
      <c r="I80" s="195">
        <f t="shared" ca="1" si="154"/>
        <v>0</v>
      </c>
      <c r="J80" s="195">
        <f t="shared" ca="1" si="154"/>
        <v>0</v>
      </c>
      <c r="K80" s="195">
        <f t="shared" ca="1" si="154"/>
        <v>0</v>
      </c>
      <c r="L80" s="195">
        <f t="shared" ca="1" si="154"/>
        <v>0</v>
      </c>
      <c r="M80" s="195">
        <f t="shared" ca="1" si="154"/>
        <v>0</v>
      </c>
      <c r="N80" s="195">
        <f t="shared" ca="1" si="154"/>
        <v>0</v>
      </c>
      <c r="O80" s="195">
        <f t="shared" ca="1" si="154"/>
        <v>0</v>
      </c>
      <c r="P80" s="195">
        <f ca="1">P76+P78</f>
        <v>0</v>
      </c>
      <c r="Q80" s="195">
        <f t="shared" ca="1" si="154"/>
        <v>0</v>
      </c>
      <c r="R80" s="195">
        <f t="shared" ca="1" si="154"/>
        <v>0</v>
      </c>
      <c r="S80" s="195">
        <f t="shared" ca="1" si="154"/>
        <v>0</v>
      </c>
      <c r="T80" s="195">
        <f t="shared" ca="1" si="154"/>
        <v>0</v>
      </c>
      <c r="U80" s="195">
        <f t="shared" ca="1" si="154"/>
        <v>0</v>
      </c>
      <c r="V80" s="195">
        <f t="shared" ca="1" si="154"/>
        <v>0</v>
      </c>
      <c r="W80" s="195">
        <f t="shared" ca="1" si="154"/>
        <v>0</v>
      </c>
      <c r="X80" s="195">
        <f t="shared" ca="1" si="154"/>
        <v>0</v>
      </c>
      <c r="Y80" s="195">
        <f t="shared" ca="1" si="154"/>
        <v>0</v>
      </c>
      <c r="Z80" s="195">
        <f t="shared" ca="1" si="154"/>
        <v>0</v>
      </c>
      <c r="AA80" s="195">
        <f t="shared" ca="1" si="154"/>
        <v>0</v>
      </c>
      <c r="AB80" s="195" t="e">
        <f t="shared" ca="1" si="154"/>
        <v>#N/A</v>
      </c>
      <c r="AC80" s="195" t="e">
        <f t="shared" ref="AC80:AF80" ca="1" si="155">AC76+AC78</f>
        <v>#N/A</v>
      </c>
      <c r="AD80" s="195" t="e">
        <f t="shared" ca="1" si="155"/>
        <v>#N/A</v>
      </c>
      <c r="AE80" s="195" t="e">
        <f t="shared" ca="1" si="155"/>
        <v>#N/A</v>
      </c>
      <c r="AF80" s="195" t="e">
        <f t="shared" ca="1" si="155"/>
        <v>#N/A</v>
      </c>
      <c r="AG80" s="195" t="e">
        <f t="shared" ref="AG80" ca="1" si="156">AG76+AG78</f>
        <v>#N/A</v>
      </c>
    </row>
    <row r="81" spans="3:33">
      <c r="C81" s="195" t="s">
        <v>1045</v>
      </c>
      <c r="D81" s="195">
        <f>D73-D80</f>
        <v>0</v>
      </c>
      <c r="E81" s="195">
        <f t="shared" ref="E81:AB81" ca="1" si="157">E73-E80</f>
        <v>0</v>
      </c>
      <c r="F81" s="195">
        <f t="shared" ca="1" si="157"/>
        <v>0</v>
      </c>
      <c r="G81" s="195">
        <f t="shared" ca="1" si="157"/>
        <v>0</v>
      </c>
      <c r="H81" s="195">
        <f t="shared" ca="1" si="157"/>
        <v>0</v>
      </c>
      <c r="I81" s="195">
        <f t="shared" ca="1" si="157"/>
        <v>0</v>
      </c>
      <c r="J81" s="195">
        <f t="shared" ca="1" si="157"/>
        <v>0</v>
      </c>
      <c r="K81" s="195">
        <f t="shared" ca="1" si="157"/>
        <v>0</v>
      </c>
      <c r="L81" s="195">
        <f t="shared" ca="1" si="157"/>
        <v>0</v>
      </c>
      <c r="M81" s="195">
        <f t="shared" ca="1" si="157"/>
        <v>0</v>
      </c>
      <c r="N81" s="195">
        <f t="shared" ca="1" si="157"/>
        <v>0</v>
      </c>
      <c r="O81" s="195">
        <f t="shared" ca="1" si="157"/>
        <v>0</v>
      </c>
      <c r="P81" s="195">
        <f t="shared" ca="1" si="157"/>
        <v>0</v>
      </c>
      <c r="Q81" s="195">
        <f t="shared" ca="1" si="157"/>
        <v>0</v>
      </c>
      <c r="R81" s="195">
        <f t="shared" ca="1" si="157"/>
        <v>0</v>
      </c>
      <c r="S81" s="195">
        <f t="shared" ca="1" si="157"/>
        <v>0</v>
      </c>
      <c r="T81" s="195">
        <f t="shared" ca="1" si="157"/>
        <v>0</v>
      </c>
      <c r="U81" s="195">
        <f t="shared" ca="1" si="157"/>
        <v>0</v>
      </c>
      <c r="V81" s="195">
        <f t="shared" ca="1" si="157"/>
        <v>0</v>
      </c>
      <c r="W81" s="195">
        <f t="shared" ca="1" si="157"/>
        <v>0</v>
      </c>
      <c r="X81" s="195">
        <f t="shared" ca="1" si="157"/>
        <v>0</v>
      </c>
      <c r="Y81" s="195">
        <f t="shared" ca="1" si="157"/>
        <v>0</v>
      </c>
      <c r="Z81" s="195">
        <f t="shared" ca="1" si="157"/>
        <v>0</v>
      </c>
      <c r="AA81" s="195">
        <f t="shared" ca="1" si="157"/>
        <v>0</v>
      </c>
      <c r="AB81" s="195" t="e">
        <f t="shared" ca="1" si="157"/>
        <v>#N/A</v>
      </c>
      <c r="AC81" s="195" t="e">
        <f t="shared" ref="AC81:AF81" ca="1" si="158">AC73-AC80</f>
        <v>#N/A</v>
      </c>
      <c r="AD81" s="195" t="e">
        <f t="shared" ca="1" si="158"/>
        <v>#N/A</v>
      </c>
      <c r="AE81" s="195" t="e">
        <f t="shared" ca="1" si="158"/>
        <v>#N/A</v>
      </c>
      <c r="AF81" s="195" t="e">
        <f t="shared" ca="1" si="158"/>
        <v>#N/A</v>
      </c>
      <c r="AG81" s="195" t="e">
        <f t="shared" ref="AG81" ca="1" si="159">AG73-AG80</f>
        <v>#N/A</v>
      </c>
    </row>
    <row r="83" spans="3:33">
      <c r="C83" s="209" t="s">
        <v>1471</v>
      </c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</row>
    <row r="84" spans="3:33">
      <c r="C84" s="28" t="s">
        <v>730</v>
      </c>
      <c r="D84" s="291">
        <f>'Acquisition BS adjustments'!E73</f>
        <v>0</v>
      </c>
      <c r="E84" s="291">
        <f>D86</f>
        <v>0</v>
      </c>
      <c r="F84" s="291">
        <f t="shared" ref="F84" ca="1" si="160">E86</f>
        <v>0</v>
      </c>
      <c r="G84" s="291">
        <f t="shared" ref="G84" ca="1" si="161">F86</f>
        <v>0</v>
      </c>
      <c r="H84" s="291">
        <f t="shared" ref="H84" ca="1" si="162">G86</f>
        <v>0</v>
      </c>
      <c r="I84" s="291">
        <f t="shared" ref="I84" ca="1" si="163">H86</f>
        <v>0</v>
      </c>
      <c r="J84" s="291">
        <f t="shared" ref="J84" ca="1" si="164">I86</f>
        <v>0</v>
      </c>
      <c r="K84" s="291">
        <f t="shared" ref="K84" ca="1" si="165">J86</f>
        <v>0</v>
      </c>
      <c r="L84" s="291">
        <f t="shared" ref="L84" ca="1" si="166">K86</f>
        <v>0</v>
      </c>
      <c r="M84" s="291">
        <f t="shared" ref="M84" ca="1" si="167">L86</f>
        <v>0</v>
      </c>
      <c r="N84" s="291">
        <f t="shared" ref="N84" ca="1" si="168">M86</f>
        <v>0</v>
      </c>
      <c r="O84" s="291">
        <f t="shared" ref="O84" ca="1" si="169">N86</f>
        <v>0</v>
      </c>
      <c r="P84" s="291">
        <f t="shared" ref="P84" ca="1" si="170">O86</f>
        <v>0</v>
      </c>
      <c r="Q84" s="291">
        <f t="shared" ref="Q84" ca="1" si="171">P86</f>
        <v>0</v>
      </c>
      <c r="R84" s="291">
        <f t="shared" ref="R84" ca="1" si="172">Q86</f>
        <v>0</v>
      </c>
      <c r="S84" s="291">
        <f t="shared" ref="S84" ca="1" si="173">R86</f>
        <v>0</v>
      </c>
      <c r="T84" s="291">
        <f t="shared" ref="T84" ca="1" si="174">S86</f>
        <v>0</v>
      </c>
      <c r="U84" s="291">
        <f t="shared" ref="U84" ca="1" si="175">T86</f>
        <v>0</v>
      </c>
      <c r="V84" s="291">
        <f t="shared" ref="V84" ca="1" si="176">U86</f>
        <v>0</v>
      </c>
      <c r="W84" s="291">
        <f t="shared" ref="W84" ca="1" si="177">V86</f>
        <v>0</v>
      </c>
      <c r="X84" s="291">
        <f t="shared" ref="X84" ca="1" si="178">W86</f>
        <v>0</v>
      </c>
      <c r="Y84" s="291">
        <f t="shared" ref="Y84" ca="1" si="179">X86</f>
        <v>0</v>
      </c>
      <c r="Z84" s="291">
        <f t="shared" ref="Z84" ca="1" si="180">Y86</f>
        <v>0</v>
      </c>
      <c r="AA84" s="291">
        <f t="shared" ref="AA84" ca="1" si="181">Z86</f>
        <v>0</v>
      </c>
      <c r="AB84" s="291">
        <f t="shared" ref="AB84" ca="1" si="182">AA86</f>
        <v>0</v>
      </c>
      <c r="AC84" s="291" t="e">
        <f t="shared" ref="AC84" ca="1" si="183">AB86</f>
        <v>#N/A</v>
      </c>
      <c r="AD84" s="291" t="e">
        <f t="shared" ref="AD84" ca="1" si="184">AC86</f>
        <v>#N/A</v>
      </c>
      <c r="AE84" s="291" t="e">
        <f t="shared" ref="AE84" ca="1" si="185">AD86</f>
        <v>#N/A</v>
      </c>
      <c r="AF84" s="291" t="e">
        <f t="shared" ref="AF84:AG84" ca="1" si="186">AE86</f>
        <v>#N/A</v>
      </c>
      <c r="AG84" s="291" t="e">
        <f t="shared" ca="1" si="186"/>
        <v>#N/A</v>
      </c>
    </row>
    <row r="85" spans="3:33">
      <c r="C85" s="295" t="s">
        <v>732</v>
      </c>
      <c r="D85" s="291">
        <f t="shared" ref="D85:AB85" si="187">MAX(-(D70+D78),-D84)*int_pay_trigger</f>
        <v>0</v>
      </c>
      <c r="E85" s="291">
        <f t="shared" ca="1" si="187"/>
        <v>0</v>
      </c>
      <c r="F85" s="291">
        <f t="shared" ca="1" si="187"/>
        <v>0</v>
      </c>
      <c r="G85" s="291">
        <f t="shared" ca="1" si="187"/>
        <v>0</v>
      </c>
      <c r="H85" s="291">
        <f t="shared" ca="1" si="187"/>
        <v>0</v>
      </c>
      <c r="I85" s="291">
        <f t="shared" ca="1" si="187"/>
        <v>0</v>
      </c>
      <c r="J85" s="291">
        <f t="shared" ca="1" si="187"/>
        <v>0</v>
      </c>
      <c r="K85" s="291">
        <f t="shared" ca="1" si="187"/>
        <v>0</v>
      </c>
      <c r="L85" s="291">
        <f t="shared" ca="1" si="187"/>
        <v>0</v>
      </c>
      <c r="M85" s="291">
        <f t="shared" ca="1" si="187"/>
        <v>0</v>
      </c>
      <c r="N85" s="291">
        <f t="shared" ca="1" si="187"/>
        <v>0</v>
      </c>
      <c r="O85" s="291">
        <f t="shared" ca="1" si="187"/>
        <v>0</v>
      </c>
      <c r="P85" s="291">
        <f t="shared" ca="1" si="187"/>
        <v>0</v>
      </c>
      <c r="Q85" s="291">
        <f t="shared" ca="1" si="187"/>
        <v>0</v>
      </c>
      <c r="R85" s="291">
        <f t="shared" ca="1" si="187"/>
        <v>0</v>
      </c>
      <c r="S85" s="291">
        <f t="shared" ca="1" si="187"/>
        <v>0</v>
      </c>
      <c r="T85" s="291">
        <f t="shared" ca="1" si="187"/>
        <v>0</v>
      </c>
      <c r="U85" s="291">
        <f t="shared" ca="1" si="187"/>
        <v>0</v>
      </c>
      <c r="V85" s="291">
        <f t="shared" ca="1" si="187"/>
        <v>0</v>
      </c>
      <c r="W85" s="291">
        <f t="shared" ca="1" si="187"/>
        <v>0</v>
      </c>
      <c r="X85" s="291">
        <f t="shared" ca="1" si="187"/>
        <v>0</v>
      </c>
      <c r="Y85" s="291">
        <f t="shared" ca="1" si="187"/>
        <v>0</v>
      </c>
      <c r="Z85" s="291">
        <f t="shared" ca="1" si="187"/>
        <v>0</v>
      </c>
      <c r="AA85" s="291">
        <f t="shared" ca="1" si="187"/>
        <v>0</v>
      </c>
      <c r="AB85" s="291" t="e">
        <f t="shared" ca="1" si="187"/>
        <v>#N/A</v>
      </c>
      <c r="AC85" s="291" t="e">
        <f t="shared" ref="AC85:AF85" ca="1" si="188">MAX(-(AC70+AC78),-AC84)*int_pay_trigger</f>
        <v>#N/A</v>
      </c>
      <c r="AD85" s="291" t="e">
        <f t="shared" ca="1" si="188"/>
        <v>#N/A</v>
      </c>
      <c r="AE85" s="291" t="e">
        <f t="shared" ca="1" si="188"/>
        <v>#N/A</v>
      </c>
      <c r="AF85" s="291" t="e">
        <f t="shared" ca="1" si="188"/>
        <v>#N/A</v>
      </c>
      <c r="AG85" s="291" t="e">
        <f t="shared" ref="AG85" ca="1" si="189">MAX(-(AG70+AG78),-AG84)*int_pay_trigger</f>
        <v>#N/A</v>
      </c>
    </row>
    <row r="86" spans="3:33">
      <c r="C86" s="195" t="s">
        <v>731</v>
      </c>
      <c r="D86" s="195">
        <f t="shared" ref="D86:AB86" si="190">D84+D85</f>
        <v>0</v>
      </c>
      <c r="E86" s="195">
        <f t="shared" ca="1" si="190"/>
        <v>0</v>
      </c>
      <c r="F86" s="195">
        <f t="shared" ca="1" si="190"/>
        <v>0</v>
      </c>
      <c r="G86" s="195">
        <f t="shared" ca="1" si="190"/>
        <v>0</v>
      </c>
      <c r="H86" s="195">
        <f t="shared" ca="1" si="190"/>
        <v>0</v>
      </c>
      <c r="I86" s="195">
        <f t="shared" ca="1" si="190"/>
        <v>0</v>
      </c>
      <c r="J86" s="195">
        <f t="shared" ca="1" si="190"/>
        <v>0</v>
      </c>
      <c r="K86" s="195">
        <f t="shared" ca="1" si="190"/>
        <v>0</v>
      </c>
      <c r="L86" s="195">
        <f t="shared" ca="1" si="190"/>
        <v>0</v>
      </c>
      <c r="M86" s="195">
        <f t="shared" ca="1" si="190"/>
        <v>0</v>
      </c>
      <c r="N86" s="195">
        <f t="shared" ca="1" si="190"/>
        <v>0</v>
      </c>
      <c r="O86" s="195">
        <f t="shared" ca="1" si="190"/>
        <v>0</v>
      </c>
      <c r="P86" s="195">
        <f t="shared" ca="1" si="190"/>
        <v>0</v>
      </c>
      <c r="Q86" s="195">
        <f t="shared" ca="1" si="190"/>
        <v>0</v>
      </c>
      <c r="R86" s="195">
        <f t="shared" ca="1" si="190"/>
        <v>0</v>
      </c>
      <c r="S86" s="195">
        <f t="shared" ca="1" si="190"/>
        <v>0</v>
      </c>
      <c r="T86" s="195">
        <f t="shared" ca="1" si="190"/>
        <v>0</v>
      </c>
      <c r="U86" s="195">
        <f t="shared" ca="1" si="190"/>
        <v>0</v>
      </c>
      <c r="V86" s="195">
        <f t="shared" ca="1" si="190"/>
        <v>0</v>
      </c>
      <c r="W86" s="195">
        <f t="shared" ca="1" si="190"/>
        <v>0</v>
      </c>
      <c r="X86" s="195">
        <f t="shared" ca="1" si="190"/>
        <v>0</v>
      </c>
      <c r="Y86" s="195">
        <f t="shared" ca="1" si="190"/>
        <v>0</v>
      </c>
      <c r="Z86" s="195">
        <f t="shared" ca="1" si="190"/>
        <v>0</v>
      </c>
      <c r="AA86" s="195">
        <f t="shared" ca="1" si="190"/>
        <v>0</v>
      </c>
      <c r="AB86" s="195" t="e">
        <f t="shared" ca="1" si="190"/>
        <v>#N/A</v>
      </c>
      <c r="AC86" s="195" t="e">
        <f t="shared" ref="AC86:AF86" ca="1" si="191">AC84+AC85</f>
        <v>#N/A</v>
      </c>
      <c r="AD86" s="195" t="e">
        <f t="shared" ca="1" si="191"/>
        <v>#N/A</v>
      </c>
      <c r="AE86" s="195" t="e">
        <f t="shared" ca="1" si="191"/>
        <v>#N/A</v>
      </c>
      <c r="AF86" s="195" t="e">
        <f t="shared" ca="1" si="191"/>
        <v>#N/A</v>
      </c>
      <c r="AG86" s="195" t="e">
        <f t="shared" ref="AG86" ca="1" si="192">AG84+AG85</f>
        <v>#N/A</v>
      </c>
    </row>
    <row r="87" spans="3:33">
      <c r="C87" s="378"/>
      <c r="D87" s="378"/>
      <c r="E87" s="378"/>
      <c r="F87" s="378"/>
      <c r="G87" s="378"/>
      <c r="H87" s="378"/>
      <c r="I87" s="378"/>
      <c r="J87" s="378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</row>
    <row r="88" spans="3:33">
      <c r="C88" s="379" t="s">
        <v>840</v>
      </c>
      <c r="D88" s="379"/>
      <c r="E88" s="379">
        <f t="shared" ref="E88:AB88" si="193">D95*cash_int/4</f>
        <v>0</v>
      </c>
      <c r="F88" s="379">
        <f t="shared" ca="1" si="193"/>
        <v>0</v>
      </c>
      <c r="G88" s="379">
        <f t="shared" ca="1" si="193"/>
        <v>0</v>
      </c>
      <c r="H88" s="379">
        <f t="shared" ca="1" si="193"/>
        <v>0</v>
      </c>
      <c r="I88" s="379">
        <f t="shared" ca="1" si="193"/>
        <v>0</v>
      </c>
      <c r="J88" s="379">
        <f t="shared" ca="1" si="193"/>
        <v>0</v>
      </c>
      <c r="K88" s="379">
        <f t="shared" ca="1" si="193"/>
        <v>0</v>
      </c>
      <c r="L88" s="379">
        <f t="shared" ca="1" si="193"/>
        <v>0</v>
      </c>
      <c r="M88" s="379">
        <f t="shared" ca="1" si="193"/>
        <v>0</v>
      </c>
      <c r="N88" s="379">
        <f t="shared" ca="1" si="193"/>
        <v>0</v>
      </c>
      <c r="O88" s="379">
        <f t="shared" ca="1" si="193"/>
        <v>0</v>
      </c>
      <c r="P88" s="379">
        <f t="shared" ca="1" si="193"/>
        <v>0</v>
      </c>
      <c r="Q88" s="379">
        <f t="shared" ca="1" si="193"/>
        <v>0</v>
      </c>
      <c r="R88" s="379">
        <f t="shared" ca="1" si="193"/>
        <v>0</v>
      </c>
      <c r="S88" s="379">
        <f t="shared" ca="1" si="193"/>
        <v>0</v>
      </c>
      <c r="T88" s="379">
        <f t="shared" ca="1" si="193"/>
        <v>0</v>
      </c>
      <c r="U88" s="379">
        <f t="shared" ca="1" si="193"/>
        <v>0</v>
      </c>
      <c r="V88" s="379">
        <f t="shared" ca="1" si="193"/>
        <v>0</v>
      </c>
      <c r="W88" s="379">
        <f t="shared" ca="1" si="193"/>
        <v>0</v>
      </c>
      <c r="X88" s="379">
        <f t="shared" ca="1" si="193"/>
        <v>0</v>
      </c>
      <c r="Y88" s="379">
        <f t="shared" ca="1" si="193"/>
        <v>0</v>
      </c>
      <c r="Z88" s="379">
        <f t="shared" ca="1" si="193"/>
        <v>0</v>
      </c>
      <c r="AA88" s="379">
        <f t="shared" ca="1" si="193"/>
        <v>0</v>
      </c>
      <c r="AB88" s="379">
        <f t="shared" ca="1" si="193"/>
        <v>0</v>
      </c>
      <c r="AC88" s="379" t="e">
        <f t="shared" ref="AC88" ca="1" si="194">AB95*cash_int/4</f>
        <v>#N/A</v>
      </c>
      <c r="AD88" s="379" t="e">
        <f t="shared" ref="AD88" ca="1" si="195">AC95*cash_int/4</f>
        <v>#N/A</v>
      </c>
      <c r="AE88" s="379" t="e">
        <f t="shared" ref="AE88" ca="1" si="196">AD95*cash_int/4</f>
        <v>#N/A</v>
      </c>
      <c r="AF88" s="379" t="e">
        <f t="shared" ref="AF88:AG88" ca="1" si="197">AE95*cash_int/4</f>
        <v>#N/A</v>
      </c>
      <c r="AG88" s="379" t="e">
        <f t="shared" ca="1" si="197"/>
        <v>#N/A</v>
      </c>
    </row>
    <row r="90" spans="3:33">
      <c r="C90" s="183" t="s">
        <v>754</v>
      </c>
      <c r="D90" s="183">
        <f>'Financing assumptions offshore'!$F$59*'Financing assumptions offshore'!$F$60</f>
        <v>0.24</v>
      </c>
      <c r="E90" s="183">
        <f>'Financing assumptions offshore'!$F$59*'Financing assumptions offshore'!$F$60</f>
        <v>0.24</v>
      </c>
      <c r="F90" s="183">
        <f>'Financing assumptions offshore'!$F$59*'Financing assumptions offshore'!$F$60</f>
        <v>0.24</v>
      </c>
      <c r="G90" s="183">
        <f>'Financing assumptions offshore'!$F$59*'Financing assumptions offshore'!$F$60</f>
        <v>0.24</v>
      </c>
      <c r="H90" s="183">
        <f>'Financing assumptions offshore'!$F$59*'Financing assumptions offshore'!$F$60</f>
        <v>0.24</v>
      </c>
      <c r="I90" s="183">
        <f>'Financing assumptions offshore'!$F$59*'Financing assumptions offshore'!$F$60</f>
        <v>0.24</v>
      </c>
      <c r="J90" s="183">
        <f>'Financing assumptions offshore'!$F$59*'Financing assumptions offshore'!$F$60</f>
        <v>0.24</v>
      </c>
      <c r="K90" s="183">
        <f>'Financing assumptions offshore'!$F$59*'Financing assumptions offshore'!$F$60</f>
        <v>0.24</v>
      </c>
      <c r="L90" s="183">
        <f>'Financing assumptions offshore'!$F$59*'Financing assumptions offshore'!$F$60</f>
        <v>0.24</v>
      </c>
      <c r="M90" s="183">
        <f>'Financing assumptions offshore'!$F$59*'Financing assumptions offshore'!$F$60</f>
        <v>0.24</v>
      </c>
      <c r="N90" s="183">
        <f>'Financing assumptions offshore'!$F$59*'Financing assumptions offshore'!$F$60</f>
        <v>0.24</v>
      </c>
      <c r="O90" s="183">
        <f>'Financing assumptions offshore'!$F$59*'Financing assumptions offshore'!$F$60</f>
        <v>0.24</v>
      </c>
      <c r="P90" s="183">
        <f>'Financing assumptions offshore'!$F$59*'Financing assumptions offshore'!$F$60</f>
        <v>0.24</v>
      </c>
      <c r="Q90" s="183">
        <f>'Financing assumptions offshore'!$F$59*'Financing assumptions offshore'!$F$60</f>
        <v>0.24</v>
      </c>
      <c r="R90" s="183">
        <f>'Financing assumptions offshore'!$F$59*'Financing assumptions offshore'!$F$60</f>
        <v>0.24</v>
      </c>
      <c r="S90" s="183">
        <f>'Financing assumptions offshore'!$F$59*'Financing assumptions offshore'!$F$60</f>
        <v>0.24</v>
      </c>
      <c r="T90" s="183">
        <f>'Financing assumptions offshore'!$F$59*'Financing assumptions offshore'!$F$60</f>
        <v>0.24</v>
      </c>
      <c r="U90" s="183">
        <f>'Financing assumptions offshore'!$F$59*'Financing assumptions offshore'!$F$60</f>
        <v>0.24</v>
      </c>
      <c r="V90" s="183">
        <f>'Financing assumptions offshore'!$F$59*'Financing assumptions offshore'!$F$60</f>
        <v>0.24</v>
      </c>
      <c r="W90" s="183">
        <f>'Financing assumptions offshore'!$F$59*'Financing assumptions offshore'!$F$60</f>
        <v>0.24</v>
      </c>
      <c r="X90" s="183">
        <f>'Financing assumptions offshore'!$F$59*'Financing assumptions offshore'!$F$60</f>
        <v>0.24</v>
      </c>
      <c r="Y90" s="183">
        <f>'Financing assumptions offshore'!$F$59*'Financing assumptions offshore'!$F$60</f>
        <v>0.24</v>
      </c>
      <c r="Z90" s="183">
        <f>'Financing assumptions offshore'!$F$59*'Financing assumptions offshore'!$F$60</f>
        <v>0.24</v>
      </c>
      <c r="AA90" s="183">
        <f>'Financing assumptions offshore'!$F$59*'Financing assumptions offshore'!$F$60</f>
        <v>0.24</v>
      </c>
      <c r="AB90" s="183">
        <f>'Financing assumptions offshore'!$F$59*'Financing assumptions offshore'!$F$60</f>
        <v>0.24</v>
      </c>
      <c r="AC90" s="183">
        <f>'Financing assumptions offshore'!$F$59*'Financing assumptions offshore'!$F$60</f>
        <v>0.24</v>
      </c>
      <c r="AD90" s="183">
        <f>'Financing assumptions offshore'!$F$59*'Financing assumptions offshore'!$F$60</f>
        <v>0.24</v>
      </c>
      <c r="AE90" s="183">
        <f>'Financing assumptions offshore'!$F$59*'Financing assumptions offshore'!$F$60</f>
        <v>0.24</v>
      </c>
      <c r="AF90" s="183">
        <f>'Financing assumptions offshore'!$F$59*'Financing assumptions offshore'!$F$60</f>
        <v>0.24</v>
      </c>
      <c r="AG90" s="183">
        <f>'Financing assumptions offshore'!$F$59*'Financing assumptions offshore'!$F$60</f>
        <v>0.24</v>
      </c>
    </row>
    <row r="91" spans="3:33">
      <c r="C91" s="180" t="s">
        <v>755</v>
      </c>
      <c r="D91" s="180">
        <f t="shared" ref="D91:AB91" si="198">-D90*(D79-D61+D50+D37+D24+D88)</f>
        <v>0</v>
      </c>
      <c r="E91" s="180">
        <f t="shared" si="198"/>
        <v>0</v>
      </c>
      <c r="F91" s="180">
        <f t="shared" ca="1" si="198"/>
        <v>0</v>
      </c>
      <c r="G91" s="180">
        <f t="shared" ca="1" si="198"/>
        <v>0</v>
      </c>
      <c r="H91" s="180">
        <f t="shared" ca="1" si="198"/>
        <v>0</v>
      </c>
      <c r="I91" s="180">
        <f t="shared" ca="1" si="198"/>
        <v>0</v>
      </c>
      <c r="J91" s="180">
        <f t="shared" ca="1" si="198"/>
        <v>0</v>
      </c>
      <c r="K91" s="180">
        <f t="shared" ca="1" si="198"/>
        <v>0</v>
      </c>
      <c r="L91" s="180">
        <f t="shared" ca="1" si="198"/>
        <v>0</v>
      </c>
      <c r="M91" s="180">
        <f t="shared" ca="1" si="198"/>
        <v>0</v>
      </c>
      <c r="N91" s="180">
        <f t="shared" ca="1" si="198"/>
        <v>0</v>
      </c>
      <c r="O91" s="180">
        <f t="shared" ca="1" si="198"/>
        <v>0</v>
      </c>
      <c r="P91" s="180">
        <f t="shared" ca="1" si="198"/>
        <v>0</v>
      </c>
      <c r="Q91" s="180">
        <f t="shared" ca="1" si="198"/>
        <v>0</v>
      </c>
      <c r="R91" s="180">
        <f t="shared" ca="1" si="198"/>
        <v>0</v>
      </c>
      <c r="S91" s="180">
        <f t="shared" ca="1" si="198"/>
        <v>0</v>
      </c>
      <c r="T91" s="180">
        <f t="shared" ca="1" si="198"/>
        <v>0</v>
      </c>
      <c r="U91" s="180">
        <f t="shared" ca="1" si="198"/>
        <v>0</v>
      </c>
      <c r="V91" s="180">
        <f t="shared" ca="1" si="198"/>
        <v>0</v>
      </c>
      <c r="W91" s="180">
        <f t="shared" ca="1" si="198"/>
        <v>0</v>
      </c>
      <c r="X91" s="180">
        <f t="shared" ca="1" si="198"/>
        <v>0</v>
      </c>
      <c r="Y91" s="180">
        <f t="shared" ca="1" si="198"/>
        <v>0</v>
      </c>
      <c r="Z91" s="180">
        <f t="shared" ca="1" si="198"/>
        <v>0</v>
      </c>
      <c r="AA91" s="180">
        <f t="shared" ca="1" si="198"/>
        <v>0</v>
      </c>
      <c r="AB91" s="180">
        <f t="shared" ca="1" si="198"/>
        <v>0</v>
      </c>
      <c r="AC91" s="180" t="e">
        <f t="shared" ref="AC91:AF91" ca="1" si="199">-AC90*(AC79-AC61+AC50+AC37+AC24+AC88)</f>
        <v>#N/A</v>
      </c>
      <c r="AD91" s="180" t="e">
        <f t="shared" ca="1" si="199"/>
        <v>#N/A</v>
      </c>
      <c r="AE91" s="180" t="e">
        <f t="shared" ca="1" si="199"/>
        <v>#N/A</v>
      </c>
      <c r="AF91" s="180" t="e">
        <f t="shared" ca="1" si="199"/>
        <v>#N/A</v>
      </c>
      <c r="AG91" s="180" t="e">
        <f t="shared" ref="AG91" ca="1" si="200">-AG90*(AG79-AG61+AG50+AG37+AG24+AG88)</f>
        <v>#N/A</v>
      </c>
    </row>
    <row r="93" spans="3:33">
      <c r="C93" s="303" t="s">
        <v>823</v>
      </c>
      <c r="D93" s="303">
        <f>D70+D78+D79+D91+D88+D85-D11</f>
        <v>0</v>
      </c>
      <c r="E93" s="303">
        <f t="shared" ref="E93:AB93" ca="1" si="201">E70+E78+E79+E91+E88+E85-E11</f>
        <v>0</v>
      </c>
      <c r="F93" s="303">
        <f t="shared" ca="1" si="201"/>
        <v>0</v>
      </c>
      <c r="G93" s="303">
        <f t="shared" ca="1" si="201"/>
        <v>0</v>
      </c>
      <c r="H93" s="303">
        <f t="shared" ca="1" si="201"/>
        <v>0</v>
      </c>
      <c r="I93" s="303">
        <f t="shared" ca="1" si="201"/>
        <v>0</v>
      </c>
      <c r="J93" s="303">
        <f t="shared" ca="1" si="201"/>
        <v>0</v>
      </c>
      <c r="K93" s="303">
        <f t="shared" ca="1" si="201"/>
        <v>0</v>
      </c>
      <c r="L93" s="303">
        <f t="shared" ca="1" si="201"/>
        <v>0</v>
      </c>
      <c r="M93" s="303">
        <f t="shared" ca="1" si="201"/>
        <v>0</v>
      </c>
      <c r="N93" s="303">
        <f t="shared" ca="1" si="201"/>
        <v>0</v>
      </c>
      <c r="O93" s="303">
        <f t="shared" ca="1" si="201"/>
        <v>0</v>
      </c>
      <c r="P93" s="303">
        <f t="shared" ca="1" si="201"/>
        <v>0</v>
      </c>
      <c r="Q93" s="303">
        <f t="shared" ca="1" si="201"/>
        <v>0</v>
      </c>
      <c r="R93" s="303">
        <f t="shared" ca="1" si="201"/>
        <v>0</v>
      </c>
      <c r="S93" s="303">
        <f t="shared" ca="1" si="201"/>
        <v>0</v>
      </c>
      <c r="T93" s="303">
        <f t="shared" ca="1" si="201"/>
        <v>0</v>
      </c>
      <c r="U93" s="303">
        <f t="shared" ca="1" si="201"/>
        <v>0</v>
      </c>
      <c r="V93" s="303">
        <f t="shared" ca="1" si="201"/>
        <v>0</v>
      </c>
      <c r="W93" s="303">
        <f t="shared" ca="1" si="201"/>
        <v>0</v>
      </c>
      <c r="X93" s="303">
        <f t="shared" ca="1" si="201"/>
        <v>0</v>
      </c>
      <c r="Y93" s="303">
        <f t="shared" ca="1" si="201"/>
        <v>0</v>
      </c>
      <c r="Z93" s="303">
        <f t="shared" ca="1" si="201"/>
        <v>0</v>
      </c>
      <c r="AA93" s="303">
        <f t="shared" ca="1" si="201"/>
        <v>0</v>
      </c>
      <c r="AB93" s="303" t="e">
        <f t="shared" ca="1" si="201"/>
        <v>#N/A</v>
      </c>
      <c r="AC93" s="303" t="e">
        <f t="shared" ref="AC93:AF93" ca="1" si="202">AC70+AC78+AC79+AC91+AC88+AC85-AC11</f>
        <v>#N/A</v>
      </c>
      <c r="AD93" s="303" t="e">
        <f t="shared" ca="1" si="202"/>
        <v>#N/A</v>
      </c>
      <c r="AE93" s="303" t="e">
        <f t="shared" ca="1" si="202"/>
        <v>#N/A</v>
      </c>
      <c r="AF93" s="303" t="e">
        <f t="shared" ca="1" si="202"/>
        <v>#N/A</v>
      </c>
      <c r="AG93" s="303" t="e">
        <f t="shared" ref="AG93" ca="1" si="203">AG70+AG78+AG79+AG91+AG88+AG85-AG11</f>
        <v>#N/A</v>
      </c>
    </row>
    <row r="94" spans="3:33">
      <c r="C94" s="180" t="s">
        <v>735</v>
      </c>
      <c r="D94" s="180">
        <f>-'Cash sweep &amp; dividend offshore'!D52</f>
        <v>0</v>
      </c>
      <c r="E94" s="180">
        <f ca="1">-'Cash sweep &amp; dividend offshore'!E52</f>
        <v>0</v>
      </c>
      <c r="F94" s="180">
        <f ca="1">-'Cash sweep &amp; dividend offshore'!F52</f>
        <v>0</v>
      </c>
      <c r="G94" s="180">
        <f ca="1">-'Cash sweep &amp; dividend offshore'!G52</f>
        <v>0</v>
      </c>
      <c r="H94" s="180">
        <f ca="1">-'Cash sweep &amp; dividend offshore'!H52</f>
        <v>0</v>
      </c>
      <c r="I94" s="180">
        <f ca="1">-'Cash sweep &amp; dividend offshore'!I52</f>
        <v>0</v>
      </c>
      <c r="J94" s="180">
        <f ca="1">-'Cash sweep &amp; dividend offshore'!J52</f>
        <v>0</v>
      </c>
      <c r="K94" s="180">
        <f ca="1">-'Cash sweep &amp; dividend offshore'!K52</f>
        <v>0</v>
      </c>
      <c r="L94" s="180">
        <f ca="1">-'Cash sweep &amp; dividend offshore'!L52</f>
        <v>0</v>
      </c>
      <c r="M94" s="180">
        <f ca="1">-'Cash sweep &amp; dividend offshore'!M52</f>
        <v>0</v>
      </c>
      <c r="N94" s="180">
        <f ca="1">-'Cash sweep &amp; dividend offshore'!N52</f>
        <v>0</v>
      </c>
      <c r="O94" s="180">
        <f ca="1">-'Cash sweep &amp; dividend offshore'!O52</f>
        <v>0</v>
      </c>
      <c r="P94" s="180">
        <f ca="1">-'Cash sweep &amp; dividend offshore'!P52</f>
        <v>0</v>
      </c>
      <c r="Q94" s="180">
        <f ca="1">-'Cash sweep &amp; dividend offshore'!Q52</f>
        <v>0</v>
      </c>
      <c r="R94" s="180">
        <f ca="1">-'Cash sweep &amp; dividend offshore'!R52</f>
        <v>0</v>
      </c>
      <c r="S94" s="180">
        <f ca="1">-'Cash sweep &amp; dividend offshore'!S52</f>
        <v>0</v>
      </c>
      <c r="T94" s="180">
        <f ca="1">-'Cash sweep &amp; dividend offshore'!T52</f>
        <v>0</v>
      </c>
      <c r="U94" s="180">
        <f ca="1">-'Cash sweep &amp; dividend offshore'!U52</f>
        <v>0</v>
      </c>
      <c r="V94" s="180">
        <f ca="1">-'Cash sweep &amp; dividend offshore'!V52</f>
        <v>0</v>
      </c>
      <c r="W94" s="180">
        <f ca="1">-'Cash sweep &amp; dividend offshore'!W52</f>
        <v>0</v>
      </c>
      <c r="X94" s="180">
        <f ca="1">-'Cash sweep &amp; dividend offshore'!X52</f>
        <v>0</v>
      </c>
      <c r="Y94" s="180">
        <f ca="1">-'Cash sweep &amp; dividend offshore'!Y52</f>
        <v>0</v>
      </c>
      <c r="Z94" s="180">
        <f ca="1">-'Cash sweep &amp; dividend offshore'!Z52</f>
        <v>0</v>
      </c>
      <c r="AA94" s="180">
        <f ca="1">-'Cash sweep &amp; dividend offshore'!AA52</f>
        <v>0</v>
      </c>
      <c r="AB94" s="180" t="e">
        <f ca="1">-'Cash sweep &amp; dividend offshore'!AB52</f>
        <v>#N/A</v>
      </c>
      <c r="AC94" s="180" t="e">
        <f ca="1">-'Cash sweep &amp; dividend offshore'!AC52</f>
        <v>#N/A</v>
      </c>
      <c r="AD94" s="180" t="e">
        <f ca="1">-'Cash sweep &amp; dividend offshore'!AD52</f>
        <v>#N/A</v>
      </c>
      <c r="AE94" s="180" t="e">
        <f ca="1">-'Cash sweep &amp; dividend offshore'!AE52</f>
        <v>#N/A</v>
      </c>
      <c r="AF94" s="180" t="e">
        <f ca="1">-'Cash sweep &amp; dividend offshore'!AF52</f>
        <v>#N/A</v>
      </c>
      <c r="AG94" s="180" t="e">
        <f ca="1">-'Cash sweep &amp; dividend offshore'!AG52</f>
        <v>#N/A</v>
      </c>
    </row>
    <row r="95" spans="3:33">
      <c r="C95" s="180" t="s">
        <v>734</v>
      </c>
      <c r="D95" s="180">
        <f>D70+D78+D79+D88+D91+D94+D85-D11</f>
        <v>0</v>
      </c>
      <c r="E95" s="180">
        <f t="shared" ref="E95:AB95" ca="1" si="204">E70+E78+E79+E88+E91+E94+E85-E11</f>
        <v>0</v>
      </c>
      <c r="F95" s="180">
        <f t="shared" ca="1" si="204"/>
        <v>0</v>
      </c>
      <c r="G95" s="180">
        <f t="shared" ca="1" si="204"/>
        <v>0</v>
      </c>
      <c r="H95" s="180">
        <f t="shared" ca="1" si="204"/>
        <v>0</v>
      </c>
      <c r="I95" s="180">
        <f t="shared" ca="1" si="204"/>
        <v>0</v>
      </c>
      <c r="J95" s="180">
        <f t="shared" ca="1" si="204"/>
        <v>0</v>
      </c>
      <c r="K95" s="180">
        <f t="shared" ca="1" si="204"/>
        <v>0</v>
      </c>
      <c r="L95" s="180">
        <f t="shared" ca="1" si="204"/>
        <v>0</v>
      </c>
      <c r="M95" s="180">
        <f t="shared" ca="1" si="204"/>
        <v>0</v>
      </c>
      <c r="N95" s="180">
        <f t="shared" ca="1" si="204"/>
        <v>0</v>
      </c>
      <c r="O95" s="180">
        <f t="shared" ca="1" si="204"/>
        <v>0</v>
      </c>
      <c r="P95" s="180">
        <f t="shared" ca="1" si="204"/>
        <v>0</v>
      </c>
      <c r="Q95" s="180">
        <f t="shared" ca="1" si="204"/>
        <v>0</v>
      </c>
      <c r="R95" s="180">
        <f t="shared" ca="1" si="204"/>
        <v>0</v>
      </c>
      <c r="S95" s="180">
        <f t="shared" ca="1" si="204"/>
        <v>0</v>
      </c>
      <c r="T95" s="180">
        <f t="shared" ca="1" si="204"/>
        <v>0</v>
      </c>
      <c r="U95" s="180">
        <f t="shared" ca="1" si="204"/>
        <v>0</v>
      </c>
      <c r="V95" s="180">
        <f t="shared" ca="1" si="204"/>
        <v>0</v>
      </c>
      <c r="W95" s="180">
        <f t="shared" ca="1" si="204"/>
        <v>0</v>
      </c>
      <c r="X95" s="180">
        <f t="shared" ca="1" si="204"/>
        <v>0</v>
      </c>
      <c r="Y95" s="180">
        <f t="shared" ca="1" si="204"/>
        <v>0</v>
      </c>
      <c r="Z95" s="180">
        <f t="shared" ca="1" si="204"/>
        <v>0</v>
      </c>
      <c r="AA95" s="180">
        <f t="shared" ca="1" si="204"/>
        <v>0</v>
      </c>
      <c r="AB95" s="180" t="e">
        <f t="shared" ca="1" si="204"/>
        <v>#N/A</v>
      </c>
      <c r="AC95" s="180" t="e">
        <f t="shared" ref="AC95:AF95" ca="1" si="205">AC70+AC78+AC79+AC88+AC91+AC94+AC85-AC11</f>
        <v>#N/A</v>
      </c>
      <c r="AD95" s="180" t="e">
        <f t="shared" ca="1" si="205"/>
        <v>#N/A</v>
      </c>
      <c r="AE95" s="180" t="e">
        <f t="shared" ca="1" si="205"/>
        <v>#N/A</v>
      </c>
      <c r="AF95" s="180" t="e">
        <f t="shared" ca="1" si="205"/>
        <v>#N/A</v>
      </c>
      <c r="AG95" s="180" t="e">
        <f t="shared" ref="AG95" ca="1" si="206">AG70+AG78+AG79+AG88+AG91+AG94+AG85-AG11</f>
        <v>#N/A</v>
      </c>
    </row>
    <row r="98" spans="3:33">
      <c r="C98" s="28" t="s">
        <v>842</v>
      </c>
      <c r="D98" s="291">
        <f>+D19+D32+D45+D60+D78</f>
        <v>0</v>
      </c>
      <c r="E98" s="291">
        <f t="shared" ref="E98:AB98" ca="1" si="207">+E19+E32+E45+E60+E78</f>
        <v>0</v>
      </c>
      <c r="F98" s="291">
        <f t="shared" ca="1" si="207"/>
        <v>0</v>
      </c>
      <c r="G98" s="291">
        <f t="shared" ca="1" si="207"/>
        <v>0</v>
      </c>
      <c r="H98" s="291">
        <f t="shared" ca="1" si="207"/>
        <v>0</v>
      </c>
      <c r="I98" s="291">
        <f t="shared" ca="1" si="207"/>
        <v>0</v>
      </c>
      <c r="J98" s="291">
        <f t="shared" ca="1" si="207"/>
        <v>0</v>
      </c>
      <c r="K98" s="291">
        <f t="shared" ca="1" si="207"/>
        <v>0</v>
      </c>
      <c r="L98" s="291">
        <f t="shared" ca="1" si="207"/>
        <v>0</v>
      </c>
      <c r="M98" s="291">
        <f t="shared" ca="1" si="207"/>
        <v>0</v>
      </c>
      <c r="N98" s="291">
        <f t="shared" ca="1" si="207"/>
        <v>0</v>
      </c>
      <c r="O98" s="291">
        <f t="shared" ca="1" si="207"/>
        <v>0</v>
      </c>
      <c r="P98" s="291">
        <f t="shared" ca="1" si="207"/>
        <v>0</v>
      </c>
      <c r="Q98" s="291">
        <f t="shared" ca="1" si="207"/>
        <v>0</v>
      </c>
      <c r="R98" s="291">
        <f t="shared" ca="1" si="207"/>
        <v>0</v>
      </c>
      <c r="S98" s="291">
        <f t="shared" ca="1" si="207"/>
        <v>0</v>
      </c>
      <c r="T98" s="291">
        <f t="shared" ca="1" si="207"/>
        <v>0</v>
      </c>
      <c r="U98" s="291">
        <f t="shared" ca="1" si="207"/>
        <v>0</v>
      </c>
      <c r="V98" s="291">
        <f t="shared" ca="1" si="207"/>
        <v>0</v>
      </c>
      <c r="W98" s="291">
        <f t="shared" ca="1" si="207"/>
        <v>0</v>
      </c>
      <c r="X98" s="291">
        <f t="shared" ca="1" si="207"/>
        <v>0</v>
      </c>
      <c r="Y98" s="291">
        <f t="shared" ca="1" si="207"/>
        <v>0</v>
      </c>
      <c r="Z98" s="291">
        <f t="shared" ca="1" si="207"/>
        <v>0</v>
      </c>
      <c r="AA98" s="291">
        <f t="shared" ca="1" si="207"/>
        <v>0</v>
      </c>
      <c r="AB98" s="291" t="e">
        <f t="shared" ca="1" si="207"/>
        <v>#N/A</v>
      </c>
      <c r="AC98" s="291" t="e">
        <f t="shared" ref="AC98:AF98" ca="1" si="208">+AC19+AC32+AC45+AC60+AC78</f>
        <v>#N/A</v>
      </c>
      <c r="AD98" s="291" t="e">
        <f t="shared" ca="1" si="208"/>
        <v>#N/A</v>
      </c>
      <c r="AE98" s="291" t="e">
        <f t="shared" ca="1" si="208"/>
        <v>#N/A</v>
      </c>
      <c r="AF98" s="291" t="e">
        <f t="shared" ca="1" si="208"/>
        <v>#N/A</v>
      </c>
      <c r="AG98" s="291" t="e">
        <f t="shared" ref="AG98" ca="1" si="209">+AG19+AG32+AG45+AG60+AG78</f>
        <v>#N/A</v>
      </c>
    </row>
    <row r="99" spans="3:33">
      <c r="C99" s="28" t="s">
        <v>824</v>
      </c>
      <c r="D99" s="291">
        <f t="shared" ref="D99:AB99" si="210">-(D20+D33+D46+D61-D79-D88)</f>
        <v>0</v>
      </c>
      <c r="E99" s="291">
        <f t="shared" si="210"/>
        <v>0</v>
      </c>
      <c r="F99" s="291">
        <f t="shared" ca="1" si="210"/>
        <v>0</v>
      </c>
      <c r="G99" s="291">
        <f t="shared" ca="1" si="210"/>
        <v>0</v>
      </c>
      <c r="H99" s="291">
        <f t="shared" ca="1" si="210"/>
        <v>0</v>
      </c>
      <c r="I99" s="291">
        <f t="shared" ca="1" si="210"/>
        <v>0</v>
      </c>
      <c r="J99" s="291">
        <f t="shared" ca="1" si="210"/>
        <v>0</v>
      </c>
      <c r="K99" s="291">
        <f t="shared" ca="1" si="210"/>
        <v>0</v>
      </c>
      <c r="L99" s="291">
        <f t="shared" ca="1" si="210"/>
        <v>0</v>
      </c>
      <c r="M99" s="291">
        <f t="shared" ca="1" si="210"/>
        <v>0</v>
      </c>
      <c r="N99" s="291">
        <f t="shared" ca="1" si="210"/>
        <v>0</v>
      </c>
      <c r="O99" s="291">
        <f t="shared" ca="1" si="210"/>
        <v>0</v>
      </c>
      <c r="P99" s="291">
        <f t="shared" ca="1" si="210"/>
        <v>0</v>
      </c>
      <c r="Q99" s="291">
        <f t="shared" ca="1" si="210"/>
        <v>0</v>
      </c>
      <c r="R99" s="291">
        <f t="shared" ca="1" si="210"/>
        <v>0</v>
      </c>
      <c r="S99" s="291">
        <f t="shared" ca="1" si="210"/>
        <v>0</v>
      </c>
      <c r="T99" s="291">
        <f t="shared" ca="1" si="210"/>
        <v>0</v>
      </c>
      <c r="U99" s="291">
        <f t="shared" ca="1" si="210"/>
        <v>0</v>
      </c>
      <c r="V99" s="291">
        <f t="shared" ca="1" si="210"/>
        <v>0</v>
      </c>
      <c r="W99" s="291">
        <f t="shared" ca="1" si="210"/>
        <v>0</v>
      </c>
      <c r="X99" s="291">
        <f t="shared" ca="1" si="210"/>
        <v>0</v>
      </c>
      <c r="Y99" s="291">
        <f t="shared" ca="1" si="210"/>
        <v>0</v>
      </c>
      <c r="Z99" s="291">
        <f t="shared" ca="1" si="210"/>
        <v>0</v>
      </c>
      <c r="AA99" s="291">
        <f t="shared" ca="1" si="210"/>
        <v>0</v>
      </c>
      <c r="AB99" s="291">
        <f t="shared" ca="1" si="210"/>
        <v>0</v>
      </c>
      <c r="AC99" s="291" t="e">
        <f t="shared" ref="AC99:AF99" ca="1" si="211">-(AC20+AC33+AC46+AC61-AC79-AC88)</f>
        <v>#N/A</v>
      </c>
      <c r="AD99" s="291" t="e">
        <f t="shared" ca="1" si="211"/>
        <v>#N/A</v>
      </c>
      <c r="AE99" s="291" t="e">
        <f t="shared" ca="1" si="211"/>
        <v>#N/A</v>
      </c>
      <c r="AF99" s="291" t="e">
        <f t="shared" ca="1" si="211"/>
        <v>#N/A</v>
      </c>
      <c r="AG99" s="291" t="e">
        <f t="shared" ref="AG99" ca="1" si="212">-(AG20+AG33+AG46+AG61-AG79-AG88)</f>
        <v>#N/A</v>
      </c>
    </row>
    <row r="100" spans="3:33">
      <c r="C100" s="28" t="s">
        <v>825</v>
      </c>
      <c r="D100" s="291">
        <f t="shared" ref="D100:AB100" si="213">+D24+D37+D50+D65+D79+D88</f>
        <v>0</v>
      </c>
      <c r="E100" s="291">
        <f t="shared" si="213"/>
        <v>0</v>
      </c>
      <c r="F100" s="291">
        <f t="shared" ca="1" si="213"/>
        <v>0</v>
      </c>
      <c r="G100" s="291">
        <f t="shared" ca="1" si="213"/>
        <v>0</v>
      </c>
      <c r="H100" s="291">
        <f t="shared" ca="1" si="213"/>
        <v>0</v>
      </c>
      <c r="I100" s="291">
        <f t="shared" ca="1" si="213"/>
        <v>0</v>
      </c>
      <c r="J100" s="291">
        <f t="shared" ca="1" si="213"/>
        <v>0</v>
      </c>
      <c r="K100" s="291">
        <f t="shared" ca="1" si="213"/>
        <v>0</v>
      </c>
      <c r="L100" s="291">
        <f t="shared" ca="1" si="213"/>
        <v>0</v>
      </c>
      <c r="M100" s="291">
        <f t="shared" ca="1" si="213"/>
        <v>0</v>
      </c>
      <c r="N100" s="291">
        <f t="shared" ca="1" si="213"/>
        <v>0</v>
      </c>
      <c r="O100" s="291">
        <f t="shared" ca="1" si="213"/>
        <v>0</v>
      </c>
      <c r="P100" s="291">
        <f t="shared" ca="1" si="213"/>
        <v>0</v>
      </c>
      <c r="Q100" s="291">
        <f t="shared" ca="1" si="213"/>
        <v>0</v>
      </c>
      <c r="R100" s="291">
        <f t="shared" ca="1" si="213"/>
        <v>0</v>
      </c>
      <c r="S100" s="291">
        <f t="shared" ca="1" si="213"/>
        <v>0</v>
      </c>
      <c r="T100" s="291">
        <f t="shared" ca="1" si="213"/>
        <v>0</v>
      </c>
      <c r="U100" s="291">
        <f t="shared" ca="1" si="213"/>
        <v>0</v>
      </c>
      <c r="V100" s="291">
        <f t="shared" ca="1" si="213"/>
        <v>0</v>
      </c>
      <c r="W100" s="291">
        <f t="shared" ca="1" si="213"/>
        <v>0</v>
      </c>
      <c r="X100" s="291">
        <f t="shared" ca="1" si="213"/>
        <v>0</v>
      </c>
      <c r="Y100" s="291">
        <f t="shared" ca="1" si="213"/>
        <v>0</v>
      </c>
      <c r="Z100" s="291">
        <f t="shared" ca="1" si="213"/>
        <v>0</v>
      </c>
      <c r="AA100" s="291">
        <f t="shared" ca="1" si="213"/>
        <v>0</v>
      </c>
      <c r="AB100" s="291">
        <f t="shared" ca="1" si="213"/>
        <v>0</v>
      </c>
      <c r="AC100" s="291" t="e">
        <f t="shared" ref="AC100:AF100" ca="1" si="214">+AC24+AC37+AC50+AC65+AC79+AC88</f>
        <v>#N/A</v>
      </c>
      <c r="AD100" s="291" t="e">
        <f t="shared" ca="1" si="214"/>
        <v>#N/A</v>
      </c>
      <c r="AE100" s="291" t="e">
        <f t="shared" ca="1" si="214"/>
        <v>#N/A</v>
      </c>
      <c r="AF100" s="291" t="e">
        <f t="shared" ca="1" si="214"/>
        <v>#N/A</v>
      </c>
      <c r="AG100" s="291" t="e">
        <f t="shared" ref="AG100" ca="1" si="215">+AG24+AG37+AG50+AG65+AG79+AG88</f>
        <v>#N/A</v>
      </c>
    </row>
    <row r="101" spans="3:33">
      <c r="C101" s="28" t="s">
        <v>826</v>
      </c>
      <c r="D101" s="291">
        <f>+D21+D22+D34+D35+D47+D48+D62+D63</f>
        <v>0</v>
      </c>
      <c r="E101" s="291">
        <f t="shared" ref="E101:AB101" si="216">+E21+E22+E34+E35+E47+E48+E62+E63</f>
        <v>0</v>
      </c>
      <c r="F101" s="291">
        <f t="shared" ca="1" si="216"/>
        <v>0</v>
      </c>
      <c r="G101" s="291">
        <f t="shared" ca="1" si="216"/>
        <v>0</v>
      </c>
      <c r="H101" s="291">
        <f t="shared" ca="1" si="216"/>
        <v>0</v>
      </c>
      <c r="I101" s="291">
        <f t="shared" ca="1" si="216"/>
        <v>0</v>
      </c>
      <c r="J101" s="291">
        <f t="shared" ca="1" si="216"/>
        <v>0</v>
      </c>
      <c r="K101" s="291">
        <f t="shared" ca="1" si="216"/>
        <v>0</v>
      </c>
      <c r="L101" s="291">
        <f t="shared" ca="1" si="216"/>
        <v>0</v>
      </c>
      <c r="M101" s="291">
        <f t="shared" ca="1" si="216"/>
        <v>0</v>
      </c>
      <c r="N101" s="291">
        <f t="shared" ca="1" si="216"/>
        <v>0</v>
      </c>
      <c r="O101" s="291">
        <f t="shared" ca="1" si="216"/>
        <v>0</v>
      </c>
      <c r="P101" s="291">
        <f t="shared" ca="1" si="216"/>
        <v>0</v>
      </c>
      <c r="Q101" s="291">
        <f t="shared" ca="1" si="216"/>
        <v>0</v>
      </c>
      <c r="R101" s="291">
        <f t="shared" ca="1" si="216"/>
        <v>0</v>
      </c>
      <c r="S101" s="291">
        <f t="shared" ca="1" si="216"/>
        <v>0</v>
      </c>
      <c r="T101" s="291">
        <f t="shared" ca="1" si="216"/>
        <v>0</v>
      </c>
      <c r="U101" s="291">
        <f t="shared" ca="1" si="216"/>
        <v>0</v>
      </c>
      <c r="V101" s="291">
        <f t="shared" ca="1" si="216"/>
        <v>0</v>
      </c>
      <c r="W101" s="291">
        <f t="shared" ca="1" si="216"/>
        <v>0</v>
      </c>
      <c r="X101" s="291">
        <f t="shared" ca="1" si="216"/>
        <v>0</v>
      </c>
      <c r="Y101" s="291">
        <f t="shared" ca="1" si="216"/>
        <v>0</v>
      </c>
      <c r="Z101" s="291">
        <f t="shared" ca="1" si="216"/>
        <v>0</v>
      </c>
      <c r="AA101" s="291">
        <f t="shared" ca="1" si="216"/>
        <v>0</v>
      </c>
      <c r="AB101" s="291">
        <f t="shared" ca="1" si="216"/>
        <v>0</v>
      </c>
      <c r="AC101" s="291" t="e">
        <f t="shared" ref="AC101:AF101" ca="1" si="217">+AC21+AC22+AC34+AC35+AC47+AC48+AC62+AC63</f>
        <v>#N/A</v>
      </c>
      <c r="AD101" s="291" t="e">
        <f t="shared" ca="1" si="217"/>
        <v>#N/A</v>
      </c>
      <c r="AE101" s="291" t="e">
        <f t="shared" ca="1" si="217"/>
        <v>#N/A</v>
      </c>
      <c r="AF101" s="291" t="e">
        <f t="shared" ca="1" si="217"/>
        <v>#N/A</v>
      </c>
      <c r="AG101" s="291" t="e">
        <f t="shared" ref="AG101" ca="1" si="218">+AG21+AG22+AG34+AG35+AG47+AG48+AG62+AG63</f>
        <v>#N/A</v>
      </c>
    </row>
    <row r="102" spans="3:33">
      <c r="C102" s="28" t="s">
        <v>827</v>
      </c>
      <c r="D102" s="291">
        <f>+D23+D36+D49+D64</f>
        <v>0</v>
      </c>
      <c r="E102" s="291">
        <f t="shared" ref="E102:AB102" ca="1" si="219">+E23+E36+E49+E64</f>
        <v>0</v>
      </c>
      <c r="F102" s="291">
        <f t="shared" ca="1" si="219"/>
        <v>0</v>
      </c>
      <c r="G102" s="291">
        <f t="shared" ca="1" si="219"/>
        <v>0</v>
      </c>
      <c r="H102" s="291">
        <f t="shared" ca="1" si="219"/>
        <v>0</v>
      </c>
      <c r="I102" s="291">
        <f t="shared" ca="1" si="219"/>
        <v>0</v>
      </c>
      <c r="J102" s="291">
        <f t="shared" ca="1" si="219"/>
        <v>0</v>
      </c>
      <c r="K102" s="291">
        <f t="shared" ca="1" si="219"/>
        <v>0</v>
      </c>
      <c r="L102" s="291">
        <f t="shared" ca="1" si="219"/>
        <v>0</v>
      </c>
      <c r="M102" s="291">
        <f t="shared" ca="1" si="219"/>
        <v>0</v>
      </c>
      <c r="N102" s="291">
        <f t="shared" ca="1" si="219"/>
        <v>0</v>
      </c>
      <c r="O102" s="291">
        <f t="shared" ca="1" si="219"/>
        <v>0</v>
      </c>
      <c r="P102" s="291">
        <f t="shared" ca="1" si="219"/>
        <v>0</v>
      </c>
      <c r="Q102" s="291">
        <f t="shared" ca="1" si="219"/>
        <v>0</v>
      </c>
      <c r="R102" s="291">
        <f t="shared" ca="1" si="219"/>
        <v>0</v>
      </c>
      <c r="S102" s="291">
        <f t="shared" ca="1" si="219"/>
        <v>0</v>
      </c>
      <c r="T102" s="291">
        <f t="shared" ca="1" si="219"/>
        <v>0</v>
      </c>
      <c r="U102" s="291">
        <f t="shared" ca="1" si="219"/>
        <v>0</v>
      </c>
      <c r="V102" s="291">
        <f t="shared" ca="1" si="219"/>
        <v>0</v>
      </c>
      <c r="W102" s="291">
        <f t="shared" ca="1" si="219"/>
        <v>0</v>
      </c>
      <c r="X102" s="291">
        <f t="shared" ca="1" si="219"/>
        <v>0</v>
      </c>
      <c r="Y102" s="291">
        <f t="shared" ca="1" si="219"/>
        <v>0</v>
      </c>
      <c r="Z102" s="291">
        <f t="shared" ca="1" si="219"/>
        <v>0</v>
      </c>
      <c r="AA102" s="291">
        <f t="shared" ca="1" si="219"/>
        <v>0</v>
      </c>
      <c r="AB102" s="291">
        <f t="shared" ca="1" si="219"/>
        <v>0</v>
      </c>
      <c r="AC102" s="291" t="e">
        <f t="shared" ref="AC102:AF102" ca="1" si="220">+AC23+AC36+AC49+AC64</f>
        <v>#N/A</v>
      </c>
      <c r="AD102" s="291" t="e">
        <f t="shared" ca="1" si="220"/>
        <v>#N/A</v>
      </c>
      <c r="AE102" s="291" t="e">
        <f t="shared" ca="1" si="220"/>
        <v>#N/A</v>
      </c>
      <c r="AF102" s="291" t="e">
        <f t="shared" ca="1" si="220"/>
        <v>#N/A</v>
      </c>
      <c r="AG102" s="291" t="e">
        <f t="shared" ref="AG102" ca="1" si="221">+AG23+AG36+AG49+AG64</f>
        <v>#N/A</v>
      </c>
    </row>
    <row r="103" spans="3:33">
      <c r="C103" s="28" t="s">
        <v>829</v>
      </c>
      <c r="D103" s="291">
        <f>+D25+D38+D51+D80</f>
        <v>0</v>
      </c>
      <c r="E103" s="291">
        <f t="shared" ref="E103:AB103" ca="1" si="222">+E25+E38+E51+E80</f>
        <v>0</v>
      </c>
      <c r="F103" s="291">
        <f t="shared" ca="1" si="222"/>
        <v>0</v>
      </c>
      <c r="G103" s="291">
        <f t="shared" ca="1" si="222"/>
        <v>0</v>
      </c>
      <c r="H103" s="291">
        <f t="shared" ca="1" si="222"/>
        <v>0</v>
      </c>
      <c r="I103" s="291">
        <f t="shared" ca="1" si="222"/>
        <v>0</v>
      </c>
      <c r="J103" s="291">
        <f t="shared" ca="1" si="222"/>
        <v>0</v>
      </c>
      <c r="K103" s="291">
        <f t="shared" ca="1" si="222"/>
        <v>0</v>
      </c>
      <c r="L103" s="291">
        <f t="shared" ca="1" si="222"/>
        <v>0</v>
      </c>
      <c r="M103" s="291">
        <f t="shared" ca="1" si="222"/>
        <v>0</v>
      </c>
      <c r="N103" s="291">
        <f t="shared" ca="1" si="222"/>
        <v>0</v>
      </c>
      <c r="O103" s="291">
        <f t="shared" ca="1" si="222"/>
        <v>0</v>
      </c>
      <c r="P103" s="291">
        <f t="shared" ca="1" si="222"/>
        <v>0</v>
      </c>
      <c r="Q103" s="291">
        <f t="shared" ca="1" si="222"/>
        <v>0</v>
      </c>
      <c r="R103" s="291">
        <f t="shared" ca="1" si="222"/>
        <v>0</v>
      </c>
      <c r="S103" s="291">
        <f t="shared" ca="1" si="222"/>
        <v>0</v>
      </c>
      <c r="T103" s="291">
        <f t="shared" ca="1" si="222"/>
        <v>0</v>
      </c>
      <c r="U103" s="291">
        <f t="shared" ca="1" si="222"/>
        <v>0</v>
      </c>
      <c r="V103" s="291">
        <f t="shared" ca="1" si="222"/>
        <v>0</v>
      </c>
      <c r="W103" s="291">
        <f t="shared" ca="1" si="222"/>
        <v>0</v>
      </c>
      <c r="X103" s="291">
        <f t="shared" ca="1" si="222"/>
        <v>0</v>
      </c>
      <c r="Y103" s="291">
        <f t="shared" ca="1" si="222"/>
        <v>0</v>
      </c>
      <c r="Z103" s="291">
        <f t="shared" ca="1" si="222"/>
        <v>0</v>
      </c>
      <c r="AA103" s="291">
        <f t="shared" ca="1" si="222"/>
        <v>0</v>
      </c>
      <c r="AB103" s="291" t="e">
        <f t="shared" ca="1" si="222"/>
        <v>#N/A</v>
      </c>
      <c r="AC103" s="291" t="e">
        <f t="shared" ref="AC103:AF103" ca="1" si="223">+AC25+AC38+AC51+AC80</f>
        <v>#N/A</v>
      </c>
      <c r="AD103" s="291" t="e">
        <f t="shared" ca="1" si="223"/>
        <v>#N/A</v>
      </c>
      <c r="AE103" s="291" t="e">
        <f t="shared" ca="1" si="223"/>
        <v>#N/A</v>
      </c>
      <c r="AF103" s="291" t="e">
        <f t="shared" ca="1" si="223"/>
        <v>#N/A</v>
      </c>
      <c r="AG103" s="291" t="e">
        <f t="shared" ref="AG103" ca="1" si="224">+AG25+AG38+AG51+AG80</f>
        <v>#N/A</v>
      </c>
    </row>
    <row r="104" spans="3:33">
      <c r="C104" s="28" t="s">
        <v>828</v>
      </c>
      <c r="D104" s="291">
        <f>+D25+D38+D51+D67+D80</f>
        <v>0</v>
      </c>
      <c r="E104" s="291">
        <f t="shared" ref="E104:AB104" ca="1" si="225">+E25+E38+E51+E67+E80</f>
        <v>0</v>
      </c>
      <c r="F104" s="291">
        <f t="shared" ca="1" si="225"/>
        <v>0</v>
      </c>
      <c r="G104" s="291">
        <f t="shared" ca="1" si="225"/>
        <v>0</v>
      </c>
      <c r="H104" s="291">
        <f t="shared" ca="1" si="225"/>
        <v>0</v>
      </c>
      <c r="I104" s="291">
        <f t="shared" ca="1" si="225"/>
        <v>0</v>
      </c>
      <c r="J104" s="291">
        <f t="shared" ca="1" si="225"/>
        <v>0</v>
      </c>
      <c r="K104" s="291">
        <f t="shared" ca="1" si="225"/>
        <v>0</v>
      </c>
      <c r="L104" s="291">
        <f t="shared" ca="1" si="225"/>
        <v>0</v>
      </c>
      <c r="M104" s="291">
        <f t="shared" ca="1" si="225"/>
        <v>0</v>
      </c>
      <c r="N104" s="291">
        <f t="shared" ca="1" si="225"/>
        <v>0</v>
      </c>
      <c r="O104" s="291">
        <f t="shared" ca="1" si="225"/>
        <v>0</v>
      </c>
      <c r="P104" s="291">
        <f t="shared" ca="1" si="225"/>
        <v>0</v>
      </c>
      <c r="Q104" s="291">
        <f t="shared" ca="1" si="225"/>
        <v>0</v>
      </c>
      <c r="R104" s="291">
        <f t="shared" ca="1" si="225"/>
        <v>0</v>
      </c>
      <c r="S104" s="291">
        <f t="shared" ca="1" si="225"/>
        <v>0</v>
      </c>
      <c r="T104" s="291">
        <f t="shared" ca="1" si="225"/>
        <v>0</v>
      </c>
      <c r="U104" s="291">
        <f t="shared" ca="1" si="225"/>
        <v>0</v>
      </c>
      <c r="V104" s="291">
        <f t="shared" ca="1" si="225"/>
        <v>0</v>
      </c>
      <c r="W104" s="291">
        <f t="shared" ca="1" si="225"/>
        <v>0</v>
      </c>
      <c r="X104" s="291">
        <f t="shared" ca="1" si="225"/>
        <v>0</v>
      </c>
      <c r="Y104" s="291">
        <f t="shared" ca="1" si="225"/>
        <v>0</v>
      </c>
      <c r="Z104" s="291">
        <f t="shared" ca="1" si="225"/>
        <v>0</v>
      </c>
      <c r="AA104" s="291">
        <f t="shared" ca="1" si="225"/>
        <v>0</v>
      </c>
      <c r="AB104" s="291" t="e">
        <f t="shared" ca="1" si="225"/>
        <v>#N/A</v>
      </c>
      <c r="AC104" s="291" t="e">
        <f t="shared" ref="AC104:AF104" ca="1" si="226">+AC25+AC38+AC51+AC67+AC80</f>
        <v>#N/A</v>
      </c>
      <c r="AD104" s="291" t="e">
        <f t="shared" ca="1" si="226"/>
        <v>#N/A</v>
      </c>
      <c r="AE104" s="291" t="e">
        <f t="shared" ca="1" si="226"/>
        <v>#N/A</v>
      </c>
      <c r="AF104" s="291" t="e">
        <f t="shared" ca="1" si="226"/>
        <v>#N/A</v>
      </c>
      <c r="AG104" s="291" t="e">
        <f t="shared" ref="AG104" ca="1" si="227">+AG25+AG38+AG51+AG67+AG80</f>
        <v>#N/A</v>
      </c>
    </row>
    <row r="105" spans="3:33">
      <c r="C105" s="28" t="s">
        <v>837</v>
      </c>
      <c r="D105" s="291">
        <f t="shared" ref="D105:AB105" si="228">D104-D80</f>
        <v>0</v>
      </c>
      <c r="E105" s="291">
        <f t="shared" ca="1" si="228"/>
        <v>0</v>
      </c>
      <c r="F105" s="291">
        <f t="shared" ca="1" si="228"/>
        <v>0</v>
      </c>
      <c r="G105" s="291">
        <f t="shared" ca="1" si="228"/>
        <v>0</v>
      </c>
      <c r="H105" s="291">
        <f t="shared" ca="1" si="228"/>
        <v>0</v>
      </c>
      <c r="I105" s="291">
        <f t="shared" ca="1" si="228"/>
        <v>0</v>
      </c>
      <c r="J105" s="291">
        <f t="shared" ca="1" si="228"/>
        <v>0</v>
      </c>
      <c r="K105" s="291">
        <f t="shared" ca="1" si="228"/>
        <v>0</v>
      </c>
      <c r="L105" s="291">
        <f t="shared" ca="1" si="228"/>
        <v>0</v>
      </c>
      <c r="M105" s="291">
        <f t="shared" ca="1" si="228"/>
        <v>0</v>
      </c>
      <c r="N105" s="291">
        <f t="shared" ca="1" si="228"/>
        <v>0</v>
      </c>
      <c r="O105" s="291">
        <f t="shared" ca="1" si="228"/>
        <v>0</v>
      </c>
      <c r="P105" s="291">
        <f t="shared" ca="1" si="228"/>
        <v>0</v>
      </c>
      <c r="Q105" s="291">
        <f t="shared" ca="1" si="228"/>
        <v>0</v>
      </c>
      <c r="R105" s="291">
        <f t="shared" ca="1" si="228"/>
        <v>0</v>
      </c>
      <c r="S105" s="291">
        <f t="shared" ca="1" si="228"/>
        <v>0</v>
      </c>
      <c r="T105" s="291">
        <f t="shared" ca="1" si="228"/>
        <v>0</v>
      </c>
      <c r="U105" s="291">
        <f t="shared" ca="1" si="228"/>
        <v>0</v>
      </c>
      <c r="V105" s="291">
        <f t="shared" ca="1" si="228"/>
        <v>0</v>
      </c>
      <c r="W105" s="291">
        <f t="shared" ca="1" si="228"/>
        <v>0</v>
      </c>
      <c r="X105" s="291">
        <f t="shared" ca="1" si="228"/>
        <v>0</v>
      </c>
      <c r="Y105" s="291">
        <f t="shared" ca="1" si="228"/>
        <v>0</v>
      </c>
      <c r="Z105" s="291">
        <f t="shared" ca="1" si="228"/>
        <v>0</v>
      </c>
      <c r="AA105" s="291">
        <f t="shared" ca="1" si="228"/>
        <v>0</v>
      </c>
      <c r="AB105" s="291" t="e">
        <f t="shared" ca="1" si="228"/>
        <v>#N/A</v>
      </c>
      <c r="AC105" s="291" t="e">
        <f t="shared" ref="AC105:AF105" ca="1" si="229">AC104-AC80</f>
        <v>#N/A</v>
      </c>
      <c r="AD105" s="291" t="e">
        <f t="shared" ca="1" si="229"/>
        <v>#N/A</v>
      </c>
      <c r="AE105" s="291" t="e">
        <f t="shared" ca="1" si="229"/>
        <v>#N/A</v>
      </c>
      <c r="AF105" s="291" t="e">
        <f t="shared" ca="1" si="229"/>
        <v>#N/A</v>
      </c>
      <c r="AG105" s="291" t="e">
        <f t="shared" ref="AG105" ca="1" si="230">AG104-AG80</f>
        <v>#N/A</v>
      </c>
    </row>
    <row r="106" spans="3:33">
      <c r="C106" s="28" t="s">
        <v>830</v>
      </c>
      <c r="D106" s="291">
        <f>+D66</f>
        <v>0</v>
      </c>
      <c r="E106" s="291">
        <f t="shared" ref="E106:AB106" ca="1" si="231">+E66</f>
        <v>0</v>
      </c>
      <c r="F106" s="291">
        <f t="shared" ca="1" si="231"/>
        <v>0</v>
      </c>
      <c r="G106" s="291">
        <f t="shared" ca="1" si="231"/>
        <v>0</v>
      </c>
      <c r="H106" s="291">
        <f t="shared" ca="1" si="231"/>
        <v>0</v>
      </c>
      <c r="I106" s="291">
        <f t="shared" ca="1" si="231"/>
        <v>0</v>
      </c>
      <c r="J106" s="291">
        <f t="shared" ca="1" si="231"/>
        <v>0</v>
      </c>
      <c r="K106" s="291">
        <f t="shared" ca="1" si="231"/>
        <v>0</v>
      </c>
      <c r="L106" s="291">
        <f t="shared" ca="1" si="231"/>
        <v>0</v>
      </c>
      <c r="M106" s="291">
        <f t="shared" ca="1" si="231"/>
        <v>0</v>
      </c>
      <c r="N106" s="291">
        <f t="shared" ca="1" si="231"/>
        <v>0</v>
      </c>
      <c r="O106" s="291">
        <f t="shared" ca="1" si="231"/>
        <v>0</v>
      </c>
      <c r="P106" s="291">
        <f t="shared" ca="1" si="231"/>
        <v>0</v>
      </c>
      <c r="Q106" s="291">
        <f t="shared" ca="1" si="231"/>
        <v>0</v>
      </c>
      <c r="R106" s="291">
        <f t="shared" ca="1" si="231"/>
        <v>0</v>
      </c>
      <c r="S106" s="291">
        <f t="shared" ca="1" si="231"/>
        <v>0</v>
      </c>
      <c r="T106" s="291">
        <f t="shared" ca="1" si="231"/>
        <v>0</v>
      </c>
      <c r="U106" s="291">
        <f t="shared" ca="1" si="231"/>
        <v>0</v>
      </c>
      <c r="V106" s="291">
        <f t="shared" ca="1" si="231"/>
        <v>0</v>
      </c>
      <c r="W106" s="291">
        <f t="shared" ca="1" si="231"/>
        <v>0</v>
      </c>
      <c r="X106" s="291">
        <f t="shared" ca="1" si="231"/>
        <v>0</v>
      </c>
      <c r="Y106" s="291">
        <f t="shared" ca="1" si="231"/>
        <v>0</v>
      </c>
      <c r="Z106" s="291">
        <f t="shared" ca="1" si="231"/>
        <v>0</v>
      </c>
      <c r="AA106" s="291">
        <f t="shared" ca="1" si="231"/>
        <v>0</v>
      </c>
      <c r="AB106" s="291" t="e">
        <f t="shared" ca="1" si="231"/>
        <v>#N/A</v>
      </c>
      <c r="AC106" s="291" t="e">
        <f t="shared" ref="AC106:AF106" ca="1" si="232">+AC66</f>
        <v>#N/A</v>
      </c>
      <c r="AD106" s="291" t="e">
        <f t="shared" ca="1" si="232"/>
        <v>#N/A</v>
      </c>
      <c r="AE106" s="291" t="e">
        <f t="shared" ca="1" si="232"/>
        <v>#N/A</v>
      </c>
      <c r="AF106" s="291" t="e">
        <f t="shared" ca="1" si="232"/>
        <v>#N/A</v>
      </c>
      <c r="AG106" s="291" t="e">
        <f t="shared" ref="AG106" ca="1" si="233">+AG66</f>
        <v>#N/A</v>
      </c>
    </row>
    <row r="107" spans="3:33">
      <c r="C107" s="28" t="s">
        <v>755</v>
      </c>
      <c r="D107" s="291">
        <f>D91</f>
        <v>0</v>
      </c>
      <c r="E107" s="291">
        <f t="shared" ref="E107:AB107" si="234">E91</f>
        <v>0</v>
      </c>
      <c r="F107" s="291">
        <f t="shared" ca="1" si="234"/>
        <v>0</v>
      </c>
      <c r="G107" s="291">
        <f t="shared" ca="1" si="234"/>
        <v>0</v>
      </c>
      <c r="H107" s="291">
        <f t="shared" ca="1" si="234"/>
        <v>0</v>
      </c>
      <c r="I107" s="291">
        <f t="shared" ca="1" si="234"/>
        <v>0</v>
      </c>
      <c r="J107" s="291">
        <f t="shared" ca="1" si="234"/>
        <v>0</v>
      </c>
      <c r="K107" s="291">
        <f t="shared" ca="1" si="234"/>
        <v>0</v>
      </c>
      <c r="L107" s="291">
        <f t="shared" ca="1" si="234"/>
        <v>0</v>
      </c>
      <c r="M107" s="291">
        <f t="shared" ca="1" si="234"/>
        <v>0</v>
      </c>
      <c r="N107" s="291">
        <f t="shared" ca="1" si="234"/>
        <v>0</v>
      </c>
      <c r="O107" s="291">
        <f t="shared" ca="1" si="234"/>
        <v>0</v>
      </c>
      <c r="P107" s="291">
        <f t="shared" ca="1" si="234"/>
        <v>0</v>
      </c>
      <c r="Q107" s="291">
        <f t="shared" ca="1" si="234"/>
        <v>0</v>
      </c>
      <c r="R107" s="291">
        <f t="shared" ca="1" si="234"/>
        <v>0</v>
      </c>
      <c r="S107" s="291">
        <f t="shared" ca="1" si="234"/>
        <v>0</v>
      </c>
      <c r="T107" s="291">
        <f t="shared" ca="1" si="234"/>
        <v>0</v>
      </c>
      <c r="U107" s="291">
        <f t="shared" ca="1" si="234"/>
        <v>0</v>
      </c>
      <c r="V107" s="291">
        <f t="shared" ca="1" si="234"/>
        <v>0</v>
      </c>
      <c r="W107" s="291">
        <f t="shared" ca="1" si="234"/>
        <v>0</v>
      </c>
      <c r="X107" s="291">
        <f t="shared" ca="1" si="234"/>
        <v>0</v>
      </c>
      <c r="Y107" s="291">
        <f t="shared" ca="1" si="234"/>
        <v>0</v>
      </c>
      <c r="Z107" s="291">
        <f t="shared" ca="1" si="234"/>
        <v>0</v>
      </c>
      <c r="AA107" s="291">
        <f t="shared" ca="1" si="234"/>
        <v>0</v>
      </c>
      <c r="AB107" s="291">
        <f t="shared" ca="1" si="234"/>
        <v>0</v>
      </c>
      <c r="AC107" s="291" t="e">
        <f t="shared" ref="AC107:AF107" ca="1" si="235">AC91</f>
        <v>#N/A</v>
      </c>
      <c r="AD107" s="291" t="e">
        <f t="shared" ca="1" si="235"/>
        <v>#N/A</v>
      </c>
      <c r="AE107" s="291" t="e">
        <f t="shared" ca="1" si="235"/>
        <v>#N/A</v>
      </c>
      <c r="AF107" s="291" t="e">
        <f t="shared" ca="1" si="235"/>
        <v>#N/A</v>
      </c>
      <c r="AG107" s="291" t="e">
        <f t="shared" ref="AG107" ca="1" si="236">AG91</f>
        <v>#N/A</v>
      </c>
    </row>
  </sheetData>
  <phoneticPr fontId="2" type="noConversion"/>
  <conditionalFormatting sqref="D5:AF6">
    <cfRule type="cellIs" dxfId="50" priority="9" operator="equal">
      <formula>TRUE</formula>
    </cfRule>
  </conditionalFormatting>
  <conditionalFormatting sqref="D66:AF66">
    <cfRule type="cellIs" dxfId="49" priority="8" operator="greaterThan">
      <formula>0</formula>
    </cfRule>
  </conditionalFormatting>
  <conditionalFormatting sqref="D95:AF95">
    <cfRule type="cellIs" dxfId="48" priority="7" operator="lessThan">
      <formula>0</formula>
    </cfRule>
  </conditionalFormatting>
  <conditionalFormatting sqref="D95:AG95">
    <cfRule type="cellIs" dxfId="47" priority="4" operator="lessThan">
      <formula>0</formula>
    </cfRule>
  </conditionalFormatting>
  <conditionalFormatting sqref="AG5:AG6">
    <cfRule type="cellIs" dxfId="46" priority="3" operator="equal">
      <formula>TRUE</formula>
    </cfRule>
  </conditionalFormatting>
  <conditionalFormatting sqref="AG66">
    <cfRule type="cellIs" dxfId="45" priority="2" operator="greaterThan">
      <formula>0</formula>
    </cfRule>
  </conditionalFormatting>
  <conditionalFormatting sqref="AG95">
    <cfRule type="cellIs" dxfId="44" priority="1" operator="lessThan">
      <formula>0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3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192024</xdr:colOff>
                    <xdr:row>2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4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192024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tabColor theme="0"/>
  </sheetPr>
  <dimension ref="C1:AO30"/>
  <sheetViews>
    <sheetView zoomScale="85" zoomScaleNormal="85" workbookViewId="0">
      <pane xSplit="3" ySplit="8" topLeftCell="D21" activePane="bottomRight" state="frozen"/>
      <selection activeCell="E19" sqref="E19"/>
      <selection pane="topRight" activeCell="E19" sqref="E19"/>
      <selection pane="bottomLeft" activeCell="E19" sqref="E19"/>
      <selection pane="bottomRight" activeCell="N36" sqref="N36"/>
    </sheetView>
  </sheetViews>
  <sheetFormatPr defaultColWidth="9.140625" defaultRowHeight="14.6" customHeight="1"/>
  <cols>
    <col min="1" max="1" width="3.5703125" style="1" customWidth="1"/>
    <col min="2" max="2" width="3.28515625" style="1" customWidth="1"/>
    <col min="3" max="3" width="32.5703125" style="1" customWidth="1"/>
    <col min="4" max="11" width="9.5703125" style="1" customWidth="1"/>
    <col min="12" max="36" width="14.140625" style="1" customWidth="1"/>
    <col min="37" max="41" width="11.5703125" style="1" customWidth="1"/>
    <col min="42" max="16384" width="9.140625" style="1"/>
  </cols>
  <sheetData>
    <row r="1" spans="3:41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41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859</v>
      </c>
      <c r="M2" s="209">
        <f>IF(stub_quarter=4,1,stub_quarter+1)</f>
        <v>1</v>
      </c>
    </row>
    <row r="4" spans="3:41" s="34" customFormat="1" ht="14.6" customHeight="1">
      <c r="C4" s="307" t="s">
        <v>719</v>
      </c>
      <c r="D4" s="307"/>
      <c r="E4" s="307"/>
      <c r="F4" s="307"/>
      <c r="G4" s="307"/>
      <c r="H4" s="307"/>
      <c r="I4" s="307"/>
      <c r="J4" s="307"/>
      <c r="K4" s="307"/>
      <c r="L4" s="307">
        <f>IF(stub_switch,EOMONTH('Control Panel'!B9,3),EOMONTH('Control Panel'!B11,2))</f>
        <v>43555</v>
      </c>
      <c r="M4" s="307">
        <f>EOMONTH(L4,3)</f>
        <v>43646</v>
      </c>
      <c r="N4" s="307">
        <f t="shared" ref="N4:AJ4" si="0">EOMONTH(M4,3)</f>
        <v>43738</v>
      </c>
      <c r="O4" s="307">
        <f t="shared" si="0"/>
        <v>43830</v>
      </c>
      <c r="P4" s="307">
        <f t="shared" si="0"/>
        <v>43921</v>
      </c>
      <c r="Q4" s="307">
        <f t="shared" si="0"/>
        <v>44012</v>
      </c>
      <c r="R4" s="307">
        <f t="shared" si="0"/>
        <v>44104</v>
      </c>
      <c r="S4" s="307">
        <f t="shared" si="0"/>
        <v>44196</v>
      </c>
      <c r="T4" s="307">
        <f t="shared" si="0"/>
        <v>44286</v>
      </c>
      <c r="U4" s="307">
        <f t="shared" si="0"/>
        <v>44377</v>
      </c>
      <c r="V4" s="307">
        <f t="shared" si="0"/>
        <v>44469</v>
      </c>
      <c r="W4" s="307">
        <f t="shared" si="0"/>
        <v>44561</v>
      </c>
      <c r="X4" s="307">
        <f t="shared" si="0"/>
        <v>44651</v>
      </c>
      <c r="Y4" s="307">
        <f t="shared" si="0"/>
        <v>44742</v>
      </c>
      <c r="Z4" s="307">
        <f t="shared" si="0"/>
        <v>44834</v>
      </c>
      <c r="AA4" s="307">
        <f t="shared" si="0"/>
        <v>44926</v>
      </c>
      <c r="AB4" s="307">
        <f t="shared" si="0"/>
        <v>45016</v>
      </c>
      <c r="AC4" s="307">
        <f t="shared" si="0"/>
        <v>45107</v>
      </c>
      <c r="AD4" s="307">
        <f t="shared" si="0"/>
        <v>45199</v>
      </c>
      <c r="AE4" s="307">
        <f t="shared" si="0"/>
        <v>45291</v>
      </c>
      <c r="AF4" s="307">
        <f t="shared" si="0"/>
        <v>45382</v>
      </c>
      <c r="AG4" s="307">
        <f t="shared" si="0"/>
        <v>45473</v>
      </c>
      <c r="AH4" s="307">
        <f t="shared" si="0"/>
        <v>45565</v>
      </c>
      <c r="AI4" s="307">
        <f t="shared" si="0"/>
        <v>45657</v>
      </c>
      <c r="AJ4" s="307">
        <f t="shared" si="0"/>
        <v>45747</v>
      </c>
      <c r="AK4" s="307">
        <f t="shared" ref="AK4" si="1">EOMONTH(AJ4,3)</f>
        <v>45838</v>
      </c>
      <c r="AL4" s="307">
        <f t="shared" ref="AL4" si="2">EOMONTH(AK4,3)</f>
        <v>45930</v>
      </c>
      <c r="AM4" s="307">
        <f t="shared" ref="AM4" si="3">EOMONTH(AL4,3)</f>
        <v>46022</v>
      </c>
      <c r="AN4" s="307">
        <f t="shared" ref="AN4:AO4" si="4">EOMONTH(AM4,3)</f>
        <v>46112</v>
      </c>
      <c r="AO4" s="307">
        <f t="shared" si="4"/>
        <v>46203</v>
      </c>
    </row>
    <row r="5" spans="3:41" s="28" customFormat="1" ht="14.6" customHeight="1">
      <c r="C5" s="28" t="s">
        <v>694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1</v>
      </c>
      <c r="AC5" s="28" t="b">
        <f>AC4&lt;=DATE('Control Panel'!$B$13,'Control Panel'!$B$6,'Control Panel'!$B$7)</f>
        <v>1</v>
      </c>
      <c r="AD5" s="28" t="b">
        <f>AD4&lt;=DATE('Control Panel'!$B$13,'Control Panel'!$B$6,'Control Panel'!$B$7)</f>
        <v>1</v>
      </c>
      <c r="AE5" s="28" t="b">
        <f>AE4&lt;=DATE('Control Panel'!$B$13,'Control Panel'!$B$6,'Control Panel'!$B$7)</f>
        <v>1</v>
      </c>
      <c r="AF5" s="28" t="b">
        <f>AF4&lt;=DATE('Control Panel'!$B$13,'Control Panel'!$B$6,'Control Panel'!$B$7)</f>
        <v>1</v>
      </c>
      <c r="AG5" s="28" t="b">
        <f>AG4&lt;=DATE('Control Panel'!$B$13,'Control Panel'!$B$6,'Control Panel'!$B$7)</f>
        <v>1</v>
      </c>
      <c r="AH5" s="28" t="b">
        <f>AH4&lt;=DATE('Control Panel'!$B$13,'Control Panel'!$B$6,'Control Panel'!$B$7)</f>
        <v>1</v>
      </c>
      <c r="AI5" s="28" t="b">
        <f>AI4&lt;=DATE('Control Panel'!$B$13,'Control Panel'!$B$6,'Control Panel'!$B$7)</f>
        <v>1</v>
      </c>
      <c r="AJ5" s="28" t="b">
        <f>AJ4&lt;=DATE('Control Panel'!$B$13,'Control Panel'!$B$6,'Control Panel'!$B$7)</f>
        <v>0</v>
      </c>
      <c r="AK5" s="28" t="b">
        <f>AK4&lt;=DATE('Control Panel'!$B$13,'Control Panel'!$B$6,'Control Panel'!$B$7)</f>
        <v>0</v>
      </c>
      <c r="AL5" s="28" t="b">
        <f>AL4&lt;=DATE('Control Panel'!$B$13,'Control Panel'!$B$6,'Control Panel'!$B$7)</f>
        <v>0</v>
      </c>
      <c r="AM5" s="28" t="b">
        <f>AM4&lt;=DATE('Control Panel'!$B$13,'Control Panel'!$B$6,'Control Panel'!$B$7)</f>
        <v>0</v>
      </c>
      <c r="AN5" s="28" t="b">
        <f>AN4&lt;=DATE('Control Panel'!$B$13,'Control Panel'!$B$6,'Control Panel'!$B$7)</f>
        <v>0</v>
      </c>
      <c r="AO5" s="28" t="b">
        <f>AO4&lt;=DATE('Control Panel'!$B$13,'Control Panel'!$B$6,'Control Panel'!$B$7)</f>
        <v>0</v>
      </c>
    </row>
    <row r="6" spans="3:41" s="28" customFormat="1" ht="14.6" customHeight="1">
      <c r="C6" s="28" t="s">
        <v>720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  <c r="AH6" s="28" t="b">
        <f>AH4&lt;=DATE(YEAR('Control Panel'!$B$9),'Control Panel'!$B$6,'Control Panel'!$B$7)*stub_switch</f>
        <v>0</v>
      </c>
      <c r="AI6" s="28" t="b">
        <f>AI4&lt;=DATE(YEAR('Control Panel'!$B$9),'Control Panel'!$B$6,'Control Panel'!$B$7)*stub_switch</f>
        <v>0</v>
      </c>
      <c r="AJ6" s="28" t="b">
        <f>AJ4&lt;=DATE(YEAR('Control Panel'!$B$9),'Control Panel'!$B$6,'Control Panel'!$B$7)*stub_switch</f>
        <v>0</v>
      </c>
      <c r="AK6" s="28" t="b">
        <f>AK4&lt;=DATE(YEAR('Control Panel'!$B$9),'Control Panel'!$B$6,'Control Panel'!$B$7)*stub_switch</f>
        <v>0</v>
      </c>
      <c r="AL6" s="28" t="b">
        <f>AL4&lt;=DATE(YEAR('Control Panel'!$B$9),'Control Panel'!$B$6,'Control Panel'!$B$7)*stub_switch</f>
        <v>0</v>
      </c>
      <c r="AM6" s="28" t="b">
        <f>AM4&lt;=DATE(YEAR('Control Panel'!$B$9),'Control Panel'!$B$6,'Control Panel'!$B$7)*stub_switch</f>
        <v>0</v>
      </c>
      <c r="AN6" s="28" t="b">
        <f>AN4&lt;=DATE(YEAR('Control Panel'!$B$9),'Control Panel'!$B$6,'Control Panel'!$B$7)*stub_switch</f>
        <v>0</v>
      </c>
      <c r="AO6" s="28" t="b">
        <f>AO4&lt;=DATE(YEAR('Control Panel'!$B$9),'Control Panel'!$B$6,'Control Panel'!$B$7)*stub_switch</f>
        <v>0</v>
      </c>
    </row>
    <row r="7" spans="3:41" ht="14.6" customHeight="1">
      <c r="C7" s="209"/>
      <c r="D7" s="794" t="s">
        <v>717</v>
      </c>
      <c r="E7" s="794"/>
      <c r="F7" s="794"/>
      <c r="G7" s="794"/>
      <c r="H7" s="794" t="s">
        <v>718</v>
      </c>
      <c r="I7" s="794"/>
      <c r="J7" s="794"/>
      <c r="K7" s="794"/>
      <c r="L7" s="308" t="str">
        <f>CONCATENATE(YEAR(L4),"F")</f>
        <v>2019F</v>
      </c>
      <c r="M7" s="360" t="str">
        <f t="shared" ref="M7:AJ7" si="5">CONCATENATE(YEAR(M4),"F")</f>
        <v>2019F</v>
      </c>
      <c r="N7" s="360" t="str">
        <f t="shared" si="5"/>
        <v>2019F</v>
      </c>
      <c r="O7" s="360" t="str">
        <f t="shared" si="5"/>
        <v>2019F</v>
      </c>
      <c r="P7" s="360" t="str">
        <f t="shared" si="5"/>
        <v>2020F</v>
      </c>
      <c r="Q7" s="360" t="str">
        <f t="shared" si="5"/>
        <v>2020F</v>
      </c>
      <c r="R7" s="360" t="str">
        <f t="shared" si="5"/>
        <v>2020F</v>
      </c>
      <c r="S7" s="360" t="str">
        <f t="shared" si="5"/>
        <v>2020F</v>
      </c>
      <c r="T7" s="360" t="str">
        <f t="shared" si="5"/>
        <v>2021F</v>
      </c>
      <c r="U7" s="360" t="str">
        <f t="shared" si="5"/>
        <v>2021F</v>
      </c>
      <c r="V7" s="360" t="str">
        <f t="shared" si="5"/>
        <v>2021F</v>
      </c>
      <c r="W7" s="360" t="str">
        <f t="shared" si="5"/>
        <v>2021F</v>
      </c>
      <c r="X7" s="360" t="str">
        <f t="shared" si="5"/>
        <v>2022F</v>
      </c>
      <c r="Y7" s="360" t="str">
        <f t="shared" si="5"/>
        <v>2022F</v>
      </c>
      <c r="Z7" s="360" t="str">
        <f t="shared" si="5"/>
        <v>2022F</v>
      </c>
      <c r="AA7" s="360" t="str">
        <f t="shared" si="5"/>
        <v>2022F</v>
      </c>
      <c r="AB7" s="360" t="str">
        <f t="shared" si="5"/>
        <v>2023F</v>
      </c>
      <c r="AC7" s="360" t="str">
        <f t="shared" si="5"/>
        <v>2023F</v>
      </c>
      <c r="AD7" s="360" t="str">
        <f t="shared" si="5"/>
        <v>2023F</v>
      </c>
      <c r="AE7" s="360" t="str">
        <f t="shared" si="5"/>
        <v>2023F</v>
      </c>
      <c r="AF7" s="360" t="str">
        <f t="shared" si="5"/>
        <v>2024F</v>
      </c>
      <c r="AG7" s="360" t="str">
        <f t="shared" si="5"/>
        <v>2024F</v>
      </c>
      <c r="AH7" s="360" t="str">
        <f t="shared" si="5"/>
        <v>2024F</v>
      </c>
      <c r="AI7" s="360" t="str">
        <f t="shared" si="5"/>
        <v>2024F</v>
      </c>
      <c r="AJ7" s="360" t="str">
        <f t="shared" si="5"/>
        <v>2025F</v>
      </c>
      <c r="AK7" s="406" t="str">
        <f t="shared" ref="AK7:AN7" si="6">CONCATENATE(YEAR(AK4),"F")</f>
        <v>2025F</v>
      </c>
      <c r="AL7" s="406" t="str">
        <f t="shared" si="6"/>
        <v>2025F</v>
      </c>
      <c r="AM7" s="406" t="str">
        <f t="shared" si="6"/>
        <v>2025F</v>
      </c>
      <c r="AN7" s="406" t="str">
        <f t="shared" si="6"/>
        <v>2026F</v>
      </c>
      <c r="AO7" s="413" t="str">
        <f t="shared" ref="AO7" si="7">CONCATENATE(YEAR(AO4),"F")</f>
        <v>2026F</v>
      </c>
    </row>
    <row r="8" spans="3:41" ht="14.6" customHeight="1">
      <c r="C8" s="209"/>
      <c r="D8" s="309">
        <v>1</v>
      </c>
      <c r="E8" s="309">
        <f>D8+1</f>
        <v>2</v>
      </c>
      <c r="F8" s="309">
        <f>E8+1</f>
        <v>3</v>
      </c>
      <c r="G8" s="309">
        <f>F8+1</f>
        <v>4</v>
      </c>
      <c r="H8" s="309">
        <v>1</v>
      </c>
      <c r="I8" s="309">
        <f>H8+1</f>
        <v>2</v>
      </c>
      <c r="J8" s="309">
        <f>I8+1</f>
        <v>3</v>
      </c>
      <c r="K8" s="309">
        <f>J8+1</f>
        <v>4</v>
      </c>
      <c r="L8" s="309">
        <f>M2</f>
        <v>1</v>
      </c>
      <c r="M8" s="309">
        <f>IF(L8=4,1,L8+1)</f>
        <v>2</v>
      </c>
      <c r="N8" s="309">
        <f>IF(M8=4,1,M8+1)</f>
        <v>3</v>
      </c>
      <c r="O8" s="309">
        <f>IF(N8=4,1,N8+1)</f>
        <v>4</v>
      </c>
      <c r="P8" s="309">
        <f>IF(O8=4,1,O8+1)</f>
        <v>1</v>
      </c>
      <c r="Q8" s="309">
        <f t="shared" ref="Q8:AB8" si="8">IF(P8=4,1,P8+1)</f>
        <v>2</v>
      </c>
      <c r="R8" s="309">
        <f t="shared" si="8"/>
        <v>3</v>
      </c>
      <c r="S8" s="309">
        <f t="shared" si="8"/>
        <v>4</v>
      </c>
      <c r="T8" s="309">
        <f t="shared" si="8"/>
        <v>1</v>
      </c>
      <c r="U8" s="309">
        <f t="shared" si="8"/>
        <v>2</v>
      </c>
      <c r="V8" s="309">
        <f t="shared" si="8"/>
        <v>3</v>
      </c>
      <c r="W8" s="309">
        <f t="shared" si="8"/>
        <v>4</v>
      </c>
      <c r="X8" s="309">
        <f t="shared" si="8"/>
        <v>1</v>
      </c>
      <c r="Y8" s="309">
        <f t="shared" si="8"/>
        <v>2</v>
      </c>
      <c r="Z8" s="309">
        <f t="shared" si="8"/>
        <v>3</v>
      </c>
      <c r="AA8" s="309">
        <f t="shared" si="8"/>
        <v>4</v>
      </c>
      <c r="AB8" s="309">
        <f t="shared" si="8"/>
        <v>1</v>
      </c>
      <c r="AC8" s="309">
        <f t="shared" ref="AC8" si="9">IF(AB8=4,1,AB8+1)</f>
        <v>2</v>
      </c>
      <c r="AD8" s="309">
        <f t="shared" ref="AD8" si="10">IF(AC8=4,1,AC8+1)</f>
        <v>3</v>
      </c>
      <c r="AE8" s="309">
        <f t="shared" ref="AE8" si="11">IF(AD8=4,1,AD8+1)</f>
        <v>4</v>
      </c>
      <c r="AF8" s="309">
        <f t="shared" ref="AF8" si="12">IF(AE8=4,1,AE8+1)</f>
        <v>1</v>
      </c>
      <c r="AG8" s="309">
        <f t="shared" ref="AG8" si="13">IF(AF8=4,1,AF8+1)</f>
        <v>2</v>
      </c>
      <c r="AH8" s="309">
        <f t="shared" ref="AH8" si="14">IF(AG8=4,1,AG8+1)</f>
        <v>3</v>
      </c>
      <c r="AI8" s="309">
        <f t="shared" ref="AI8" si="15">IF(AH8=4,1,AH8+1)</f>
        <v>4</v>
      </c>
      <c r="AJ8" s="309">
        <f t="shared" ref="AJ8" si="16">IF(AI8=4,1,AI8+1)</f>
        <v>1</v>
      </c>
      <c r="AK8" s="309">
        <f t="shared" ref="AK8" si="17">IF(AJ8=4,1,AJ8+1)</f>
        <v>2</v>
      </c>
      <c r="AL8" s="309">
        <f t="shared" ref="AL8" si="18">IF(AK8=4,1,AK8+1)</f>
        <v>3</v>
      </c>
      <c r="AM8" s="309">
        <f t="shared" ref="AM8" si="19">IF(AL8=4,1,AL8+1)</f>
        <v>4</v>
      </c>
      <c r="AN8" s="309">
        <f t="shared" ref="AN8:AO8" si="20">IF(AM8=4,1,AM8+1)</f>
        <v>1</v>
      </c>
      <c r="AO8" s="309">
        <f t="shared" si="20"/>
        <v>2</v>
      </c>
    </row>
    <row r="9" spans="3:41" ht="14.6" customHeight="1">
      <c r="C9" s="209" t="s">
        <v>721</v>
      </c>
      <c r="D9" s="209"/>
      <c r="E9" s="209"/>
      <c r="F9" s="209"/>
      <c r="G9" s="209"/>
      <c r="H9" s="209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</row>
    <row r="10" spans="3:41" s="34" customFormat="1" ht="14.6" customHeight="1">
      <c r="C10" s="180" t="s">
        <v>714</v>
      </c>
      <c r="D10" s="180"/>
      <c r="E10" s="274"/>
      <c r="F10" s="274">
        <v>0.5</v>
      </c>
      <c r="G10" s="274">
        <v>0.5</v>
      </c>
      <c r="H10" s="274">
        <v>0.25</v>
      </c>
      <c r="I10" s="274">
        <v>0.25</v>
      </c>
      <c r="J10" s="274">
        <v>0.25</v>
      </c>
      <c r="K10" s="274">
        <v>0.25</v>
      </c>
      <c r="L10" s="312">
        <f>IF(L$6,INDEX($D10:$G10,MATCH(L$8,$D$8:$G$8,0)),INDEX($H10:$K10,MATCH(L$8,$H$8:$K$8)))</f>
        <v>0.25</v>
      </c>
      <c r="M10" s="312">
        <f t="shared" ref="M10:AB14" si="21">IF(M$6,INDEX($D10:$G10,MATCH(M$8,$D$8:$G$8,0)),INDEX($H10:$K10,MATCH(M$8,$H$8:$K$8)))</f>
        <v>0.25</v>
      </c>
      <c r="N10" s="312">
        <f t="shared" si="21"/>
        <v>0.25</v>
      </c>
      <c r="O10" s="312">
        <f t="shared" si="21"/>
        <v>0.25</v>
      </c>
      <c r="P10" s="312">
        <f t="shared" si="21"/>
        <v>0.25</v>
      </c>
      <c r="Q10" s="312">
        <f t="shared" si="21"/>
        <v>0.25</v>
      </c>
      <c r="R10" s="312">
        <f t="shared" si="21"/>
        <v>0.25</v>
      </c>
      <c r="S10" s="312">
        <f t="shared" si="21"/>
        <v>0.25</v>
      </c>
      <c r="T10" s="312">
        <f t="shared" si="21"/>
        <v>0.25</v>
      </c>
      <c r="U10" s="312">
        <f t="shared" si="21"/>
        <v>0.25</v>
      </c>
      <c r="V10" s="312">
        <f t="shared" si="21"/>
        <v>0.25</v>
      </c>
      <c r="W10" s="312">
        <f t="shared" si="21"/>
        <v>0.25</v>
      </c>
      <c r="X10" s="312">
        <f t="shared" si="21"/>
        <v>0.25</v>
      </c>
      <c r="Y10" s="312">
        <f t="shared" si="21"/>
        <v>0.25</v>
      </c>
      <c r="Z10" s="312">
        <f t="shared" si="21"/>
        <v>0.25</v>
      </c>
      <c r="AA10" s="312">
        <f t="shared" si="21"/>
        <v>0.25</v>
      </c>
      <c r="AB10" s="312">
        <f t="shared" si="21"/>
        <v>0.25</v>
      </c>
      <c r="AC10" s="312">
        <f t="shared" ref="AC10:AO14" si="22">IF(AC$6,INDEX($D10:$G10,MATCH(AC$8,$D$8:$G$8,0)),INDEX($H10:$K10,MATCH(AC$8,$H$8:$K$8)))</f>
        <v>0.25</v>
      </c>
      <c r="AD10" s="312">
        <f t="shared" si="22"/>
        <v>0.25</v>
      </c>
      <c r="AE10" s="312">
        <f t="shared" si="22"/>
        <v>0.25</v>
      </c>
      <c r="AF10" s="312">
        <f t="shared" si="22"/>
        <v>0.25</v>
      </c>
      <c r="AG10" s="312">
        <f t="shared" si="22"/>
        <v>0.25</v>
      </c>
      <c r="AH10" s="312">
        <f t="shared" si="22"/>
        <v>0.25</v>
      </c>
      <c r="AI10" s="312">
        <f t="shared" si="22"/>
        <v>0.25</v>
      </c>
      <c r="AJ10" s="312">
        <f t="shared" si="22"/>
        <v>0.25</v>
      </c>
      <c r="AK10" s="312">
        <f t="shared" si="22"/>
        <v>0.25</v>
      </c>
      <c r="AL10" s="312">
        <f t="shared" si="22"/>
        <v>0.25</v>
      </c>
      <c r="AM10" s="312">
        <f t="shared" si="22"/>
        <v>0.25</v>
      </c>
      <c r="AN10" s="312">
        <f t="shared" si="22"/>
        <v>0.25</v>
      </c>
      <c r="AO10" s="312">
        <f t="shared" si="22"/>
        <v>0.25</v>
      </c>
    </row>
    <row r="11" spans="3:41" ht="14.6" customHeight="1">
      <c r="C11" s="295" t="s">
        <v>1457</v>
      </c>
      <c r="E11" s="274"/>
      <c r="F11" s="274">
        <v>0.5</v>
      </c>
      <c r="G11" s="274">
        <v>0.5</v>
      </c>
      <c r="H11" s="274">
        <v>0.25</v>
      </c>
      <c r="I11" s="274">
        <v>0.25</v>
      </c>
      <c r="J11" s="274">
        <v>0.25</v>
      </c>
      <c r="K11" s="274">
        <v>0.25</v>
      </c>
      <c r="L11" s="183">
        <f t="shared" ref="L11:L14" si="23">IF(L$6,INDEX($D11:$G11,MATCH(L$8,$D$8:$G$8,0)),INDEX($H11:$K11,MATCH(L$8,$H$8:$K$8)))</f>
        <v>0.25</v>
      </c>
      <c r="M11" s="183">
        <f t="shared" si="21"/>
        <v>0.25</v>
      </c>
      <c r="N11" s="183">
        <f t="shared" si="21"/>
        <v>0.25</v>
      </c>
      <c r="O11" s="183">
        <f t="shared" si="21"/>
        <v>0.25</v>
      </c>
      <c r="P11" s="183">
        <f t="shared" si="21"/>
        <v>0.25</v>
      </c>
      <c r="Q11" s="183">
        <f t="shared" si="21"/>
        <v>0.25</v>
      </c>
      <c r="R11" s="183">
        <f t="shared" si="21"/>
        <v>0.25</v>
      </c>
      <c r="S11" s="183">
        <f t="shared" si="21"/>
        <v>0.25</v>
      </c>
      <c r="T11" s="183">
        <f t="shared" si="21"/>
        <v>0.25</v>
      </c>
      <c r="U11" s="183">
        <f t="shared" si="21"/>
        <v>0.25</v>
      </c>
      <c r="V11" s="183">
        <f t="shared" si="21"/>
        <v>0.25</v>
      </c>
      <c r="W11" s="183">
        <f t="shared" si="21"/>
        <v>0.25</v>
      </c>
      <c r="X11" s="183">
        <f t="shared" si="21"/>
        <v>0.25</v>
      </c>
      <c r="Y11" s="183">
        <f t="shared" si="21"/>
        <v>0.25</v>
      </c>
      <c r="Z11" s="183">
        <f t="shared" si="21"/>
        <v>0.25</v>
      </c>
      <c r="AA11" s="183">
        <f t="shared" si="21"/>
        <v>0.25</v>
      </c>
      <c r="AB11" s="183">
        <f t="shared" si="21"/>
        <v>0.25</v>
      </c>
      <c r="AC11" s="183">
        <f t="shared" si="22"/>
        <v>0.25</v>
      </c>
      <c r="AD11" s="183">
        <f t="shared" si="22"/>
        <v>0.25</v>
      </c>
      <c r="AE11" s="183">
        <f t="shared" si="22"/>
        <v>0.25</v>
      </c>
      <c r="AF11" s="183">
        <f t="shared" si="22"/>
        <v>0.25</v>
      </c>
      <c r="AG11" s="183">
        <f t="shared" si="22"/>
        <v>0.25</v>
      </c>
      <c r="AH11" s="183">
        <f t="shared" si="22"/>
        <v>0.25</v>
      </c>
      <c r="AI11" s="183">
        <f t="shared" si="22"/>
        <v>0.25</v>
      </c>
      <c r="AJ11" s="183">
        <f t="shared" si="22"/>
        <v>0.25</v>
      </c>
      <c r="AK11" s="183">
        <f t="shared" si="22"/>
        <v>0.25</v>
      </c>
      <c r="AL11" s="183">
        <f t="shared" si="22"/>
        <v>0.25</v>
      </c>
      <c r="AM11" s="183">
        <f t="shared" si="22"/>
        <v>0.25</v>
      </c>
      <c r="AN11" s="183">
        <f t="shared" si="22"/>
        <v>0.25</v>
      </c>
      <c r="AO11" s="183">
        <f t="shared" si="22"/>
        <v>0.25</v>
      </c>
    </row>
    <row r="12" spans="3:41" ht="14.6" customHeight="1">
      <c r="C12" s="295" t="s">
        <v>715</v>
      </c>
      <c r="E12" s="274"/>
      <c r="F12" s="274">
        <v>0.5</v>
      </c>
      <c r="G12" s="274">
        <v>0.5</v>
      </c>
      <c r="H12" s="274">
        <v>0.25</v>
      </c>
      <c r="I12" s="274">
        <v>0.25</v>
      </c>
      <c r="J12" s="274">
        <v>0.25</v>
      </c>
      <c r="K12" s="274">
        <v>0.25</v>
      </c>
      <c r="L12" s="183">
        <f t="shared" si="23"/>
        <v>0.25</v>
      </c>
      <c r="M12" s="183">
        <f t="shared" si="21"/>
        <v>0.25</v>
      </c>
      <c r="N12" s="183">
        <f t="shared" si="21"/>
        <v>0.25</v>
      </c>
      <c r="O12" s="183">
        <f t="shared" si="21"/>
        <v>0.25</v>
      </c>
      <c r="P12" s="183">
        <f t="shared" si="21"/>
        <v>0.25</v>
      </c>
      <c r="Q12" s="183">
        <f t="shared" si="21"/>
        <v>0.25</v>
      </c>
      <c r="R12" s="183">
        <f t="shared" si="21"/>
        <v>0.25</v>
      </c>
      <c r="S12" s="183">
        <f t="shared" si="21"/>
        <v>0.25</v>
      </c>
      <c r="T12" s="183">
        <f t="shared" si="21"/>
        <v>0.25</v>
      </c>
      <c r="U12" s="183">
        <f t="shared" si="21"/>
        <v>0.25</v>
      </c>
      <c r="V12" s="183">
        <f t="shared" si="21"/>
        <v>0.25</v>
      </c>
      <c r="W12" s="183">
        <f t="shared" si="21"/>
        <v>0.25</v>
      </c>
      <c r="X12" s="183">
        <f t="shared" si="21"/>
        <v>0.25</v>
      </c>
      <c r="Y12" s="183">
        <f t="shared" si="21"/>
        <v>0.25</v>
      </c>
      <c r="Z12" s="183">
        <f t="shared" si="21"/>
        <v>0.25</v>
      </c>
      <c r="AA12" s="183">
        <f t="shared" si="21"/>
        <v>0.25</v>
      </c>
      <c r="AB12" s="183">
        <f t="shared" si="21"/>
        <v>0.25</v>
      </c>
      <c r="AC12" s="183">
        <f t="shared" si="22"/>
        <v>0.25</v>
      </c>
      <c r="AD12" s="183">
        <f t="shared" si="22"/>
        <v>0.25</v>
      </c>
      <c r="AE12" s="183">
        <f t="shared" si="22"/>
        <v>0.25</v>
      </c>
      <c r="AF12" s="183">
        <f t="shared" si="22"/>
        <v>0.25</v>
      </c>
      <c r="AG12" s="183">
        <f t="shared" si="22"/>
        <v>0.25</v>
      </c>
      <c r="AH12" s="183">
        <f t="shared" si="22"/>
        <v>0.25</v>
      </c>
      <c r="AI12" s="183">
        <f t="shared" si="22"/>
        <v>0.25</v>
      </c>
      <c r="AJ12" s="183">
        <f t="shared" si="22"/>
        <v>0.25</v>
      </c>
      <c r="AK12" s="183">
        <f t="shared" si="22"/>
        <v>0.25</v>
      </c>
      <c r="AL12" s="183">
        <f t="shared" si="22"/>
        <v>0.25</v>
      </c>
      <c r="AM12" s="183">
        <f t="shared" si="22"/>
        <v>0.25</v>
      </c>
      <c r="AN12" s="183">
        <f t="shared" si="22"/>
        <v>0.25</v>
      </c>
      <c r="AO12" s="183">
        <f t="shared" si="22"/>
        <v>0.25</v>
      </c>
    </row>
    <row r="13" spans="3:41" ht="14.6" customHeight="1">
      <c r="C13" s="295" t="s">
        <v>716</v>
      </c>
      <c r="E13" s="274"/>
      <c r="F13" s="274">
        <v>0.5</v>
      </c>
      <c r="G13" s="274">
        <v>0.5</v>
      </c>
      <c r="H13" s="274">
        <v>0.25</v>
      </c>
      <c r="I13" s="274">
        <v>0.25</v>
      </c>
      <c r="J13" s="274">
        <v>0.25</v>
      </c>
      <c r="K13" s="274">
        <v>0.25</v>
      </c>
      <c r="L13" s="183">
        <f t="shared" si="23"/>
        <v>0.25</v>
      </c>
      <c r="M13" s="183">
        <f t="shared" si="21"/>
        <v>0.25</v>
      </c>
      <c r="N13" s="183">
        <f t="shared" si="21"/>
        <v>0.25</v>
      </c>
      <c r="O13" s="183">
        <f t="shared" si="21"/>
        <v>0.25</v>
      </c>
      <c r="P13" s="183">
        <f t="shared" si="21"/>
        <v>0.25</v>
      </c>
      <c r="Q13" s="183">
        <f t="shared" si="21"/>
        <v>0.25</v>
      </c>
      <c r="R13" s="183">
        <f t="shared" si="21"/>
        <v>0.25</v>
      </c>
      <c r="S13" s="183">
        <f t="shared" si="21"/>
        <v>0.25</v>
      </c>
      <c r="T13" s="183">
        <f t="shared" si="21"/>
        <v>0.25</v>
      </c>
      <c r="U13" s="183">
        <f t="shared" si="21"/>
        <v>0.25</v>
      </c>
      <c r="V13" s="183">
        <f t="shared" si="21"/>
        <v>0.25</v>
      </c>
      <c r="W13" s="183">
        <f t="shared" si="21"/>
        <v>0.25</v>
      </c>
      <c r="X13" s="183">
        <f t="shared" si="21"/>
        <v>0.25</v>
      </c>
      <c r="Y13" s="183">
        <f t="shared" si="21"/>
        <v>0.25</v>
      </c>
      <c r="Z13" s="183">
        <f t="shared" si="21"/>
        <v>0.25</v>
      </c>
      <c r="AA13" s="183">
        <f t="shared" si="21"/>
        <v>0.25</v>
      </c>
      <c r="AB13" s="183">
        <f t="shared" si="21"/>
        <v>0.25</v>
      </c>
      <c r="AC13" s="183">
        <f t="shared" si="22"/>
        <v>0.25</v>
      </c>
      <c r="AD13" s="183">
        <f t="shared" si="22"/>
        <v>0.25</v>
      </c>
      <c r="AE13" s="183">
        <f t="shared" si="22"/>
        <v>0.25</v>
      </c>
      <c r="AF13" s="183">
        <f t="shared" si="22"/>
        <v>0.25</v>
      </c>
      <c r="AG13" s="183">
        <f t="shared" si="22"/>
        <v>0.25</v>
      </c>
      <c r="AH13" s="183">
        <f t="shared" si="22"/>
        <v>0.25</v>
      </c>
      <c r="AI13" s="183">
        <f t="shared" si="22"/>
        <v>0.25</v>
      </c>
      <c r="AJ13" s="183">
        <f t="shared" si="22"/>
        <v>0.25</v>
      </c>
      <c r="AK13" s="183">
        <f t="shared" si="22"/>
        <v>0.25</v>
      </c>
      <c r="AL13" s="183">
        <f t="shared" si="22"/>
        <v>0.25</v>
      </c>
      <c r="AM13" s="183">
        <f t="shared" si="22"/>
        <v>0.25</v>
      </c>
      <c r="AN13" s="183">
        <f t="shared" si="22"/>
        <v>0.25</v>
      </c>
      <c r="AO13" s="183">
        <f t="shared" si="22"/>
        <v>0.25</v>
      </c>
    </row>
    <row r="14" spans="3:41" ht="14.6" customHeight="1">
      <c r="C14" s="295" t="s">
        <v>1458</v>
      </c>
      <c r="E14" s="274"/>
      <c r="F14" s="274">
        <v>0.5</v>
      </c>
      <c r="G14" s="274">
        <v>0.5</v>
      </c>
      <c r="H14" s="274">
        <v>0.25</v>
      </c>
      <c r="I14" s="274">
        <v>0.25</v>
      </c>
      <c r="J14" s="274">
        <v>0.25</v>
      </c>
      <c r="K14" s="274">
        <v>0.25</v>
      </c>
      <c r="L14" s="183">
        <f t="shared" si="23"/>
        <v>0.25</v>
      </c>
      <c r="M14" s="183">
        <f t="shared" si="21"/>
        <v>0.25</v>
      </c>
      <c r="N14" s="183">
        <f t="shared" si="21"/>
        <v>0.25</v>
      </c>
      <c r="O14" s="183">
        <f t="shared" si="21"/>
        <v>0.25</v>
      </c>
      <c r="P14" s="183">
        <f t="shared" si="21"/>
        <v>0.25</v>
      </c>
      <c r="Q14" s="183">
        <f t="shared" si="21"/>
        <v>0.25</v>
      </c>
      <c r="R14" s="183">
        <f t="shared" si="21"/>
        <v>0.25</v>
      </c>
      <c r="S14" s="183">
        <f t="shared" si="21"/>
        <v>0.25</v>
      </c>
      <c r="T14" s="183">
        <f t="shared" si="21"/>
        <v>0.25</v>
      </c>
      <c r="U14" s="183">
        <f t="shared" si="21"/>
        <v>0.25</v>
      </c>
      <c r="V14" s="183">
        <f t="shared" si="21"/>
        <v>0.25</v>
      </c>
      <c r="W14" s="183">
        <f t="shared" si="21"/>
        <v>0.25</v>
      </c>
      <c r="X14" s="183">
        <f t="shared" si="21"/>
        <v>0.25</v>
      </c>
      <c r="Y14" s="183">
        <f t="shared" si="21"/>
        <v>0.25</v>
      </c>
      <c r="Z14" s="183">
        <f t="shared" si="21"/>
        <v>0.25</v>
      </c>
      <c r="AA14" s="183">
        <f t="shared" si="21"/>
        <v>0.25</v>
      </c>
      <c r="AB14" s="183">
        <f t="shared" si="21"/>
        <v>0.25</v>
      </c>
      <c r="AC14" s="183">
        <f t="shared" si="22"/>
        <v>0.25</v>
      </c>
      <c r="AD14" s="183">
        <f t="shared" si="22"/>
        <v>0.25</v>
      </c>
      <c r="AE14" s="183">
        <f t="shared" si="22"/>
        <v>0.25</v>
      </c>
      <c r="AF14" s="183">
        <f t="shared" si="22"/>
        <v>0.25</v>
      </c>
      <c r="AG14" s="183">
        <f t="shared" si="22"/>
        <v>0.25</v>
      </c>
      <c r="AH14" s="183">
        <f t="shared" si="22"/>
        <v>0.25</v>
      </c>
      <c r="AI14" s="183">
        <f t="shared" si="22"/>
        <v>0.25</v>
      </c>
      <c r="AJ14" s="183">
        <f t="shared" si="22"/>
        <v>0.25</v>
      </c>
      <c r="AK14" s="183">
        <f t="shared" si="22"/>
        <v>0.25</v>
      </c>
      <c r="AL14" s="183">
        <f t="shared" si="22"/>
        <v>0.25</v>
      </c>
      <c r="AM14" s="183">
        <f t="shared" si="22"/>
        <v>0.25</v>
      </c>
      <c r="AN14" s="183">
        <f t="shared" si="22"/>
        <v>0.25</v>
      </c>
      <c r="AO14" s="183">
        <f t="shared" si="22"/>
        <v>0.25</v>
      </c>
    </row>
    <row r="15" spans="3:41" ht="14.6" customHeight="1">
      <c r="C15" s="295" t="s">
        <v>1459</v>
      </c>
      <c r="E15" s="274"/>
      <c r="F15" s="274">
        <v>0.5</v>
      </c>
      <c r="G15" s="274">
        <v>0.5</v>
      </c>
      <c r="H15" s="274">
        <v>0.25</v>
      </c>
      <c r="I15" s="274">
        <v>0.25</v>
      </c>
      <c r="J15" s="274">
        <v>0.25</v>
      </c>
      <c r="K15" s="274">
        <v>0.25</v>
      </c>
      <c r="L15" s="183">
        <f t="shared" ref="L15:AO15" si="24">IF(L$6,INDEX($D15:$G15,MATCH(L$8,$D$8:$G$8,0)),INDEX($H15:$K15,MATCH(L$8,$H$8:$K$8)))</f>
        <v>0.25</v>
      </c>
      <c r="M15" s="183">
        <f t="shared" si="24"/>
        <v>0.25</v>
      </c>
      <c r="N15" s="183">
        <f t="shared" si="24"/>
        <v>0.25</v>
      </c>
      <c r="O15" s="183">
        <f t="shared" si="24"/>
        <v>0.25</v>
      </c>
      <c r="P15" s="183">
        <f t="shared" si="24"/>
        <v>0.25</v>
      </c>
      <c r="Q15" s="183">
        <f t="shared" si="24"/>
        <v>0.25</v>
      </c>
      <c r="R15" s="183">
        <f t="shared" si="24"/>
        <v>0.25</v>
      </c>
      <c r="S15" s="183">
        <f t="shared" si="24"/>
        <v>0.25</v>
      </c>
      <c r="T15" s="183">
        <f t="shared" si="24"/>
        <v>0.25</v>
      </c>
      <c r="U15" s="183">
        <f t="shared" si="24"/>
        <v>0.25</v>
      </c>
      <c r="V15" s="183">
        <f t="shared" si="24"/>
        <v>0.25</v>
      </c>
      <c r="W15" s="183">
        <f t="shared" si="24"/>
        <v>0.25</v>
      </c>
      <c r="X15" s="183">
        <f t="shared" si="24"/>
        <v>0.25</v>
      </c>
      <c r="Y15" s="183">
        <f t="shared" si="24"/>
        <v>0.25</v>
      </c>
      <c r="Z15" s="183">
        <f t="shared" si="24"/>
        <v>0.25</v>
      </c>
      <c r="AA15" s="183">
        <f t="shared" si="24"/>
        <v>0.25</v>
      </c>
      <c r="AB15" s="183">
        <f t="shared" si="24"/>
        <v>0.25</v>
      </c>
      <c r="AC15" s="183">
        <f t="shared" si="24"/>
        <v>0.25</v>
      </c>
      <c r="AD15" s="183">
        <f t="shared" si="24"/>
        <v>0.25</v>
      </c>
      <c r="AE15" s="183">
        <f t="shared" si="24"/>
        <v>0.25</v>
      </c>
      <c r="AF15" s="183">
        <f t="shared" si="24"/>
        <v>0.25</v>
      </c>
      <c r="AG15" s="183">
        <f t="shared" si="24"/>
        <v>0.25</v>
      </c>
      <c r="AH15" s="183">
        <f t="shared" si="24"/>
        <v>0.25</v>
      </c>
      <c r="AI15" s="183">
        <f t="shared" si="24"/>
        <v>0.25</v>
      </c>
      <c r="AJ15" s="183">
        <f t="shared" si="24"/>
        <v>0.25</v>
      </c>
      <c r="AK15" s="183">
        <f t="shared" si="24"/>
        <v>0.25</v>
      </c>
      <c r="AL15" s="183">
        <f t="shared" si="24"/>
        <v>0.25</v>
      </c>
      <c r="AM15" s="183">
        <f t="shared" si="24"/>
        <v>0.25</v>
      </c>
      <c r="AN15" s="183">
        <f t="shared" si="24"/>
        <v>0.25</v>
      </c>
      <c r="AO15" s="183">
        <f t="shared" si="24"/>
        <v>0.25</v>
      </c>
    </row>
    <row r="16" spans="3:41" ht="14.6" customHeight="1">
      <c r="C16" s="180" t="s">
        <v>1460</v>
      </c>
      <c r="E16" s="274"/>
      <c r="F16" s="274"/>
      <c r="G16" s="274"/>
      <c r="H16" s="274"/>
      <c r="I16" s="274"/>
      <c r="J16" s="274"/>
      <c r="K16" s="274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</row>
    <row r="17" spans="3:41" ht="14.6" customHeight="1">
      <c r="C17" s="295" t="s">
        <v>1461</v>
      </c>
      <c r="E17" s="274"/>
      <c r="F17" s="274">
        <v>0.5</v>
      </c>
      <c r="G17" s="274">
        <v>0.5</v>
      </c>
      <c r="H17" s="274">
        <v>0.25</v>
      </c>
      <c r="I17" s="274">
        <v>0.25</v>
      </c>
      <c r="J17" s="274">
        <v>0.25</v>
      </c>
      <c r="K17" s="274">
        <v>0.25</v>
      </c>
      <c r="L17" s="183">
        <f t="shared" ref="L17:AA19" si="25">IF(L$6,INDEX($D17:$G17,MATCH(L$8,$D$8:$G$8,0)),INDEX($H17:$K17,MATCH(L$8,$H$8:$K$8)))</f>
        <v>0.25</v>
      </c>
      <c r="M17" s="183">
        <f t="shared" si="25"/>
        <v>0.25</v>
      </c>
      <c r="N17" s="183">
        <f t="shared" si="25"/>
        <v>0.25</v>
      </c>
      <c r="O17" s="183">
        <f t="shared" si="25"/>
        <v>0.25</v>
      </c>
      <c r="P17" s="183">
        <f t="shared" si="25"/>
        <v>0.25</v>
      </c>
      <c r="Q17" s="183">
        <f t="shared" si="25"/>
        <v>0.25</v>
      </c>
      <c r="R17" s="183">
        <f t="shared" si="25"/>
        <v>0.25</v>
      </c>
      <c r="S17" s="183">
        <f t="shared" si="25"/>
        <v>0.25</v>
      </c>
      <c r="T17" s="183">
        <f t="shared" si="25"/>
        <v>0.25</v>
      </c>
      <c r="U17" s="183">
        <f t="shared" si="25"/>
        <v>0.25</v>
      </c>
      <c r="V17" s="183">
        <f t="shared" si="25"/>
        <v>0.25</v>
      </c>
      <c r="W17" s="183">
        <f t="shared" si="25"/>
        <v>0.25</v>
      </c>
      <c r="X17" s="183">
        <f t="shared" si="25"/>
        <v>0.25</v>
      </c>
      <c r="Y17" s="183">
        <f t="shared" si="25"/>
        <v>0.25</v>
      </c>
      <c r="Z17" s="183">
        <f t="shared" si="25"/>
        <v>0.25</v>
      </c>
      <c r="AA17" s="183">
        <f t="shared" si="25"/>
        <v>0.25</v>
      </c>
      <c r="AB17" s="183">
        <f t="shared" ref="AB17:AO19" si="26">IF(AB$6,INDEX($D17:$G17,MATCH(AB$8,$D$8:$G$8,0)),INDEX($H17:$K17,MATCH(AB$8,$H$8:$K$8)))</f>
        <v>0.25</v>
      </c>
      <c r="AC17" s="183">
        <f t="shared" si="26"/>
        <v>0.25</v>
      </c>
      <c r="AD17" s="183">
        <f t="shared" si="26"/>
        <v>0.25</v>
      </c>
      <c r="AE17" s="183">
        <f t="shared" si="26"/>
        <v>0.25</v>
      </c>
      <c r="AF17" s="183">
        <f t="shared" si="26"/>
        <v>0.25</v>
      </c>
      <c r="AG17" s="183">
        <f t="shared" si="26"/>
        <v>0.25</v>
      </c>
      <c r="AH17" s="183">
        <f t="shared" si="26"/>
        <v>0.25</v>
      </c>
      <c r="AI17" s="183">
        <f t="shared" si="26"/>
        <v>0.25</v>
      </c>
      <c r="AJ17" s="183">
        <f t="shared" si="26"/>
        <v>0.25</v>
      </c>
      <c r="AK17" s="183">
        <f t="shared" si="26"/>
        <v>0.25</v>
      </c>
      <c r="AL17" s="183">
        <f t="shared" si="26"/>
        <v>0.25</v>
      </c>
      <c r="AM17" s="183">
        <f t="shared" si="26"/>
        <v>0.25</v>
      </c>
      <c r="AN17" s="183">
        <f t="shared" si="26"/>
        <v>0.25</v>
      </c>
      <c r="AO17" s="183">
        <f t="shared" si="26"/>
        <v>0.25</v>
      </c>
    </row>
    <row r="18" spans="3:41" ht="14.6" customHeight="1">
      <c r="C18" s="295" t="s">
        <v>1462</v>
      </c>
      <c r="E18" s="274"/>
      <c r="F18" s="274">
        <v>0.5</v>
      </c>
      <c r="G18" s="274">
        <v>0.5</v>
      </c>
      <c r="H18" s="274">
        <v>0.25</v>
      </c>
      <c r="I18" s="274">
        <v>0.25</v>
      </c>
      <c r="J18" s="274">
        <v>0.25</v>
      </c>
      <c r="K18" s="274">
        <v>0.25</v>
      </c>
      <c r="L18" s="183">
        <f t="shared" si="25"/>
        <v>0.25</v>
      </c>
      <c r="M18" s="183">
        <f t="shared" si="25"/>
        <v>0.25</v>
      </c>
      <c r="N18" s="183">
        <f t="shared" si="25"/>
        <v>0.25</v>
      </c>
      <c r="O18" s="183">
        <f t="shared" si="25"/>
        <v>0.25</v>
      </c>
      <c r="P18" s="183">
        <f t="shared" si="25"/>
        <v>0.25</v>
      </c>
      <c r="Q18" s="183">
        <f t="shared" si="25"/>
        <v>0.25</v>
      </c>
      <c r="R18" s="183">
        <f t="shared" si="25"/>
        <v>0.25</v>
      </c>
      <c r="S18" s="183">
        <f t="shared" si="25"/>
        <v>0.25</v>
      </c>
      <c r="T18" s="183">
        <f t="shared" si="25"/>
        <v>0.25</v>
      </c>
      <c r="U18" s="183">
        <f t="shared" si="25"/>
        <v>0.25</v>
      </c>
      <c r="V18" s="183">
        <f t="shared" si="25"/>
        <v>0.25</v>
      </c>
      <c r="W18" s="183">
        <f t="shared" si="25"/>
        <v>0.25</v>
      </c>
      <c r="X18" s="183">
        <f t="shared" si="25"/>
        <v>0.25</v>
      </c>
      <c r="Y18" s="183">
        <f t="shared" si="25"/>
        <v>0.25</v>
      </c>
      <c r="Z18" s="183">
        <f t="shared" si="25"/>
        <v>0.25</v>
      </c>
      <c r="AA18" s="183">
        <f t="shared" si="25"/>
        <v>0.25</v>
      </c>
      <c r="AB18" s="183">
        <f t="shared" si="26"/>
        <v>0.25</v>
      </c>
      <c r="AC18" s="183">
        <f t="shared" si="26"/>
        <v>0.25</v>
      </c>
      <c r="AD18" s="183">
        <f t="shared" si="26"/>
        <v>0.25</v>
      </c>
      <c r="AE18" s="183">
        <f t="shared" si="26"/>
        <v>0.25</v>
      </c>
      <c r="AF18" s="183">
        <f t="shared" si="26"/>
        <v>0.25</v>
      </c>
      <c r="AG18" s="183">
        <f t="shared" si="26"/>
        <v>0.25</v>
      </c>
      <c r="AH18" s="183">
        <f t="shared" si="26"/>
        <v>0.25</v>
      </c>
      <c r="AI18" s="183">
        <f t="shared" si="26"/>
        <v>0.25</v>
      </c>
      <c r="AJ18" s="183">
        <f t="shared" si="26"/>
        <v>0.25</v>
      </c>
      <c r="AK18" s="183">
        <f t="shared" si="26"/>
        <v>0.25</v>
      </c>
      <c r="AL18" s="183">
        <f t="shared" si="26"/>
        <v>0.25</v>
      </c>
      <c r="AM18" s="183">
        <f t="shared" si="26"/>
        <v>0.25</v>
      </c>
      <c r="AN18" s="183">
        <f t="shared" si="26"/>
        <v>0.25</v>
      </c>
      <c r="AO18" s="183">
        <f t="shared" si="26"/>
        <v>0.25</v>
      </c>
    </row>
    <row r="19" spans="3:41" ht="14.6" customHeight="1">
      <c r="C19" s="295" t="s">
        <v>1463</v>
      </c>
      <c r="E19" s="274"/>
      <c r="F19" s="274">
        <v>0.5</v>
      </c>
      <c r="G19" s="274">
        <v>0.5</v>
      </c>
      <c r="H19" s="274">
        <v>0.25</v>
      </c>
      <c r="I19" s="274">
        <v>0.25</v>
      </c>
      <c r="J19" s="274">
        <v>0.25</v>
      </c>
      <c r="K19" s="274">
        <v>0.25</v>
      </c>
      <c r="L19" s="183">
        <f t="shared" si="25"/>
        <v>0.25</v>
      </c>
      <c r="M19" s="183">
        <f t="shared" si="25"/>
        <v>0.25</v>
      </c>
      <c r="N19" s="183">
        <f t="shared" si="25"/>
        <v>0.25</v>
      </c>
      <c r="O19" s="183">
        <f t="shared" si="25"/>
        <v>0.25</v>
      </c>
      <c r="P19" s="183">
        <f t="shared" si="25"/>
        <v>0.25</v>
      </c>
      <c r="Q19" s="183">
        <f t="shared" si="25"/>
        <v>0.25</v>
      </c>
      <c r="R19" s="183">
        <f t="shared" si="25"/>
        <v>0.25</v>
      </c>
      <c r="S19" s="183">
        <f t="shared" si="25"/>
        <v>0.25</v>
      </c>
      <c r="T19" s="183">
        <f t="shared" si="25"/>
        <v>0.25</v>
      </c>
      <c r="U19" s="183">
        <f t="shared" si="25"/>
        <v>0.25</v>
      </c>
      <c r="V19" s="183">
        <f t="shared" si="25"/>
        <v>0.25</v>
      </c>
      <c r="W19" s="183">
        <f t="shared" si="25"/>
        <v>0.25</v>
      </c>
      <c r="X19" s="183">
        <f t="shared" si="25"/>
        <v>0.25</v>
      </c>
      <c r="Y19" s="183">
        <f t="shared" si="25"/>
        <v>0.25</v>
      </c>
      <c r="Z19" s="183">
        <f t="shared" si="25"/>
        <v>0.25</v>
      </c>
      <c r="AA19" s="183">
        <f t="shared" si="25"/>
        <v>0.25</v>
      </c>
      <c r="AB19" s="183">
        <f t="shared" si="26"/>
        <v>0.25</v>
      </c>
      <c r="AC19" s="183">
        <f t="shared" si="26"/>
        <v>0.25</v>
      </c>
      <c r="AD19" s="183">
        <f t="shared" si="26"/>
        <v>0.25</v>
      </c>
      <c r="AE19" s="183">
        <f t="shared" si="26"/>
        <v>0.25</v>
      </c>
      <c r="AF19" s="183">
        <f t="shared" si="26"/>
        <v>0.25</v>
      </c>
      <c r="AG19" s="183">
        <f t="shared" si="26"/>
        <v>0.25</v>
      </c>
      <c r="AH19" s="183">
        <f t="shared" si="26"/>
        <v>0.25</v>
      </c>
      <c r="AI19" s="183">
        <f t="shared" si="26"/>
        <v>0.25</v>
      </c>
      <c r="AJ19" s="183">
        <f t="shared" si="26"/>
        <v>0.25</v>
      </c>
      <c r="AK19" s="183">
        <f t="shared" si="26"/>
        <v>0.25</v>
      </c>
      <c r="AL19" s="183">
        <f t="shared" si="26"/>
        <v>0.25</v>
      </c>
      <c r="AM19" s="183">
        <f t="shared" si="26"/>
        <v>0.25</v>
      </c>
      <c r="AN19" s="183">
        <f t="shared" si="26"/>
        <v>0.25</v>
      </c>
      <c r="AO19" s="183">
        <f t="shared" si="26"/>
        <v>0.25</v>
      </c>
    </row>
    <row r="20" spans="3:41" ht="14.6" customHeight="1">
      <c r="C20" s="180" t="s">
        <v>1464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</row>
    <row r="21" spans="3:41" ht="14.6" customHeight="1"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</row>
    <row r="22" spans="3:41" ht="14.6" customHeight="1">
      <c r="C22" s="209" t="s">
        <v>722</v>
      </c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</row>
    <row r="23" spans="3:41" ht="14.6" customHeight="1">
      <c r="C23" s="180" t="str">
        <f t="shared" ref="C23:C24" si="27">C10</f>
        <v>Business Unit EBITDA</v>
      </c>
      <c r="D23" s="180"/>
      <c r="E23" s="180"/>
      <c r="F23" s="180"/>
      <c r="G23" s="180"/>
      <c r="H23" s="180"/>
      <c r="I23" s="180"/>
      <c r="J23" s="180"/>
      <c r="K23" s="180"/>
      <c r="L23" s="180">
        <f>L$5*L10*INDEX('CF offshore'!23:23,MATCH(L$7,'CF offshore'!$17:$17,0))</f>
        <v>0</v>
      </c>
      <c r="M23" s="180">
        <f>M$5*M10*INDEX('CF offshore'!23:23,MATCH(M$7,'CF offshore'!$17:$17,0))</f>
        <v>0</v>
      </c>
      <c r="N23" s="180">
        <f>N$5*N10*INDEX('CF offshore'!23:23,MATCH(N$7,'CF offshore'!$17:$17,0))</f>
        <v>0</v>
      </c>
      <c r="O23" s="180">
        <f>O$5*O10*INDEX('CF offshore'!23:23,MATCH(O$7,'CF offshore'!$17:$17,0))</f>
        <v>0</v>
      </c>
      <c r="P23" s="180">
        <f>P$5*P10*INDEX('CF offshore'!23:23,MATCH(P$7,'CF offshore'!$17:$17,0))</f>
        <v>0</v>
      </c>
      <c r="Q23" s="180">
        <f>Q$5*Q10*INDEX('CF offshore'!23:23,MATCH(Q$7,'CF offshore'!$17:$17,0))</f>
        <v>0</v>
      </c>
      <c r="R23" s="180">
        <f>R$5*R10*INDEX('CF offshore'!23:23,MATCH(R$7,'CF offshore'!$17:$17,0))</f>
        <v>0</v>
      </c>
      <c r="S23" s="180">
        <f>S$5*S10*INDEX('CF offshore'!23:23,MATCH(S$7,'CF offshore'!$17:$17,0))</f>
        <v>0</v>
      </c>
      <c r="T23" s="180">
        <f>T$5*T10*INDEX('CF offshore'!23:23,MATCH(T$7,'CF offshore'!$17:$17,0))</f>
        <v>0</v>
      </c>
      <c r="U23" s="180">
        <f>U$5*U10*INDEX('CF offshore'!23:23,MATCH(U$7,'CF offshore'!$17:$17,0))</f>
        <v>0</v>
      </c>
      <c r="V23" s="180">
        <f>V$5*V10*INDEX('CF offshore'!23:23,MATCH(V$7,'CF offshore'!$17:$17,0))</f>
        <v>0</v>
      </c>
      <c r="W23" s="180">
        <f>W$5*W10*INDEX('CF offshore'!23:23,MATCH(W$7,'CF offshore'!$17:$17,0))</f>
        <v>0</v>
      </c>
      <c r="X23" s="180">
        <f>X$5*X10*INDEX('CF offshore'!23:23,MATCH(X$7,'CF offshore'!$17:$17,0))</f>
        <v>0</v>
      </c>
      <c r="Y23" s="180">
        <f>Y$5*Y10*INDEX('CF offshore'!23:23,MATCH(Y$7,'CF offshore'!$17:$17,0))</f>
        <v>0</v>
      </c>
      <c r="Z23" s="180">
        <f>Z$5*Z10*INDEX('CF offshore'!23:23,MATCH(Z$7,'CF offshore'!$17:$17,0))</f>
        <v>0</v>
      </c>
      <c r="AA23" s="180">
        <f>AA$5*AA10*INDEX('CF offshore'!23:23,MATCH(AA$7,'CF offshore'!$17:$17,0))</f>
        <v>0</v>
      </c>
      <c r="AB23" s="180">
        <f>AB$5*AB10*INDEX('CF offshore'!23:23,MATCH(AB$7,'CF offshore'!$17:$17,0))</f>
        <v>0</v>
      </c>
      <c r="AC23" s="180">
        <f>AC$5*AC10*INDEX('CF offshore'!23:23,MATCH(AC$7,'CF offshore'!$17:$17,0))</f>
        <v>0</v>
      </c>
      <c r="AD23" s="180">
        <f>AD$5*AD10*INDEX('CF offshore'!23:23,MATCH(AD$7,'CF offshore'!$17:$17,0))</f>
        <v>0</v>
      </c>
      <c r="AE23" s="180">
        <f>AE$5*AE10*INDEX('CF offshore'!23:23,MATCH(AE$7,'CF offshore'!$17:$17,0))</f>
        <v>0</v>
      </c>
      <c r="AF23" s="180">
        <f>AF$5*AF10*INDEX('CF offshore'!23:23,MATCH(AF$7,'CF offshore'!$17:$17,0))</f>
        <v>0</v>
      </c>
      <c r="AG23" s="180">
        <f>AG$5*AG10*INDEX('CF offshore'!23:23,MATCH(AG$7,'CF offshore'!$17:$17,0))</f>
        <v>0</v>
      </c>
      <c r="AH23" s="180">
        <f>AH$5*AH10*INDEX('CF offshore'!23:23,MATCH(AH$7,'CF offshore'!$17:$17,0))</f>
        <v>0</v>
      </c>
      <c r="AI23" s="180">
        <f>AI$5*AI10*INDEX('CF offshore'!23:23,MATCH(AI$7,'CF offshore'!$17:$17,0))</f>
        <v>0</v>
      </c>
      <c r="AJ23" s="180" t="e">
        <f>AJ$5*AJ10*INDEX('CF offshore'!23:23,MATCH(AJ$7,'CF offshore'!$17:$17,0))</f>
        <v>#N/A</v>
      </c>
      <c r="AK23" s="180" t="e">
        <f>AK$5*AK10*INDEX('CF offshore'!23:23,MATCH(AK$7,'CF offshore'!$17:$17,0))</f>
        <v>#N/A</v>
      </c>
      <c r="AL23" s="180" t="e">
        <f>AL$5*AL10*INDEX('CF offshore'!23:23,MATCH(AL$7,'CF offshore'!$17:$17,0))</f>
        <v>#N/A</v>
      </c>
      <c r="AM23" s="180" t="e">
        <f>AM$5*AM10*INDEX('CF offshore'!23:23,MATCH(AM$7,'CF offshore'!$17:$17,0))</f>
        <v>#N/A</v>
      </c>
      <c r="AN23" s="180" t="e">
        <f>AN$5*AN10*INDEX('CF offshore'!23:23,MATCH(AN$7,'CF offshore'!$17:$17,0))</f>
        <v>#N/A</v>
      </c>
      <c r="AO23" s="180" t="e">
        <f>AO$5*AO10*INDEX('CF offshore'!23:23,MATCH(AO$7,'CF offshore'!$17:$17,0))</f>
        <v>#N/A</v>
      </c>
    </row>
    <row r="24" spans="3:41" ht="14.6" customHeight="1">
      <c r="C24" s="28" t="str">
        <f t="shared" si="27"/>
        <v>- change in working capital</v>
      </c>
      <c r="D24" s="291"/>
      <c r="E24" s="291"/>
      <c r="F24" s="291"/>
      <c r="G24" s="291"/>
      <c r="H24" s="291"/>
      <c r="I24" s="291"/>
      <c r="J24" s="291"/>
      <c r="K24" s="291"/>
      <c r="L24" s="376">
        <f>L$5*L11*INDEX('CF offshore'!24:24,MATCH(L$7,'CF offshore'!$17:$17,0))</f>
        <v>0</v>
      </c>
      <c r="M24" s="376">
        <f>M$5*M11*INDEX('CF offshore'!24:24,MATCH(M$7,'CF offshore'!$17:$17,0))</f>
        <v>0</v>
      </c>
      <c r="N24" s="376">
        <f>N$5*N11*INDEX('CF offshore'!24:24,MATCH(N$7,'CF offshore'!$17:$17,0))</f>
        <v>0</v>
      </c>
      <c r="O24" s="376">
        <f>O$5*O11*INDEX('CF offshore'!24:24,MATCH(O$7,'CF offshore'!$17:$17,0))</f>
        <v>0</v>
      </c>
      <c r="P24" s="376">
        <f>P$5*P11*INDEX('CF offshore'!24:24,MATCH(P$7,'CF offshore'!$17:$17,0))</f>
        <v>0</v>
      </c>
      <c r="Q24" s="376">
        <f>Q$5*Q11*INDEX('CF offshore'!24:24,MATCH(Q$7,'CF offshore'!$17:$17,0))</f>
        <v>0</v>
      </c>
      <c r="R24" s="376">
        <f>R$5*R11*INDEX('CF offshore'!24:24,MATCH(R$7,'CF offshore'!$17:$17,0))</f>
        <v>0</v>
      </c>
      <c r="S24" s="376">
        <f>S$5*S11*INDEX('CF offshore'!24:24,MATCH(S$7,'CF offshore'!$17:$17,0))</f>
        <v>0</v>
      </c>
      <c r="T24" s="376">
        <f>T$5*T11*INDEX('CF offshore'!24:24,MATCH(T$7,'CF offshore'!$17:$17,0))</f>
        <v>0</v>
      </c>
      <c r="U24" s="376">
        <f>U$5*U11*INDEX('CF offshore'!24:24,MATCH(U$7,'CF offshore'!$17:$17,0))</f>
        <v>0</v>
      </c>
      <c r="V24" s="376">
        <f>V$5*V11*INDEX('CF offshore'!24:24,MATCH(V$7,'CF offshore'!$17:$17,0))</f>
        <v>0</v>
      </c>
      <c r="W24" s="376">
        <f>W$5*W11*INDEX('CF offshore'!24:24,MATCH(W$7,'CF offshore'!$17:$17,0))</f>
        <v>0</v>
      </c>
      <c r="X24" s="376">
        <f>X$5*X11*INDEX('CF offshore'!24:24,MATCH(X$7,'CF offshore'!$17:$17,0))</f>
        <v>0</v>
      </c>
      <c r="Y24" s="376">
        <f>Y$5*Y11*INDEX('CF offshore'!24:24,MATCH(Y$7,'CF offshore'!$17:$17,0))</f>
        <v>0</v>
      </c>
      <c r="Z24" s="376">
        <f>Z$5*Z11*INDEX('CF offshore'!24:24,MATCH(Z$7,'CF offshore'!$17:$17,0))</f>
        <v>0</v>
      </c>
      <c r="AA24" s="376">
        <f>AA$5*AA11*INDEX('CF offshore'!24:24,MATCH(AA$7,'CF offshore'!$17:$17,0))</f>
        <v>0</v>
      </c>
      <c r="AB24" s="376">
        <f>AB$5*AB11*INDEX('CF offshore'!24:24,MATCH(AB$7,'CF offshore'!$17:$17,0))</f>
        <v>0</v>
      </c>
      <c r="AC24" s="376">
        <f>AC$5*AC11*INDEX('CF offshore'!24:24,MATCH(AC$7,'CF offshore'!$17:$17,0))</f>
        <v>0</v>
      </c>
      <c r="AD24" s="376">
        <f>AD$5*AD11*INDEX('CF offshore'!24:24,MATCH(AD$7,'CF offshore'!$17:$17,0))</f>
        <v>0</v>
      </c>
      <c r="AE24" s="376">
        <f>AE$5*AE11*INDEX('CF offshore'!24:24,MATCH(AE$7,'CF offshore'!$17:$17,0))</f>
        <v>0</v>
      </c>
      <c r="AF24" s="376">
        <f>AF$5*AF11*INDEX('CF offshore'!24:24,MATCH(AF$7,'CF offshore'!$17:$17,0))</f>
        <v>0</v>
      </c>
      <c r="AG24" s="376">
        <f>AG$5*AG11*INDEX('CF offshore'!24:24,MATCH(AG$7,'CF offshore'!$17:$17,0))</f>
        <v>0</v>
      </c>
      <c r="AH24" s="376">
        <f>AH$5*AH11*INDEX('CF offshore'!24:24,MATCH(AH$7,'CF offshore'!$17:$17,0))</f>
        <v>0</v>
      </c>
      <c r="AI24" s="376">
        <f>AI$5*AI11*INDEX('CF offshore'!24:24,MATCH(AI$7,'CF offshore'!$17:$17,0))</f>
        <v>0</v>
      </c>
      <c r="AJ24" s="376" t="e">
        <f>AJ$5*AJ11*INDEX('CF offshore'!24:24,MATCH(AJ$7,'CF offshore'!$17:$17,0))</f>
        <v>#N/A</v>
      </c>
      <c r="AK24" s="376" t="e">
        <f>AK$5*AK11*INDEX('CF offshore'!24:24,MATCH(AK$7,'CF offshore'!$17:$17,0))</f>
        <v>#N/A</v>
      </c>
      <c r="AL24" s="376" t="e">
        <f>AL$5*AL11*INDEX('CF offshore'!24:24,MATCH(AL$7,'CF offshore'!$17:$17,0))</f>
        <v>#N/A</v>
      </c>
      <c r="AM24" s="376" t="e">
        <f>AM$5*AM11*INDEX('CF offshore'!24:24,MATCH(AM$7,'CF offshore'!$17:$17,0))</f>
        <v>#N/A</v>
      </c>
      <c r="AN24" s="376" t="e">
        <f>AN$5*AN11*INDEX('CF offshore'!24:24,MATCH(AN$7,'CF offshore'!$17:$17,0))</f>
        <v>#N/A</v>
      </c>
      <c r="AO24" s="376" t="e">
        <f>AO$5*AO11*INDEX('CF offshore'!24:24,MATCH(AO$7,'CF offshore'!$17:$17,0))</f>
        <v>#N/A</v>
      </c>
    </row>
    <row r="25" spans="3:41" ht="14.6" customHeight="1">
      <c r="C25" s="28" t="str">
        <f>C14</f>
        <v>- Tax</v>
      </c>
      <c r="D25" s="291"/>
      <c r="E25" s="291"/>
      <c r="F25" s="291"/>
      <c r="G25" s="291"/>
      <c r="H25" s="291"/>
      <c r="I25" s="291"/>
      <c r="J25" s="291"/>
      <c r="K25" s="291"/>
      <c r="L25" s="376">
        <f>L$5*L12*INDEX('CF offshore'!25:25,MATCH(L$7,'CF offshore'!$17:$17,0))</f>
        <v>0</v>
      </c>
      <c r="M25" s="376">
        <f>M$5*M12*INDEX('CF offshore'!25:25,MATCH(M$7,'CF offshore'!$17:$17,0))</f>
        <v>0</v>
      </c>
      <c r="N25" s="376">
        <f>N$5*N12*INDEX('CF offshore'!25:25,MATCH(N$7,'CF offshore'!$17:$17,0))</f>
        <v>0</v>
      </c>
      <c r="O25" s="376">
        <f>O$5*O12*INDEX('CF offshore'!25:25,MATCH(O$7,'CF offshore'!$17:$17,0))</f>
        <v>0</v>
      </c>
      <c r="P25" s="376">
        <f>P$5*P12*INDEX('CF offshore'!25:25,MATCH(P$7,'CF offshore'!$17:$17,0))</f>
        <v>0</v>
      </c>
      <c r="Q25" s="376">
        <f>Q$5*Q12*INDEX('CF offshore'!25:25,MATCH(Q$7,'CF offshore'!$17:$17,0))</f>
        <v>0</v>
      </c>
      <c r="R25" s="376">
        <f>R$5*R12*INDEX('CF offshore'!25:25,MATCH(R$7,'CF offshore'!$17:$17,0))</f>
        <v>0</v>
      </c>
      <c r="S25" s="376">
        <f>S$5*S12*INDEX('CF offshore'!25:25,MATCH(S$7,'CF offshore'!$17:$17,0))</f>
        <v>0</v>
      </c>
      <c r="T25" s="376">
        <f>T$5*T12*INDEX('CF offshore'!25:25,MATCH(T$7,'CF offshore'!$17:$17,0))</f>
        <v>0</v>
      </c>
      <c r="U25" s="376">
        <f>U$5*U12*INDEX('CF offshore'!25:25,MATCH(U$7,'CF offshore'!$17:$17,0))</f>
        <v>0</v>
      </c>
      <c r="V25" s="376">
        <f>V$5*V12*INDEX('CF offshore'!25:25,MATCH(V$7,'CF offshore'!$17:$17,0))</f>
        <v>0</v>
      </c>
      <c r="W25" s="376">
        <f>W$5*W12*INDEX('CF offshore'!25:25,MATCH(W$7,'CF offshore'!$17:$17,0))</f>
        <v>0</v>
      </c>
      <c r="X25" s="376">
        <f>X$5*X12*INDEX('CF offshore'!25:25,MATCH(X$7,'CF offshore'!$17:$17,0))</f>
        <v>0</v>
      </c>
      <c r="Y25" s="376">
        <f>Y$5*Y12*INDEX('CF offshore'!25:25,MATCH(Y$7,'CF offshore'!$17:$17,0))</f>
        <v>0</v>
      </c>
      <c r="Z25" s="376">
        <f>Z$5*Z12*INDEX('CF offshore'!25:25,MATCH(Z$7,'CF offshore'!$17:$17,0))</f>
        <v>0</v>
      </c>
      <c r="AA25" s="376">
        <f>AA$5*AA12*INDEX('CF offshore'!25:25,MATCH(AA$7,'CF offshore'!$17:$17,0))</f>
        <v>0</v>
      </c>
      <c r="AB25" s="376">
        <f>AB$5*AB12*INDEX('CF offshore'!25:25,MATCH(AB$7,'CF offshore'!$17:$17,0))</f>
        <v>0</v>
      </c>
      <c r="AC25" s="376">
        <f>AC$5*AC12*INDEX('CF offshore'!25:25,MATCH(AC$7,'CF offshore'!$17:$17,0))</f>
        <v>0</v>
      </c>
      <c r="AD25" s="376">
        <f>AD$5*AD12*INDEX('CF offshore'!25:25,MATCH(AD$7,'CF offshore'!$17:$17,0))</f>
        <v>0</v>
      </c>
      <c r="AE25" s="376">
        <f>AE$5*AE12*INDEX('CF offshore'!25:25,MATCH(AE$7,'CF offshore'!$17:$17,0))</f>
        <v>0</v>
      </c>
      <c r="AF25" s="376">
        <f>AF$5*AF12*INDEX('CF offshore'!25:25,MATCH(AF$7,'CF offshore'!$17:$17,0))</f>
        <v>0</v>
      </c>
      <c r="AG25" s="376">
        <f>AG$5*AG12*INDEX('CF offshore'!25:25,MATCH(AG$7,'CF offshore'!$17:$17,0))</f>
        <v>0</v>
      </c>
      <c r="AH25" s="376">
        <f>AH$5*AH12*INDEX('CF offshore'!25:25,MATCH(AH$7,'CF offshore'!$17:$17,0))</f>
        <v>0</v>
      </c>
      <c r="AI25" s="376">
        <f>AI$5*AI12*INDEX('CF offshore'!25:25,MATCH(AI$7,'CF offshore'!$17:$17,0))</f>
        <v>0</v>
      </c>
      <c r="AJ25" s="376" t="e">
        <f>AJ$5*AJ12*INDEX('CF offshore'!25:25,MATCH(AJ$7,'CF offshore'!$17:$17,0))</f>
        <v>#N/A</v>
      </c>
      <c r="AK25" s="376" t="e">
        <f>AK$5*AK12*INDEX('CF offshore'!25:25,MATCH(AK$7,'CF offshore'!$17:$17,0))</f>
        <v>#N/A</v>
      </c>
      <c r="AL25" s="376" t="e">
        <f>AL$5*AL12*INDEX('CF offshore'!25:25,MATCH(AL$7,'CF offshore'!$17:$17,0))</f>
        <v>#N/A</v>
      </c>
      <c r="AM25" s="376" t="e">
        <f>AM$5*AM12*INDEX('CF offshore'!25:25,MATCH(AM$7,'CF offshore'!$17:$17,0))</f>
        <v>#N/A</v>
      </c>
      <c r="AN25" s="376" t="e">
        <f>AN$5*AN12*INDEX('CF offshore'!25:25,MATCH(AN$7,'CF offshore'!$17:$17,0))</f>
        <v>#N/A</v>
      </c>
      <c r="AO25" s="376" t="e">
        <f>AO$5*AO12*INDEX('CF offshore'!25:25,MATCH(AO$7,'CF offshore'!$17:$17,0))</f>
        <v>#N/A</v>
      </c>
    </row>
    <row r="26" spans="3:41" ht="14.6" customHeight="1">
      <c r="C26" s="28" t="str">
        <f>C15</f>
        <v>- Change in deferred tax</v>
      </c>
      <c r="D26" s="291"/>
      <c r="E26" s="291"/>
      <c r="F26" s="291"/>
      <c r="G26" s="291"/>
      <c r="H26" s="291"/>
      <c r="I26" s="291"/>
      <c r="J26" s="291"/>
      <c r="K26" s="291"/>
      <c r="L26" s="376">
        <f>L$5*L13*INDEX('CF offshore'!26:26,MATCH(L$7,'CF offshore'!$17:$17,0))</f>
        <v>0</v>
      </c>
      <c r="M26" s="376">
        <f>M$5*M13*INDEX('CF offshore'!26:26,MATCH(M$7,'CF offshore'!$17:$17,0))</f>
        <v>0</v>
      </c>
      <c r="N26" s="376">
        <f>N$5*N13*INDEX('CF offshore'!26:26,MATCH(N$7,'CF offshore'!$17:$17,0))</f>
        <v>0</v>
      </c>
      <c r="O26" s="376">
        <f>O$5*O13*INDEX('CF offshore'!26:26,MATCH(O$7,'CF offshore'!$17:$17,0))</f>
        <v>0</v>
      </c>
      <c r="P26" s="376">
        <f>P$5*P13*INDEX('CF offshore'!26:26,MATCH(P$7,'CF offshore'!$17:$17,0))</f>
        <v>0</v>
      </c>
      <c r="Q26" s="376">
        <f>Q$5*Q13*INDEX('CF offshore'!26:26,MATCH(Q$7,'CF offshore'!$17:$17,0))</f>
        <v>0</v>
      </c>
      <c r="R26" s="376">
        <f>R$5*R13*INDEX('CF offshore'!26:26,MATCH(R$7,'CF offshore'!$17:$17,0))</f>
        <v>0</v>
      </c>
      <c r="S26" s="376">
        <f>S$5*S13*INDEX('CF offshore'!26:26,MATCH(S$7,'CF offshore'!$17:$17,0))</f>
        <v>0</v>
      </c>
      <c r="T26" s="376">
        <f>T$5*T13*INDEX('CF offshore'!26:26,MATCH(T$7,'CF offshore'!$17:$17,0))</f>
        <v>0</v>
      </c>
      <c r="U26" s="376">
        <f>U$5*U13*INDEX('CF offshore'!26:26,MATCH(U$7,'CF offshore'!$17:$17,0))</f>
        <v>0</v>
      </c>
      <c r="V26" s="376">
        <f>V$5*V13*INDEX('CF offshore'!26:26,MATCH(V$7,'CF offshore'!$17:$17,0))</f>
        <v>0</v>
      </c>
      <c r="W26" s="376">
        <f>W$5*W13*INDEX('CF offshore'!26:26,MATCH(W$7,'CF offshore'!$17:$17,0))</f>
        <v>0</v>
      </c>
      <c r="X26" s="376">
        <f>X$5*X13*INDEX('CF offshore'!26:26,MATCH(X$7,'CF offshore'!$17:$17,0))</f>
        <v>0</v>
      </c>
      <c r="Y26" s="376">
        <f>Y$5*Y13*INDEX('CF offshore'!26:26,MATCH(Y$7,'CF offshore'!$17:$17,0))</f>
        <v>0</v>
      </c>
      <c r="Z26" s="376">
        <f>Z$5*Z13*INDEX('CF offshore'!26:26,MATCH(Z$7,'CF offshore'!$17:$17,0))</f>
        <v>0</v>
      </c>
      <c r="AA26" s="376">
        <f>AA$5*AA13*INDEX('CF offshore'!26:26,MATCH(AA$7,'CF offshore'!$17:$17,0))</f>
        <v>0</v>
      </c>
      <c r="AB26" s="376">
        <f>AB$5*AB13*INDEX('CF offshore'!26:26,MATCH(AB$7,'CF offshore'!$17:$17,0))</f>
        <v>0</v>
      </c>
      <c r="AC26" s="376">
        <f>AC$5*AC13*INDEX('CF offshore'!26:26,MATCH(AC$7,'CF offshore'!$17:$17,0))</f>
        <v>0</v>
      </c>
      <c r="AD26" s="376">
        <f>AD$5*AD13*INDEX('CF offshore'!26:26,MATCH(AD$7,'CF offshore'!$17:$17,0))</f>
        <v>0</v>
      </c>
      <c r="AE26" s="376">
        <f>AE$5*AE13*INDEX('CF offshore'!26:26,MATCH(AE$7,'CF offshore'!$17:$17,0))</f>
        <v>0</v>
      </c>
      <c r="AF26" s="376">
        <f>AF$5*AF13*INDEX('CF offshore'!26:26,MATCH(AF$7,'CF offshore'!$17:$17,0))</f>
        <v>0</v>
      </c>
      <c r="AG26" s="376">
        <f>AG$5*AG13*INDEX('CF offshore'!26:26,MATCH(AG$7,'CF offshore'!$17:$17,0))</f>
        <v>0</v>
      </c>
      <c r="AH26" s="376">
        <f>AH$5*AH13*INDEX('CF offshore'!26:26,MATCH(AH$7,'CF offshore'!$17:$17,0))</f>
        <v>0</v>
      </c>
      <c r="AI26" s="376">
        <f>AI$5*AI13*INDEX('CF offshore'!26:26,MATCH(AI$7,'CF offshore'!$17:$17,0))</f>
        <v>0</v>
      </c>
      <c r="AJ26" s="376" t="e">
        <f>AJ$5*AJ13*INDEX('CF offshore'!26:26,MATCH(AJ$7,'CF offshore'!$17:$17,0))</f>
        <v>#N/A</v>
      </c>
      <c r="AK26" s="376" t="e">
        <f>AK$5*AK13*INDEX('CF offshore'!26:26,MATCH(AK$7,'CF offshore'!$17:$17,0))</f>
        <v>#N/A</v>
      </c>
      <c r="AL26" s="376" t="e">
        <f>AL$5*AL13*INDEX('CF offshore'!26:26,MATCH(AL$7,'CF offshore'!$17:$17,0))</f>
        <v>#N/A</v>
      </c>
      <c r="AM26" s="376" t="e">
        <f>AM$5*AM13*INDEX('CF offshore'!26:26,MATCH(AM$7,'CF offshore'!$17:$17,0))</f>
        <v>#N/A</v>
      </c>
      <c r="AN26" s="376" t="e">
        <f>AN$5*AN13*INDEX('CF offshore'!26:26,MATCH(AN$7,'CF offshore'!$17:$17,0))</f>
        <v>#N/A</v>
      </c>
      <c r="AO26" s="376" t="e">
        <f>AO$5*AO13*INDEX('CF offshore'!26:26,MATCH(AO$7,'CF offshore'!$17:$17,0))</f>
        <v>#N/A</v>
      </c>
    </row>
    <row r="27" spans="3:41" ht="14.6" customHeight="1">
      <c r="C27" s="199" t="str">
        <f>C16</f>
        <v>Operating cash flow</v>
      </c>
      <c r="D27" s="199"/>
      <c r="E27" s="199"/>
      <c r="F27" s="199"/>
      <c r="G27" s="199"/>
      <c r="H27" s="199"/>
      <c r="I27" s="199"/>
      <c r="J27" s="199"/>
      <c r="K27" s="199"/>
      <c r="L27" s="199">
        <f t="shared" ref="L27:AJ27" si="28">SUM(L23:L26)</f>
        <v>0</v>
      </c>
      <c r="M27" s="199">
        <f t="shared" si="28"/>
        <v>0</v>
      </c>
      <c r="N27" s="199">
        <f t="shared" si="28"/>
        <v>0</v>
      </c>
      <c r="O27" s="199">
        <f t="shared" si="28"/>
        <v>0</v>
      </c>
      <c r="P27" s="199">
        <f t="shared" si="28"/>
        <v>0</v>
      </c>
      <c r="Q27" s="199">
        <f t="shared" si="28"/>
        <v>0</v>
      </c>
      <c r="R27" s="199">
        <f t="shared" si="28"/>
        <v>0</v>
      </c>
      <c r="S27" s="199">
        <f t="shared" si="28"/>
        <v>0</v>
      </c>
      <c r="T27" s="199">
        <f t="shared" si="28"/>
        <v>0</v>
      </c>
      <c r="U27" s="199">
        <f t="shared" si="28"/>
        <v>0</v>
      </c>
      <c r="V27" s="199">
        <f t="shared" si="28"/>
        <v>0</v>
      </c>
      <c r="W27" s="199">
        <f t="shared" si="28"/>
        <v>0</v>
      </c>
      <c r="X27" s="199">
        <f t="shared" si="28"/>
        <v>0</v>
      </c>
      <c r="Y27" s="199">
        <f t="shared" si="28"/>
        <v>0</v>
      </c>
      <c r="Z27" s="199">
        <f t="shared" si="28"/>
        <v>0</v>
      </c>
      <c r="AA27" s="199">
        <f t="shared" si="28"/>
        <v>0</v>
      </c>
      <c r="AB27" s="199">
        <f t="shared" si="28"/>
        <v>0</v>
      </c>
      <c r="AC27" s="199">
        <f t="shared" si="28"/>
        <v>0</v>
      </c>
      <c r="AD27" s="199">
        <f t="shared" si="28"/>
        <v>0</v>
      </c>
      <c r="AE27" s="199">
        <f t="shared" si="28"/>
        <v>0</v>
      </c>
      <c r="AF27" s="199">
        <f t="shared" si="28"/>
        <v>0</v>
      </c>
      <c r="AG27" s="199">
        <f t="shared" si="28"/>
        <v>0</v>
      </c>
      <c r="AH27" s="199">
        <f t="shared" si="28"/>
        <v>0</v>
      </c>
      <c r="AI27" s="199">
        <f t="shared" si="28"/>
        <v>0</v>
      </c>
      <c r="AJ27" s="199" t="e">
        <f t="shared" si="28"/>
        <v>#N/A</v>
      </c>
      <c r="AK27" s="199" t="e">
        <f t="shared" ref="AK27:AN27" si="29">SUM(AK23:AK26)</f>
        <v>#N/A</v>
      </c>
      <c r="AL27" s="199" t="e">
        <f t="shared" si="29"/>
        <v>#N/A</v>
      </c>
      <c r="AM27" s="199" t="e">
        <f t="shared" si="29"/>
        <v>#N/A</v>
      </c>
      <c r="AN27" s="199" t="e">
        <f t="shared" si="29"/>
        <v>#N/A</v>
      </c>
      <c r="AO27" s="199" t="e">
        <f t="shared" ref="AO27" si="30">SUM(AO23:AO26)</f>
        <v>#N/A</v>
      </c>
    </row>
    <row r="28" spans="3:41" ht="14.6" customHeight="1">
      <c r="C28" s="28" t="str">
        <f>C17</f>
        <v>- Capex</v>
      </c>
      <c r="D28" s="291"/>
      <c r="E28" s="291"/>
      <c r="F28" s="291"/>
      <c r="G28" s="291"/>
      <c r="H28" s="291"/>
      <c r="I28" s="291"/>
      <c r="J28" s="291"/>
      <c r="K28" s="291"/>
      <c r="L28" s="376">
        <f>L$5*L15*INDEX('CF offshore'!28:28,MATCH(L$7,'CF offshore'!$17:$17,0))</f>
        <v>0</v>
      </c>
      <c r="M28" s="376">
        <f>M$5*M15*INDEX('CF offshore'!28:28,MATCH(M$7,'CF offshore'!$17:$17,0))</f>
        <v>0</v>
      </c>
      <c r="N28" s="376">
        <f>N$5*N15*INDEX('CF offshore'!28:28,MATCH(N$7,'CF offshore'!$17:$17,0))</f>
        <v>0</v>
      </c>
      <c r="O28" s="376">
        <f>O$5*O15*INDEX('CF offshore'!28:28,MATCH(O$7,'CF offshore'!$17:$17,0))</f>
        <v>0</v>
      </c>
      <c r="P28" s="376">
        <f>P$5*P15*INDEX('CF offshore'!28:28,MATCH(P$7,'CF offshore'!$17:$17,0))</f>
        <v>0</v>
      </c>
      <c r="Q28" s="376">
        <f>Q$5*Q15*INDEX('CF offshore'!28:28,MATCH(Q$7,'CF offshore'!$17:$17,0))</f>
        <v>0</v>
      </c>
      <c r="R28" s="376">
        <f>R$5*R15*INDEX('CF offshore'!28:28,MATCH(R$7,'CF offshore'!$17:$17,0))</f>
        <v>0</v>
      </c>
      <c r="S28" s="376">
        <f>S$5*S15*INDEX('CF offshore'!28:28,MATCH(S$7,'CF offshore'!$17:$17,0))</f>
        <v>0</v>
      </c>
      <c r="T28" s="376">
        <f>T$5*T15*INDEX('CF offshore'!28:28,MATCH(T$7,'CF offshore'!$17:$17,0))</f>
        <v>0</v>
      </c>
      <c r="U28" s="376">
        <f>U$5*U15*INDEX('CF offshore'!28:28,MATCH(U$7,'CF offshore'!$17:$17,0))</f>
        <v>0</v>
      </c>
      <c r="V28" s="376">
        <f>V$5*V15*INDEX('CF offshore'!28:28,MATCH(V$7,'CF offshore'!$17:$17,0))</f>
        <v>0</v>
      </c>
      <c r="W28" s="376">
        <f>W$5*W15*INDEX('CF offshore'!28:28,MATCH(W$7,'CF offshore'!$17:$17,0))</f>
        <v>0</v>
      </c>
      <c r="X28" s="376">
        <f>X$5*X15*INDEX('CF offshore'!28:28,MATCH(X$7,'CF offshore'!$17:$17,0))</f>
        <v>0</v>
      </c>
      <c r="Y28" s="376">
        <f>Y$5*Y15*INDEX('CF offshore'!28:28,MATCH(Y$7,'CF offshore'!$17:$17,0))</f>
        <v>0</v>
      </c>
      <c r="Z28" s="376">
        <f>Z$5*Z15*INDEX('CF offshore'!28:28,MATCH(Z$7,'CF offshore'!$17:$17,0))</f>
        <v>0</v>
      </c>
      <c r="AA28" s="376">
        <f>AA$5*AA15*INDEX('CF offshore'!28:28,MATCH(AA$7,'CF offshore'!$17:$17,0))</f>
        <v>0</v>
      </c>
      <c r="AB28" s="376">
        <f>AB$5*AB15*INDEX('CF offshore'!28:28,MATCH(AB$7,'CF offshore'!$17:$17,0))</f>
        <v>0</v>
      </c>
      <c r="AC28" s="376">
        <f>AC$5*AC15*INDEX('CF offshore'!28:28,MATCH(AC$7,'CF offshore'!$17:$17,0))</f>
        <v>0</v>
      </c>
      <c r="AD28" s="376">
        <f>AD$5*AD15*INDEX('CF offshore'!28:28,MATCH(AD$7,'CF offshore'!$17:$17,0))</f>
        <v>0</v>
      </c>
      <c r="AE28" s="376">
        <f>AE$5*AE15*INDEX('CF offshore'!28:28,MATCH(AE$7,'CF offshore'!$17:$17,0))</f>
        <v>0</v>
      </c>
      <c r="AF28" s="376">
        <f>AF$5*AF15*INDEX('CF offshore'!28:28,MATCH(AF$7,'CF offshore'!$17:$17,0))</f>
        <v>0</v>
      </c>
      <c r="AG28" s="376">
        <f>AG$5*AG15*INDEX('CF offshore'!28:28,MATCH(AG$7,'CF offshore'!$17:$17,0))</f>
        <v>0</v>
      </c>
      <c r="AH28" s="376">
        <f>AH$5*AH15*INDEX('CF offshore'!28:28,MATCH(AH$7,'CF offshore'!$17:$17,0))</f>
        <v>0</v>
      </c>
      <c r="AI28" s="376">
        <f>AI$5*AI15*INDEX('CF offshore'!28:28,MATCH(AI$7,'CF offshore'!$17:$17,0))</f>
        <v>0</v>
      </c>
      <c r="AJ28" s="376" t="e">
        <f>AJ$5*AJ15*INDEX('CF offshore'!28:28,MATCH(AJ$7,'CF offshore'!$17:$17,0))</f>
        <v>#N/A</v>
      </c>
      <c r="AK28" s="376" t="e">
        <f>AK$5*AK15*INDEX('CF offshore'!28:28,MATCH(AK$7,'CF offshore'!$17:$17,0))</f>
        <v>#N/A</v>
      </c>
      <c r="AL28" s="376" t="e">
        <f>AL$5*AL15*INDEX('CF offshore'!28:28,MATCH(AL$7,'CF offshore'!$17:$17,0))</f>
        <v>#N/A</v>
      </c>
      <c r="AM28" s="376" t="e">
        <f>AM$5*AM15*INDEX('CF offshore'!28:28,MATCH(AM$7,'CF offshore'!$17:$17,0))</f>
        <v>#N/A</v>
      </c>
      <c r="AN28" s="376" t="e">
        <f>AN$5*AN15*INDEX('CF offshore'!28:28,MATCH(AN$7,'CF offshore'!$17:$17,0))</f>
        <v>#N/A</v>
      </c>
      <c r="AO28" s="376" t="e">
        <f>AO$5*AO15*INDEX('CF offshore'!28:28,MATCH(AO$7,'CF offshore'!$17:$17,0))</f>
        <v>#N/A</v>
      </c>
    </row>
    <row r="29" spans="3:41" ht="14.6" customHeight="1">
      <c r="C29" s="195" t="str">
        <f>C20</f>
        <v>Cash flow from investing activities</v>
      </c>
      <c r="D29" s="195"/>
      <c r="E29" s="195"/>
      <c r="F29" s="195"/>
      <c r="G29" s="195"/>
      <c r="H29" s="195"/>
      <c r="I29" s="195"/>
      <c r="J29" s="195"/>
      <c r="K29" s="195"/>
      <c r="L29" s="195">
        <f>SUM(L28:L28)</f>
        <v>0</v>
      </c>
      <c r="M29" s="195">
        <f t="shared" ref="M29:AJ29" si="31">SUM(M28:M28)</f>
        <v>0</v>
      </c>
      <c r="N29" s="195">
        <f t="shared" si="31"/>
        <v>0</v>
      </c>
      <c r="O29" s="195">
        <f t="shared" si="31"/>
        <v>0</v>
      </c>
      <c r="P29" s="195">
        <f t="shared" si="31"/>
        <v>0</v>
      </c>
      <c r="Q29" s="195">
        <f t="shared" si="31"/>
        <v>0</v>
      </c>
      <c r="R29" s="195">
        <f t="shared" si="31"/>
        <v>0</v>
      </c>
      <c r="S29" s="195">
        <f t="shared" si="31"/>
        <v>0</v>
      </c>
      <c r="T29" s="195">
        <f t="shared" si="31"/>
        <v>0</v>
      </c>
      <c r="U29" s="195">
        <f t="shared" si="31"/>
        <v>0</v>
      </c>
      <c r="V29" s="195">
        <f t="shared" si="31"/>
        <v>0</v>
      </c>
      <c r="W29" s="195">
        <f t="shared" si="31"/>
        <v>0</v>
      </c>
      <c r="X29" s="195">
        <f t="shared" si="31"/>
        <v>0</v>
      </c>
      <c r="Y29" s="195">
        <f t="shared" si="31"/>
        <v>0</v>
      </c>
      <c r="Z29" s="195">
        <f t="shared" si="31"/>
        <v>0</v>
      </c>
      <c r="AA29" s="195">
        <f t="shared" si="31"/>
        <v>0</v>
      </c>
      <c r="AB29" s="195">
        <f t="shared" si="31"/>
        <v>0</v>
      </c>
      <c r="AC29" s="195">
        <f t="shared" si="31"/>
        <v>0</v>
      </c>
      <c r="AD29" s="195">
        <f t="shared" si="31"/>
        <v>0</v>
      </c>
      <c r="AE29" s="195">
        <f t="shared" si="31"/>
        <v>0</v>
      </c>
      <c r="AF29" s="195">
        <f t="shared" si="31"/>
        <v>0</v>
      </c>
      <c r="AG29" s="195">
        <f t="shared" si="31"/>
        <v>0</v>
      </c>
      <c r="AH29" s="195">
        <f t="shared" si="31"/>
        <v>0</v>
      </c>
      <c r="AI29" s="195">
        <f t="shared" si="31"/>
        <v>0</v>
      </c>
      <c r="AJ29" s="195" t="e">
        <f t="shared" si="31"/>
        <v>#N/A</v>
      </c>
      <c r="AK29" s="195" t="e">
        <f t="shared" ref="AK29:AN29" si="32">SUM(AK28:AK28)</f>
        <v>#N/A</v>
      </c>
      <c r="AL29" s="195" t="e">
        <f t="shared" si="32"/>
        <v>#N/A</v>
      </c>
      <c r="AM29" s="195" t="e">
        <f t="shared" si="32"/>
        <v>#N/A</v>
      </c>
      <c r="AN29" s="195" t="e">
        <f t="shared" si="32"/>
        <v>#N/A</v>
      </c>
      <c r="AO29" s="195" t="e">
        <f t="shared" ref="AO29" si="33">SUM(AO28:AO28)</f>
        <v>#N/A</v>
      </c>
    </row>
    <row r="30" spans="3:41" ht="14.6" customHeight="1">
      <c r="C30" s="195" t="s">
        <v>1046</v>
      </c>
      <c r="D30" s="195"/>
      <c r="E30" s="195"/>
      <c r="F30" s="195"/>
      <c r="G30" s="195"/>
      <c r="H30" s="195"/>
      <c r="I30" s="195"/>
      <c r="J30" s="195"/>
      <c r="K30" s="195"/>
      <c r="L30" s="195">
        <f>L29+L27</f>
        <v>0</v>
      </c>
      <c r="M30" s="195">
        <f t="shared" ref="M30:AJ30" si="34">M29+M27</f>
        <v>0</v>
      </c>
      <c r="N30" s="195">
        <f t="shared" si="34"/>
        <v>0</v>
      </c>
      <c r="O30" s="195">
        <f t="shared" si="34"/>
        <v>0</v>
      </c>
      <c r="P30" s="195">
        <f t="shared" si="34"/>
        <v>0</v>
      </c>
      <c r="Q30" s="195">
        <f t="shared" si="34"/>
        <v>0</v>
      </c>
      <c r="R30" s="195">
        <f t="shared" si="34"/>
        <v>0</v>
      </c>
      <c r="S30" s="195">
        <f t="shared" si="34"/>
        <v>0</v>
      </c>
      <c r="T30" s="195">
        <f t="shared" si="34"/>
        <v>0</v>
      </c>
      <c r="U30" s="195">
        <f t="shared" si="34"/>
        <v>0</v>
      </c>
      <c r="V30" s="195">
        <f t="shared" si="34"/>
        <v>0</v>
      </c>
      <c r="W30" s="195">
        <f t="shared" si="34"/>
        <v>0</v>
      </c>
      <c r="X30" s="195">
        <f t="shared" si="34"/>
        <v>0</v>
      </c>
      <c r="Y30" s="195">
        <f t="shared" si="34"/>
        <v>0</v>
      </c>
      <c r="Z30" s="195">
        <f t="shared" si="34"/>
        <v>0</v>
      </c>
      <c r="AA30" s="195">
        <f t="shared" si="34"/>
        <v>0</v>
      </c>
      <c r="AB30" s="195">
        <f t="shared" si="34"/>
        <v>0</v>
      </c>
      <c r="AC30" s="195">
        <f t="shared" si="34"/>
        <v>0</v>
      </c>
      <c r="AD30" s="195">
        <f t="shared" si="34"/>
        <v>0</v>
      </c>
      <c r="AE30" s="195">
        <f t="shared" si="34"/>
        <v>0</v>
      </c>
      <c r="AF30" s="195">
        <f t="shared" si="34"/>
        <v>0</v>
      </c>
      <c r="AG30" s="195">
        <f t="shared" si="34"/>
        <v>0</v>
      </c>
      <c r="AH30" s="195">
        <f t="shared" si="34"/>
        <v>0</v>
      </c>
      <c r="AI30" s="195">
        <f t="shared" si="34"/>
        <v>0</v>
      </c>
      <c r="AJ30" s="195" t="e">
        <f t="shared" si="34"/>
        <v>#N/A</v>
      </c>
      <c r="AK30" s="195" t="e">
        <f t="shared" ref="AK30:AN30" si="35">AK29+AK27</f>
        <v>#N/A</v>
      </c>
      <c r="AL30" s="195" t="e">
        <f t="shared" si="35"/>
        <v>#N/A</v>
      </c>
      <c r="AM30" s="195" t="e">
        <f t="shared" si="35"/>
        <v>#N/A</v>
      </c>
      <c r="AN30" s="195" t="e">
        <f t="shared" si="35"/>
        <v>#N/A</v>
      </c>
      <c r="AO30" s="195" t="e">
        <f t="shared" ref="AO30" si="36">AO29+AO27</f>
        <v>#N/A</v>
      </c>
    </row>
  </sheetData>
  <mergeCells count="2">
    <mergeCell ref="D7:G7"/>
    <mergeCell ref="H7:K7"/>
  </mergeCells>
  <phoneticPr fontId="2" type="noConversion"/>
  <conditionalFormatting sqref="D5:AN6">
    <cfRule type="cellIs" dxfId="43" priority="6" operator="equal">
      <formula>TRUE</formula>
    </cfRule>
  </conditionalFormatting>
  <conditionalFormatting sqref="AO5:AO6">
    <cfRule type="cellIs" dxfId="42" priority="1" operator="equal">
      <formula>TRUE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9937" r:id="rId3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6</xdr:col>
                    <xdr:colOff>73152</xdr:colOff>
                    <xdr:row>2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8" r:id="rId4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6</xdr:col>
                    <xdr:colOff>73152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rgb="FF002060"/>
  </sheetPr>
  <dimension ref="A1"/>
  <sheetViews>
    <sheetView workbookViewId="0">
      <selection activeCell="E19" sqref="E19"/>
    </sheetView>
  </sheetViews>
  <sheetFormatPr defaultRowHeight="13.7"/>
  <cols>
    <col min="1" max="16384" width="9.140625" style="28"/>
  </cols>
  <sheetData/>
  <phoneticPr fontId="5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tabColor rgb="FF00B0F0"/>
  </sheetPr>
  <dimension ref="A1:U228"/>
  <sheetViews>
    <sheetView zoomScale="85" zoomScaleNormal="85" workbookViewId="0">
      <pane xSplit="4" ySplit="11" topLeftCell="E12" activePane="bottomRight" state="frozen"/>
      <selection activeCell="E19" sqref="E19"/>
      <selection pane="topRight" activeCell="E19" sqref="E19"/>
      <selection pane="bottomLeft" activeCell="E19" sqref="E19"/>
      <selection pane="bottomRight" activeCell="I45" sqref="I45"/>
    </sheetView>
  </sheetViews>
  <sheetFormatPr defaultColWidth="9.140625" defaultRowHeight="13.7" outlineLevelRow="1" outlineLevelCol="1"/>
  <cols>
    <col min="1" max="2" width="2" style="28" customWidth="1"/>
    <col min="3" max="3" width="49.42578125" style="28" bestFit="1" customWidth="1"/>
    <col min="4" max="4" width="21.85546875" style="28" customWidth="1"/>
    <col min="5" max="5" width="14.42578125" style="28" customWidth="1"/>
    <col min="6" max="6" width="16.5703125" style="28" customWidth="1"/>
    <col min="7" max="7" width="17.140625" style="28" customWidth="1"/>
    <col min="8" max="8" width="17.7109375" style="28" customWidth="1"/>
    <col min="9" max="16" width="17.5703125" style="28" customWidth="1"/>
    <col min="17" max="17" width="17.5703125" style="28" hidden="1" customWidth="1" outlineLevel="1"/>
    <col min="18" max="18" width="13.7109375" style="28" customWidth="1" collapsed="1"/>
    <col min="19" max="19" width="13.7109375" style="28" customWidth="1"/>
    <col min="20" max="20" width="15.5703125" style="28" customWidth="1"/>
    <col min="21" max="21" width="14.28515625" style="28" customWidth="1"/>
    <col min="22" max="23" width="9.85546875" style="28" bestFit="1" customWidth="1"/>
    <col min="24" max="16384" width="9.140625" style="28"/>
  </cols>
  <sheetData>
    <row r="1" spans="1:19" ht="14.4" hidden="1" outlineLevel="1">
      <c r="A1" s="18"/>
      <c r="B1" s="18"/>
      <c r="C1" s="24" t="s">
        <v>870</v>
      </c>
      <c r="D1" s="89">
        <f>DATE('Control Panel'!B12,'Control Panel'!B6,'Control Panel'!B7)</f>
        <v>43830</v>
      </c>
      <c r="E1" s="24"/>
      <c r="F1" s="18" t="s">
        <v>689</v>
      </c>
      <c r="G1" s="5">
        <f>'Control Panel'!B11</f>
        <v>43466</v>
      </c>
      <c r="H1" s="18"/>
      <c r="I1" s="18" t="s">
        <v>691</v>
      </c>
      <c r="J1" s="5">
        <f>'Control Panel'!B9</f>
        <v>43465</v>
      </c>
      <c r="K1" s="18"/>
      <c r="L1" s="18"/>
      <c r="M1" s="18"/>
      <c r="N1" s="18"/>
      <c r="O1" s="18"/>
      <c r="P1" s="18"/>
      <c r="Q1" s="18"/>
      <c r="R1" s="18"/>
      <c r="S1" s="18"/>
    </row>
    <row r="2" spans="1:19" ht="14.4" hidden="1" outlineLevel="1">
      <c r="A2" s="18"/>
      <c r="B2" s="18"/>
      <c r="C2" s="24" t="s">
        <v>871</v>
      </c>
      <c r="D2" s="24">
        <f>'Financial summary'!E5</f>
        <v>1</v>
      </c>
      <c r="E2" s="24" t="str">
        <f>INDEX(D24:D27,D2)</f>
        <v>Bank worse</v>
      </c>
      <c r="F2" s="18"/>
      <c r="G2" s="18"/>
      <c r="H2" s="18"/>
      <c r="I2" s="18" t="s">
        <v>1555</v>
      </c>
      <c r="J2" s="18">
        <f>stub_quarter+1</f>
        <v>5</v>
      </c>
      <c r="K2" s="18"/>
      <c r="L2" s="18"/>
      <c r="M2" s="18"/>
      <c r="N2" s="18"/>
      <c r="O2" s="18"/>
      <c r="P2" s="18"/>
      <c r="Q2" s="18"/>
      <c r="R2" s="18"/>
      <c r="S2" s="18"/>
    </row>
    <row r="3" spans="1:19" ht="14.4" hidden="1" outlineLevel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38"/>
      <c r="S3" s="38"/>
    </row>
    <row r="4" spans="1:19" ht="14.4" hidden="1" outlineLevel="1">
      <c r="A4" s="1"/>
      <c r="B4" s="1"/>
      <c r="C4" s="1"/>
      <c r="D4" s="1"/>
      <c r="E4" s="90">
        <f>DATE('Control Panel'!B4,'Control Panel'!$B$6,'Control Panel'!$B$7)</f>
        <v>42004</v>
      </c>
      <c r="F4" s="91">
        <f t="shared" ref="F4:Q4" si="0">IF(stub_switch,(IF(EOMONTH(E4,12)&lt;$J$1,EOMONTH(E4,12),IF(E4=$J$1,EOMONTH(D4,12),IF(E4&gt;$J$1,EOMONTH(E4,12),$J$1)))),EOMONTH(E4,12))</f>
        <v>42369</v>
      </c>
      <c r="G4" s="91">
        <f t="shared" si="0"/>
        <v>42735</v>
      </c>
      <c r="H4" s="91">
        <f t="shared" si="0"/>
        <v>43100</v>
      </c>
      <c r="I4" s="91">
        <f t="shared" si="0"/>
        <v>43465</v>
      </c>
      <c r="J4" s="91">
        <f t="shared" si="0"/>
        <v>43830</v>
      </c>
      <c r="K4" s="91">
        <f t="shared" si="0"/>
        <v>44196</v>
      </c>
      <c r="L4" s="91">
        <f t="shared" si="0"/>
        <v>44561</v>
      </c>
      <c r="M4" s="91">
        <f t="shared" si="0"/>
        <v>44926</v>
      </c>
      <c r="N4" s="91">
        <f t="shared" si="0"/>
        <v>45291</v>
      </c>
      <c r="O4" s="91">
        <f t="shared" si="0"/>
        <v>45657</v>
      </c>
      <c r="P4" s="91">
        <f t="shared" si="0"/>
        <v>46022</v>
      </c>
      <c r="Q4" s="91">
        <f t="shared" si="0"/>
        <v>46387</v>
      </c>
      <c r="R4" s="401" t="s">
        <v>918</v>
      </c>
      <c r="S4" s="401" t="s">
        <v>919</v>
      </c>
    </row>
    <row r="5" spans="1:19" ht="14.4" hidden="1" outlineLevel="1">
      <c r="A5" s="1"/>
      <c r="B5" s="1"/>
      <c r="C5" s="1" t="s">
        <v>694</v>
      </c>
      <c r="D5" s="1"/>
      <c r="E5" s="1" t="b">
        <f>AND(E4&gt;$G$1,E4&lt;=DATE('Control Panel'!$B$13,'Control Panel'!$B$6,'Control Panel'!$B$7))</f>
        <v>0</v>
      </c>
      <c r="F5" s="1" t="b">
        <f>AND(F4&gt;$G$1,F4&lt;=DATE('Control Panel'!$B$13,'Control Panel'!$B$6,'Control Panel'!$B$7))</f>
        <v>0</v>
      </c>
      <c r="G5" s="1" t="b">
        <f>AND(G4&gt;$G$1,G4&lt;=DATE('Control Panel'!$B$13,'Control Panel'!$B$6,'Control Panel'!$B$7))</f>
        <v>0</v>
      </c>
      <c r="H5" s="1" t="b">
        <f>AND(H4&gt;$G$1,H4&lt;=DATE('Control Panel'!$B$13,'Control Panel'!$B$6,'Control Panel'!$B$7))</f>
        <v>0</v>
      </c>
      <c r="I5" s="1" t="b">
        <f>AND(I4&gt;$G$1,I4&lt;=DATE('Control Panel'!$B$13,'Control Panel'!$B$6,'Control Panel'!$B$7))</f>
        <v>0</v>
      </c>
      <c r="J5" s="1" t="b">
        <f>AND(J4&gt;$G$1,J4&lt;=DATE('Control Panel'!$B$13,'Control Panel'!$B$6,'Control Panel'!$B$7))</f>
        <v>1</v>
      </c>
      <c r="K5" s="1" t="b">
        <f>AND(K4&gt;$G$1,K4&lt;=DATE('Control Panel'!$B$13,'Control Panel'!$B$6,'Control Panel'!$B$7))</f>
        <v>1</v>
      </c>
      <c r="L5" s="1" t="b">
        <f>AND(L4&gt;$G$1,L4&lt;=DATE('Control Panel'!$B$13,'Control Panel'!$B$6,'Control Panel'!$B$7))</f>
        <v>1</v>
      </c>
      <c r="M5" s="1" t="b">
        <f>AND(M4&gt;$G$1,M4&lt;=DATE('Control Panel'!$B$13,'Control Panel'!$B$6,'Control Panel'!$B$7))</f>
        <v>1</v>
      </c>
      <c r="N5" s="1" t="b">
        <f>AND(N4&gt;$G$1,N4&lt;=DATE('Control Panel'!$B$13,'Control Panel'!$B$6,'Control Panel'!$B$7))</f>
        <v>1</v>
      </c>
      <c r="O5" s="1" t="b">
        <f>AND(O4&gt;$G$1,O4&lt;=DATE('Control Panel'!$B$13,'Control Panel'!$B$6,'Control Panel'!$B$7))</f>
        <v>1</v>
      </c>
      <c r="P5" s="1" t="b">
        <f>AND(P4&gt;$G$1,P4&lt;=DATE('Control Panel'!$B$13,'Control Panel'!$B$6,'Control Panel'!$B$7))</f>
        <v>0</v>
      </c>
      <c r="Q5" s="1" t="b">
        <f>AND(Q4&gt;$G$1,Q4&lt;=DATE('Control Panel'!$B$13,'Control Panel'!$B$6,'Control Panel'!$B$7))</f>
        <v>0</v>
      </c>
      <c r="R5" s="38"/>
      <c r="S5" s="38"/>
    </row>
    <row r="6" spans="1:19" ht="14.4" hidden="1" outlineLevel="1">
      <c r="A6" s="1"/>
      <c r="B6" s="1"/>
      <c r="C6" s="1" t="s">
        <v>687</v>
      </c>
      <c r="D6" s="1"/>
      <c r="E6" s="1" t="b">
        <f>E4=$J$1</f>
        <v>0</v>
      </c>
      <c r="F6" s="1" t="b">
        <f t="shared" ref="F6:Q6" si="1">F4=$J$1</f>
        <v>0</v>
      </c>
      <c r="G6" s="1" t="b">
        <f t="shared" si="1"/>
        <v>0</v>
      </c>
      <c r="H6" s="1" t="b">
        <f t="shared" si="1"/>
        <v>0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38"/>
      <c r="S6" s="38"/>
    </row>
    <row r="7" spans="1:19" ht="14.4" hidden="1" outlineLevel="1">
      <c r="A7" s="1"/>
      <c r="B7" s="1"/>
      <c r="C7" s="1" t="s">
        <v>695</v>
      </c>
      <c r="D7" s="1"/>
      <c r="E7" s="1"/>
      <c r="F7" s="1">
        <f>F4-E4</f>
        <v>365</v>
      </c>
      <c r="G7" s="1">
        <f t="shared" ref="G7:Q7" si="2">G4-F4</f>
        <v>366</v>
      </c>
      <c r="H7" s="1">
        <f t="shared" si="2"/>
        <v>365</v>
      </c>
      <c r="I7" s="1">
        <f t="shared" si="2"/>
        <v>365</v>
      </c>
      <c r="J7" s="1">
        <f t="shared" si="2"/>
        <v>365</v>
      </c>
      <c r="K7" s="1">
        <f t="shared" si="2"/>
        <v>366</v>
      </c>
      <c r="L7" s="1">
        <f t="shared" si="2"/>
        <v>365</v>
      </c>
      <c r="M7" s="1">
        <f t="shared" si="2"/>
        <v>365</v>
      </c>
      <c r="N7" s="1">
        <f t="shared" si="2"/>
        <v>365</v>
      </c>
      <c r="O7" s="1">
        <f t="shared" si="2"/>
        <v>366</v>
      </c>
      <c r="P7" s="1">
        <f t="shared" si="2"/>
        <v>365</v>
      </c>
      <c r="Q7" s="1">
        <f t="shared" si="2"/>
        <v>365</v>
      </c>
      <c r="R7" s="38"/>
      <c r="S7" s="38"/>
    </row>
    <row r="8" spans="1:19" ht="14.4" hidden="1" outlineLevel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38"/>
      <c r="S8" s="38"/>
    </row>
    <row r="9" spans="1:19" ht="16.600000000000001" collapsed="1">
      <c r="A9" s="196" t="str">
        <f>CONCATENATE("Project ",project_name," - Financing Assumptions")</f>
        <v>Project  - Financing Assumptions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38"/>
      <c r="S9" s="38"/>
    </row>
    <row r="10" spans="1:19">
      <c r="A10" s="177" t="s">
        <v>1022</v>
      </c>
      <c r="B10" s="209"/>
      <c r="C10" s="209"/>
      <c r="D10" s="198"/>
      <c r="E10" s="198">
        <f>E4</f>
        <v>42004</v>
      </c>
      <c r="F10" s="198">
        <f t="shared" ref="F10:Q10" si="3">F4</f>
        <v>42369</v>
      </c>
      <c r="G10" s="198">
        <f t="shared" si="3"/>
        <v>42735</v>
      </c>
      <c r="H10" s="198">
        <f t="shared" si="3"/>
        <v>43100</v>
      </c>
      <c r="I10" s="198">
        <f t="shared" si="3"/>
        <v>43465</v>
      </c>
      <c r="J10" s="198">
        <f t="shared" si="3"/>
        <v>43830</v>
      </c>
      <c r="K10" s="198">
        <f t="shared" si="3"/>
        <v>44196</v>
      </c>
      <c r="L10" s="198">
        <f t="shared" si="3"/>
        <v>44561</v>
      </c>
      <c r="M10" s="198">
        <f t="shared" si="3"/>
        <v>44926</v>
      </c>
      <c r="N10" s="198">
        <f t="shared" si="3"/>
        <v>45291</v>
      </c>
      <c r="O10" s="198">
        <f t="shared" si="3"/>
        <v>45657</v>
      </c>
      <c r="P10" s="198">
        <f t="shared" si="3"/>
        <v>46022</v>
      </c>
      <c r="Q10" s="198">
        <f t="shared" si="3"/>
        <v>46387</v>
      </c>
      <c r="R10" s="791" t="s">
        <v>1053</v>
      </c>
      <c r="S10" s="791"/>
    </row>
    <row r="11" spans="1:19">
      <c r="A11" s="284"/>
      <c r="B11" s="209"/>
      <c r="C11" s="209"/>
      <c r="D11" s="178"/>
      <c r="E11" s="178" t="str">
        <f>IF(E5,"Projection",IF(E6,"Stub","Historic"))</f>
        <v>Historic</v>
      </c>
      <c r="F11" s="178" t="str">
        <f t="shared" ref="F11:Q11" si="4">IF(F5,"Projection",IF(F6,"Stub","Historic"))</f>
        <v>Historic</v>
      </c>
      <c r="G11" s="178" t="str">
        <f t="shared" si="4"/>
        <v>Historic</v>
      </c>
      <c r="H11" s="178" t="str">
        <f t="shared" si="4"/>
        <v>Historic</v>
      </c>
      <c r="I11" s="178" t="str">
        <f t="shared" si="4"/>
        <v>Stub</v>
      </c>
      <c r="J11" s="178" t="str">
        <f t="shared" si="4"/>
        <v>Projection</v>
      </c>
      <c r="K11" s="178" t="str">
        <f t="shared" si="4"/>
        <v>Projection</v>
      </c>
      <c r="L11" s="178" t="str">
        <f t="shared" si="4"/>
        <v>Projection</v>
      </c>
      <c r="M11" s="178" t="str">
        <f t="shared" si="4"/>
        <v>Projection</v>
      </c>
      <c r="N11" s="178" t="str">
        <f t="shared" si="4"/>
        <v>Projection</v>
      </c>
      <c r="O11" s="178" t="str">
        <f t="shared" si="4"/>
        <v>Projection</v>
      </c>
      <c r="P11" s="178" t="str">
        <f t="shared" si="4"/>
        <v>Historic</v>
      </c>
      <c r="Q11" s="178" t="str">
        <f t="shared" si="4"/>
        <v>Historic</v>
      </c>
      <c r="R11" s="178" t="str">
        <f>CONCATENATE("'",'Control Panel'!B4-2000,"-'",'Control Panel'!B4-2000+'Control Panel'!B5-1)</f>
        <v>'14-'18</v>
      </c>
      <c r="S11" s="178" t="str">
        <f>CONCATENATE("'",'Control Panel'!B4-2000+'Control Panel'!B5-1,"-'",'Control Panel'!B13-2000)</f>
        <v>'18-'24</v>
      </c>
    </row>
    <row r="12" spans="1:19" ht="16.600000000000001">
      <c r="A12" s="1"/>
      <c r="B12" s="1"/>
      <c r="C12" s="196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38"/>
      <c r="S12" s="38"/>
    </row>
    <row r="13" spans="1:19" ht="14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38"/>
      <c r="S13" s="38"/>
    </row>
    <row r="14" spans="1:19" ht="14.4">
      <c r="A14" s="180" t="s">
        <v>1561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38"/>
      <c r="S14" s="38"/>
    </row>
    <row r="15" spans="1:19" ht="14.4">
      <c r="A15" s="1"/>
      <c r="B15" s="1"/>
      <c r="C15" s="28" t="s">
        <v>1562</v>
      </c>
      <c r="D15" s="1"/>
      <c r="E15" s="1">
        <f>IFERROR(INDEX('Control Panel'!$G$5:$U$5,MATCH('Scenarios onshore'!E4,'Control Panel'!$G$3:$U$3,0)),Currency_conversion_rate_BU2)</f>
        <v>1</v>
      </c>
      <c r="F15" s="1">
        <f>IFERROR(INDEX('Control Panel'!$G$5:$U$5,MATCH('Scenarios onshore'!F4,'Control Panel'!$G$3:$U$3,0)),Currency_conversion_rate_BU2)</f>
        <v>1</v>
      </c>
      <c r="G15" s="1">
        <f>IFERROR(INDEX('Control Panel'!$G$5:$U$5,MATCH('Scenarios onshore'!G4,'Control Panel'!$G$3:$U$3,0)),Currency_conversion_rate_BU2)</f>
        <v>1</v>
      </c>
      <c r="H15" s="1">
        <f>IFERROR(INDEX('Control Panel'!$G$5:$U$5,MATCH('Scenarios onshore'!H4,'Control Panel'!$G$3:$U$3,0)),Currency_conversion_rate_BU2)</f>
        <v>1</v>
      </c>
      <c r="I15" s="1">
        <f>IFERROR(INDEX('Control Panel'!$G$5:$U$5,MATCH('Scenarios onshore'!I4,'Control Panel'!$G$3:$U$3,0)),Currency_conversion_rate_BU2)</f>
        <v>1</v>
      </c>
      <c r="J15" s="1">
        <f>IFERROR(INDEX('Control Panel'!$G$5:$U$5,MATCH('Scenarios onshore'!J4,'Control Panel'!$G$3:$U$3,0)),Currency_conversion_rate_BU2)</f>
        <v>1</v>
      </c>
      <c r="K15" s="1">
        <f>IFERROR(INDEX('Control Panel'!$G$5:$U$5,MATCH('Scenarios onshore'!K4,'Control Panel'!$G$3:$U$3,0)),Currency_conversion_rate_BU2)</f>
        <v>1</v>
      </c>
      <c r="L15" s="1">
        <f>IFERROR(INDEX('Control Panel'!$G$5:$U$5,MATCH('Scenarios onshore'!L4,'Control Panel'!$G$3:$U$3,0)),Currency_conversion_rate_BU2)</f>
        <v>1</v>
      </c>
      <c r="M15" s="1">
        <f>IFERROR(INDEX('Control Panel'!$G$5:$U$5,MATCH('Scenarios onshore'!M4,'Control Panel'!$G$3:$U$3,0)),Currency_conversion_rate_BU2)</f>
        <v>1</v>
      </c>
      <c r="N15" s="1">
        <f>IFERROR(INDEX('Control Panel'!$G$5:$U$5,MATCH('Scenarios onshore'!N4,'Control Panel'!$G$3:$U$3,0)),Currency_conversion_rate_BU2)</f>
        <v>1</v>
      </c>
      <c r="O15" s="1">
        <f>IFERROR(INDEX('Control Panel'!$G$5:$U$5,MATCH('Scenarios onshore'!O4,'Control Panel'!$G$3:$U$3,0)),Currency_conversion_rate_BU2)</f>
        <v>1</v>
      </c>
      <c r="P15" s="1">
        <f>IFERROR(INDEX('Control Panel'!$G$5:$U$5,MATCH('Scenarios onshore'!P4,'Control Panel'!$G$3:$U$3,0)),Currency_conversion_rate_BU2)</f>
        <v>1</v>
      </c>
      <c r="Q15" s="1">
        <f>IFERROR(INDEX('Control Panel'!$G$5:$U$5,MATCH('Scenarios onshore'!Q4,'Control Panel'!$G$3:$U$3,0)),Currency_conversion_rate_BU2)</f>
        <v>1</v>
      </c>
      <c r="R15" s="1">
        <f>IFERROR(INDEX('Control Panel'!$G$5:$U$5,MATCH('Scenarios onshore'!R4,'Control Panel'!$G$3:$U$3,0)),Currency_conversion_rate_BU2)</f>
        <v>1</v>
      </c>
      <c r="S15" s="1">
        <f>IFERROR(INDEX('Control Panel'!$G$5:$U$5,MATCH('Scenarios onshore'!S4,'Control Panel'!$G$3:$U$3,0)),Currency_conversion_rate_BU2)</f>
        <v>1</v>
      </c>
    </row>
    <row r="16" spans="1:19" ht="14.4">
      <c r="A16" s="1"/>
      <c r="B16" s="1"/>
      <c r="C16" s="28" t="s">
        <v>1563</v>
      </c>
      <c r="D16" s="1"/>
      <c r="E16" s="1">
        <f t="shared" ref="E16:P16" si="5">Currency_conversion_rate_BU2</f>
        <v>1</v>
      </c>
      <c r="F16" s="1">
        <f t="shared" si="5"/>
        <v>1</v>
      </c>
      <c r="G16" s="1">
        <f t="shared" si="5"/>
        <v>1</v>
      </c>
      <c r="H16" s="1">
        <f t="shared" si="5"/>
        <v>1</v>
      </c>
      <c r="I16" s="1">
        <f t="shared" si="5"/>
        <v>1</v>
      </c>
      <c r="J16" s="1">
        <f t="shared" si="5"/>
        <v>1</v>
      </c>
      <c r="K16" s="1">
        <f t="shared" si="5"/>
        <v>1</v>
      </c>
      <c r="L16" s="1">
        <f t="shared" si="5"/>
        <v>1</v>
      </c>
      <c r="M16" s="1">
        <f t="shared" si="5"/>
        <v>1</v>
      </c>
      <c r="N16" s="1">
        <f t="shared" si="5"/>
        <v>1</v>
      </c>
      <c r="O16" s="1">
        <f t="shared" si="5"/>
        <v>1</v>
      </c>
      <c r="P16" s="1">
        <f t="shared" si="5"/>
        <v>1</v>
      </c>
      <c r="Q16" s="1">
        <f>Currency_conversion_BU2</f>
        <v>1</v>
      </c>
      <c r="R16" s="316">
        <f>IFERROR((INDEX(16:16,MATCH(DATE('Control Panel'!$B$4+'Control Panel'!$B$5-1,'Control Panel'!$B$6,'Control Panel'!$B$7),'Scenarios onshore'!$10:$10,0))/INDEX(16:16,MATCH(DATE('Control Panel'!$B$4,'Control Panel'!$B$6,'Control Panel'!$B$7),'Scenarios onshore'!$10:$10,0)))^(1/('Control Panel'!$B$5-1))-1,"n.a.")</f>
        <v>0</v>
      </c>
      <c r="S16" s="316">
        <f>IFERROR(INDEX(16:16,MATCH(DATE('Control Panel'!$B$13,'Control Panel'!$B$6,'Control Panel'!$B$7),'Scenarios onshore'!$10:$10,0))/INDEX(16:16,MATCH(DATE('Control Panel'!$B$4+'Control Panel'!$B$5-1,'Control Panel'!$B$6,'Control Panel'!$B$7),'Scenarios onshore'!$10:$10,0))-1,"n.a.")</f>
        <v>0</v>
      </c>
    </row>
    <row r="17" spans="1:19" ht="14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9" ht="14.4">
      <c r="A18" s="34"/>
      <c r="B18" s="180" t="s">
        <v>1564</v>
      </c>
      <c r="C18" s="180"/>
      <c r="D18" s="180" t="s">
        <v>604</v>
      </c>
      <c r="E18" s="180">
        <f t="shared" ref="E18:L18" si="6">IF(E$5,INDEX(E21:E24,$D$2),E20)</f>
        <v>0</v>
      </c>
      <c r="F18" s="180">
        <f t="shared" si="6"/>
        <v>0</v>
      </c>
      <c r="G18" s="180">
        <f t="shared" si="6"/>
        <v>0</v>
      </c>
      <c r="H18" s="180">
        <f>IF(H$5,INDEX(H21:H24,$D$2),H20)</f>
        <v>0</v>
      </c>
      <c r="I18" s="180">
        <f t="shared" si="6"/>
        <v>0</v>
      </c>
      <c r="J18" s="180">
        <f>IF(J$5,INDEX(J21:J24,$D$2),J20)</f>
        <v>0</v>
      </c>
      <c r="K18" s="180">
        <f t="shared" si="6"/>
        <v>0</v>
      </c>
      <c r="L18" s="180">
        <f t="shared" si="6"/>
        <v>0</v>
      </c>
      <c r="M18" s="180">
        <f>IF(M$5,INDEX(M21:M24,$D$2),M20)</f>
        <v>0</v>
      </c>
      <c r="N18" s="180">
        <f>IF(N$5,INDEX(N21:N24,$D$2),N20)</f>
        <v>0</v>
      </c>
      <c r="O18" s="180">
        <f>IF(O$5,INDEX(O21:O24,$D$2),O20)</f>
        <v>0</v>
      </c>
      <c r="P18" s="180" t="str">
        <f>IF(P$5,INDEX(P21:P24,$D$2),P20)</f>
        <v/>
      </c>
      <c r="Q18" s="180" t="str">
        <f>IF(Q$5,INDEX(Q21:Q24,$D$2),Q20)</f>
        <v/>
      </c>
      <c r="R18" s="315" t="str">
        <f>IFERROR((INDEX(18:18,MATCH(DATE('Control Panel'!$B$4+'Control Panel'!$B$5-1,'Control Panel'!$B$6,'Control Panel'!$B$7),'Scenarios onshore'!$10:$10,0))/INDEX(18:18,MATCH(DATE('Control Panel'!$B$4,'Control Panel'!$B$6,'Control Panel'!$B$7),'Scenarios onshore'!$10:$10,0)))^(1/('Control Panel'!$B$5-1))-1,"n.a.")</f>
        <v>n.a.</v>
      </c>
      <c r="S18" s="315" t="str">
        <f>IFERROR((INDEX(18:18,MATCH(DATE('Control Panel'!$B$13,'Control Panel'!$B$6,'Control Panel'!$B$7),'Scenarios onshore'!$10:$10,0))/INDEX(18:18,MATCH(DATE('Control Panel'!$B$4+'Control Panel'!$B$5-1,'Control Panel'!$B$6,'Control Panel'!$B$7),'Scenarios onshore'!$10:$10,0)))^(1/('Control Panel'!$B$13-'Control Panel'!$B$12+1))-1,"n.a.")</f>
        <v>n.a.</v>
      </c>
    </row>
    <row r="19" spans="1:19" ht="14.4">
      <c r="A19" s="38"/>
      <c r="B19" s="38"/>
      <c r="C19" s="38"/>
      <c r="D19" s="286" t="s">
        <v>920</v>
      </c>
      <c r="E19" s="185" t="str">
        <f t="shared" ref="E19:Q19" si="7">IFERROR(E18/INDEX(18:18,MATCH(DATE(YEAR(E$10)-1,MONTH(E$10),DAY(E$10)),$10:$10,0))-1,"n.a.")</f>
        <v>n.a.</v>
      </c>
      <c r="F19" s="185" t="str">
        <f t="shared" si="7"/>
        <v>n.a.</v>
      </c>
      <c r="G19" s="185" t="str">
        <f t="shared" si="7"/>
        <v>n.a.</v>
      </c>
      <c r="H19" s="185" t="str">
        <f t="shared" si="7"/>
        <v>n.a.</v>
      </c>
      <c r="I19" s="185" t="str">
        <f t="shared" si="7"/>
        <v>n.a.</v>
      </c>
      <c r="J19" s="185" t="str">
        <f t="shared" si="7"/>
        <v>n.a.</v>
      </c>
      <c r="K19" s="185" t="str">
        <f t="shared" si="7"/>
        <v>n.a.</v>
      </c>
      <c r="L19" s="185" t="str">
        <f t="shared" si="7"/>
        <v>n.a.</v>
      </c>
      <c r="M19" s="185" t="str">
        <f t="shared" si="7"/>
        <v>n.a.</v>
      </c>
      <c r="N19" s="185" t="str">
        <f t="shared" si="7"/>
        <v>n.a.</v>
      </c>
      <c r="O19" s="185" t="str">
        <f t="shared" si="7"/>
        <v>n.a.</v>
      </c>
      <c r="P19" s="185" t="str">
        <f t="shared" si="7"/>
        <v>n.a.</v>
      </c>
      <c r="Q19" s="185" t="str">
        <f t="shared" si="7"/>
        <v>n.a.</v>
      </c>
      <c r="R19" s="38"/>
      <c r="S19" s="38"/>
    </row>
    <row r="20" spans="1:19">
      <c r="A20" s="255"/>
      <c r="B20" s="255"/>
      <c r="C20" s="255"/>
      <c r="D20" s="255" t="s">
        <v>599</v>
      </c>
      <c r="E20" s="255">
        <f>IFERROR(Input_unit*(E$4&lt;$D$1)*SUMIF('Historical BU2'!$A$89:$A$419,"REV",INDEX('Historical BU2'!$D$89:$EE$419,0,MATCH(E$4,'Historical BU2'!$D$84:$EE$84,0))),"")</f>
        <v>0</v>
      </c>
      <c r="F20" s="255">
        <f>IFERROR(Input_unit*(F$4&lt;$D$1)*SUMIF('Historical BU2'!$A$89:$A$419,"REV",INDEX('Historical BU2'!$D$89:$EE$419,0,MATCH(F$4,'Historical BU2'!$D$84:$EE$84,0))),"")</f>
        <v>0</v>
      </c>
      <c r="G20" s="255">
        <f>IFERROR(Input_unit*(G$4&lt;$D$1)*SUMIF('Historical BU2'!$A$89:$A$419,"REV",INDEX('Historical BU2'!$D$89:$EE$419,0,MATCH(G$4,'Historical BU2'!$D$84:$EE$84,0))),"")</f>
        <v>0</v>
      </c>
      <c r="H20" s="255">
        <f>IFERROR(Input_unit*(H$4&lt;$D$1)*SUMIF('Historical BU2'!$A$89:$A$419,"REV",INDEX('Historical BU2'!$D$89:$EE$419,0,MATCH(H$4,'Historical BU2'!$D$84:$EE$84,0))),"")</f>
        <v>0</v>
      </c>
      <c r="I20" s="255">
        <f>IFERROR(Input_unit*(I$4&lt;$D$1)*SUMIF('Historical BU2'!$A$89:$A$419,"REV",INDEX('Historical BU2'!$D$89:$EE$419,0,MATCH(I$4,'Historical BU2'!$D$84:$EE$84,0))),"")</f>
        <v>0</v>
      </c>
      <c r="J20" s="255" t="str">
        <f>IFERROR(Input_unit*(J$4&lt;$D$1)*SUMIF('Historical BU2'!$A$89:$A$419,"REV",INDEX('Historical BU2'!$D$89:$EE$419,0,MATCH(J$4,'Historical BU2'!$D$84:$EE$84,0))),"")</f>
        <v/>
      </c>
      <c r="K20" s="255" t="str">
        <f>IFERROR(Input_unit*(K$4&lt;$D$1)*SUMIF('Historical BU2'!$A$89:$A$419,"REV",INDEX('Historical BU2'!$D$89:$EE$419,0,MATCH(K$4,'Historical BU2'!$D$84:$EE$84,0))),"")</f>
        <v/>
      </c>
      <c r="L20" s="255" t="str">
        <f>IFERROR(Input_unit*(L$4&lt;$D$1)*SUMIF('Historical BU2'!$A$89:$A$419,"REV",INDEX('Historical BU2'!$D$89:$EE$419,0,MATCH(L$4,'Historical BU2'!$D$84:$EE$84,0))),"")</f>
        <v/>
      </c>
      <c r="M20" s="255" t="str">
        <f>IFERROR(Input_unit*(M$4&lt;$D$1)*SUMIF('Historical BU2'!$A$89:$A$419,"REV",INDEX('Historical BU2'!$D$89:$EE$419,0,MATCH(M$4,'Historical BU2'!$D$84:$EE$84,0))),"")</f>
        <v/>
      </c>
      <c r="N20" s="255" t="str">
        <f>IFERROR(Input_unit*(N$4&lt;$D$1)*SUMIF('Historical BU2'!$A$89:$A$419,"REV",INDEX('Historical BU2'!$D$89:$EE$419,0,MATCH(N$4,'Historical BU2'!$D$84:$EE$84,0))),"")</f>
        <v/>
      </c>
      <c r="O20" s="255" t="str">
        <f>IFERROR(Input_unit*(O$4&lt;$D$1)*SUMIF('Historical BU2'!$A$89:$A$419,"REV",INDEX('Historical BU2'!$D$89:$EE$419,0,MATCH(O$4,'Historical BU2'!$D$84:$EE$84,0))),"")</f>
        <v/>
      </c>
      <c r="P20" s="255" t="str">
        <f>IFERROR(Input_unit*(P$4&lt;$D$1)*SUMIF('Historical BU2'!$A$89:$A$419,"REV",INDEX('Historical BU2'!$D$89:$EE$419,0,MATCH(P$4,'Historical BU2'!$D$84:$EE$84,0))),"")</f>
        <v/>
      </c>
      <c r="Q20" s="255" t="str">
        <f>IFERROR(Input_unit*(Q$4&lt;$D$1)*SUMIF('Historical BU2'!$A$89:$A$419,"REV",INDEX('Historical BU2'!$D$89:$EE$419,0,MATCH(Q$4,'Historical BU2'!$D$84:$EE$84,0))),"")</f>
        <v/>
      </c>
      <c r="R20" s="255" t="str">
        <f>IFERROR(Input_unit*(R$4&lt;$D$1)*SUMIF('Historical BU2'!$A$89:$A$419,"REV",INDEX('Historical BU2'!$D$89:$EE$419,0,MATCH(R$4,'Historical BU2'!$D$84:$EE$84,0))),"")</f>
        <v/>
      </c>
      <c r="S20" s="292"/>
    </row>
    <row r="21" spans="1:19" ht="14.4">
      <c r="A21" s="1"/>
      <c r="B21" s="1"/>
      <c r="C21" s="1"/>
      <c r="D21" s="197" t="s">
        <v>600</v>
      </c>
      <c r="E21" s="291">
        <f>E$5*E29*E37</f>
        <v>0</v>
      </c>
      <c r="F21" s="291">
        <f t="shared" ref="F21:Q24" si="8">F$5*F29*F37</f>
        <v>0</v>
      </c>
      <c r="G21" s="291">
        <f t="shared" si="8"/>
        <v>0</v>
      </c>
      <c r="H21" s="291">
        <f t="shared" si="8"/>
        <v>0</v>
      </c>
      <c r="I21" s="291">
        <f t="shared" si="8"/>
        <v>0</v>
      </c>
      <c r="J21" s="291">
        <f>J$5*J29*J37</f>
        <v>0</v>
      </c>
      <c r="K21" s="291">
        <f t="shared" si="8"/>
        <v>0</v>
      </c>
      <c r="L21" s="291">
        <f t="shared" si="8"/>
        <v>0</v>
      </c>
      <c r="M21" s="291">
        <f t="shared" si="8"/>
        <v>0</v>
      </c>
      <c r="N21" s="291">
        <f t="shared" si="8"/>
        <v>0</v>
      </c>
      <c r="O21" s="291">
        <f t="shared" si="8"/>
        <v>0</v>
      </c>
      <c r="P21" s="291">
        <f t="shared" si="8"/>
        <v>0</v>
      </c>
      <c r="Q21" s="291">
        <f t="shared" si="8"/>
        <v>0</v>
      </c>
      <c r="R21" s="289"/>
      <c r="S21" s="316" t="str">
        <f>IFERROR((INDEX(21:21,MATCH(DATE('Control Panel'!$B$13,'Control Panel'!$B$6,'Control Panel'!$B$7),'Scenarios onshore'!$10:$10,0))/INDEX(20:20,MATCH(DATE('Control Panel'!$B$4+'Control Panel'!$B$5-1,'Control Panel'!$B$6,'Control Panel'!$B$7),'Scenarios onshore'!$10:$10,0)))^(1/('Control Panel'!$B$13-'Control Panel'!$B$12+1))-1,"n.a.")</f>
        <v>n.a.</v>
      </c>
    </row>
    <row r="22" spans="1:19" ht="14.4">
      <c r="A22" s="1"/>
      <c r="B22" s="1"/>
      <c r="C22" s="1"/>
      <c r="D22" s="197" t="s">
        <v>1534</v>
      </c>
      <c r="E22" s="291">
        <f>E$5*E30*E38</f>
        <v>0</v>
      </c>
      <c r="F22" s="291">
        <f t="shared" si="8"/>
        <v>0</v>
      </c>
      <c r="G22" s="291">
        <f t="shared" si="8"/>
        <v>0</v>
      </c>
      <c r="H22" s="291">
        <f>H$5*H30*H38</f>
        <v>0</v>
      </c>
      <c r="I22" s="291">
        <f t="shared" si="8"/>
        <v>0</v>
      </c>
      <c r="J22" s="291">
        <f t="shared" si="8"/>
        <v>0</v>
      </c>
      <c r="K22" s="291">
        <f t="shared" si="8"/>
        <v>0</v>
      </c>
      <c r="L22" s="291">
        <f t="shared" si="8"/>
        <v>0</v>
      </c>
      <c r="M22" s="291">
        <f t="shared" si="8"/>
        <v>0</v>
      </c>
      <c r="N22" s="291">
        <f t="shared" si="8"/>
        <v>0</v>
      </c>
      <c r="O22" s="291">
        <f t="shared" si="8"/>
        <v>0</v>
      </c>
      <c r="P22" s="291">
        <f t="shared" si="8"/>
        <v>0</v>
      </c>
      <c r="Q22" s="291">
        <f t="shared" si="8"/>
        <v>0</v>
      </c>
      <c r="R22" s="289"/>
      <c r="S22" s="316" t="str">
        <f>IFERROR((INDEX(22:22,MATCH(DATE('Control Panel'!$B$13,'Control Panel'!$B$6,'Control Panel'!$B$7),'Scenarios onshore'!$10:$10,0))/INDEX(20:20,MATCH(DATE('Control Panel'!$B$4+'Control Panel'!$B$5-1,'Control Panel'!$B$6,'Control Panel'!$B$7),'Scenarios onshore'!$10:$10,0)))^(1/('Control Panel'!$B$13-'Control Panel'!$B$12+1))-1,"n.a.")</f>
        <v>n.a.</v>
      </c>
    </row>
    <row r="23" spans="1:19" ht="14.4">
      <c r="A23" s="1"/>
      <c r="B23" s="1"/>
      <c r="C23" s="1"/>
      <c r="D23" s="197" t="s">
        <v>602</v>
      </c>
      <c r="E23" s="291">
        <f>E$5*E31*E39</f>
        <v>0</v>
      </c>
      <c r="F23" s="291">
        <f t="shared" si="8"/>
        <v>0</v>
      </c>
      <c r="G23" s="291">
        <f t="shared" si="8"/>
        <v>0</v>
      </c>
      <c r="H23" s="291">
        <f>H$5*H31*H39</f>
        <v>0</v>
      </c>
      <c r="I23" s="291">
        <f t="shared" si="8"/>
        <v>0</v>
      </c>
      <c r="J23" s="291">
        <f t="shared" si="8"/>
        <v>0</v>
      </c>
      <c r="K23" s="291">
        <f t="shared" si="8"/>
        <v>0</v>
      </c>
      <c r="L23" s="291">
        <f t="shared" si="8"/>
        <v>0</v>
      </c>
      <c r="M23" s="291">
        <f t="shared" si="8"/>
        <v>0</v>
      </c>
      <c r="N23" s="291">
        <f t="shared" si="8"/>
        <v>0</v>
      </c>
      <c r="O23" s="291">
        <f t="shared" si="8"/>
        <v>0</v>
      </c>
      <c r="P23" s="291">
        <f t="shared" si="8"/>
        <v>0</v>
      </c>
      <c r="Q23" s="291">
        <f t="shared" si="8"/>
        <v>0</v>
      </c>
      <c r="R23" s="289"/>
      <c r="S23" s="316" t="str">
        <f>IFERROR((INDEX(23:23,MATCH(DATE('Control Panel'!$B$13,'Control Panel'!$B$6,'Control Panel'!$B$7),'Scenarios onshore'!$10:$10,0))/INDEX(20:20,MATCH(DATE('Control Panel'!$B$4+'Control Panel'!$B$5-1,'Control Panel'!$B$6,'Control Panel'!$B$7),'Scenarios onshore'!$10:$10,0)))^(1/('Control Panel'!$B$13-'Control Panel'!$B$12+1))-1,"n.a.")</f>
        <v>n.a.</v>
      </c>
    </row>
    <row r="24" spans="1:19" ht="14.4">
      <c r="A24" s="1"/>
      <c r="B24" s="1"/>
      <c r="C24" s="1"/>
      <c r="D24" s="197" t="s">
        <v>603</v>
      </c>
      <c r="E24" s="291">
        <f>E$5*E32*E40</f>
        <v>0</v>
      </c>
      <c r="F24" s="291">
        <f t="shared" si="8"/>
        <v>0</v>
      </c>
      <c r="G24" s="291">
        <f t="shared" si="8"/>
        <v>0</v>
      </c>
      <c r="H24" s="291">
        <f t="shared" si="8"/>
        <v>0</v>
      </c>
      <c r="I24" s="291">
        <f t="shared" si="8"/>
        <v>0</v>
      </c>
      <c r="J24" s="291">
        <f t="shared" si="8"/>
        <v>0</v>
      </c>
      <c r="K24" s="291">
        <f t="shared" si="8"/>
        <v>0</v>
      </c>
      <c r="L24" s="291">
        <f t="shared" si="8"/>
        <v>0</v>
      </c>
      <c r="M24" s="291">
        <f t="shared" si="8"/>
        <v>0</v>
      </c>
      <c r="N24" s="291">
        <f t="shared" si="8"/>
        <v>0</v>
      </c>
      <c r="O24" s="291">
        <f t="shared" si="8"/>
        <v>0</v>
      </c>
      <c r="P24" s="291">
        <f t="shared" si="8"/>
        <v>0</v>
      </c>
      <c r="Q24" s="291">
        <f t="shared" si="8"/>
        <v>0</v>
      </c>
      <c r="R24" s="289"/>
      <c r="S24" s="316" t="str">
        <f>IFERROR((INDEX(24:24,MATCH(DATE('Control Panel'!$B$13,'Control Panel'!$B$6,'Control Panel'!$B$7),'Scenarios onshore'!$10:$10,0))/INDEX(20:20,MATCH(DATE('Control Panel'!$B$4+'Control Panel'!$B$5-1,'Control Panel'!$B$6,'Control Panel'!$B$7),'Scenarios onshore'!$10:$10,0)))^(1/('Control Panel'!$B$13-'Control Panel'!$B$12+1))-1,"n.a.")</f>
        <v>n.a.</v>
      </c>
    </row>
    <row r="25" spans="1:19" ht="14.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9" ht="14.4">
      <c r="A26" s="34"/>
      <c r="B26" s="180"/>
      <c r="C26" s="180" t="s">
        <v>1720</v>
      </c>
      <c r="D26" s="180" t="s">
        <v>604</v>
      </c>
      <c r="E26" s="180">
        <f t="shared" ref="E26:L26" si="9">IF(E$5,INDEX(E29:E32,$D$2),E28)</f>
        <v>0</v>
      </c>
      <c r="F26" s="180">
        <f t="shared" si="9"/>
        <v>0</v>
      </c>
      <c r="G26" s="180">
        <f t="shared" si="9"/>
        <v>0</v>
      </c>
      <c r="H26" s="180">
        <f t="shared" si="9"/>
        <v>0</v>
      </c>
      <c r="I26" s="180">
        <f t="shared" si="9"/>
        <v>0.8</v>
      </c>
      <c r="J26" s="180">
        <f t="shared" si="9"/>
        <v>0.8</v>
      </c>
      <c r="K26" s="180">
        <f t="shared" si="9"/>
        <v>0.8</v>
      </c>
      <c r="L26" s="180">
        <f t="shared" si="9"/>
        <v>0.8</v>
      </c>
      <c r="M26" s="180">
        <f>IF(M$5,INDEX(M29:M32,$D$2),M28)</f>
        <v>0.8</v>
      </c>
      <c r="N26" s="180">
        <f>IF(N$5,INDEX(N29:N32,$D$2),N28)</f>
        <v>0.8</v>
      </c>
      <c r="O26" s="180">
        <f>IF(O$5,INDEX(O29:O32,$D$2),O28)</f>
        <v>0.8</v>
      </c>
      <c r="P26" s="180">
        <f>IF(P$5,INDEX(P29:P32,$D$2),P28)</f>
        <v>0.8</v>
      </c>
      <c r="Q26" s="180">
        <f>IF(Q$5,INDEX(Q29:Q32,$D$2),Q28)</f>
        <v>0</v>
      </c>
      <c r="R26" s="315" t="str">
        <f>IFERROR((INDEX(26:26,MATCH(DATE('Control Panel'!$B$4+'Control Panel'!$B$5-1,'Control Panel'!$B$6,'Control Panel'!$B$7),'Scenarios onshore'!$10:$10,0))/INDEX(26:26,MATCH(DATE('Control Panel'!$B$4,'Control Panel'!$B$6,'Control Panel'!$B$7),'Scenarios onshore'!$10:$10,0)))^(1/('Control Panel'!$B$5-1))-1,"n.a.")</f>
        <v>n.a.</v>
      </c>
      <c r="S26" s="315">
        <f>IFERROR((INDEX(26:26,MATCH(DATE('Control Panel'!$B$13,'Control Panel'!$B$6,'Control Panel'!$B$7),'Scenarios onshore'!$10:$10,0))/INDEX(26:26,MATCH(DATE('Control Panel'!$B$4+'Control Panel'!$B$5-1,'Control Panel'!$B$6,'Control Panel'!$B$7),'Scenarios onshore'!$10:$10,0)))^(1/('Control Panel'!$B$13-'Control Panel'!$B$12+1))-1,"n.a.")</f>
        <v>0</v>
      </c>
    </row>
    <row r="27" spans="1:19" ht="14.4">
      <c r="A27" s="38"/>
      <c r="B27" s="38"/>
      <c r="C27" s="38"/>
      <c r="D27" s="286" t="s">
        <v>920</v>
      </c>
      <c r="E27" s="185" t="str">
        <f t="shared" ref="E27:Q27" si="10">IFERROR(E26/INDEX(26:26,MATCH(DATE(YEAR(E$10)-1,MONTH(E$10),DAY(E$10)),$10:$10,0))-1,"n.a.")</f>
        <v>n.a.</v>
      </c>
      <c r="F27" s="185" t="str">
        <f t="shared" si="10"/>
        <v>n.a.</v>
      </c>
      <c r="G27" s="185" t="str">
        <f t="shared" si="10"/>
        <v>n.a.</v>
      </c>
      <c r="H27" s="185" t="str">
        <f t="shared" si="10"/>
        <v>n.a.</v>
      </c>
      <c r="I27" s="185" t="str">
        <f t="shared" si="10"/>
        <v>n.a.</v>
      </c>
      <c r="J27" s="185">
        <f t="shared" si="10"/>
        <v>0</v>
      </c>
      <c r="K27" s="185">
        <f t="shared" si="10"/>
        <v>0</v>
      </c>
      <c r="L27" s="185">
        <f t="shared" si="10"/>
        <v>0</v>
      </c>
      <c r="M27" s="185">
        <f t="shared" si="10"/>
        <v>0</v>
      </c>
      <c r="N27" s="185">
        <f t="shared" si="10"/>
        <v>0</v>
      </c>
      <c r="O27" s="185">
        <f t="shared" si="10"/>
        <v>0</v>
      </c>
      <c r="P27" s="185">
        <f t="shared" si="10"/>
        <v>0</v>
      </c>
      <c r="Q27" s="185">
        <f t="shared" si="10"/>
        <v>-1</v>
      </c>
      <c r="R27" s="38"/>
      <c r="S27" s="38"/>
    </row>
    <row r="28" spans="1:19">
      <c r="A28" s="255"/>
      <c r="B28" s="255"/>
      <c r="C28" s="255"/>
      <c r="D28" s="255" t="s">
        <v>599</v>
      </c>
      <c r="E28" s="197"/>
      <c r="F28" s="197"/>
      <c r="G28" s="197"/>
      <c r="H28" s="655"/>
      <c r="I28" s="655">
        <v>0.8</v>
      </c>
      <c r="J28" s="655">
        <v>0.8</v>
      </c>
      <c r="K28" s="655">
        <v>0.8</v>
      </c>
      <c r="L28" s="655">
        <v>0.8</v>
      </c>
      <c r="M28" s="655">
        <v>0.8</v>
      </c>
      <c r="N28" s="655">
        <v>0.8</v>
      </c>
      <c r="O28" s="655">
        <v>0.8</v>
      </c>
      <c r="P28" s="655">
        <v>0.8</v>
      </c>
      <c r="Q28" s="197"/>
      <c r="R28" s="316" t="str">
        <f>IFERROR((INDEX(28:28,MATCH(DATE('Control Panel'!$B$4+'Control Panel'!$B$5-1,'Control Panel'!$B$6,'Control Panel'!$B$7),'Scenarios onshore'!$10:$10,0))/INDEX(28:28,MATCH(DATE('Control Panel'!$B$4,'Control Panel'!$B$6,'Control Panel'!$B$7),'Scenarios onshore'!$10:$10,0)))^(1/('Control Panel'!$B$5-1))-1,"n.a.")</f>
        <v>n.a.</v>
      </c>
      <c r="S28" s="292"/>
    </row>
    <row r="29" spans="1:19" ht="14.4">
      <c r="A29" s="1"/>
      <c r="B29" s="1"/>
      <c r="C29" s="1"/>
      <c r="D29" s="255" t="str">
        <f>$D$21</f>
        <v>Sponsor base</v>
      </c>
      <c r="E29" s="197"/>
      <c r="F29" s="197"/>
      <c r="G29" s="197"/>
      <c r="H29" s="655"/>
      <c r="I29" s="655">
        <v>0.8</v>
      </c>
      <c r="J29" s="655">
        <v>0.8</v>
      </c>
      <c r="K29" s="655">
        <v>0.8</v>
      </c>
      <c r="L29" s="655">
        <v>0.8</v>
      </c>
      <c r="M29" s="655">
        <v>0.8</v>
      </c>
      <c r="N29" s="655">
        <v>0.8</v>
      </c>
      <c r="O29" s="655">
        <v>0.8</v>
      </c>
      <c r="P29" s="655">
        <v>0.8</v>
      </c>
      <c r="Q29" s="197"/>
      <c r="R29" s="289"/>
      <c r="S29" s="316">
        <f>IFERROR((INDEX(29:29,MATCH(DATE('Control Panel'!$B$13,'Control Panel'!$B$6,'Control Panel'!$B$7),'Scenarios onshore'!$10:$10,0))/INDEX(28:28,MATCH(DATE('Control Panel'!$B$4+'Control Panel'!$B$5-1,'Control Panel'!$B$6,'Control Panel'!$B$7),'Scenarios onshore'!$10:$10,0)))^(1/('Control Panel'!$B$13-'Control Panel'!$B$12+1))-1,"n.a.")</f>
        <v>0</v>
      </c>
    </row>
    <row r="30" spans="1:19" ht="14.4">
      <c r="A30" s="1"/>
      <c r="B30" s="1"/>
      <c r="C30" s="1"/>
      <c r="D30" s="255" t="str">
        <f>$D$22</f>
        <v>Flat</v>
      </c>
      <c r="E30" s="197"/>
      <c r="F30" s="197"/>
      <c r="G30" s="197"/>
      <c r="H30" s="655"/>
      <c r="I30" s="655">
        <v>0.8</v>
      </c>
      <c r="J30" s="655">
        <v>0.8</v>
      </c>
      <c r="K30" s="655">
        <v>0.8</v>
      </c>
      <c r="L30" s="655">
        <v>0.8</v>
      </c>
      <c r="M30" s="655">
        <v>0.8</v>
      </c>
      <c r="N30" s="655">
        <v>0.8</v>
      </c>
      <c r="O30" s="655">
        <v>0.8</v>
      </c>
      <c r="P30" s="655">
        <v>0.8</v>
      </c>
      <c r="Q30" s="197"/>
      <c r="R30" s="289"/>
      <c r="S30" s="316">
        <f>IFERROR((INDEX(30:30,MATCH(DATE('Control Panel'!$B$13,'Control Panel'!$B$6,'Control Panel'!$B$7),'Scenarios onshore'!$10:$10,0))/INDEX(28:28,MATCH(DATE('Control Panel'!$B$4+'Control Panel'!$B$5-1,'Control Panel'!$B$6,'Control Panel'!$B$7),'Scenarios onshore'!$10:$10,0)))^(1/('Control Panel'!$B$13-'Control Panel'!$B$12+1))-1,"n.a.")</f>
        <v>0</v>
      </c>
    </row>
    <row r="31" spans="1:19" ht="14.4">
      <c r="A31" s="1"/>
      <c r="B31" s="1"/>
      <c r="C31" s="1"/>
      <c r="D31" s="255" t="str">
        <f>$D$23</f>
        <v>Bank case</v>
      </c>
      <c r="E31" s="197"/>
      <c r="F31" s="197"/>
      <c r="G31" s="197"/>
      <c r="H31" s="655"/>
      <c r="I31" s="655">
        <v>0.8</v>
      </c>
      <c r="J31" s="655">
        <v>0.8</v>
      </c>
      <c r="K31" s="655">
        <v>0.8</v>
      </c>
      <c r="L31" s="655">
        <v>0.8</v>
      </c>
      <c r="M31" s="655">
        <v>0.8</v>
      </c>
      <c r="N31" s="655">
        <v>0.8</v>
      </c>
      <c r="O31" s="655">
        <v>0.8</v>
      </c>
      <c r="P31" s="655">
        <v>0.8</v>
      </c>
      <c r="Q31" s="197"/>
      <c r="R31" s="289"/>
      <c r="S31" s="316">
        <f>IFERROR((INDEX(31:31,MATCH(DATE('Control Panel'!$B$13,'Control Panel'!$B$6,'Control Panel'!$B$7),'Scenarios onshore'!$10:$10,0))/INDEX(28:28,MATCH(DATE('Control Panel'!$B$4+'Control Panel'!$B$5-1,'Control Panel'!$B$6,'Control Panel'!$B$7),'Scenarios onshore'!$10:$10,0)))^(1/('Control Panel'!$B$13-'Control Panel'!$B$12+1))-1,"n.a.")</f>
        <v>0</v>
      </c>
    </row>
    <row r="32" spans="1:19" ht="14.4">
      <c r="A32" s="1"/>
      <c r="B32" s="1"/>
      <c r="C32" s="1"/>
      <c r="D32" s="255" t="str">
        <f>$D$24</f>
        <v>Bank worse</v>
      </c>
      <c r="E32" s="197"/>
      <c r="F32" s="197"/>
      <c r="G32" s="197"/>
      <c r="H32" s="655"/>
      <c r="I32" s="655">
        <v>0.8</v>
      </c>
      <c r="J32" s="655">
        <v>0.8</v>
      </c>
      <c r="K32" s="655">
        <v>0.8</v>
      </c>
      <c r="L32" s="655">
        <v>0.8</v>
      </c>
      <c r="M32" s="655">
        <v>0.8</v>
      </c>
      <c r="N32" s="655">
        <v>0.8</v>
      </c>
      <c r="O32" s="655">
        <v>0.8</v>
      </c>
      <c r="P32" s="655">
        <v>0.8</v>
      </c>
      <c r="Q32" s="197"/>
      <c r="R32" s="289"/>
      <c r="S32" s="316">
        <f>IFERROR((INDEX(32:32,MATCH(DATE('Control Panel'!$B$13,'Control Panel'!$B$6,'Control Panel'!$B$7),'Scenarios onshore'!$10:$10,0))/INDEX(28:28,MATCH(DATE('Control Panel'!$B$4+'Control Panel'!$B$5-1,'Control Panel'!$B$6,'Control Panel'!$B$7),'Scenarios onshore'!$10:$10,0)))^(1/('Control Panel'!$B$13-'Control Panel'!$B$12+1))-1,"n.a.")</f>
        <v>0</v>
      </c>
    </row>
    <row r="34" spans="1:20" ht="14.4">
      <c r="A34" s="34"/>
      <c r="B34" s="180"/>
      <c r="C34" s="180" t="s">
        <v>1721</v>
      </c>
      <c r="D34" s="180" t="s">
        <v>604</v>
      </c>
      <c r="E34" s="180" t="str">
        <f t="shared" ref="E34:L34" si="11">IF(E$5,INDEX(E37:E40,$D$2),E36)</f>
        <v>NA</v>
      </c>
      <c r="F34" s="180" t="str">
        <f t="shared" si="11"/>
        <v>NA</v>
      </c>
      <c r="G34" s="180" t="str">
        <f t="shared" si="11"/>
        <v>NA</v>
      </c>
      <c r="H34" s="180" t="str">
        <f>IF(H$5,INDEX(H37:H40,$D$2),H36)</f>
        <v>NA</v>
      </c>
      <c r="I34" s="180">
        <f t="shared" si="11"/>
        <v>0</v>
      </c>
      <c r="J34" s="180">
        <f>IF(J$5,INDEX(J37:J40,$D$2),J36)</f>
        <v>0</v>
      </c>
      <c r="K34" s="180">
        <f t="shared" si="11"/>
        <v>0</v>
      </c>
      <c r="L34" s="180">
        <f t="shared" si="11"/>
        <v>0</v>
      </c>
      <c r="M34" s="180">
        <f>IF(M$5,INDEX(M37:M40,$D$2),M36)</f>
        <v>0</v>
      </c>
      <c r="N34" s="180">
        <f>IF(N$5,INDEX(N37:N40,$D$2),N36)</f>
        <v>0</v>
      </c>
      <c r="O34" s="180">
        <f>IF(O$5,INDEX(O37:O40,$D$2),O36)</f>
        <v>0</v>
      </c>
      <c r="P34" s="180" t="str">
        <f>IF(P$5,INDEX(P37:P40,$D$2),P36)</f>
        <v>NA</v>
      </c>
      <c r="Q34" s="180" t="str">
        <f>IF(Q$5,INDEX(Q37:Q40,$D$2),Q36)</f>
        <v>NA</v>
      </c>
      <c r="R34" s="315" t="str">
        <f>IFERROR((INDEX(34:34,MATCH(DATE('Control Panel'!$B$4+'Control Panel'!$B$5-1,'Control Panel'!$B$6,'Control Panel'!$B$7),'Scenarios onshore'!$10:$10,0))/INDEX(34:34,MATCH(DATE('Control Panel'!$B$4,'Control Panel'!$B$6,'Control Panel'!$B$7),'Scenarios onshore'!$10:$10,0)))^(1/('Control Panel'!$B$5-1))-1,"n.a.")</f>
        <v>n.a.</v>
      </c>
      <c r="S34" s="315" t="str">
        <f>IFERROR((INDEX(34:34,MATCH(DATE('Control Panel'!$B$13,'Control Panel'!$B$6,'Control Panel'!$B$7),'Scenarios onshore'!$10:$10,0))/INDEX(34:34,MATCH(DATE('Control Panel'!$B$4+'Control Panel'!$B$5-1,'Control Panel'!$B$6,'Control Panel'!$B$7),'Scenarios onshore'!$10:$10,0)))^(1/('Control Panel'!$B$13-'Control Panel'!$B$12+1))-1,"n.a.")</f>
        <v>n.a.</v>
      </c>
    </row>
    <row r="35" spans="1:20" ht="14.4">
      <c r="A35" s="38"/>
      <c r="B35" s="38"/>
      <c r="C35" s="38"/>
      <c r="D35" s="286" t="s">
        <v>920</v>
      </c>
      <c r="E35" s="185" t="str">
        <f t="shared" ref="E35:Q35" si="12">IFERROR(E34/INDEX(34:34,MATCH(DATE(YEAR(E$10)-1,MONTH(E$10),DAY(E$10)),$10:$10,0))-1,"n.a.")</f>
        <v>n.a.</v>
      </c>
      <c r="F35" s="185" t="str">
        <f t="shared" si="12"/>
        <v>n.a.</v>
      </c>
      <c r="G35" s="185" t="str">
        <f t="shared" si="12"/>
        <v>n.a.</v>
      </c>
      <c r="H35" s="185" t="str">
        <f t="shared" si="12"/>
        <v>n.a.</v>
      </c>
      <c r="I35" s="185" t="str">
        <f t="shared" si="12"/>
        <v>n.a.</v>
      </c>
      <c r="J35" s="185" t="str">
        <f t="shared" si="12"/>
        <v>n.a.</v>
      </c>
      <c r="K35" s="185" t="str">
        <f t="shared" si="12"/>
        <v>n.a.</v>
      </c>
      <c r="L35" s="185" t="str">
        <f t="shared" si="12"/>
        <v>n.a.</v>
      </c>
      <c r="M35" s="185" t="str">
        <f t="shared" si="12"/>
        <v>n.a.</v>
      </c>
      <c r="N35" s="185" t="str">
        <f t="shared" si="12"/>
        <v>n.a.</v>
      </c>
      <c r="O35" s="185" t="str">
        <f t="shared" si="12"/>
        <v>n.a.</v>
      </c>
      <c r="P35" s="185" t="str">
        <f t="shared" si="12"/>
        <v>n.a.</v>
      </c>
      <c r="Q35" s="185" t="str">
        <f t="shared" si="12"/>
        <v>n.a.</v>
      </c>
      <c r="R35" s="38"/>
      <c r="S35" s="38"/>
    </row>
    <row r="36" spans="1:20">
      <c r="A36" s="255"/>
      <c r="B36" s="255"/>
      <c r="C36" s="255"/>
      <c r="D36" s="255" t="s">
        <v>599</v>
      </c>
      <c r="E36" s="255" t="str">
        <f t="shared" ref="E36:Q36" si="13">IFERROR(E20/E28,"NA")</f>
        <v>NA</v>
      </c>
      <c r="F36" s="255" t="str">
        <f t="shared" si="13"/>
        <v>NA</v>
      </c>
      <c r="G36" s="255" t="str">
        <f t="shared" si="13"/>
        <v>NA</v>
      </c>
      <c r="H36" s="255" t="str">
        <f t="shared" si="13"/>
        <v>NA</v>
      </c>
      <c r="I36" s="255">
        <f>IFERROR(I20/I28,"NA")</f>
        <v>0</v>
      </c>
      <c r="J36" s="255" t="str">
        <f t="shared" si="13"/>
        <v>NA</v>
      </c>
      <c r="K36" s="255" t="str">
        <f t="shared" si="13"/>
        <v>NA</v>
      </c>
      <c r="L36" s="255" t="str">
        <f t="shared" si="13"/>
        <v>NA</v>
      </c>
      <c r="M36" s="255" t="str">
        <f t="shared" si="13"/>
        <v>NA</v>
      </c>
      <c r="N36" s="255" t="str">
        <f t="shared" si="13"/>
        <v>NA</v>
      </c>
      <c r="O36" s="255" t="str">
        <f t="shared" si="13"/>
        <v>NA</v>
      </c>
      <c r="P36" s="255" t="str">
        <f t="shared" si="13"/>
        <v>NA</v>
      </c>
      <c r="Q36" s="255" t="str">
        <f t="shared" si="13"/>
        <v>NA</v>
      </c>
      <c r="R36" s="316" t="str">
        <f>IFERROR((INDEX(36:36,MATCH(DATE('Control Panel'!$B$4+'Control Panel'!$B$5-1,'Control Panel'!$B$6,'Control Panel'!$B$7),'Scenarios onshore'!$10:$10,0))/INDEX(36:36,MATCH(DATE('Control Panel'!$B$4,'Control Panel'!$B$6,'Control Panel'!$B$7),'Scenarios onshore'!$10:$10,0)))^(1/('Control Panel'!$B$5-1))-1,"n.a.")</f>
        <v>n.a.</v>
      </c>
      <c r="S36" s="292"/>
    </row>
    <row r="37" spans="1:20" ht="14.4">
      <c r="A37" s="1"/>
      <c r="B37" s="1"/>
      <c r="C37" s="1"/>
      <c r="D37" s="255" t="str">
        <f>$D$21</f>
        <v>Sponsor base</v>
      </c>
      <c r="E37" s="197"/>
      <c r="F37" s="197"/>
      <c r="G37" s="197"/>
      <c r="H37" s="197"/>
      <c r="I37" s="197">
        <f>'Sponsor Operating Model'!I29*1000000</f>
        <v>0</v>
      </c>
      <c r="J37" s="197">
        <f>'Sponsor Operating Model'!J29*1000000</f>
        <v>0</v>
      </c>
      <c r="K37" s="197">
        <f>'Sponsor Operating Model'!K29*1000000</f>
        <v>0</v>
      </c>
      <c r="L37" s="197">
        <f>'Sponsor Operating Model'!L29*1000000</f>
        <v>0</v>
      </c>
      <c r="M37" s="197">
        <f>'Sponsor Operating Model'!M29*1000000</f>
        <v>0</v>
      </c>
      <c r="N37" s="197">
        <f>'Sponsor Operating Model'!N29*1000000</f>
        <v>0</v>
      </c>
      <c r="O37" s="197">
        <f>'Sponsor Operating Model'!O29*1000000</f>
        <v>0</v>
      </c>
      <c r="P37" s="197">
        <f>'Sponsor Operating Model'!P29*1000000</f>
        <v>0</v>
      </c>
      <c r="Q37" s="197"/>
      <c r="R37" s="289"/>
      <c r="S37" s="316" t="str">
        <f>IFERROR((INDEX(37:37,MATCH(DATE('Control Panel'!$B$13,'Control Panel'!$B$6,'Control Panel'!$B$7),'Scenarios onshore'!$10:$10,0))/INDEX(36:36,MATCH(DATE('Control Panel'!$B$4+'Control Panel'!$B$5-1,'Control Panel'!$B$6,'Control Panel'!$B$7),'Scenarios onshore'!$10:$10,0)))^(1/('Control Panel'!$B$13-'Control Panel'!$B$12+1))-1,"n.a.")</f>
        <v>n.a.</v>
      </c>
    </row>
    <row r="38" spans="1:20" ht="14.4">
      <c r="A38" s="1"/>
      <c r="B38" s="1"/>
      <c r="C38" s="1"/>
      <c r="D38" s="255" t="str">
        <f>$D$22</f>
        <v>Flat</v>
      </c>
      <c r="E38" s="197"/>
      <c r="F38" s="197"/>
      <c r="G38" s="197"/>
      <c r="H38" s="197"/>
      <c r="I38" s="197"/>
      <c r="J38" s="197"/>
      <c r="K38" s="197"/>
      <c r="L38" s="197"/>
      <c r="M38" s="197"/>
      <c r="N38" s="197"/>
      <c r="O38" s="197"/>
      <c r="P38" s="197"/>
      <c r="Q38" s="197"/>
      <c r="R38" s="289"/>
      <c r="S38" s="316" t="str">
        <f>IFERROR((INDEX(38:38,MATCH(DATE('Control Panel'!$B$13,'Control Panel'!$B$6,'Control Panel'!$B$7),'Scenarios onshore'!$10:$10,0))/INDEX(36:36,MATCH(DATE('Control Panel'!$B$4+'Control Panel'!$B$5-1,'Control Panel'!$B$6,'Control Panel'!$B$7),'Scenarios onshore'!$10:$10,0)))^(1/('Control Panel'!$B$13-'Control Panel'!$B$12+1))-1,"n.a.")</f>
        <v>n.a.</v>
      </c>
    </row>
    <row r="39" spans="1:20" ht="14.4">
      <c r="A39" s="1"/>
      <c r="B39" s="1"/>
      <c r="C39" s="1"/>
      <c r="D39" s="255" t="str">
        <f>$D$23</f>
        <v>Bank case</v>
      </c>
      <c r="E39" s="197"/>
      <c r="F39" s="197"/>
      <c r="G39" s="197"/>
      <c r="H39" s="197"/>
      <c r="I39" s="197">
        <f>'Base case Operating Model'!I29*1000000</f>
        <v>0</v>
      </c>
      <c r="J39" s="197">
        <f>'Base case Operating Model'!J29*1000000</f>
        <v>0</v>
      </c>
      <c r="K39" s="197">
        <f>'Base case Operating Model'!K29*1000000</f>
        <v>0</v>
      </c>
      <c r="L39" s="197">
        <f>'Base case Operating Model'!L29*1000000</f>
        <v>0</v>
      </c>
      <c r="M39" s="197">
        <f>'Base case Operating Model'!M29*1000000</f>
        <v>0</v>
      </c>
      <c r="N39" s="197">
        <f>'Base case Operating Model'!N29*1000000</f>
        <v>0</v>
      </c>
      <c r="O39" s="197">
        <f>'Base case Operating Model'!O29*1000000</f>
        <v>0</v>
      </c>
      <c r="P39" s="197">
        <f>'Base case Operating Model'!P29*1000000</f>
        <v>0</v>
      </c>
      <c r="Q39" s="197">
        <f t="shared" ref="Q39" si="14">P39</f>
        <v>0</v>
      </c>
      <c r="R39" s="289"/>
      <c r="S39" s="316" t="str">
        <f>IFERROR((INDEX(39:39,MATCH(DATE('Control Panel'!$B$13,'Control Panel'!$B$6,'Control Panel'!$B$7),'Scenarios onshore'!$10:$10,0))/INDEX(36:36,MATCH(DATE('Control Panel'!$B$4+'Control Panel'!$B$5-1,'Control Panel'!$B$6,'Control Panel'!$B$7),'Scenarios onshore'!$10:$10,0)))^(1/('Control Panel'!$B$13-'Control Panel'!$B$12+1))-1,"n.a.")</f>
        <v>n.a.</v>
      </c>
    </row>
    <row r="40" spans="1:20" ht="14.4">
      <c r="A40" s="1"/>
      <c r="B40" s="1"/>
      <c r="C40" s="1"/>
      <c r="D40" s="255" t="str">
        <f>$D$24</f>
        <v>Bank worse</v>
      </c>
      <c r="E40" s="197"/>
      <c r="F40" s="197"/>
      <c r="G40" s="197"/>
      <c r="H40" s="197"/>
      <c r="I40" s="197">
        <f>I39</f>
        <v>0</v>
      </c>
      <c r="J40" s="197">
        <f>J39</f>
        <v>0</v>
      </c>
      <c r="K40" s="197">
        <f t="shared" ref="K40:P40" si="15">K39</f>
        <v>0</v>
      </c>
      <c r="L40" s="197">
        <f t="shared" si="15"/>
        <v>0</v>
      </c>
      <c r="M40" s="197">
        <f t="shared" si="15"/>
        <v>0</v>
      </c>
      <c r="N40" s="197">
        <f t="shared" si="15"/>
        <v>0</v>
      </c>
      <c r="O40" s="197">
        <f t="shared" si="15"/>
        <v>0</v>
      </c>
      <c r="P40" s="197">
        <f t="shared" si="15"/>
        <v>0</v>
      </c>
      <c r="Q40" s="197"/>
      <c r="R40" s="289"/>
      <c r="S40" s="316" t="str">
        <f>IFERROR((INDEX(40:40,MATCH(DATE('Control Panel'!$B$13,'Control Panel'!$B$6,'Control Panel'!$B$7),'Scenarios onshore'!$10:$10,0))/INDEX(36:36,MATCH(DATE('Control Panel'!$B$4+'Control Panel'!$B$5-1,'Control Panel'!$B$6,'Control Panel'!$B$7),'Scenarios onshore'!$10:$10,0)))^(1/('Control Panel'!$B$13-'Control Panel'!$B$12+1))-1,"n.a.")</f>
        <v>n.a.</v>
      </c>
    </row>
    <row r="42" spans="1:20" ht="14.4">
      <c r="A42" s="34"/>
      <c r="B42" s="180"/>
      <c r="C42" s="180" t="s">
        <v>1565</v>
      </c>
      <c r="D42" s="180" t="s">
        <v>604</v>
      </c>
      <c r="E42" s="180">
        <f t="shared" ref="E42:Q42" si="16">IF(E$5,INDEX(E45:E48,$D$2),E44)</f>
        <v>0</v>
      </c>
      <c r="F42" s="180">
        <f t="shared" si="16"/>
        <v>0</v>
      </c>
      <c r="G42" s="180">
        <f t="shared" si="16"/>
        <v>0</v>
      </c>
      <c r="H42" s="180">
        <f t="shared" si="16"/>
        <v>0</v>
      </c>
      <c r="I42" s="180">
        <f t="shared" si="16"/>
        <v>0</v>
      </c>
      <c r="J42" s="180">
        <f>IF(J$5,INDEX(J45:J48,$D$2),J44)</f>
        <v>0</v>
      </c>
      <c r="K42" s="180">
        <f t="shared" si="16"/>
        <v>0</v>
      </c>
      <c r="L42" s="180">
        <f t="shared" si="16"/>
        <v>0</v>
      </c>
      <c r="M42" s="180">
        <f t="shared" si="16"/>
        <v>0</v>
      </c>
      <c r="N42" s="180">
        <f t="shared" si="16"/>
        <v>0</v>
      </c>
      <c r="O42" s="180">
        <f t="shared" si="16"/>
        <v>0</v>
      </c>
      <c r="P42" s="180" t="str">
        <f t="shared" si="16"/>
        <v/>
      </c>
      <c r="Q42" s="180" t="str">
        <f t="shared" si="16"/>
        <v/>
      </c>
      <c r="R42" s="315" t="str">
        <f>IFERROR((INDEX(42:42,MATCH(DATE('Control Panel'!$B$4+'Control Panel'!$B$5-1,'Control Panel'!$B$6,'Control Panel'!$B$7),'Scenarios onshore'!$10:$10,0))/INDEX(42:42,MATCH(DATE('Control Panel'!$B$4,'Control Panel'!$B$6,'Control Panel'!$B$7),'Scenarios onshore'!$10:$10,0)))^(1/('Control Panel'!$B$5-1))-1,"n.a.")</f>
        <v>n.a.</v>
      </c>
      <c r="S42" s="315" t="str">
        <f>IFERROR((INDEX(42:42,MATCH(DATE('Control Panel'!$B$13,'Control Panel'!$B$6,'Control Panel'!$B$7),'Scenarios onshore'!$10:$10,0))/INDEX(42:42,MATCH(DATE('Control Panel'!$B$4+'Control Panel'!$B$5-1,'Control Panel'!$B$6,'Control Panel'!$B$7),'Scenarios onshore'!$10:$10,0)))^(1/('Control Panel'!$B$13-'Control Panel'!$B$12+1))-1,"n.a.")</f>
        <v>n.a.</v>
      </c>
    </row>
    <row r="43" spans="1:20" ht="14.4">
      <c r="A43" s="38"/>
      <c r="B43" s="38"/>
      <c r="C43" s="38"/>
      <c r="D43" s="286" t="s">
        <v>605</v>
      </c>
      <c r="E43" s="183" t="str">
        <f>IFERROR(E42/E18,"")</f>
        <v/>
      </c>
      <c r="F43" s="183" t="str">
        <f t="shared" ref="F43:Q43" si="17">IFERROR(F42/F18,"")</f>
        <v/>
      </c>
      <c r="G43" s="183" t="str">
        <f t="shared" si="17"/>
        <v/>
      </c>
      <c r="H43" s="183" t="str">
        <f t="shared" si="17"/>
        <v/>
      </c>
      <c r="I43" s="658" t="str">
        <f t="shared" ref="I43:P43" si="18">IFERROR(I42/I$34,"")</f>
        <v/>
      </c>
      <c r="J43" s="658" t="str">
        <f t="shared" si="18"/>
        <v/>
      </c>
      <c r="K43" s="658" t="str">
        <f t="shared" si="18"/>
        <v/>
      </c>
      <c r="L43" s="658" t="str">
        <f t="shared" si="18"/>
        <v/>
      </c>
      <c r="M43" s="658" t="str">
        <f t="shared" si="18"/>
        <v/>
      </c>
      <c r="N43" s="658" t="str">
        <f t="shared" si="18"/>
        <v/>
      </c>
      <c r="O43" s="658" t="str">
        <f t="shared" si="18"/>
        <v/>
      </c>
      <c r="P43" s="658" t="str">
        <f t="shared" si="18"/>
        <v/>
      </c>
      <c r="Q43" s="183" t="str">
        <f t="shared" si="17"/>
        <v/>
      </c>
      <c r="R43" s="38"/>
      <c r="S43" s="38"/>
      <c r="T43" s="28" t="s">
        <v>1728</v>
      </c>
    </row>
    <row r="44" spans="1:20">
      <c r="A44" s="255"/>
      <c r="B44" s="255"/>
      <c r="C44" s="255"/>
      <c r="D44" s="255" t="s">
        <v>599</v>
      </c>
      <c r="E44" s="255">
        <f>IFERROR(Input_unit*(E$4&lt;$D$1)*SUMIF('Historical BU2'!$A$89:$A$419,"COG",INDEX('Historical BU2'!$D$89:$EE$419,0,MATCH(E$4,'Historical BU2'!$D$84:$EE$84,0))),"")</f>
        <v>0</v>
      </c>
      <c r="F44" s="255">
        <f>IFERROR(Input_unit*(F$4&lt;$D$1)*SUMIF('Historical BU2'!$A$89:$A$419,"COG",INDEX('Historical BU2'!$D$89:$EE$419,0,MATCH(F$4,'Historical BU2'!$D$84:$EE$84,0))),"")</f>
        <v>0</v>
      </c>
      <c r="G44" s="255">
        <f>IFERROR(Input_unit*(G$4&lt;$D$1)*SUMIF('Historical BU2'!$A$89:$A$419,"COG",INDEX('Historical BU2'!$D$89:$EE$419,0,MATCH(G$4,'Historical BU2'!$D$84:$EE$84,0))),"")</f>
        <v>0</v>
      </c>
      <c r="H44" s="255">
        <f>IFERROR(Input_unit*(H$4&lt;$D$1)*SUMIF('Historical BU2'!$A$89:$A$419,"COG",INDEX('Historical BU2'!$D$89:$EE$419,0,MATCH(H$4,'Historical BU2'!$D$84:$EE$84,0))),"")</f>
        <v>0</v>
      </c>
      <c r="I44" s="255">
        <f>IFERROR(Input_unit*(I$4&lt;$D$1)*SUMIF('Historical BU2'!$A$89:$A$419,"COG",INDEX('Historical BU2'!$D$89:$EE$419,0,MATCH(I$4,'Historical BU2'!$D$84:$EE$84,0))),"")</f>
        <v>0</v>
      </c>
      <c r="J44" s="255" t="str">
        <f>IFERROR(Input_unit*(J$4&lt;$D$1)*SUMIF('Historical BU2'!$A$89:$A$419,"COG",INDEX('Historical BU2'!$D$89:$EE$419,0,MATCH(J$4,'Historical BU2'!$D$84:$EE$84,0))),"")</f>
        <v/>
      </c>
      <c r="K44" s="255" t="str">
        <f>IFERROR(Input_unit*(K$4&lt;$D$1)*SUMIF('Historical BU2'!$A$89:$A$419,"COG",INDEX('Historical BU2'!$D$89:$EE$419,0,MATCH(K$4,'Historical BU2'!$D$84:$EE$84,0))),"")</f>
        <v/>
      </c>
      <c r="L44" s="255" t="str">
        <f>IFERROR(Input_unit*(L$4&lt;$D$1)*SUMIF('Historical BU2'!$A$89:$A$419,"COG",INDEX('Historical BU2'!$D$89:$EE$419,0,MATCH(L$4,'Historical BU2'!$D$84:$EE$84,0))),"")</f>
        <v/>
      </c>
      <c r="M44" s="255" t="str">
        <f>IFERROR(Input_unit*(M$4&lt;$D$1)*SUMIF('Historical BU2'!$A$89:$A$419,"COG",INDEX('Historical BU2'!$D$89:$EE$419,0,MATCH(M$4,'Historical BU2'!$D$84:$EE$84,0))),"")</f>
        <v/>
      </c>
      <c r="N44" s="255" t="str">
        <f>IFERROR(Input_unit*(N$4&lt;$D$1)*SUMIF('Historical BU2'!$A$89:$A$419,"COG",INDEX('Historical BU2'!$D$89:$EE$419,0,MATCH(N$4,'Historical BU2'!$D$84:$EE$84,0))),"")</f>
        <v/>
      </c>
      <c r="O44" s="255" t="str">
        <f>IFERROR(Input_unit*(O$4&lt;$D$1)*SUMIF('Historical BU2'!$A$89:$A$419,"COG",INDEX('Historical BU2'!$D$89:$EE$419,0,MATCH(O$4,'Historical BU2'!$D$84:$EE$84,0))),"")</f>
        <v/>
      </c>
      <c r="P44" s="255" t="str">
        <f>IFERROR(Input_unit*(P$4&lt;$D$1)*SUMIF('Historical BU2'!$A$89:$A$419,"COG",INDEX('Historical BU2'!$D$89:$EE$419,0,MATCH(P$4,'Historical BU2'!$D$84:$EE$84,0))),"")</f>
        <v/>
      </c>
      <c r="Q44" s="255" t="str">
        <f>IFERROR(Input_unit*(Q$4&lt;$D$1)*SUMIF('Historical BU2'!$A$89:$A$419,"COG",INDEX('Historical BU2'!$D$89:$EE$419,0,MATCH(Q$4,'Historical BU2'!$D$84:$EE$84,0))),"")</f>
        <v/>
      </c>
      <c r="R44" s="316" t="str">
        <f>IFERROR((INDEX(44:44,MATCH(DATE('Control Panel'!$B$4+'Control Panel'!$B$5-1,'Control Panel'!$B$6,'Control Panel'!$B$7),'Scenarios onshore'!$10:$10,0))/INDEX(44:44,MATCH(DATE('Control Panel'!$B$4,'Control Panel'!$B$6,'Control Panel'!$B$7),'Scenarios onshore'!$10:$10,0)))^(1/('Control Panel'!$B$5-1))-1,"n.a.")</f>
        <v>n.a.</v>
      </c>
      <c r="S44" s="292"/>
    </row>
    <row r="45" spans="1:20" ht="14.4">
      <c r="A45" s="1"/>
      <c r="B45" s="1"/>
      <c r="C45" s="1"/>
      <c r="D45" s="255" t="str">
        <f>$D$21</f>
        <v>Sponsor base</v>
      </c>
      <c r="E45" s="197"/>
      <c r="F45" s="197"/>
      <c r="G45" s="197"/>
      <c r="H45" s="197"/>
      <c r="I45" s="197">
        <f>-'Sponsor Operating Model'!I68*1000000</f>
        <v>0</v>
      </c>
      <c r="J45" s="197">
        <f>-'Sponsor Operating Model'!J68*1000000</f>
        <v>0</v>
      </c>
      <c r="K45" s="197">
        <f>-'Sponsor Operating Model'!K68*1000000</f>
        <v>0</v>
      </c>
      <c r="L45" s="197">
        <f>-'Sponsor Operating Model'!L68*1000000</f>
        <v>0</v>
      </c>
      <c r="M45" s="197">
        <f>-'Sponsor Operating Model'!M68*1000000</f>
        <v>0</v>
      </c>
      <c r="N45" s="197">
        <f>-'Sponsor Operating Model'!N68*1000000</f>
        <v>0</v>
      </c>
      <c r="O45" s="197">
        <f>-'Sponsor Operating Model'!O68*1000000</f>
        <v>0</v>
      </c>
      <c r="P45" s="197">
        <f>-'Sponsor Operating Model'!P68*1000000</f>
        <v>0</v>
      </c>
      <c r="Q45" s="197"/>
      <c r="R45" s="289"/>
      <c r="S45" s="316" t="str">
        <f>IFERROR((INDEX(45:45,MATCH(DATE('Control Panel'!$B$13,'Control Panel'!$B$6,'Control Panel'!$B$7),'Scenarios onshore'!$10:$10,0))/INDEX(44:44,MATCH(DATE('Control Panel'!$B$4+'Control Panel'!$B$5-1,'Control Panel'!$B$6,'Control Panel'!$B$7),'Scenarios onshore'!$10:$10,0)))^(1/('Control Panel'!$B$13-'Control Panel'!$B$12+1))-1,"n.a.")</f>
        <v>n.a.</v>
      </c>
    </row>
    <row r="46" spans="1:20" ht="14.4">
      <c r="A46" s="1"/>
      <c r="B46" s="1"/>
      <c r="C46" s="1"/>
      <c r="D46" s="255" t="str">
        <f>$D$22</f>
        <v>Flat</v>
      </c>
      <c r="E46" s="197"/>
      <c r="F46" s="197"/>
      <c r="G46" s="197"/>
      <c r="H46" s="197"/>
      <c r="I46" s="197"/>
      <c r="J46" s="197"/>
      <c r="K46" s="197"/>
      <c r="L46" s="197"/>
      <c r="M46" s="197"/>
      <c r="N46" s="197"/>
      <c r="O46" s="197"/>
      <c r="P46" s="197"/>
      <c r="Q46" s="197"/>
      <c r="R46" s="289"/>
      <c r="S46" s="316" t="str">
        <f>IFERROR((INDEX(46:46,MATCH(DATE('Control Panel'!$B$13,'Control Panel'!$B$6,'Control Panel'!$B$7),'Scenarios onshore'!$10:$10,0))/INDEX(44:44,MATCH(DATE('Control Panel'!$B$4+'Control Panel'!$B$5-1,'Control Panel'!$B$6,'Control Panel'!$B$7),'Scenarios onshore'!$10:$10,0)))^(1/('Control Panel'!$B$13-'Control Panel'!$B$12+1))-1,"n.a.")</f>
        <v>n.a.</v>
      </c>
    </row>
    <row r="47" spans="1:20" ht="14.4">
      <c r="A47" s="1"/>
      <c r="B47" s="1"/>
      <c r="C47" s="1"/>
      <c r="D47" s="255" t="str">
        <f>$D$23</f>
        <v>Bank case</v>
      </c>
      <c r="E47" s="197"/>
      <c r="F47" s="197"/>
      <c r="G47" s="197"/>
      <c r="H47" s="197"/>
      <c r="I47" s="197">
        <f>I39*0.555</f>
        <v>0</v>
      </c>
      <c r="J47" s="197">
        <f t="shared" ref="J47:P47" si="19">J39*0.555</f>
        <v>0</v>
      </c>
      <c r="K47" s="197">
        <f t="shared" si="19"/>
        <v>0</v>
      </c>
      <c r="L47" s="197">
        <f t="shared" si="19"/>
        <v>0</v>
      </c>
      <c r="M47" s="197">
        <f t="shared" si="19"/>
        <v>0</v>
      </c>
      <c r="N47" s="197">
        <f t="shared" si="19"/>
        <v>0</v>
      </c>
      <c r="O47" s="197">
        <f t="shared" si="19"/>
        <v>0</v>
      </c>
      <c r="P47" s="197">
        <f t="shared" si="19"/>
        <v>0</v>
      </c>
      <c r="Q47" s="197"/>
      <c r="R47" s="289"/>
      <c r="S47" s="316" t="str">
        <f>IFERROR((INDEX(47:47,MATCH(DATE('Control Panel'!$B$13,'Control Panel'!$B$6,'Control Panel'!$B$7),'Scenarios onshore'!$10:$10,0))/INDEX(44:44,MATCH(DATE('Control Panel'!$B$4+'Control Panel'!$B$5-1,'Control Panel'!$B$6,'Control Panel'!$B$7),'Scenarios onshore'!$10:$10,0)))^(1/('Control Panel'!$B$13-'Control Panel'!$B$12+1))-1,"n.a.")</f>
        <v>n.a.</v>
      </c>
    </row>
    <row r="48" spans="1:20" ht="14.4">
      <c r="A48" s="1"/>
      <c r="B48" s="1"/>
      <c r="C48" s="1"/>
      <c r="D48" s="255" t="str">
        <f>$D$24</f>
        <v>Bank worse</v>
      </c>
      <c r="E48" s="197"/>
      <c r="F48" s="197"/>
      <c r="G48" s="197"/>
      <c r="H48" s="197"/>
      <c r="I48" s="197">
        <f>'Base case Operating Model'!I68*-1000000</f>
        <v>0</v>
      </c>
      <c r="J48" s="197">
        <f>'Base case Operating Model'!J68*-1000000</f>
        <v>0</v>
      </c>
      <c r="K48" s="197">
        <f>'Base case Operating Model'!K68*-1000000</f>
        <v>0</v>
      </c>
      <c r="L48" s="197">
        <f>'Base case Operating Model'!L68*-1000000</f>
        <v>0</v>
      </c>
      <c r="M48" s="197">
        <f>'Base case Operating Model'!M68*-1000000</f>
        <v>0</v>
      </c>
      <c r="N48" s="197">
        <f>'Base case Operating Model'!N68*-1000000</f>
        <v>0</v>
      </c>
      <c r="O48" s="197">
        <f>'Base case Operating Model'!O68*-1000000</f>
        <v>0</v>
      </c>
      <c r="P48" s="197">
        <f>'Base case Operating Model'!P68*-1000000</f>
        <v>0</v>
      </c>
      <c r="Q48" s="197"/>
      <c r="R48" s="289"/>
      <c r="S48" s="316" t="str">
        <f>IFERROR((INDEX(48:48,MATCH(DATE('Control Panel'!$B$13,'Control Panel'!$B$6,'Control Panel'!$B$7),'Scenarios onshore'!$10:$10,0))/INDEX(44:44,MATCH(DATE('Control Panel'!$B$4+'Control Panel'!$B$5-1,'Control Panel'!$B$6,'Control Panel'!$B$7),'Scenarios onshore'!$10:$10,0)))^(1/('Control Panel'!$B$13-'Control Panel'!$B$12+1))-1,"n.a.")</f>
        <v>n.a.</v>
      </c>
    </row>
    <row r="50" spans="1:19" ht="14.4">
      <c r="A50" s="34"/>
      <c r="B50" s="180"/>
      <c r="C50" s="180" t="s">
        <v>1566</v>
      </c>
      <c r="D50" s="180" t="s">
        <v>604</v>
      </c>
      <c r="E50" s="180">
        <f t="shared" ref="E50:Q50" si="20">IF(E$5,INDEX(E53:E56,$D$2),E52)</f>
        <v>0</v>
      </c>
      <c r="F50" s="180">
        <f t="shared" si="20"/>
        <v>0</v>
      </c>
      <c r="G50" s="180">
        <f t="shared" si="20"/>
        <v>0</v>
      </c>
      <c r="H50" s="180">
        <f>IF(H$5,INDEX(H53:H56,$D$2),H52)</f>
        <v>0</v>
      </c>
      <c r="I50" s="180">
        <f t="shared" si="20"/>
        <v>0</v>
      </c>
      <c r="J50" s="180">
        <f t="shared" si="20"/>
        <v>0</v>
      </c>
      <c r="K50" s="180">
        <f t="shared" si="20"/>
        <v>0</v>
      </c>
      <c r="L50" s="180">
        <f t="shared" si="20"/>
        <v>0</v>
      </c>
      <c r="M50" s="180">
        <f t="shared" si="20"/>
        <v>0</v>
      </c>
      <c r="N50" s="180">
        <f t="shared" si="20"/>
        <v>0</v>
      </c>
      <c r="O50" s="180">
        <f t="shared" si="20"/>
        <v>0</v>
      </c>
      <c r="P50" s="180" t="str">
        <f t="shared" si="20"/>
        <v/>
      </c>
      <c r="Q50" s="180" t="str">
        <f t="shared" si="20"/>
        <v/>
      </c>
      <c r="R50" s="315" t="str">
        <f>IFERROR((INDEX(50:50,MATCH(DATE('Control Panel'!$B$4+'Control Panel'!$B$5-1,'Control Panel'!$B$6,'Control Panel'!$B$7),'Scenarios onshore'!$10:$10,0))/INDEX(50:50,MATCH(DATE('Control Panel'!$B$4,'Control Panel'!$B$6,'Control Panel'!$B$7),'Scenarios onshore'!$10:$10,0)))^(1/('Control Panel'!$B$5-1))-1,"n.a.")</f>
        <v>n.a.</v>
      </c>
      <c r="S50" s="315" t="str">
        <f>IFERROR((INDEX(50:50,MATCH(DATE('Control Panel'!$B$13,'Control Panel'!$B$6,'Control Panel'!$B$7),'Scenarios onshore'!$10:$10,0))/INDEX(50:50,MATCH(DATE('Control Panel'!$B$4+'Control Panel'!$B$5-1,'Control Panel'!$B$6,'Control Panel'!$B$7),'Scenarios onshore'!$10:$10,0)))^(1/('Control Panel'!$B$13-'Control Panel'!$B$12+1))-1,"n.a.")</f>
        <v>n.a.</v>
      </c>
    </row>
    <row r="51" spans="1:19" ht="14.4">
      <c r="A51" s="38"/>
      <c r="B51" s="38"/>
      <c r="C51" s="38"/>
      <c r="D51" s="286" t="s">
        <v>605</v>
      </c>
      <c r="E51" s="183" t="str">
        <f>IFERROR(E50/E18,"")</f>
        <v/>
      </c>
      <c r="F51" s="183" t="str">
        <f t="shared" ref="F51:Q51" si="21">IFERROR(F50/F18,"")</f>
        <v/>
      </c>
      <c r="G51" s="183" t="str">
        <f t="shared" si="21"/>
        <v/>
      </c>
      <c r="H51" s="183" t="str">
        <f t="shared" si="21"/>
        <v/>
      </c>
      <c r="I51" s="658" t="str">
        <f t="shared" ref="I51:P51" si="22">IFERROR(I50/I$34,"")</f>
        <v/>
      </c>
      <c r="J51" s="658" t="str">
        <f>IFERROR(J50/J$34,"")</f>
        <v/>
      </c>
      <c r="K51" s="658" t="str">
        <f t="shared" si="22"/>
        <v/>
      </c>
      <c r="L51" s="658" t="str">
        <f t="shared" si="22"/>
        <v/>
      </c>
      <c r="M51" s="658" t="str">
        <f t="shared" si="22"/>
        <v/>
      </c>
      <c r="N51" s="658" t="str">
        <f t="shared" si="22"/>
        <v/>
      </c>
      <c r="O51" s="658" t="str">
        <f t="shared" si="22"/>
        <v/>
      </c>
      <c r="P51" s="658" t="str">
        <f t="shared" si="22"/>
        <v/>
      </c>
      <c r="Q51" s="183" t="str">
        <f t="shared" si="21"/>
        <v/>
      </c>
      <c r="R51" s="38"/>
      <c r="S51" s="38"/>
    </row>
    <row r="52" spans="1:19">
      <c r="A52" s="255"/>
      <c r="B52" s="255"/>
      <c r="C52" s="255"/>
      <c r="D52" s="255" t="s">
        <v>599</v>
      </c>
      <c r="E52" s="255">
        <f>IFERROR(Input_unit*(E$4&lt;$D$1)*SUMIF('Historical BU2'!$A$89:$A$419,"SGA",INDEX('Historical BU2'!$D$89:$EE$419,0,MATCH(E$4,'Historical BU2'!$D$84:$EE$84,0))),"")</f>
        <v>0</v>
      </c>
      <c r="F52" s="255">
        <f>IFERROR(Input_unit*(F$4&lt;$D$1)*SUMIF('Historical BU2'!$A$89:$A$419,"SGA",INDEX('Historical BU2'!$D$89:$EE$419,0,MATCH(F$4,'Historical BU2'!$D$84:$EE$84,0))),"")</f>
        <v>0</v>
      </c>
      <c r="G52" s="255">
        <f>IFERROR(Input_unit*(G$4&lt;$D$1)*SUMIF('Historical BU2'!$A$89:$A$419,"SGA",INDEX('Historical BU2'!$D$89:$EE$419,0,MATCH(G$4,'Historical BU2'!$D$84:$EE$84,0))),"")</f>
        <v>0</v>
      </c>
      <c r="H52" s="255">
        <f>IFERROR(Input_unit*(H$4&lt;$D$1)*SUMIF('Historical BU2'!$A$89:$A$419,"SGA",INDEX('Historical BU2'!$D$89:$EE$419,0,MATCH(H$4,'Historical BU2'!$D$84:$EE$84,0))),"")</f>
        <v>0</v>
      </c>
      <c r="I52" s="255">
        <f>IFERROR(Input_unit*(I$4&lt;$D$1)*SUMIF('Historical BU2'!$A$89:$A$419,"SGA",INDEX('Historical BU2'!$D$89:$EE$419,0,MATCH(I$4,'Historical BU2'!$D$84:$EE$84,0))),"")</f>
        <v>0</v>
      </c>
      <c r="J52" s="255" t="str">
        <f>IFERROR(Input_unit*(J$4&lt;$D$1)*SUMIF('Historical BU2'!$A$89:$A$419,"SGA",INDEX('Historical BU2'!$D$89:$EE$419,0,MATCH(J$4,'Historical BU2'!$D$84:$EE$84,0))),"")</f>
        <v/>
      </c>
      <c r="K52" s="255" t="str">
        <f>IFERROR(Input_unit*(K$4&lt;$D$1)*SUMIF('Historical BU2'!$A$89:$A$419,"SGA",INDEX('Historical BU2'!$D$89:$EE$419,0,MATCH(K$4,'Historical BU2'!$D$84:$EE$84,0))),"")</f>
        <v/>
      </c>
      <c r="L52" s="255" t="str">
        <f>IFERROR(Input_unit*(L$4&lt;$D$1)*SUMIF('Historical BU2'!$A$89:$A$419,"SGA",INDEX('Historical BU2'!$D$89:$EE$419,0,MATCH(L$4,'Historical BU2'!$D$84:$EE$84,0))),"")</f>
        <v/>
      </c>
      <c r="M52" s="255" t="str">
        <f>IFERROR(Input_unit*(M$4&lt;$D$1)*SUMIF('Historical BU2'!$A$89:$A$419,"SGA",INDEX('Historical BU2'!$D$89:$EE$419,0,MATCH(M$4,'Historical BU2'!$D$84:$EE$84,0))),"")</f>
        <v/>
      </c>
      <c r="N52" s="255" t="str">
        <f>IFERROR(Input_unit*(N$4&lt;$D$1)*SUMIF('Historical BU2'!$A$89:$A$419,"SGA",INDEX('Historical BU2'!$D$89:$EE$419,0,MATCH(N$4,'Historical BU2'!$D$84:$EE$84,0))),"")</f>
        <v/>
      </c>
      <c r="O52" s="255" t="str">
        <f>IFERROR(Input_unit*(O$4&lt;$D$1)*SUMIF('Historical BU2'!$A$89:$A$419,"SGA",INDEX('Historical BU2'!$D$89:$EE$419,0,MATCH(O$4,'Historical BU2'!$D$84:$EE$84,0))),"")</f>
        <v/>
      </c>
      <c r="P52" s="255" t="str">
        <f>IFERROR(Input_unit*(P$4&lt;$D$1)*SUMIF('Historical BU2'!$A$89:$A$419,"SGA",INDEX('Historical BU2'!$D$89:$EE$419,0,MATCH(P$4,'Historical BU2'!$D$84:$EE$84,0))),"")</f>
        <v/>
      </c>
      <c r="Q52" s="255" t="str">
        <f>IFERROR(Input_unit*(Q$4&lt;$D$1)*SUMIF('Historical BU2'!$A$89:$A$419,"SGA",INDEX('Historical BU2'!$D$89:$EE$419,0,MATCH(Q$4,'Historical BU2'!$D$84:$EE$84,0))),"")</f>
        <v/>
      </c>
      <c r="R52" s="316" t="str">
        <f>IFERROR((INDEX(52:52,MATCH(DATE('Control Panel'!$B$4+'Control Panel'!$B$5-1,'Control Panel'!$B$6,'Control Panel'!$B$7),'Scenarios onshore'!$10:$10,0))/INDEX(52:52,MATCH(DATE('Control Panel'!$B$4,'Control Panel'!$B$6,'Control Panel'!$B$7),'Scenarios onshore'!$10:$10,0)))^(1/('Control Panel'!$B$5-1))-1,"n.a.")</f>
        <v>n.a.</v>
      </c>
      <c r="S52" s="292"/>
    </row>
    <row r="53" spans="1:19" ht="14.4">
      <c r="A53" s="1"/>
      <c r="B53" s="1"/>
      <c r="C53" s="1"/>
      <c r="D53" s="255" t="str">
        <f>$D$21</f>
        <v>Sponsor base</v>
      </c>
      <c r="E53" s="197"/>
      <c r="F53" s="197"/>
      <c r="G53" s="197"/>
      <c r="H53" s="197"/>
      <c r="I53" s="197">
        <f>-'Sponsor Operating Model'!I179*1000000-I61-I69</f>
        <v>0</v>
      </c>
      <c r="J53" s="197">
        <f>-'Sponsor Operating Model'!J179*1000000-J61-J69</f>
        <v>0</v>
      </c>
      <c r="K53" s="197">
        <f>-'Sponsor Operating Model'!K179*1000000-K61-K69</f>
        <v>0</v>
      </c>
      <c r="L53" s="197">
        <f>-'Sponsor Operating Model'!L179*1000000-L61-L69</f>
        <v>0</v>
      </c>
      <c r="M53" s="197">
        <f>-'Sponsor Operating Model'!M179*1000000-M61-M69</f>
        <v>0</v>
      </c>
      <c r="N53" s="197">
        <f>-'Sponsor Operating Model'!N179*1000000-N61-N69</f>
        <v>0</v>
      </c>
      <c r="O53" s="197">
        <f>-'Sponsor Operating Model'!O179*1000000-O61-O69</f>
        <v>0</v>
      </c>
      <c r="P53" s="197">
        <f>-'Sponsor Operating Model'!P179*1000000-P61-P69</f>
        <v>0</v>
      </c>
      <c r="Q53" s="197"/>
      <c r="R53" s="289"/>
      <c r="S53" s="316" t="str">
        <f>IFERROR((INDEX(53:53,MATCH(DATE('Control Panel'!$B$13,'Control Panel'!$B$6,'Control Panel'!$B$7),'Scenarios onshore'!$10:$10,0))/INDEX(52:52,MATCH(DATE('Control Panel'!$B$4+'Control Panel'!$B$5-1,'Control Panel'!$B$6,'Control Panel'!$B$7),'Scenarios onshore'!$10:$10,0)))^(1/('Control Panel'!$B$13-'Control Panel'!$B$12+1))-1,"n.a.")</f>
        <v>n.a.</v>
      </c>
    </row>
    <row r="54" spans="1:19" ht="14.4">
      <c r="A54" s="1"/>
      <c r="B54" s="1"/>
      <c r="C54" s="1"/>
      <c r="D54" s="255" t="str">
        <f>$D$22</f>
        <v>Flat</v>
      </c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197"/>
      <c r="P54" s="197"/>
      <c r="Q54" s="197"/>
      <c r="R54" s="289"/>
      <c r="S54" s="316" t="str">
        <f>IFERROR((INDEX(54:54,MATCH(DATE('Control Panel'!$B$13,'Control Panel'!$B$6,'Control Panel'!$B$7),'Scenarios onshore'!$10:$10,0))/INDEX(52:52,MATCH(DATE('Control Panel'!$B$4+'Control Panel'!$B$5-1,'Control Panel'!$B$6,'Control Panel'!$B$7),'Scenarios onshore'!$10:$10,0)))^(1/('Control Panel'!$B$13-'Control Panel'!$B$12+1))-1,"n.a.")</f>
        <v>n.a.</v>
      </c>
    </row>
    <row r="55" spans="1:19" ht="14.4">
      <c r="A55" s="1"/>
      <c r="B55" s="1"/>
      <c r="C55" s="1"/>
      <c r="D55" s="255" t="str">
        <f>$D$23</f>
        <v>Bank case</v>
      </c>
      <c r="E55" s="197"/>
      <c r="F55" s="197"/>
      <c r="G55" s="197"/>
      <c r="H55" s="197"/>
      <c r="I55" s="197">
        <f>I39*0.045</f>
        <v>0</v>
      </c>
      <c r="J55" s="197">
        <f t="shared" ref="J55:P55" si="23">J39*0.045</f>
        <v>0</v>
      </c>
      <c r="K55" s="197">
        <f t="shared" si="23"/>
        <v>0</v>
      </c>
      <c r="L55" s="197">
        <f t="shared" si="23"/>
        <v>0</v>
      </c>
      <c r="M55" s="197">
        <f t="shared" si="23"/>
        <v>0</v>
      </c>
      <c r="N55" s="197">
        <f t="shared" si="23"/>
        <v>0</v>
      </c>
      <c r="O55" s="197">
        <f t="shared" si="23"/>
        <v>0</v>
      </c>
      <c r="P55" s="197">
        <f t="shared" si="23"/>
        <v>0</v>
      </c>
      <c r="Q55" s="197"/>
      <c r="R55" s="289"/>
      <c r="S55" s="316" t="str">
        <f>IFERROR((INDEX(55:55,MATCH(DATE('Control Panel'!$B$13,'Control Panel'!$B$6,'Control Panel'!$B$7),'Scenarios onshore'!$10:$10,0))/INDEX(52:52,MATCH(DATE('Control Panel'!$B$4+'Control Panel'!$B$5-1,'Control Panel'!$B$6,'Control Panel'!$B$7),'Scenarios onshore'!$10:$10,0)))^(1/('Control Panel'!$B$13-'Control Panel'!$B$12+1))-1,"n.a.")</f>
        <v>n.a.</v>
      </c>
    </row>
    <row r="56" spans="1:19" ht="14.4">
      <c r="A56" s="1"/>
      <c r="B56" s="1"/>
      <c r="C56" s="1"/>
      <c r="D56" s="255" t="str">
        <f>$D$24</f>
        <v>Bank worse</v>
      </c>
      <c r="E56" s="197"/>
      <c r="F56" s="197"/>
      <c r="G56" s="197"/>
      <c r="H56" s="197"/>
      <c r="I56" s="197">
        <f>I40*0.045</f>
        <v>0</v>
      </c>
      <c r="J56" s="197">
        <f t="shared" ref="J56:P56" si="24">J40*0.045</f>
        <v>0</v>
      </c>
      <c r="K56" s="197">
        <f t="shared" si="24"/>
        <v>0</v>
      </c>
      <c r="L56" s="197">
        <f t="shared" si="24"/>
        <v>0</v>
      </c>
      <c r="M56" s="197">
        <f t="shared" si="24"/>
        <v>0</v>
      </c>
      <c r="N56" s="197">
        <f t="shared" si="24"/>
        <v>0</v>
      </c>
      <c r="O56" s="197">
        <f t="shared" si="24"/>
        <v>0</v>
      </c>
      <c r="P56" s="197">
        <f t="shared" si="24"/>
        <v>0</v>
      </c>
      <c r="Q56" s="197"/>
      <c r="R56" s="289"/>
      <c r="S56" s="316" t="str">
        <f>IFERROR((INDEX(56:56,MATCH(DATE('Control Panel'!$B$13,'Control Panel'!$B$6,'Control Panel'!$B$7),'Scenarios onshore'!$10:$10,0))/INDEX(52:52,MATCH(DATE('Control Panel'!$B$4+'Control Panel'!$B$5-1,'Control Panel'!$B$6,'Control Panel'!$B$7),'Scenarios onshore'!$10:$10,0)))^(1/('Control Panel'!$B$13-'Control Panel'!$B$12+1))-1,"n.a.")</f>
        <v>n.a.</v>
      </c>
    </row>
    <row r="57" spans="1:19" ht="14.4">
      <c r="A57" s="1"/>
      <c r="B57" s="1"/>
      <c r="C57" s="1"/>
      <c r="D57" s="1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</row>
    <row r="58" spans="1:19" ht="14.4">
      <c r="A58" s="34"/>
      <c r="B58" s="180"/>
      <c r="C58" s="180" t="s">
        <v>1567</v>
      </c>
      <c r="D58" s="180" t="s">
        <v>604</v>
      </c>
      <c r="E58" s="180">
        <f t="shared" ref="E58:Q58" si="25">IF(E$5,INDEX(E61:E64,$D$2),E60)</f>
        <v>0</v>
      </c>
      <c r="F58" s="180">
        <f t="shared" si="25"/>
        <v>0</v>
      </c>
      <c r="G58" s="180">
        <f t="shared" si="25"/>
        <v>0</v>
      </c>
      <c r="H58" s="180">
        <f>IF(H$5,INDEX(H61:H64,$D$2),H60)</f>
        <v>0</v>
      </c>
      <c r="I58" s="180">
        <f t="shared" si="25"/>
        <v>0</v>
      </c>
      <c r="J58" s="180">
        <f t="shared" si="25"/>
        <v>0</v>
      </c>
      <c r="K58" s="180">
        <f t="shared" si="25"/>
        <v>0</v>
      </c>
      <c r="L58" s="180">
        <f t="shared" si="25"/>
        <v>0</v>
      </c>
      <c r="M58" s="180">
        <f t="shared" si="25"/>
        <v>0</v>
      </c>
      <c r="N58" s="180">
        <f t="shared" si="25"/>
        <v>0</v>
      </c>
      <c r="O58" s="180">
        <f t="shared" si="25"/>
        <v>0</v>
      </c>
      <c r="P58" s="180" t="str">
        <f t="shared" si="25"/>
        <v/>
      </c>
      <c r="Q58" s="180" t="str">
        <f t="shared" si="25"/>
        <v/>
      </c>
      <c r="R58" s="315" t="str">
        <f>IFERROR((INDEX(58:58,MATCH(DATE('Control Panel'!$B$4+'Control Panel'!$B$5-1,'Control Panel'!$B$6,'Control Panel'!$B$7),'Scenarios onshore'!$10:$10,0))/INDEX(58:58,MATCH(DATE('Control Panel'!$B$4,'Control Panel'!$B$6,'Control Panel'!$B$7),'Scenarios onshore'!$10:$10,0)))^(1/('Control Panel'!$B$5-1))-1,"n.a.")</f>
        <v>n.a.</v>
      </c>
      <c r="S58" s="315" t="str">
        <f>IFERROR((INDEX(58:58,MATCH(DATE('Control Panel'!$B$13,'Control Panel'!$B$6,'Control Panel'!$B$7),'Scenarios onshore'!$10:$10,0))/INDEX(58:58,MATCH(DATE('Control Panel'!$B$4+'Control Panel'!$B$5-1,'Control Panel'!$B$6,'Control Panel'!$B$7),'Scenarios onshore'!$10:$10,0)))^(1/('Control Panel'!$B$13-'Control Panel'!$B$12+1))-1,"n.a.")</f>
        <v>n.a.</v>
      </c>
    </row>
    <row r="59" spans="1:19" ht="14.4">
      <c r="A59" s="38"/>
      <c r="B59" s="38"/>
      <c r="C59" s="38"/>
      <c r="D59" s="286" t="s">
        <v>605</v>
      </c>
      <c r="E59" s="183" t="str">
        <f>IFERROR(E58/E18,"")</f>
        <v/>
      </c>
      <c r="F59" s="183" t="str">
        <f t="shared" ref="F59:Q59" si="26">IFERROR(F58/F18,"")</f>
        <v/>
      </c>
      <c r="G59" s="183" t="str">
        <f t="shared" si="26"/>
        <v/>
      </c>
      <c r="H59" s="183" t="str">
        <f t="shared" si="26"/>
        <v/>
      </c>
      <c r="I59" s="658" t="str">
        <f>IFERROR(I58/I$34,"")</f>
        <v/>
      </c>
      <c r="J59" s="658" t="str">
        <f t="shared" ref="J59:P59" si="27">IFERROR(J58/J$34,"")</f>
        <v/>
      </c>
      <c r="K59" s="658" t="str">
        <f t="shared" si="27"/>
        <v/>
      </c>
      <c r="L59" s="658" t="str">
        <f t="shared" si="27"/>
        <v/>
      </c>
      <c r="M59" s="658" t="str">
        <f t="shared" si="27"/>
        <v/>
      </c>
      <c r="N59" s="658" t="str">
        <f t="shared" si="27"/>
        <v/>
      </c>
      <c r="O59" s="658" t="str">
        <f t="shared" si="27"/>
        <v/>
      </c>
      <c r="P59" s="658" t="str">
        <f t="shared" si="27"/>
        <v/>
      </c>
      <c r="Q59" s="183" t="str">
        <f t="shared" si="26"/>
        <v/>
      </c>
      <c r="R59" s="38"/>
      <c r="S59" s="38"/>
    </row>
    <row r="60" spans="1:19">
      <c r="A60" s="255"/>
      <c r="B60" s="255"/>
      <c r="C60" s="255"/>
      <c r="D60" s="255" t="s">
        <v>599</v>
      </c>
      <c r="E60" s="255">
        <f>IFERROR(Input_unit*(E$4&lt;$D$1)*SUMIF('Historical BU2'!$A$89:$A$419,"SAL",INDEX('Historical BU2'!$D$89:$EE$419,0,MATCH(E$4,'Historical BU2'!$D$84:$EE$84,0))),"")</f>
        <v>0</v>
      </c>
      <c r="F60" s="255">
        <f>IFERROR(Input_unit*(F$4&lt;$D$1)*SUMIF('Historical BU2'!$A$89:$A$419,"SAL",INDEX('Historical BU2'!$D$89:$EE$419,0,MATCH(F$4,'Historical BU2'!$D$84:$EE$84,0))),"")</f>
        <v>0</v>
      </c>
      <c r="G60" s="255">
        <f>IFERROR(Input_unit*(G$4&lt;$D$1)*SUMIF('Historical BU2'!$A$89:$A$419,"SAL",INDEX('Historical BU2'!$D$89:$EE$419,0,MATCH(G$4,'Historical BU2'!$D$84:$EE$84,0))),"")</f>
        <v>0</v>
      </c>
      <c r="H60" s="255">
        <f>IFERROR(Input_unit*(H$4&lt;$D$1)*SUMIF('Historical BU2'!$A$89:$A$419,"SAL",INDEX('Historical BU2'!$D$89:$EE$419,0,MATCH(H$4,'Historical BU2'!$D$84:$EE$84,0))),"")</f>
        <v>0</v>
      </c>
      <c r="I60" s="255">
        <f>IFERROR(Input_unit*(I$4&lt;$D$1)*SUMIF('Historical BU2'!$A$89:$A$419,"SAL",INDEX('Historical BU2'!$D$89:$EE$419,0,MATCH(I$4,'Historical BU2'!$D$84:$EE$84,0))),"")</f>
        <v>0</v>
      </c>
      <c r="J60" s="255" t="str">
        <f>IFERROR(Input_unit*(J$4&lt;$D$1)*SUMIF('Historical BU2'!$A$89:$A$419,"SAL",INDEX('Historical BU2'!$D$89:$EE$419,0,MATCH(J$4,'Historical BU2'!$D$84:$EE$84,0))),"")</f>
        <v/>
      </c>
      <c r="K60" s="255" t="str">
        <f>IFERROR(Input_unit*(K$4&lt;$D$1)*SUMIF('Historical BU2'!$A$89:$A$419,"SAL",INDEX('Historical BU2'!$D$89:$EE$419,0,MATCH(K$4,'Historical BU2'!$D$84:$EE$84,0))),"")</f>
        <v/>
      </c>
      <c r="L60" s="255" t="str">
        <f>IFERROR(Input_unit*(L$4&lt;$D$1)*SUMIF('Historical BU2'!$A$89:$A$419,"SAL",INDEX('Historical BU2'!$D$89:$EE$419,0,MATCH(L$4,'Historical BU2'!$D$84:$EE$84,0))),"")</f>
        <v/>
      </c>
      <c r="M60" s="255" t="str">
        <f>IFERROR(Input_unit*(M$4&lt;$D$1)*SUMIF('Historical BU2'!$A$89:$A$419,"SAL",INDEX('Historical BU2'!$D$89:$EE$419,0,MATCH(M$4,'Historical BU2'!$D$84:$EE$84,0))),"")</f>
        <v/>
      </c>
      <c r="N60" s="255" t="str">
        <f>IFERROR(Input_unit*(N$4&lt;$D$1)*SUMIF('Historical BU2'!$A$89:$A$419,"SAL",INDEX('Historical BU2'!$D$89:$EE$419,0,MATCH(N$4,'Historical BU2'!$D$84:$EE$84,0))),"")</f>
        <v/>
      </c>
      <c r="O60" s="255" t="str">
        <f>IFERROR(Input_unit*(O$4&lt;$D$1)*SUMIF('Historical BU2'!$A$89:$A$419,"SAL",INDEX('Historical BU2'!$D$89:$EE$419,0,MATCH(O$4,'Historical BU2'!$D$84:$EE$84,0))),"")</f>
        <v/>
      </c>
      <c r="P60" s="255" t="str">
        <f>IFERROR(Input_unit*(P$4&lt;$D$1)*SUMIF('Historical BU2'!$A$89:$A$419,"SAL",INDEX('Historical BU2'!$D$89:$EE$419,0,MATCH(P$4,'Historical BU2'!$D$84:$EE$84,0))),"")</f>
        <v/>
      </c>
      <c r="Q60" s="255" t="str">
        <f>IFERROR(Input_unit*(Q$4&lt;$D$1)*SUMIF('Historical BU2'!$A$89:$A$419,"SAL",INDEX('Historical BU2'!$D$89:$EE$419,0,MATCH(Q$4,'Historical BU2'!$D$84:$EE$84,0))),"")</f>
        <v/>
      </c>
      <c r="R60" s="316" t="str">
        <f>IFERROR((INDEX(60:60,MATCH(DATE('Control Panel'!$B$4+'Control Panel'!$B$5-1,'Control Panel'!$B$6,'Control Panel'!$B$7),'Scenarios onshore'!$10:$10,0))/INDEX(60:60,MATCH(DATE('Control Panel'!$B$4,'Control Panel'!$B$6,'Control Panel'!$B$7),'Scenarios onshore'!$10:$10,0)))^(1/('Control Panel'!$B$5-1))-1,"n.a.")</f>
        <v>n.a.</v>
      </c>
      <c r="S60" s="292"/>
    </row>
    <row r="61" spans="1:19" ht="14.4">
      <c r="A61" s="1"/>
      <c r="B61" s="1"/>
      <c r="C61" s="1"/>
      <c r="D61" s="255" t="str">
        <f>$D$21</f>
        <v>Sponsor base</v>
      </c>
      <c r="E61" s="197"/>
      <c r="F61" s="197"/>
      <c r="G61" s="197"/>
      <c r="H61" s="197"/>
      <c r="I61" s="197">
        <f>-('Sponsor Operating Model'!I170+'Sponsor Operating Model'!I171+'Sponsor Operating Model'!I172+'Sponsor Operating Model'!I175)*1000000</f>
        <v>0</v>
      </c>
      <c r="J61" s="197">
        <f>-('Sponsor Operating Model'!J170+'Sponsor Operating Model'!J171+'Sponsor Operating Model'!J172+'Sponsor Operating Model'!J175)*1000000</f>
        <v>0</v>
      </c>
      <c r="K61" s="197">
        <f>-('Sponsor Operating Model'!K170+'Sponsor Operating Model'!K171+'Sponsor Operating Model'!K172+'Sponsor Operating Model'!K175)*1000000</f>
        <v>0</v>
      </c>
      <c r="L61" s="197">
        <f>-('Sponsor Operating Model'!L170+'Sponsor Operating Model'!L171+'Sponsor Operating Model'!L172+'Sponsor Operating Model'!L175)*1000000</f>
        <v>0</v>
      </c>
      <c r="M61" s="197">
        <f>-('Sponsor Operating Model'!M170+'Sponsor Operating Model'!M171+'Sponsor Operating Model'!M172+'Sponsor Operating Model'!M175)*1000000</f>
        <v>0</v>
      </c>
      <c r="N61" s="197">
        <f>-('Sponsor Operating Model'!N170+'Sponsor Operating Model'!N171+'Sponsor Operating Model'!N172+'Sponsor Operating Model'!N175)*1000000</f>
        <v>0</v>
      </c>
      <c r="O61" s="197">
        <f>-('Sponsor Operating Model'!O170+'Sponsor Operating Model'!O171+'Sponsor Operating Model'!O172+'Sponsor Operating Model'!O175)*1000000</f>
        <v>0</v>
      </c>
      <c r="P61" s="197">
        <f>-'Sponsor Operating Model'!P174*1000000</f>
        <v>0</v>
      </c>
      <c r="Q61" s="197"/>
      <c r="R61" s="289"/>
      <c r="S61" s="316" t="str">
        <f>IFERROR((INDEX(61:61,MATCH(DATE('Control Panel'!$B$13,'Control Panel'!$B$6,'Control Panel'!$B$7),'Scenarios onshore'!$10:$10,0))/INDEX(60:60,MATCH(DATE('Control Panel'!$B$4+'Control Panel'!$B$5-1,'Control Panel'!$B$6,'Control Panel'!$B$7),'Scenarios onshore'!$10:$10,0)))^(1/('Control Panel'!$B$13-'Control Panel'!$B$12+1))-1,"n.a.")</f>
        <v>n.a.</v>
      </c>
    </row>
    <row r="62" spans="1:19" ht="14.4">
      <c r="A62" s="1"/>
      <c r="B62" s="1"/>
      <c r="C62" s="1"/>
      <c r="D62" s="255" t="str">
        <f>$D$22</f>
        <v>Flat</v>
      </c>
      <c r="E62" s="197"/>
      <c r="F62" s="197"/>
      <c r="G62" s="197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289"/>
      <c r="S62" s="316" t="str">
        <f>IFERROR((INDEX(62:62,MATCH(DATE('Control Panel'!$B$13,'Control Panel'!$B$6,'Control Panel'!$B$7),'Scenarios onshore'!$10:$10,0))/INDEX(60:60,MATCH(DATE('Control Panel'!$B$4+'Control Panel'!$B$5-1,'Control Panel'!$B$6,'Control Panel'!$B$7),'Scenarios onshore'!$10:$10,0)))^(1/('Control Panel'!$B$13-'Control Panel'!$B$12+1))-1,"n.a.")</f>
        <v>n.a.</v>
      </c>
    </row>
    <row r="63" spans="1:19" ht="14.4">
      <c r="A63" s="1"/>
      <c r="B63" s="1"/>
      <c r="C63" s="1"/>
      <c r="D63" s="255" t="str">
        <f>$D$23</f>
        <v>Bank case</v>
      </c>
      <c r="E63" s="197"/>
      <c r="F63" s="197"/>
      <c r="G63" s="197"/>
      <c r="H63" s="197"/>
      <c r="I63" s="197">
        <f t="shared" ref="I63:P64" si="28">I39*0.054</f>
        <v>0</v>
      </c>
      <c r="J63" s="197">
        <f t="shared" si="28"/>
        <v>0</v>
      </c>
      <c r="K63" s="197">
        <f t="shared" si="28"/>
        <v>0</v>
      </c>
      <c r="L63" s="197">
        <f t="shared" si="28"/>
        <v>0</v>
      </c>
      <c r="M63" s="197">
        <f t="shared" si="28"/>
        <v>0</v>
      </c>
      <c r="N63" s="197">
        <f t="shared" si="28"/>
        <v>0</v>
      </c>
      <c r="O63" s="197">
        <f t="shared" si="28"/>
        <v>0</v>
      </c>
      <c r="P63" s="197">
        <f t="shared" si="28"/>
        <v>0</v>
      </c>
      <c r="Q63" s="197"/>
      <c r="R63" s="289"/>
      <c r="S63" s="316" t="str">
        <f>IFERROR((INDEX(63:63,MATCH(DATE('Control Panel'!$B$13,'Control Panel'!$B$6,'Control Panel'!$B$7),'Scenarios onshore'!$10:$10,0))/INDEX(60:60,MATCH(DATE('Control Panel'!$B$4+'Control Panel'!$B$5-1,'Control Panel'!$B$6,'Control Panel'!$B$7),'Scenarios onshore'!$10:$10,0)))^(1/('Control Panel'!$B$13-'Control Panel'!$B$12+1))-1,"n.a.")</f>
        <v>n.a.</v>
      </c>
    </row>
    <row r="64" spans="1:19" ht="14.4">
      <c r="A64" s="1"/>
      <c r="B64" s="1"/>
      <c r="C64" s="1"/>
      <c r="D64" s="255" t="str">
        <f>$D$24</f>
        <v>Bank worse</v>
      </c>
      <c r="E64" s="197"/>
      <c r="F64" s="197"/>
      <c r="G64" s="197"/>
      <c r="H64" s="197"/>
      <c r="I64" s="197">
        <f t="shared" si="28"/>
        <v>0</v>
      </c>
      <c r="J64" s="197">
        <f t="shared" si="28"/>
        <v>0</v>
      </c>
      <c r="K64" s="197">
        <f t="shared" si="28"/>
        <v>0</v>
      </c>
      <c r="L64" s="197">
        <f t="shared" si="28"/>
        <v>0</v>
      </c>
      <c r="M64" s="197">
        <f t="shared" si="28"/>
        <v>0</v>
      </c>
      <c r="N64" s="197">
        <f t="shared" si="28"/>
        <v>0</v>
      </c>
      <c r="O64" s="197">
        <f t="shared" si="28"/>
        <v>0</v>
      </c>
      <c r="P64" s="197">
        <f t="shared" si="28"/>
        <v>0</v>
      </c>
      <c r="Q64" s="197"/>
      <c r="R64" s="289"/>
      <c r="S64" s="316" t="str">
        <f>IFERROR((INDEX(64:64,MATCH(DATE('Control Panel'!$B$13,'Control Panel'!$B$6,'Control Panel'!$B$7),'Scenarios onshore'!$10:$10,0))/INDEX(60:60,MATCH(DATE('Control Panel'!$B$4+'Control Panel'!$B$5-1,'Control Panel'!$B$6,'Control Panel'!$B$7),'Scenarios onshore'!$10:$10,0)))^(1/('Control Panel'!$B$13-'Control Panel'!$B$12+1))-1,"n.a.")</f>
        <v>n.a.</v>
      </c>
    </row>
    <row r="65" spans="1:19" ht="14.4">
      <c r="A65" s="1"/>
      <c r="B65" s="1"/>
      <c r="C65" s="1"/>
      <c r="D65" s="1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</row>
    <row r="66" spans="1:19" ht="14.4">
      <c r="A66" s="34"/>
      <c r="B66" s="180"/>
      <c r="C66" s="180" t="s">
        <v>1568</v>
      </c>
      <c r="D66" s="180" t="s">
        <v>604</v>
      </c>
      <c r="E66" s="180">
        <f t="shared" ref="E66:Q66" si="29">IF(E$5,INDEX(E69:E72,$D$2),E68)</f>
        <v>0</v>
      </c>
      <c r="F66" s="180">
        <f t="shared" si="29"/>
        <v>0</v>
      </c>
      <c r="G66" s="180">
        <f t="shared" si="29"/>
        <v>0</v>
      </c>
      <c r="H66" s="180">
        <f>IF(H$5,INDEX(H69:H72,$D$2),H68)</f>
        <v>0</v>
      </c>
      <c r="I66" s="180">
        <f t="shared" si="29"/>
        <v>0</v>
      </c>
      <c r="J66" s="180">
        <f t="shared" si="29"/>
        <v>0</v>
      </c>
      <c r="K66" s="180">
        <f t="shared" si="29"/>
        <v>0</v>
      </c>
      <c r="L66" s="180">
        <f t="shared" si="29"/>
        <v>0</v>
      </c>
      <c r="M66" s="180">
        <f t="shared" si="29"/>
        <v>0</v>
      </c>
      <c r="N66" s="180">
        <f t="shared" si="29"/>
        <v>0</v>
      </c>
      <c r="O66" s="180">
        <f t="shared" si="29"/>
        <v>0</v>
      </c>
      <c r="P66" s="180" t="str">
        <f t="shared" si="29"/>
        <v/>
      </c>
      <c r="Q66" s="180" t="str">
        <f t="shared" si="29"/>
        <v/>
      </c>
      <c r="R66" s="315" t="str">
        <f>IFERROR((INDEX(66:66,MATCH(DATE('Control Panel'!$B$4+'Control Panel'!$B$5-1,'Control Panel'!$B$6,'Control Panel'!$B$7),'Scenarios onshore'!$10:$10,0))/INDEX(66:66,MATCH(DATE('Control Panel'!$B$4,'Control Panel'!$B$6,'Control Panel'!$B$7),'Scenarios onshore'!$10:$10,0)))^(1/('Control Panel'!$B$5-1))-1,"n.a.")</f>
        <v>n.a.</v>
      </c>
      <c r="S66" s="315" t="str">
        <f>IFERROR((INDEX(66:66,MATCH(DATE('Control Panel'!$B$13,'Control Panel'!$B$6,'Control Panel'!$B$7),'Scenarios onshore'!$10:$10,0))/INDEX(66:66,MATCH(DATE('Control Panel'!$B$4+'Control Panel'!$B$5-1,'Control Panel'!$B$6,'Control Panel'!$B$7),'Scenarios onshore'!$10:$10,0)))^(1/('Control Panel'!$B$13-'Control Panel'!$B$12+1))-1,"n.a.")</f>
        <v>n.a.</v>
      </c>
    </row>
    <row r="67" spans="1:19" ht="14.4">
      <c r="A67" s="38"/>
      <c r="B67" s="38"/>
      <c r="C67" s="38"/>
      <c r="D67" s="286" t="s">
        <v>605</v>
      </c>
      <c r="E67" s="183" t="str">
        <f>IFERROR(E66/E18,"")</f>
        <v/>
      </c>
      <c r="F67" s="183" t="str">
        <f t="shared" ref="F67:Q67" si="30">IFERROR(F66/F18,"")</f>
        <v/>
      </c>
      <c r="G67" s="183" t="str">
        <f t="shared" si="30"/>
        <v/>
      </c>
      <c r="H67" s="183" t="str">
        <f t="shared" si="30"/>
        <v/>
      </c>
      <c r="I67" s="658" t="str">
        <f>IFERROR(I66/I$34,"")</f>
        <v/>
      </c>
      <c r="J67" s="658" t="str">
        <f t="shared" ref="J67:P67" si="31">IFERROR(J66/J$34,"")</f>
        <v/>
      </c>
      <c r="K67" s="658" t="str">
        <f t="shared" si="31"/>
        <v/>
      </c>
      <c r="L67" s="658" t="str">
        <f t="shared" si="31"/>
        <v/>
      </c>
      <c r="M67" s="658" t="str">
        <f t="shared" si="31"/>
        <v/>
      </c>
      <c r="N67" s="658" t="str">
        <f t="shared" si="31"/>
        <v/>
      </c>
      <c r="O67" s="658" t="str">
        <f t="shared" si="31"/>
        <v/>
      </c>
      <c r="P67" s="658" t="str">
        <f t="shared" si="31"/>
        <v/>
      </c>
      <c r="Q67" s="183" t="str">
        <f t="shared" si="30"/>
        <v/>
      </c>
      <c r="R67" s="38"/>
      <c r="S67" s="38"/>
    </row>
    <row r="68" spans="1:19">
      <c r="A68" s="255"/>
      <c r="B68" s="255"/>
      <c r="C68" s="255"/>
      <c r="D68" s="255" t="s">
        <v>599</v>
      </c>
      <c r="E68" s="255">
        <f>IFERROR(Input_unit*(E$4&lt;$D$1)*SUMIF('Historical BU2'!$A$89:$A$419,"RND",INDEX('Historical BU2'!$D$89:$EE$419,0,MATCH(E$4,'Historical BU2'!$D$84:$EE$84,0))),"")</f>
        <v>0</v>
      </c>
      <c r="F68" s="255">
        <f>IFERROR(Input_unit*(F$4&lt;$D$1)*SUMIF('Historical BU2'!$A$89:$A$419,"RND",INDEX('Historical BU2'!$D$89:$EE$419,0,MATCH(F$4,'Historical BU2'!$D$84:$EE$84,0))),"")</f>
        <v>0</v>
      </c>
      <c r="G68" s="255">
        <f>IFERROR(Input_unit*(G$4&lt;$D$1)*SUMIF('Historical BU2'!$A$89:$A$419,"RND",INDEX('Historical BU2'!$D$89:$EE$419,0,MATCH(G$4,'Historical BU2'!$D$84:$EE$84,0))),"")</f>
        <v>0</v>
      </c>
      <c r="H68" s="255">
        <f>IFERROR(Input_unit*(H$4&lt;$D$1)*SUMIF('Historical BU2'!$A$89:$A$419,"RND",INDEX('Historical BU2'!$D$89:$EE$419,0,MATCH(H$4,'Historical BU2'!$D$84:$EE$84,0))),"")</f>
        <v>0</v>
      </c>
      <c r="I68" s="255">
        <f>IFERROR(Input_unit*(I$4&lt;$D$1)*SUMIF('Historical BU2'!$A$89:$A$419,"RND",INDEX('Historical BU2'!$D$89:$EE$419,0,MATCH(I$4,'Historical BU2'!$D$84:$EE$84,0))),"")</f>
        <v>0</v>
      </c>
      <c r="J68" s="255" t="str">
        <f>IFERROR(Input_unit*(J$4&lt;$D$1)*SUMIF('Historical BU2'!$A$89:$A$419,"RND",INDEX('Historical BU2'!$D$89:$EE$419,0,MATCH(J$4,'Historical BU2'!$D$84:$EE$84,0))),"")</f>
        <v/>
      </c>
      <c r="K68" s="255" t="str">
        <f>IFERROR(Input_unit*(K$4&lt;$D$1)*SUMIF('Historical BU2'!$A$89:$A$419,"RND",INDEX('Historical BU2'!$D$89:$EE$419,0,MATCH(K$4,'Historical BU2'!$D$84:$EE$84,0))),"")</f>
        <v/>
      </c>
      <c r="L68" s="255" t="str">
        <f>IFERROR(Input_unit*(L$4&lt;$D$1)*SUMIF('Historical BU2'!$A$89:$A$419,"RND",INDEX('Historical BU2'!$D$89:$EE$419,0,MATCH(L$4,'Historical BU2'!$D$84:$EE$84,0))),"")</f>
        <v/>
      </c>
      <c r="M68" s="255" t="str">
        <f>IFERROR(Input_unit*(M$4&lt;$D$1)*SUMIF('Historical BU2'!$A$89:$A$419,"RND",INDEX('Historical BU2'!$D$89:$EE$419,0,MATCH(M$4,'Historical BU2'!$D$84:$EE$84,0))),"")</f>
        <v/>
      </c>
      <c r="N68" s="255" t="str">
        <f>IFERROR(Input_unit*(N$4&lt;$D$1)*SUMIF('Historical BU2'!$A$89:$A$419,"RND",INDEX('Historical BU2'!$D$89:$EE$419,0,MATCH(N$4,'Historical BU2'!$D$84:$EE$84,0))),"")</f>
        <v/>
      </c>
      <c r="O68" s="255" t="str">
        <f>IFERROR(Input_unit*(O$4&lt;$D$1)*SUMIF('Historical BU2'!$A$89:$A$419,"RND",INDEX('Historical BU2'!$D$89:$EE$419,0,MATCH(O$4,'Historical BU2'!$D$84:$EE$84,0))),"")</f>
        <v/>
      </c>
      <c r="P68" s="255" t="str">
        <f>IFERROR(Input_unit*(P$4&lt;$D$1)*SUMIF('Historical BU2'!$A$89:$A$419,"RND",INDEX('Historical BU2'!$D$89:$EE$419,0,MATCH(P$4,'Historical BU2'!$D$84:$EE$84,0))),"")</f>
        <v/>
      </c>
      <c r="Q68" s="255" t="str">
        <f>IFERROR(Input_unit*(Q$4&lt;$D$1)*SUMIF('Historical BU2'!$A$89:$A$419,"RND",INDEX('Historical BU2'!$D$89:$EE$419,0,MATCH(Q$4,'Historical BU2'!$D$84:$EE$84,0))),"")</f>
        <v/>
      </c>
      <c r="R68" s="316" t="str">
        <f>IFERROR((INDEX(68:68,MATCH(DATE('Control Panel'!$B$4+'Control Panel'!$B$5-1,'Control Panel'!$B$6,'Control Panel'!$B$7),'Scenarios onshore'!$10:$10,0))/INDEX(68:68,MATCH(DATE('Control Panel'!$B$4,'Control Panel'!$B$6,'Control Panel'!$B$7),'Scenarios onshore'!$10:$10,0)))^(1/('Control Panel'!$B$5-1))-1,"n.a.")</f>
        <v>n.a.</v>
      </c>
      <c r="S68" s="292"/>
    </row>
    <row r="69" spans="1:19" ht="14.4">
      <c r="A69" s="1"/>
      <c r="B69" s="1"/>
      <c r="C69" s="1"/>
      <c r="D69" s="255" t="str">
        <f>$D$21</f>
        <v>Sponsor base</v>
      </c>
      <c r="E69" s="197"/>
      <c r="F69" s="197"/>
      <c r="G69" s="197"/>
      <c r="H69" s="197"/>
      <c r="I69" s="197">
        <f>-'Sponsor Operating Model'!I173*1000000</f>
        <v>0</v>
      </c>
      <c r="J69" s="197">
        <f>-'Sponsor Operating Model'!J173*1000000</f>
        <v>0</v>
      </c>
      <c r="K69" s="197">
        <f>-'Sponsor Operating Model'!K173*1000000</f>
        <v>0</v>
      </c>
      <c r="L69" s="197">
        <f>-'Sponsor Operating Model'!L173*1000000</f>
        <v>0</v>
      </c>
      <c r="M69" s="197">
        <f>-'Sponsor Operating Model'!M173*1000000</f>
        <v>0</v>
      </c>
      <c r="N69" s="197">
        <f>-'Sponsor Operating Model'!N173*1000000</f>
        <v>0</v>
      </c>
      <c r="O69" s="197">
        <f>-'Sponsor Operating Model'!O173*1000000</f>
        <v>0</v>
      </c>
      <c r="P69" s="197">
        <f>-'Sponsor Operating Model'!P173*1000000</f>
        <v>0</v>
      </c>
      <c r="Q69" s="197"/>
      <c r="R69" s="289"/>
      <c r="S69" s="316" t="str">
        <f>IFERROR((INDEX(69:69,MATCH(DATE('Control Panel'!$B$13,'Control Panel'!$B$6,'Control Panel'!$B$7),'Scenarios onshore'!$10:$10,0))/INDEX(68:68,MATCH(DATE('Control Panel'!$B$4+'Control Panel'!$B$5-1,'Control Panel'!$B$6,'Control Panel'!$B$7),'Scenarios onshore'!$10:$10,0)))^(1/('Control Panel'!$B$13-'Control Panel'!$B$12+1))-1,"n.a.")</f>
        <v>n.a.</v>
      </c>
    </row>
    <row r="70" spans="1:19" ht="14.4">
      <c r="A70" s="1"/>
      <c r="B70" s="1"/>
      <c r="C70" s="1"/>
      <c r="D70" s="255" t="str">
        <f>$D$22</f>
        <v>Flat</v>
      </c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  <c r="R70" s="289"/>
      <c r="S70" s="316" t="str">
        <f>IFERROR((INDEX(70:70,MATCH(DATE('Control Panel'!$B$13,'Control Panel'!$B$6,'Control Panel'!$B$7),'Scenarios onshore'!$10:$10,0))/INDEX(68:68,MATCH(DATE('Control Panel'!$B$4+'Control Panel'!$B$5-1,'Control Panel'!$B$6,'Control Panel'!$B$7),'Scenarios onshore'!$10:$10,0)))^(1/('Control Panel'!$B$13-'Control Panel'!$B$12+1))-1,"n.a.")</f>
        <v>n.a.</v>
      </c>
    </row>
    <row r="71" spans="1:19" ht="14.4">
      <c r="A71" s="1"/>
      <c r="B71" s="1"/>
      <c r="C71" s="1"/>
      <c r="D71" s="255" t="str">
        <f>$D$23</f>
        <v>Bank case</v>
      </c>
      <c r="E71" s="197"/>
      <c r="F71" s="197"/>
      <c r="G71" s="197"/>
      <c r="H71" s="197"/>
      <c r="I71" s="197">
        <f>I39*0.009</f>
        <v>0</v>
      </c>
      <c r="J71" s="197">
        <f t="shared" ref="J71:P71" si="32">J39*0.009</f>
        <v>0</v>
      </c>
      <c r="K71" s="197">
        <f t="shared" si="32"/>
        <v>0</v>
      </c>
      <c r="L71" s="197">
        <f t="shared" si="32"/>
        <v>0</v>
      </c>
      <c r="M71" s="197">
        <f t="shared" si="32"/>
        <v>0</v>
      </c>
      <c r="N71" s="197">
        <f t="shared" si="32"/>
        <v>0</v>
      </c>
      <c r="O71" s="197">
        <f t="shared" si="32"/>
        <v>0</v>
      </c>
      <c r="P71" s="197">
        <f t="shared" si="32"/>
        <v>0</v>
      </c>
      <c r="Q71" s="197"/>
      <c r="R71" s="289"/>
      <c r="S71" s="316" t="str">
        <f>IFERROR((INDEX(71:71,MATCH(DATE('Control Panel'!$B$13,'Control Panel'!$B$6,'Control Panel'!$B$7),'Scenarios onshore'!$10:$10,0))/INDEX(68:68,MATCH(DATE('Control Panel'!$B$4+'Control Panel'!$B$5-1,'Control Panel'!$B$6,'Control Panel'!$B$7),'Scenarios onshore'!$10:$10,0)))^(1/('Control Panel'!$B$13-'Control Panel'!$B$12+1))-1,"n.a.")</f>
        <v>n.a.</v>
      </c>
    </row>
    <row r="72" spans="1:19" ht="14.4">
      <c r="A72" s="1"/>
      <c r="B72" s="1"/>
      <c r="C72" s="1"/>
      <c r="D72" s="255" t="str">
        <f>$D$24</f>
        <v>Bank worse</v>
      </c>
      <c r="E72" s="197"/>
      <c r="F72" s="197"/>
      <c r="G72" s="197"/>
      <c r="H72" s="197"/>
      <c r="I72" s="197">
        <f t="shared" ref="I72:P72" si="33">I40*0.009</f>
        <v>0</v>
      </c>
      <c r="J72" s="197">
        <f t="shared" si="33"/>
        <v>0</v>
      </c>
      <c r="K72" s="197">
        <f t="shared" si="33"/>
        <v>0</v>
      </c>
      <c r="L72" s="197">
        <f t="shared" si="33"/>
        <v>0</v>
      </c>
      <c r="M72" s="197">
        <f t="shared" si="33"/>
        <v>0</v>
      </c>
      <c r="N72" s="197">
        <f t="shared" si="33"/>
        <v>0</v>
      </c>
      <c r="O72" s="197">
        <f t="shared" si="33"/>
        <v>0</v>
      </c>
      <c r="P72" s="197">
        <f t="shared" si="33"/>
        <v>0</v>
      </c>
      <c r="Q72" s="197"/>
      <c r="R72" s="289"/>
      <c r="S72" s="316" t="str">
        <f>IFERROR((INDEX(72:72,MATCH(DATE('Control Panel'!$B$13,'Control Panel'!$B$6,'Control Panel'!$B$7),'Scenarios onshore'!$10:$10,0))/INDEX(68:68,MATCH(DATE('Control Panel'!$B$4+'Control Panel'!$B$5-1,'Control Panel'!$B$6,'Control Panel'!$B$7),'Scenarios onshore'!$10:$10,0)))^(1/('Control Panel'!$B$13-'Control Panel'!$B$12+1))-1,"n.a.")</f>
        <v>n.a.</v>
      </c>
    </row>
    <row r="73" spans="1:19" ht="14.4">
      <c r="A73" s="1"/>
      <c r="B73" s="1"/>
      <c r="C73" s="88"/>
      <c r="D73" s="1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</row>
    <row r="74" spans="1:19" ht="14.4">
      <c r="A74" s="34"/>
      <c r="B74" s="180"/>
      <c r="C74" s="180" t="s">
        <v>1569</v>
      </c>
      <c r="D74" s="180" t="s">
        <v>604</v>
      </c>
      <c r="E74" s="180">
        <f t="shared" ref="E74:Q74" si="34">IF(E$5,INDEX(E77:E80,$D$2),E76)</f>
        <v>0</v>
      </c>
      <c r="F74" s="180">
        <f t="shared" si="34"/>
        <v>0</v>
      </c>
      <c r="G74" s="180">
        <f t="shared" si="34"/>
        <v>0</v>
      </c>
      <c r="H74" s="180">
        <f>IF(H$5,INDEX(H77:H80,$D$2),H76)</f>
        <v>0</v>
      </c>
      <c r="I74" s="180">
        <f>IF(I$5,INDEX(I77:I80,$D$2),I76)</f>
        <v>0</v>
      </c>
      <c r="J74" s="180">
        <f t="shared" si="34"/>
        <v>0</v>
      </c>
      <c r="K74" s="180">
        <f t="shared" si="34"/>
        <v>0</v>
      </c>
      <c r="L74" s="180">
        <f t="shared" si="34"/>
        <v>0</v>
      </c>
      <c r="M74" s="180">
        <f t="shared" si="34"/>
        <v>0</v>
      </c>
      <c r="N74" s="180">
        <f t="shared" si="34"/>
        <v>0</v>
      </c>
      <c r="O74" s="180">
        <f t="shared" si="34"/>
        <v>0</v>
      </c>
      <c r="P74" s="180" t="str">
        <f t="shared" si="34"/>
        <v/>
      </c>
      <c r="Q74" s="180" t="str">
        <f t="shared" si="34"/>
        <v/>
      </c>
      <c r="R74" s="315" t="str">
        <f>IFERROR((INDEX(74:74,MATCH(DATE('Control Panel'!$B$4+'Control Panel'!$B$5-1,'Control Panel'!$B$6,'Control Panel'!$B$7),'Scenarios onshore'!$10:$10,0))/INDEX(74:74,MATCH(DATE('Control Panel'!$B$4,'Control Panel'!$B$6,'Control Panel'!$B$7),'Scenarios onshore'!$10:$10,0)))^(1/('Control Panel'!$B$5-1))-1,"n.a.")</f>
        <v>n.a.</v>
      </c>
      <c r="S74" s="315" t="str">
        <f>IFERROR((INDEX(74:74,MATCH(DATE('Control Panel'!$B$13,'Control Panel'!$B$6,'Control Panel'!$B$7),'Scenarios onshore'!$10:$10,0))/INDEX(74:74,MATCH(DATE('Control Panel'!$B$4+'Control Panel'!$B$5-1,'Control Panel'!$B$6,'Control Panel'!$B$7),'Scenarios onshore'!$10:$10,0)))^(1/('Control Panel'!$B$13-'Control Panel'!$B$12+1))-1,"n.a.")</f>
        <v>n.a.</v>
      </c>
    </row>
    <row r="75" spans="1:19" ht="14.4">
      <c r="A75" s="38"/>
      <c r="B75" s="38"/>
      <c r="C75" s="38"/>
      <c r="D75" s="286" t="s">
        <v>920</v>
      </c>
      <c r="E75" s="185" t="str">
        <f t="shared" ref="E75:Q75" si="35">IFERROR(E74/INDEX(74:74,MATCH(DATE(YEAR(E$10)-1,MONTH(E$10),DAY(E$10)),$10:$10,0))-1,"n.a.")</f>
        <v>n.a.</v>
      </c>
      <c r="F75" s="185" t="str">
        <f t="shared" si="35"/>
        <v>n.a.</v>
      </c>
      <c r="G75" s="185" t="str">
        <f t="shared" si="35"/>
        <v>n.a.</v>
      </c>
      <c r="H75" s="185" t="str">
        <f t="shared" si="35"/>
        <v>n.a.</v>
      </c>
      <c r="I75" s="185" t="str">
        <f t="shared" si="35"/>
        <v>n.a.</v>
      </c>
      <c r="J75" s="185" t="str">
        <f t="shared" si="35"/>
        <v>n.a.</v>
      </c>
      <c r="K75" s="185" t="str">
        <f t="shared" si="35"/>
        <v>n.a.</v>
      </c>
      <c r="L75" s="185" t="str">
        <f t="shared" si="35"/>
        <v>n.a.</v>
      </c>
      <c r="M75" s="185" t="str">
        <f t="shared" si="35"/>
        <v>n.a.</v>
      </c>
      <c r="N75" s="185" t="str">
        <f t="shared" si="35"/>
        <v>n.a.</v>
      </c>
      <c r="O75" s="185" t="str">
        <f t="shared" si="35"/>
        <v>n.a.</v>
      </c>
      <c r="P75" s="185" t="str">
        <f t="shared" si="35"/>
        <v>n.a.</v>
      </c>
      <c r="Q75" s="185" t="str">
        <f t="shared" si="35"/>
        <v>n.a.</v>
      </c>
      <c r="R75" s="38"/>
      <c r="S75" s="38"/>
    </row>
    <row r="76" spans="1:19">
      <c r="A76" s="255"/>
      <c r="B76" s="255"/>
      <c r="C76" s="255"/>
      <c r="D76" s="255" t="s">
        <v>599</v>
      </c>
      <c r="E76" s="255">
        <f>IFERROR(Input_unit*(E$4&lt;$D$1)*SUMIF('Historical BU2'!$A$89:$A$419,"OIN",INDEX('Historical BU2'!$D$89:$EE$419,0,MATCH(E$4,'Historical BU2'!$D$84:$EE$84,0))),"")</f>
        <v>0</v>
      </c>
      <c r="F76" s="255">
        <f>IFERROR(Input_unit*(F$4&lt;$D$1)*SUMIF('Historical BU2'!$A$89:$A$419,"OIN",INDEX('Historical BU2'!$D$89:$EE$419,0,MATCH(F$4,'Historical BU2'!$D$84:$EE$84,0))),"")</f>
        <v>0</v>
      </c>
      <c r="G76" s="255">
        <f>IFERROR(Input_unit*(G$4&lt;$D$1)*SUMIF('Historical BU2'!$A$89:$A$419,"OIN",INDEX('Historical BU2'!$D$89:$EE$419,0,MATCH(G$4,'Historical BU2'!$D$84:$EE$84,0))),"")</f>
        <v>0</v>
      </c>
      <c r="H76" s="255">
        <f>IFERROR(Input_unit*(H$4&lt;$D$1)*SUMIF('Historical BU2'!$A$89:$A$419,"OIN",INDEX('Historical BU2'!$D$89:$EE$419,0,MATCH(H$4,'Historical BU2'!$D$84:$EE$84,0))),"")</f>
        <v>0</v>
      </c>
      <c r="I76" s="255">
        <f>IFERROR(Input_unit*(I$4&lt;$D$1)*SUMIF('Historical BU2'!$A$89:$A$419,"OIN",INDEX('Historical BU2'!$D$89:$EE$419,0,MATCH(I$4,'Historical BU2'!$D$84:$EE$84,0))),"")</f>
        <v>0</v>
      </c>
      <c r="J76" s="255" t="str">
        <f>IFERROR(Input_unit*(J$4&lt;$D$1)*SUMIF('Historical BU2'!$A$89:$A$419,"OIN",INDEX('Historical BU2'!$D$89:$EE$419,0,MATCH(J$4,'Historical BU2'!$D$84:$EE$84,0))),"")</f>
        <v/>
      </c>
      <c r="K76" s="255" t="str">
        <f>IFERROR(Input_unit*(K$4&lt;$D$1)*SUMIF('Historical BU2'!$A$89:$A$419,"OIN",INDEX('Historical BU2'!$D$89:$EE$419,0,MATCH(K$4,'Historical BU2'!$D$84:$EE$84,0))),"")</f>
        <v/>
      </c>
      <c r="L76" s="255" t="str">
        <f>IFERROR(Input_unit*(L$4&lt;$D$1)*SUMIF('Historical BU2'!$A$89:$A$419,"OIN",INDEX('Historical BU2'!$D$89:$EE$419,0,MATCH(L$4,'Historical BU2'!$D$84:$EE$84,0))),"")</f>
        <v/>
      </c>
      <c r="M76" s="255" t="str">
        <f>IFERROR(Input_unit*(M$4&lt;$D$1)*SUMIF('Historical BU2'!$A$89:$A$419,"OIN",INDEX('Historical BU2'!$D$89:$EE$419,0,MATCH(M$4,'Historical BU2'!$D$84:$EE$84,0))),"")</f>
        <v/>
      </c>
      <c r="N76" s="255" t="str">
        <f>IFERROR(Input_unit*(N$4&lt;$D$1)*SUMIF('Historical BU2'!$A$89:$A$419,"OIN",INDEX('Historical BU2'!$D$89:$EE$419,0,MATCH(N$4,'Historical BU2'!$D$84:$EE$84,0))),"")</f>
        <v/>
      </c>
      <c r="O76" s="255" t="str">
        <f>IFERROR(Input_unit*(O$4&lt;$D$1)*SUMIF('Historical BU2'!$A$89:$A$419,"OIN",INDEX('Historical BU2'!$D$89:$EE$419,0,MATCH(O$4,'Historical BU2'!$D$84:$EE$84,0))),"")</f>
        <v/>
      </c>
      <c r="P76" s="255" t="str">
        <f>IFERROR(Input_unit*(P$4&lt;$D$1)*SUMIF('Historical BU2'!$A$89:$A$419,"OIN",INDEX('Historical BU2'!$D$89:$EE$419,0,MATCH(P$4,'Historical BU2'!$D$84:$EE$84,0))),"")</f>
        <v/>
      </c>
      <c r="Q76" s="255" t="str">
        <f>IFERROR(Input_unit*(Q$4&lt;$D$1)*SUMIF('Historical BU2'!$A$89:$A$419,"OIN",INDEX('Historical BU2'!$D$89:$EE$419,0,MATCH(Q$4,'Historical BU2'!$D$84:$EE$84,0))),"")</f>
        <v/>
      </c>
      <c r="R76" s="316" t="str">
        <f>IFERROR((INDEX(76:76,MATCH(DATE('Control Panel'!$B$4+'Control Panel'!$B$5-1,'Control Panel'!$B$6,'Control Panel'!$B$7),'Scenarios onshore'!$10:$10,0))/INDEX(76:76,MATCH(DATE('Control Panel'!$B$4,'Control Panel'!$B$6,'Control Panel'!$B$7),'Scenarios onshore'!$10:$10,0)))^(1/('Control Panel'!$B$5-1))-1,"n.a.")</f>
        <v>n.a.</v>
      </c>
      <c r="S76" s="292"/>
    </row>
    <row r="77" spans="1:19" ht="14.4">
      <c r="A77" s="1"/>
      <c r="B77" s="1"/>
      <c r="C77" s="1"/>
      <c r="D77" s="255" t="str">
        <f>$D$21</f>
        <v>Sponsor base</v>
      </c>
      <c r="E77" s="197"/>
      <c r="F77" s="197"/>
      <c r="G77" s="197"/>
      <c r="H77" s="197"/>
      <c r="I77" s="197">
        <f>'Sponsor Operating Model'!I207*1000000</f>
        <v>0</v>
      </c>
      <c r="J77" s="197">
        <f>'Sponsor Operating Model'!J207*1000000</f>
        <v>0</v>
      </c>
      <c r="K77" s="197">
        <f>'Sponsor Operating Model'!K207*1000000</f>
        <v>0</v>
      </c>
      <c r="L77" s="197">
        <f>'Sponsor Operating Model'!L207*1000000</f>
        <v>0</v>
      </c>
      <c r="M77" s="197">
        <f>'Sponsor Operating Model'!M207*1000000</f>
        <v>0</v>
      </c>
      <c r="N77" s="197">
        <f>'Sponsor Operating Model'!N207*1000000</f>
        <v>0</v>
      </c>
      <c r="O77" s="197">
        <f>'Sponsor Operating Model'!O207*1000000</f>
        <v>0</v>
      </c>
      <c r="P77" s="197">
        <f>'Sponsor Operating Model'!P207*1000000</f>
        <v>0</v>
      </c>
      <c r="Q77" s="197"/>
      <c r="R77" s="289"/>
      <c r="S77" s="316" t="str">
        <f>IFERROR((INDEX(77:77,MATCH(DATE('Control Panel'!$B$13,'Control Panel'!$B$6,'Control Panel'!$B$7),'Scenarios onshore'!$10:$10,0))/INDEX(76:76,MATCH(DATE('Control Panel'!$B$4+'Control Panel'!$B$5-1,'Control Panel'!$B$6,'Control Panel'!$B$7),'Scenarios onshore'!$10:$10,0)))^(1/('Control Panel'!$B$13-'Control Panel'!$B$12+1))-1,"n.a.")</f>
        <v>n.a.</v>
      </c>
    </row>
    <row r="78" spans="1:19" ht="14.4">
      <c r="A78" s="1"/>
      <c r="B78" s="1"/>
      <c r="C78" s="1"/>
      <c r="D78" s="255" t="str">
        <f>$D$22</f>
        <v>Flat</v>
      </c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289"/>
      <c r="S78" s="316" t="str">
        <f>IFERROR((INDEX(78:78,MATCH(DATE('Control Panel'!$B$13,'Control Panel'!$B$6,'Control Panel'!$B$7),'Scenarios onshore'!$10:$10,0))/INDEX(76:76,MATCH(DATE('Control Panel'!$B$4+'Control Panel'!$B$5-1,'Control Panel'!$B$6,'Control Panel'!$B$7),'Scenarios onshore'!$10:$10,0)))^(1/('Control Panel'!$B$13-'Control Panel'!$B$12+1))-1,"n.a.")</f>
        <v>n.a.</v>
      </c>
    </row>
    <row r="79" spans="1:19" ht="14.4">
      <c r="A79" s="1"/>
      <c r="B79" s="1"/>
      <c r="C79" s="1"/>
      <c r="D79" s="255" t="str">
        <f>$D$23</f>
        <v>Bank case</v>
      </c>
      <c r="E79" s="197"/>
      <c r="F79" s="197"/>
      <c r="G79" s="197"/>
      <c r="H79" s="197"/>
      <c r="I79" s="197">
        <f>I77</f>
        <v>0</v>
      </c>
      <c r="J79" s="197">
        <f t="shared" ref="J79:P79" si="36">J77</f>
        <v>0</v>
      </c>
      <c r="K79" s="197">
        <f t="shared" si="36"/>
        <v>0</v>
      </c>
      <c r="L79" s="197">
        <f t="shared" si="36"/>
        <v>0</v>
      </c>
      <c r="M79" s="197">
        <f t="shared" si="36"/>
        <v>0</v>
      </c>
      <c r="N79" s="197">
        <f t="shared" si="36"/>
        <v>0</v>
      </c>
      <c r="O79" s="197">
        <f t="shared" si="36"/>
        <v>0</v>
      </c>
      <c r="P79" s="197">
        <f t="shared" si="36"/>
        <v>0</v>
      </c>
      <c r="Q79" s="197"/>
      <c r="R79" s="289"/>
      <c r="S79" s="316" t="str">
        <f>IFERROR((INDEX(79:79,MATCH(DATE('Control Panel'!$B$13,'Control Panel'!$B$6,'Control Panel'!$B$7),'Scenarios onshore'!$10:$10,0))/INDEX(76:76,MATCH(DATE('Control Panel'!$B$4+'Control Panel'!$B$5-1,'Control Panel'!$B$6,'Control Panel'!$B$7),'Scenarios onshore'!$10:$10,0)))^(1/('Control Panel'!$B$13-'Control Panel'!$B$12+1))-1,"n.a.")</f>
        <v>n.a.</v>
      </c>
    </row>
    <row r="80" spans="1:19" ht="14.4">
      <c r="A80" s="1"/>
      <c r="B80" s="1"/>
      <c r="C80" s="1"/>
      <c r="D80" s="255" t="str">
        <f>$D$24</f>
        <v>Bank worse</v>
      </c>
      <c r="E80" s="197"/>
      <c r="F80" s="197"/>
      <c r="G80" s="197"/>
      <c r="H80" s="197"/>
      <c r="I80" s="197">
        <f>I79</f>
        <v>0</v>
      </c>
      <c r="J80" s="197">
        <f t="shared" ref="J80:P80" si="37">J79</f>
        <v>0</v>
      </c>
      <c r="K80" s="197">
        <f t="shared" si="37"/>
        <v>0</v>
      </c>
      <c r="L80" s="197">
        <f t="shared" si="37"/>
        <v>0</v>
      </c>
      <c r="M80" s="197">
        <f t="shared" si="37"/>
        <v>0</v>
      </c>
      <c r="N80" s="197">
        <f t="shared" si="37"/>
        <v>0</v>
      </c>
      <c r="O80" s="197">
        <f t="shared" si="37"/>
        <v>0</v>
      </c>
      <c r="P80" s="197">
        <f t="shared" si="37"/>
        <v>0</v>
      </c>
      <c r="Q80" s="197"/>
      <c r="R80" s="289"/>
      <c r="S80" s="316" t="str">
        <f>IFERROR((INDEX(80:80,MATCH(DATE('Control Panel'!$B$13,'Control Panel'!$B$6,'Control Panel'!$B$7),'Scenarios onshore'!$10:$10,0))/INDEX(76:76,MATCH(DATE('Control Panel'!$B$4+'Control Panel'!$B$5-1,'Control Panel'!$B$6,'Control Panel'!$B$7),'Scenarios onshore'!$10:$10,0)))^(1/('Control Panel'!$B$13-'Control Panel'!$B$12+1))-1,"n.a.")</f>
        <v>n.a.</v>
      </c>
    </row>
    <row r="81" spans="1:19" ht="14.4">
      <c r="A81" s="1"/>
      <c r="B81" s="1"/>
      <c r="C81" s="88"/>
      <c r="D81" s="1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</row>
    <row r="82" spans="1:19" ht="14.4">
      <c r="A82" s="34"/>
      <c r="B82" s="180" t="s">
        <v>1570</v>
      </c>
      <c r="C82" s="180"/>
      <c r="D82" s="180" t="s">
        <v>604</v>
      </c>
      <c r="E82" s="180">
        <f>E18-E42-E50-E58-E66+E74</f>
        <v>0</v>
      </c>
      <c r="F82" s="180">
        <f t="shared" ref="F82:Q82" si="38">F18-F42-F50-F58-F66+F74</f>
        <v>0</v>
      </c>
      <c r="G82" s="180">
        <f t="shared" si="38"/>
        <v>0</v>
      </c>
      <c r="H82" s="180">
        <f t="shared" si="38"/>
        <v>0</v>
      </c>
      <c r="I82" s="180">
        <f t="shared" si="38"/>
        <v>0</v>
      </c>
      <c r="J82" s="180">
        <f t="shared" si="38"/>
        <v>0</v>
      </c>
      <c r="K82" s="180">
        <f t="shared" si="38"/>
        <v>0</v>
      </c>
      <c r="L82" s="180">
        <f t="shared" si="38"/>
        <v>0</v>
      </c>
      <c r="M82" s="180">
        <f t="shared" si="38"/>
        <v>0</v>
      </c>
      <c r="N82" s="180">
        <f t="shared" si="38"/>
        <v>0</v>
      </c>
      <c r="O82" s="180">
        <f t="shared" si="38"/>
        <v>0</v>
      </c>
      <c r="P82" s="180" t="e">
        <f t="shared" si="38"/>
        <v>#VALUE!</v>
      </c>
      <c r="Q82" s="180" t="e">
        <f t="shared" si="38"/>
        <v>#VALUE!</v>
      </c>
      <c r="R82" s="315" t="str">
        <f>IFERROR((INDEX(82:82,MATCH(DATE('Control Panel'!$B$4+'Control Panel'!$B$5-1,'Control Panel'!$B$6,'Control Panel'!$B$7),'Scenarios onshore'!$10:$10,0))/INDEX(82:82,MATCH(DATE('Control Panel'!$B$4,'Control Panel'!$B$6,'Control Panel'!$B$7),'Scenarios onshore'!$10:$10,0)))^(1/('Control Panel'!$B$5-1))-1,"n.a.")</f>
        <v>n.a.</v>
      </c>
      <c r="S82" s="315" t="str">
        <f>IFERROR((INDEX(82:82,MATCH(DATE('Control Panel'!$B$13,'Control Panel'!$B$6,'Control Panel'!$B$7),'Scenarios onshore'!$10:$10,0))/INDEX(82:82,MATCH(DATE('Control Panel'!$B$4+'Control Panel'!$B$5-1,'Control Panel'!$B$6,'Control Panel'!$B$7),'Scenarios onshore'!$10:$10,0)))^(1/('Control Panel'!$B$13-'Control Panel'!$B$12+1))-1,"n.a.")</f>
        <v>n.a.</v>
      </c>
    </row>
    <row r="83" spans="1:19" ht="14.4">
      <c r="A83" s="38"/>
      <c r="B83" s="38"/>
      <c r="C83" s="38"/>
      <c r="D83" s="286" t="s">
        <v>605</v>
      </c>
      <c r="E83" s="183" t="str">
        <f>IFERROR(E82/E18,"")</f>
        <v/>
      </c>
      <c r="F83" s="183" t="str">
        <f t="shared" ref="F83:Q83" si="39">IFERROR(F82/F18,"")</f>
        <v/>
      </c>
      <c r="G83" s="183" t="str">
        <f t="shared" si="39"/>
        <v/>
      </c>
      <c r="H83" s="183" t="str">
        <f t="shared" si="39"/>
        <v/>
      </c>
      <c r="I83" s="658" t="str">
        <f>IFERROR(I82/I$34,"")</f>
        <v/>
      </c>
      <c r="J83" s="658" t="str">
        <f t="shared" ref="J83:P83" si="40">IFERROR(J82/J$34,"")</f>
        <v/>
      </c>
      <c r="K83" s="658" t="str">
        <f t="shared" si="40"/>
        <v/>
      </c>
      <c r="L83" s="658" t="str">
        <f t="shared" si="40"/>
        <v/>
      </c>
      <c r="M83" s="658" t="str">
        <f t="shared" si="40"/>
        <v/>
      </c>
      <c r="N83" s="658" t="str">
        <f t="shared" si="40"/>
        <v/>
      </c>
      <c r="O83" s="658" t="str">
        <f t="shared" si="40"/>
        <v/>
      </c>
      <c r="P83" s="658" t="str">
        <f t="shared" si="40"/>
        <v/>
      </c>
      <c r="Q83" s="183" t="str">
        <f t="shared" si="39"/>
        <v/>
      </c>
      <c r="R83" s="38"/>
      <c r="S83" s="38"/>
    </row>
    <row r="84" spans="1:19">
      <c r="A84" s="255"/>
      <c r="B84" s="255"/>
      <c r="C84" s="255"/>
      <c r="D84" s="255" t="s">
        <v>599</v>
      </c>
      <c r="E84" s="255">
        <f>IFERROR(E20-E44-E52-E60-E68+E76,0)</f>
        <v>0</v>
      </c>
      <c r="F84" s="255">
        <f t="shared" ref="F84:Q87" si="41">IFERROR(F20-F44-F52-F60-F68+F76,0)</f>
        <v>0</v>
      </c>
      <c r="G84" s="255">
        <f t="shared" si="41"/>
        <v>0</v>
      </c>
      <c r="H84" s="255">
        <f t="shared" si="41"/>
        <v>0</v>
      </c>
      <c r="I84" s="255">
        <f>IFERROR(I20-I44-I52-I60-I68+I76,0)</f>
        <v>0</v>
      </c>
      <c r="J84" s="255">
        <f t="shared" si="41"/>
        <v>0</v>
      </c>
      <c r="K84" s="255">
        <f t="shared" si="41"/>
        <v>0</v>
      </c>
      <c r="L84" s="255">
        <f t="shared" si="41"/>
        <v>0</v>
      </c>
      <c r="M84" s="255">
        <f t="shared" si="41"/>
        <v>0</v>
      </c>
      <c r="N84" s="255">
        <f t="shared" si="41"/>
        <v>0</v>
      </c>
      <c r="O84" s="255">
        <f t="shared" si="41"/>
        <v>0</v>
      </c>
      <c r="P84" s="255">
        <f t="shared" si="41"/>
        <v>0</v>
      </c>
      <c r="Q84" s="255">
        <f t="shared" si="41"/>
        <v>0</v>
      </c>
      <c r="R84" s="316" t="str">
        <f>IFERROR((INDEX(84:84,MATCH(DATE('Control Panel'!$B$4+'Control Panel'!$B$5-1,'Control Panel'!$B$6,'Control Panel'!$B$7),'Scenarios onshore'!$10:$10,0))/INDEX(84:84,MATCH(DATE('Control Panel'!$B$4,'Control Panel'!$B$6,'Control Panel'!$B$7),'Scenarios onshore'!$10:$10,0)))^(1/('Control Panel'!$B$5-1))-1,"n.a.")</f>
        <v>n.a.</v>
      </c>
      <c r="S84" s="292"/>
    </row>
    <row r="85" spans="1:19" ht="14.4">
      <c r="A85" s="1"/>
      <c r="B85" s="1"/>
      <c r="C85" s="1"/>
      <c r="D85" s="255" t="str">
        <f>$D$21</f>
        <v>Sponsor base</v>
      </c>
      <c r="E85" s="291">
        <f t="shared" ref="E85:Q88" si="42">IFERROR(E21-E45-E53-E61-E69+E77,0)</f>
        <v>0</v>
      </c>
      <c r="F85" s="291">
        <f t="shared" si="42"/>
        <v>0</v>
      </c>
      <c r="G85" s="291">
        <f t="shared" si="42"/>
        <v>0</v>
      </c>
      <c r="H85" s="291">
        <f t="shared" si="41"/>
        <v>0</v>
      </c>
      <c r="I85" s="291">
        <f>IFERROR(I21-I45-I53-I61-I69+I77,0)</f>
        <v>0</v>
      </c>
      <c r="J85" s="291">
        <f>IFERROR(J21-J45-J53-J61-J69+J77,0)</f>
        <v>0</v>
      </c>
      <c r="K85" s="291">
        <f t="shared" si="41"/>
        <v>0</v>
      </c>
      <c r="L85" s="291">
        <f t="shared" si="41"/>
        <v>0</v>
      </c>
      <c r="M85" s="291">
        <f t="shared" si="42"/>
        <v>0</v>
      </c>
      <c r="N85" s="291">
        <f t="shared" si="42"/>
        <v>0</v>
      </c>
      <c r="O85" s="291">
        <f t="shared" si="42"/>
        <v>0</v>
      </c>
      <c r="P85" s="291">
        <f t="shared" si="42"/>
        <v>0</v>
      </c>
      <c r="Q85" s="291">
        <f t="shared" si="42"/>
        <v>0</v>
      </c>
      <c r="R85" s="289"/>
      <c r="S85" s="316" t="str">
        <f>IFERROR((INDEX(85:85,MATCH(DATE('Control Panel'!$B$13,'Control Panel'!$B$6,'Control Panel'!$B$7),'Scenarios onshore'!$10:$10,0))/INDEX(84:84,MATCH(DATE('Control Panel'!$B$4+'Control Panel'!$B$5-1,'Control Panel'!$B$6,'Control Panel'!$B$7),'Scenarios onshore'!$10:$10,0)))^(1/('Control Panel'!$B$13-'Control Panel'!$B$12+1))-1,"n.a.")</f>
        <v>n.a.</v>
      </c>
    </row>
    <row r="86" spans="1:19" ht="14.4">
      <c r="A86" s="1"/>
      <c r="B86" s="1"/>
      <c r="C86" s="1"/>
      <c r="D86" s="255" t="str">
        <f>$D$22</f>
        <v>Flat</v>
      </c>
      <c r="E86" s="291">
        <f t="shared" si="42"/>
        <v>0</v>
      </c>
      <c r="F86" s="291">
        <f t="shared" si="42"/>
        <v>0</v>
      </c>
      <c r="G86" s="291">
        <f t="shared" si="42"/>
        <v>0</v>
      </c>
      <c r="H86" s="291">
        <f t="shared" si="41"/>
        <v>0</v>
      </c>
      <c r="I86" s="291">
        <f t="shared" si="41"/>
        <v>0</v>
      </c>
      <c r="J86" s="291">
        <f t="shared" si="41"/>
        <v>0</v>
      </c>
      <c r="K86" s="291">
        <f t="shared" si="41"/>
        <v>0</v>
      </c>
      <c r="L86" s="291">
        <f t="shared" si="41"/>
        <v>0</v>
      </c>
      <c r="M86" s="291">
        <f t="shared" si="42"/>
        <v>0</v>
      </c>
      <c r="N86" s="291">
        <f t="shared" si="42"/>
        <v>0</v>
      </c>
      <c r="O86" s="291">
        <f t="shared" si="42"/>
        <v>0</v>
      </c>
      <c r="P86" s="291">
        <f t="shared" si="42"/>
        <v>0</v>
      </c>
      <c r="Q86" s="291">
        <f t="shared" si="42"/>
        <v>0</v>
      </c>
      <c r="R86" s="289"/>
      <c r="S86" s="316" t="str">
        <f>IFERROR((INDEX(86:86,MATCH(DATE('Control Panel'!$B$13,'Control Panel'!$B$6,'Control Panel'!$B$7),'Scenarios onshore'!$10:$10,0))/INDEX(84:84,MATCH(DATE('Control Panel'!$B$4+'Control Panel'!$B$5-1,'Control Panel'!$B$6,'Control Panel'!$B$7),'Scenarios onshore'!$10:$10,0)))^(1/('Control Panel'!$B$13-'Control Panel'!$B$12+1))-1,"n.a.")</f>
        <v>n.a.</v>
      </c>
    </row>
    <row r="87" spans="1:19" ht="14.4">
      <c r="A87" s="1"/>
      <c r="B87" s="1"/>
      <c r="C87" s="1"/>
      <c r="D87" s="255" t="str">
        <f>$D$23</f>
        <v>Bank case</v>
      </c>
      <c r="E87" s="291">
        <f t="shared" si="42"/>
        <v>0</v>
      </c>
      <c r="F87" s="291">
        <f t="shared" si="42"/>
        <v>0</v>
      </c>
      <c r="G87" s="291">
        <f t="shared" si="42"/>
        <v>0</v>
      </c>
      <c r="H87" s="291">
        <f t="shared" si="41"/>
        <v>0</v>
      </c>
      <c r="I87" s="291">
        <f t="shared" si="41"/>
        <v>0</v>
      </c>
      <c r="J87" s="291">
        <f t="shared" si="41"/>
        <v>0</v>
      </c>
      <c r="K87" s="291">
        <f t="shared" si="41"/>
        <v>0</v>
      </c>
      <c r="L87" s="291">
        <f t="shared" si="41"/>
        <v>0</v>
      </c>
      <c r="M87" s="291">
        <f t="shared" si="42"/>
        <v>0</v>
      </c>
      <c r="N87" s="291">
        <f t="shared" si="42"/>
        <v>0</v>
      </c>
      <c r="O87" s="291">
        <f t="shared" si="42"/>
        <v>0</v>
      </c>
      <c r="P87" s="291">
        <f t="shared" si="42"/>
        <v>0</v>
      </c>
      <c r="Q87" s="291">
        <f t="shared" si="42"/>
        <v>0</v>
      </c>
      <c r="R87" s="289"/>
      <c r="S87" s="316" t="str">
        <f>IFERROR((INDEX(87:87,MATCH(DATE('Control Panel'!$B$13,'Control Panel'!$B$6,'Control Panel'!$B$7),'Scenarios onshore'!$10:$10,0))/INDEX(84:84,MATCH(DATE('Control Panel'!$B$4+'Control Panel'!$B$5-1,'Control Panel'!$B$6,'Control Panel'!$B$7),'Scenarios onshore'!$10:$10,0)))^(1/('Control Panel'!$B$13-'Control Panel'!$B$12+1))-1,"n.a.")</f>
        <v>n.a.</v>
      </c>
    </row>
    <row r="88" spans="1:19" ht="14.4">
      <c r="A88" s="1"/>
      <c r="B88" s="1"/>
      <c r="C88" s="1"/>
      <c r="D88" s="255" t="str">
        <f>$D$24</f>
        <v>Bank worse</v>
      </c>
      <c r="E88" s="291">
        <f t="shared" si="42"/>
        <v>0</v>
      </c>
      <c r="F88" s="291">
        <f t="shared" si="42"/>
        <v>0</v>
      </c>
      <c r="G88" s="291">
        <f t="shared" si="42"/>
        <v>0</v>
      </c>
      <c r="H88" s="291">
        <f t="shared" si="42"/>
        <v>0</v>
      </c>
      <c r="I88" s="291">
        <f t="shared" si="42"/>
        <v>0</v>
      </c>
      <c r="J88" s="291">
        <f t="shared" si="42"/>
        <v>0</v>
      </c>
      <c r="K88" s="291">
        <f t="shared" si="42"/>
        <v>0</v>
      </c>
      <c r="L88" s="291">
        <f t="shared" si="42"/>
        <v>0</v>
      </c>
      <c r="M88" s="291">
        <f t="shared" si="42"/>
        <v>0</v>
      </c>
      <c r="N88" s="291">
        <f t="shared" si="42"/>
        <v>0</v>
      </c>
      <c r="O88" s="291">
        <f t="shared" si="42"/>
        <v>0</v>
      </c>
      <c r="P88" s="291">
        <f t="shared" si="42"/>
        <v>0</v>
      </c>
      <c r="Q88" s="291">
        <f t="shared" si="42"/>
        <v>0</v>
      </c>
      <c r="R88" s="289"/>
      <c r="S88" s="316" t="str">
        <f>IFERROR((INDEX(88:88,MATCH(DATE('Control Panel'!$B$13,'Control Panel'!$B$6,'Control Panel'!$B$7),'Scenarios onshore'!$10:$10,0))/INDEX(84:84,MATCH(DATE('Control Panel'!$B$4+'Control Panel'!$B$5-1,'Control Panel'!$B$6,'Control Panel'!$B$7),'Scenarios onshore'!$10:$10,0)))^(1/('Control Panel'!$B$13-'Control Panel'!$B$12+1))-1,"n.a.")</f>
        <v>n.a.</v>
      </c>
    </row>
    <row r="89" spans="1:19" ht="14.4">
      <c r="A89" s="1"/>
      <c r="B89" s="1"/>
      <c r="C89" s="88"/>
      <c r="D89" s="94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9"/>
      <c r="S89" s="290"/>
    </row>
    <row r="90" spans="1:19" ht="14.4">
      <c r="A90" s="34"/>
      <c r="B90" s="180" t="s">
        <v>1571</v>
      </c>
      <c r="C90" s="180"/>
      <c r="D90" s="180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</row>
    <row r="91" spans="1:19" ht="14.4">
      <c r="A91" s="34"/>
      <c r="B91" s="180"/>
      <c r="C91" s="180" t="s">
        <v>1572</v>
      </c>
      <c r="D91" s="180" t="s">
        <v>604</v>
      </c>
      <c r="E91" s="180">
        <f t="shared" ref="E91:Q91" si="43">IF(E$5,INDEX(E93:E96,$D$2),E92)</f>
        <v>0</v>
      </c>
      <c r="F91" s="180">
        <f t="shared" si="43"/>
        <v>0</v>
      </c>
      <c r="G91" s="180">
        <f t="shared" si="43"/>
        <v>0</v>
      </c>
      <c r="H91" s="180">
        <f t="shared" si="43"/>
        <v>0</v>
      </c>
      <c r="I91" s="180">
        <f t="shared" si="43"/>
        <v>0</v>
      </c>
      <c r="J91" s="180">
        <f t="shared" si="43"/>
        <v>0</v>
      </c>
      <c r="K91" s="180" t="e">
        <f t="shared" si="43"/>
        <v>#VALUE!</v>
      </c>
      <c r="L91" s="180" t="e">
        <f t="shared" si="43"/>
        <v>#VALUE!</v>
      </c>
      <c r="M91" s="180" t="e">
        <f t="shared" si="43"/>
        <v>#VALUE!</v>
      </c>
      <c r="N91" s="180" t="e">
        <f t="shared" si="43"/>
        <v>#VALUE!</v>
      </c>
      <c r="O91" s="180" t="e">
        <f t="shared" si="43"/>
        <v>#VALUE!</v>
      </c>
      <c r="P91" s="180" t="str">
        <f t="shared" si="43"/>
        <v/>
      </c>
      <c r="Q91" s="180" t="str">
        <f t="shared" si="43"/>
        <v/>
      </c>
      <c r="R91" s="315" t="str">
        <f>IFERROR((INDEX(91:91,MATCH(DATE('Control Panel'!$B$4+'Control Panel'!$B$5-1,'Control Panel'!$B$6,'Control Panel'!$B$7),'Scenarios onshore'!$10:$10,0))/INDEX(91:91,MATCH(DATE('Control Panel'!$B$4,'Control Panel'!$B$6,'Control Panel'!$B$7),'Scenarios onshore'!$10:$10,0)))^(1/('Control Panel'!$B$5-1))-1,"n.a.")</f>
        <v>n.a.</v>
      </c>
      <c r="S91" s="315" t="str">
        <f>IFERROR((INDEX(91:91,MATCH(DATE('Control Panel'!$B$13,'Control Panel'!$B$6,'Control Panel'!$B$7),'Scenarios onshore'!$10:$10,0))/INDEX(91:91,MATCH(DATE('Control Panel'!$B$4+'Control Panel'!$B$5-1,'Control Panel'!$B$6,'Control Panel'!$B$7),'Scenarios onshore'!$10:$10,0)))^(1/('Control Panel'!$B$13-'Control Panel'!$B$12+1))-1,"n.a.")</f>
        <v>n.a.</v>
      </c>
    </row>
    <row r="92" spans="1:19" ht="14.4">
      <c r="A92" s="255"/>
      <c r="B92" s="255"/>
      <c r="C92" s="255"/>
      <c r="D92" s="255" t="s">
        <v>599</v>
      </c>
      <c r="E92" s="255">
        <f>IF(AND(F5,NOT(E5)),'Acquisition BS adjustments'!$E$102+'Acquisition BS adjustments'!$E$106,IFERROR(Input_unit*(E$4&lt;$D$1)*(SUMIF('Historical BU2'!$A$89:$A$419,"PPE",INDEX('Historical BU2'!$D$89:$EE$419,0,MATCH(E$4,'Historical BU2'!$D$84:$EE$84,0)))+SUMIF('Historical BU2'!$A$89:$A$419,"OLA",INDEX('Historical BU2'!$D$89:$EE$419,0,MATCH(E$4,'Historical BU2'!$D$84:$EE$84,0)))),""))</f>
        <v>0</v>
      </c>
      <c r="F92" s="255">
        <f>IF(AND(G5,NOT(F5)),'Acquisition BS adjustments'!$E$102+'Acquisition BS adjustments'!$E$106,IFERROR(Input_unit*(F$4&lt;$D$1)*(SUMIF('Historical BU2'!$A$89:$A$419,"PPE",INDEX('Historical BU2'!$D$89:$EE$419,0,MATCH(F$4,'Historical BU2'!$D$84:$EE$84,0)))+SUMIF('Historical BU2'!$A$89:$A$419,"OLA",INDEX('Historical BU2'!$D$89:$EE$419,0,MATCH(F$4,'Historical BU2'!$D$84:$EE$84,0)))),""))</f>
        <v>0</v>
      </c>
      <c r="G92" s="255">
        <f>IF(AND(H5,NOT(G5)),'Acquisition BS adjustments'!$E$102+'Acquisition BS adjustments'!$E$106,IFERROR(Input_unit*(G$4&lt;$D$1)*(SUMIF('Historical BU2'!$A$89:$A$419,"PPE",INDEX('Historical BU2'!$D$89:$EE$419,0,MATCH(G$4,'Historical BU2'!$D$84:$EE$84,0)))+SUMIF('Historical BU2'!$A$89:$A$419,"OLA",INDEX('Historical BU2'!$D$89:$EE$419,0,MATCH(G$4,'Historical BU2'!$D$84:$EE$84,0)))),""))</f>
        <v>0</v>
      </c>
      <c r="H92" s="255">
        <f>IF(AND(I5,NOT(H5)),'Acquisition BS adjustments'!$E$102+'Acquisition BS adjustments'!$E$106,IFERROR(Input_unit*(H$4&lt;$D$1)*(SUMIF('Historical BU2'!$A$89:$A$419,"PPE",INDEX('Historical BU2'!$D$89:$EE$419,0,MATCH(H$4,'Historical BU2'!$D$84:$EE$84,0)))+SUMIF('Historical BU2'!$A$89:$A$419,"OLA",INDEX('Historical BU2'!$D$89:$EE$419,0,MATCH(H$4,'Historical BU2'!$D$84:$EE$84,0)))),""))</f>
        <v>0</v>
      </c>
      <c r="I92" s="255">
        <f>IF(AND(J5,NOT(I5)),'Acquisition BS adjustments'!$E$102+'Acquisition BS adjustments'!$E$106,IFERROR(Input_unit*(I$4&lt;$D$1)*(SUMIF('Historical BU2'!$A$89:$A$419,"PPE",INDEX('Historical BU2'!$D$89:$EE$419,0,MATCH(I$4,'Historical BU2'!$D$84:$EE$84,0)))+SUMIF('Historical BU2'!$A$89:$A$419,"OLA",INDEX('Historical BU2'!$D$89:$EE$419,0,MATCH(I$4,'Historical BU2'!$D$84:$EE$84,0)))),""))</f>
        <v>0</v>
      </c>
      <c r="J92" s="255" t="str">
        <f>IF(AND(K5,NOT(J5)),'Acquisition BS adjustments'!$E$102+'Acquisition BS adjustments'!$E$106,IFERROR(Input_unit*(J$4&lt;$D$1)*(SUMIF('Historical BU2'!$A$89:$A$419,"PPE",INDEX('Historical BU2'!$D$89:$EE$419,0,MATCH(J$4,'Historical BU2'!$D$84:$EE$84,0)))+SUMIF('Historical BU2'!$A$89:$A$419,"OLA",INDEX('Historical BU2'!$D$89:$EE$419,0,MATCH(J$4,'Historical BU2'!$D$84:$EE$84,0)))),""))</f>
        <v/>
      </c>
      <c r="K92" s="255" t="str">
        <f>IF(AND(L5,NOT(K5)),'Acquisition BS adjustments'!$E$102+'Acquisition BS adjustments'!$E$106,IFERROR(Input_unit*(K$4&lt;$D$1)*(SUMIF('Historical BU2'!$A$89:$A$419,"PPE",INDEX('Historical BU2'!$D$89:$EE$419,0,MATCH(K$4,'Historical BU2'!$D$84:$EE$84,0)))+SUMIF('Historical BU2'!$A$89:$A$419,"OLA",INDEX('Historical BU2'!$D$89:$EE$419,0,MATCH(K$4,'Historical BU2'!$D$84:$EE$84,0)))),""))</f>
        <v/>
      </c>
      <c r="L92" s="255" t="str">
        <f>IF(AND(M5,NOT(L5)),'Acquisition BS adjustments'!$E$102+'Acquisition BS adjustments'!$E$106,IFERROR(Input_unit*(L$4&lt;$D$1)*(SUMIF('Historical BU2'!$A$89:$A$419,"PPE",INDEX('Historical BU2'!$D$89:$EE$419,0,MATCH(L$4,'Historical BU2'!$D$84:$EE$84,0)))+SUMIF('Historical BU2'!$A$89:$A$419,"OLA",INDEX('Historical BU2'!$D$89:$EE$419,0,MATCH(L$4,'Historical BU2'!$D$84:$EE$84,0)))),""))</f>
        <v/>
      </c>
      <c r="M92" s="255" t="str">
        <f>IF(AND(N5,NOT(M5)),'Acquisition BS adjustments'!$E$102+'Acquisition BS adjustments'!$E$106,IFERROR(Input_unit*(M$4&lt;$D$1)*(SUMIF('Historical BU2'!$A$89:$A$419,"PPE",INDEX('Historical BU2'!$D$89:$EE$419,0,MATCH(M$4,'Historical BU2'!$D$84:$EE$84,0)))+SUMIF('Historical BU2'!$A$89:$A$419,"OLA",INDEX('Historical BU2'!$D$89:$EE$419,0,MATCH(M$4,'Historical BU2'!$D$84:$EE$84,0)))),""))</f>
        <v/>
      </c>
      <c r="N92" s="255" t="str">
        <f>IF(AND(O5,NOT(N5)),'Acquisition BS adjustments'!$E$102+'Acquisition BS adjustments'!$E$106,IFERROR(Input_unit*(N$4&lt;$D$1)*(SUMIF('Historical BU2'!$A$89:$A$419,"PPE",INDEX('Historical BU2'!$D$89:$EE$419,0,MATCH(N$4,'Historical BU2'!$D$84:$EE$84,0)))+SUMIF('Historical BU2'!$A$89:$A$419,"OLA",INDEX('Historical BU2'!$D$89:$EE$419,0,MATCH(N$4,'Historical BU2'!$D$84:$EE$84,0)))),""))</f>
        <v/>
      </c>
      <c r="O92" s="255" t="str">
        <f>IF(AND(P5,NOT(O5)),'Acquisition BS adjustments'!$E$102+'Acquisition BS adjustments'!$E$106,IFERROR(Input_unit*(O$4&lt;$D$1)*(SUMIF('Historical BU2'!$A$89:$A$419,"PPE",INDEX('Historical BU2'!$D$89:$EE$419,0,MATCH(O$4,'Historical BU2'!$D$84:$EE$84,0)))+SUMIF('Historical BU2'!$A$89:$A$419,"OLA",INDEX('Historical BU2'!$D$89:$EE$419,0,MATCH(O$4,'Historical BU2'!$D$84:$EE$84,0)))),""))</f>
        <v/>
      </c>
      <c r="P92" s="255" t="str">
        <f>IF(AND(Q5,NOT(P5)),'Acquisition BS adjustments'!$E$102+'Acquisition BS adjustments'!$E$106,IFERROR(Input_unit*(P$4&lt;$D$1)*(SUMIF('Historical BU2'!$A$89:$A$419,"PPE",INDEX('Historical BU2'!$D$89:$EE$419,0,MATCH(P$4,'Historical BU2'!$D$84:$EE$84,0)))+SUMIF('Historical BU2'!$A$89:$A$419,"OLA",INDEX('Historical BU2'!$D$89:$EE$419,0,MATCH(P$4,'Historical BU2'!$D$84:$EE$84,0)))),""))</f>
        <v/>
      </c>
      <c r="Q92" s="255" t="str">
        <f>IFERROR(Input_unit*(Q$4&lt;$D$1)*(SUMIF('Historical BU2'!$A$89:$A$419,"PPE",INDEX('Historical BU2'!$D$89:$EE$419,0,MATCH(Q$4,'Historical BU2'!$D$84:$EE$84,0)))+SUMIF('Historical BU2'!$A$89:$A$419,"OLA",INDEX('Historical BU2'!$D$89:$EE$419,0,MATCH(Q$4,'Historical BU2'!$D$84:$EE$84,0)))),"")</f>
        <v/>
      </c>
      <c r="R92" s="38"/>
      <c r="S92" s="38"/>
    </row>
    <row r="93" spans="1:19" ht="14.4">
      <c r="A93" s="1"/>
      <c r="B93" s="1"/>
      <c r="C93" s="1"/>
      <c r="D93" s="255" t="str">
        <f>$D$21</f>
        <v>Sponsor base</v>
      </c>
      <c r="E93" s="291">
        <f t="shared" ref="E93:Q96" si="44">IF(E$5,IF(D93&gt;0,D93+E109-E101,D$92+E109-E101),0)</f>
        <v>0</v>
      </c>
      <c r="F93" s="291">
        <f t="shared" si="44"/>
        <v>0</v>
      </c>
      <c r="G93" s="291">
        <f t="shared" si="44"/>
        <v>0</v>
      </c>
      <c r="H93" s="291">
        <f t="shared" si="44"/>
        <v>0</v>
      </c>
      <c r="I93" s="291">
        <f t="shared" si="44"/>
        <v>0</v>
      </c>
      <c r="J93" s="291">
        <f>IF(J$5,IF(I93&gt;0,I93+J109-J101,I$92+J109-J101),0)</f>
        <v>0</v>
      </c>
      <c r="K93" s="291" t="e">
        <f t="shared" si="44"/>
        <v>#VALUE!</v>
      </c>
      <c r="L93" s="291" t="e">
        <f t="shared" si="44"/>
        <v>#VALUE!</v>
      </c>
      <c r="M93" s="291" t="e">
        <f t="shared" si="44"/>
        <v>#VALUE!</v>
      </c>
      <c r="N93" s="291" t="e">
        <f t="shared" si="44"/>
        <v>#VALUE!</v>
      </c>
      <c r="O93" s="291" t="e">
        <f t="shared" si="44"/>
        <v>#VALUE!</v>
      </c>
      <c r="P93" s="291">
        <f t="shared" si="44"/>
        <v>0</v>
      </c>
      <c r="Q93" s="291">
        <f t="shared" si="44"/>
        <v>0</v>
      </c>
      <c r="R93" s="316" t="str">
        <f>IFERROR((INDEX(93:93,MATCH(DATE('Control Panel'!$B$4+'Control Panel'!$B$5-1,'Control Panel'!$B$6,'Control Panel'!$B$7),'Scenarios onshore'!$10:$10,0))/INDEX(93:93,MATCH(DATE('Control Panel'!$B$4,'Control Panel'!$B$6,'Control Panel'!$B$7),'Scenarios onshore'!$10:$10,0)))^(1/('Control Panel'!$B$5-1))-1,"n.a.")</f>
        <v>n.a.</v>
      </c>
      <c r="S93" s="292"/>
    </row>
    <row r="94" spans="1:19" ht="14.4">
      <c r="A94" s="1"/>
      <c r="B94" s="1"/>
      <c r="C94" s="1"/>
      <c r="D94" s="255" t="str">
        <f>$D$22</f>
        <v>Flat</v>
      </c>
      <c r="E94" s="291">
        <f t="shared" si="44"/>
        <v>0</v>
      </c>
      <c r="F94" s="291">
        <f t="shared" si="44"/>
        <v>0</v>
      </c>
      <c r="G94" s="291">
        <f t="shared" si="44"/>
        <v>0</v>
      </c>
      <c r="H94" s="291">
        <f t="shared" si="44"/>
        <v>0</v>
      </c>
      <c r="I94" s="291">
        <f t="shared" si="44"/>
        <v>0</v>
      </c>
      <c r="J94" s="291">
        <f t="shared" si="44"/>
        <v>0</v>
      </c>
      <c r="K94" s="291" t="e">
        <f t="shared" si="44"/>
        <v>#VALUE!</v>
      </c>
      <c r="L94" s="291" t="e">
        <f t="shared" si="44"/>
        <v>#VALUE!</v>
      </c>
      <c r="M94" s="291" t="e">
        <f t="shared" si="44"/>
        <v>#VALUE!</v>
      </c>
      <c r="N94" s="291" t="e">
        <f t="shared" si="44"/>
        <v>#VALUE!</v>
      </c>
      <c r="O94" s="291" t="e">
        <f t="shared" si="44"/>
        <v>#VALUE!</v>
      </c>
      <c r="P94" s="291">
        <f t="shared" si="44"/>
        <v>0</v>
      </c>
      <c r="Q94" s="291">
        <f t="shared" si="44"/>
        <v>0</v>
      </c>
      <c r="R94" s="289"/>
      <c r="S94" s="316" t="str">
        <f>IFERROR((INDEX(94:94,MATCH(DATE('Control Panel'!$B$13,'Control Panel'!$B$6,'Control Panel'!$B$7),'Scenarios onshore'!$10:$10,0))/INDEX(93:93,MATCH(DATE('Control Panel'!$B$4+'Control Panel'!$B$5-1,'Control Panel'!$B$6,'Control Panel'!$B$7),'Scenarios onshore'!$10:$10,0)))^(1/('Control Panel'!$B$13-'Control Panel'!$B$12+1))-1,"n.a.")</f>
        <v>n.a.</v>
      </c>
    </row>
    <row r="95" spans="1:19" ht="14.4">
      <c r="A95" s="1"/>
      <c r="B95" s="1"/>
      <c r="C95" s="1"/>
      <c r="D95" s="255" t="str">
        <f>$D$23</f>
        <v>Bank case</v>
      </c>
      <c r="E95" s="291">
        <f t="shared" si="44"/>
        <v>0</v>
      </c>
      <c r="F95" s="291">
        <f t="shared" si="44"/>
        <v>0</v>
      </c>
      <c r="G95" s="291">
        <f t="shared" si="44"/>
        <v>0</v>
      </c>
      <c r="H95" s="291">
        <f t="shared" si="44"/>
        <v>0</v>
      </c>
      <c r="I95" s="291">
        <f t="shared" si="44"/>
        <v>0</v>
      </c>
      <c r="J95" s="291">
        <f t="shared" si="44"/>
        <v>0</v>
      </c>
      <c r="K95" s="291" t="e">
        <f t="shared" si="44"/>
        <v>#VALUE!</v>
      </c>
      <c r="L95" s="291" t="e">
        <f t="shared" si="44"/>
        <v>#VALUE!</v>
      </c>
      <c r="M95" s="291" t="e">
        <f t="shared" si="44"/>
        <v>#VALUE!</v>
      </c>
      <c r="N95" s="291" t="e">
        <f t="shared" si="44"/>
        <v>#VALUE!</v>
      </c>
      <c r="O95" s="291" t="e">
        <f t="shared" si="44"/>
        <v>#VALUE!</v>
      </c>
      <c r="P95" s="291">
        <f t="shared" si="44"/>
        <v>0</v>
      </c>
      <c r="Q95" s="291">
        <f t="shared" si="44"/>
        <v>0</v>
      </c>
      <c r="R95" s="289"/>
      <c r="S95" s="316" t="str">
        <f>IFERROR((INDEX(95:95,MATCH(DATE('Control Panel'!$B$13,'Control Panel'!$B$6,'Control Panel'!$B$7),'Scenarios onshore'!$10:$10,0))/INDEX(93:93,MATCH(DATE('Control Panel'!$B$4+'Control Panel'!$B$5-1,'Control Panel'!$B$6,'Control Panel'!$B$7),'Scenarios onshore'!$10:$10,0)))^(1/('Control Panel'!$B$13-'Control Panel'!$B$12+1))-1,"n.a.")</f>
        <v>n.a.</v>
      </c>
    </row>
    <row r="96" spans="1:19" ht="14.4">
      <c r="A96" s="1"/>
      <c r="B96" s="1"/>
      <c r="C96" s="1"/>
      <c r="D96" s="255" t="str">
        <f>$D$24</f>
        <v>Bank worse</v>
      </c>
      <c r="E96" s="291">
        <f t="shared" si="44"/>
        <v>0</v>
      </c>
      <c r="F96" s="291">
        <f t="shared" si="44"/>
        <v>0</v>
      </c>
      <c r="G96" s="291">
        <f t="shared" si="44"/>
        <v>0</v>
      </c>
      <c r="H96" s="291">
        <f t="shared" si="44"/>
        <v>0</v>
      </c>
      <c r="I96" s="291">
        <f t="shared" si="44"/>
        <v>0</v>
      </c>
      <c r="J96" s="291">
        <f t="shared" si="44"/>
        <v>0</v>
      </c>
      <c r="K96" s="291" t="e">
        <f t="shared" si="44"/>
        <v>#VALUE!</v>
      </c>
      <c r="L96" s="291" t="e">
        <f t="shared" si="44"/>
        <v>#VALUE!</v>
      </c>
      <c r="M96" s="291" t="e">
        <f t="shared" si="44"/>
        <v>#VALUE!</v>
      </c>
      <c r="N96" s="291" t="e">
        <f t="shared" si="44"/>
        <v>#VALUE!</v>
      </c>
      <c r="O96" s="291" t="e">
        <f t="shared" si="44"/>
        <v>#VALUE!</v>
      </c>
      <c r="P96" s="291">
        <f t="shared" si="44"/>
        <v>0</v>
      </c>
      <c r="Q96" s="291">
        <f t="shared" si="44"/>
        <v>0</v>
      </c>
      <c r="R96" s="289"/>
      <c r="S96" s="316" t="str">
        <f>IFERROR((INDEX(96:96,MATCH(DATE('Control Panel'!$B$13,'Control Panel'!$B$6,'Control Panel'!$B$7),'Scenarios onshore'!$10:$10,0))/INDEX(93:93,MATCH(DATE('Control Panel'!$B$4+'Control Panel'!$B$5-1,'Control Panel'!$B$6,'Control Panel'!$B$7),'Scenarios onshore'!$10:$10,0)))^(1/('Control Panel'!$B$13-'Control Panel'!$B$12+1))-1,"n.a.")</f>
        <v>n.a.</v>
      </c>
    </row>
    <row r="97" spans="1:19" ht="14.4">
      <c r="A97" s="1"/>
      <c r="B97" s="1"/>
      <c r="C97" s="88"/>
      <c r="D97" s="94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</row>
    <row r="98" spans="1:19" ht="14.4">
      <c r="A98" s="34"/>
      <c r="B98" s="180"/>
      <c r="C98" s="180" t="s">
        <v>1573</v>
      </c>
      <c r="D98" s="180" t="s">
        <v>604</v>
      </c>
      <c r="E98" s="180">
        <f t="shared" ref="E98:Q98" si="45">IF(E$5,INDEX(E101:E104,$D$2),E100)</f>
        <v>0</v>
      </c>
      <c r="F98" s="180">
        <f t="shared" si="45"/>
        <v>0</v>
      </c>
      <c r="G98" s="180">
        <f t="shared" si="45"/>
        <v>0</v>
      </c>
      <c r="H98" s="180">
        <f>IF(H$5,INDEX(H101:H104,$D$2),H100)</f>
        <v>0</v>
      </c>
      <c r="I98" s="180">
        <f t="shared" si="45"/>
        <v>0</v>
      </c>
      <c r="J98" s="180">
        <f t="shared" si="45"/>
        <v>0</v>
      </c>
      <c r="K98" s="180">
        <f t="shared" si="45"/>
        <v>0</v>
      </c>
      <c r="L98" s="180">
        <f t="shared" si="45"/>
        <v>0</v>
      </c>
      <c r="M98" s="180">
        <f t="shared" si="45"/>
        <v>0</v>
      </c>
      <c r="N98" s="180">
        <f t="shared" si="45"/>
        <v>0</v>
      </c>
      <c r="O98" s="180">
        <f t="shared" si="45"/>
        <v>0</v>
      </c>
      <c r="P98" s="180" t="str">
        <f t="shared" si="45"/>
        <v/>
      </c>
      <c r="Q98" s="180" t="str">
        <f t="shared" si="45"/>
        <v/>
      </c>
      <c r="R98" s="315" t="str">
        <f>IFERROR((INDEX(98:98,MATCH(DATE('Control Panel'!$B$4+'Control Panel'!$B$5-1,'Control Panel'!$B$6,'Control Panel'!$B$7),'Scenarios onshore'!$10:$10,0))/INDEX(98:98,MATCH(DATE('Control Panel'!$B$4,'Control Panel'!$B$6,'Control Panel'!$B$7),'Scenarios onshore'!$10:$10,0)))^(1/('Control Panel'!$B$5-1))-1,"n.a.")</f>
        <v>n.a.</v>
      </c>
      <c r="S98" s="315" t="str">
        <f>IFERROR((INDEX(98:98,MATCH(DATE('Control Panel'!$B$13,'Control Panel'!$B$6,'Control Panel'!$B$7),'Scenarios onshore'!$10:$10,0))/INDEX(98:98,MATCH(DATE('Control Panel'!$B$4+'Control Panel'!$B$5-1,'Control Panel'!$B$6,'Control Panel'!$B$7),'Scenarios onshore'!$10:$10,0)))^(1/('Control Panel'!$B$13-'Control Panel'!$B$12+1))-1,"n.a.")</f>
        <v>n.a.</v>
      </c>
    </row>
    <row r="99" spans="1:19" ht="14.4">
      <c r="A99" s="183"/>
      <c r="B99" s="183"/>
      <c r="C99" s="183"/>
      <c r="D99" s="183" t="s">
        <v>932</v>
      </c>
      <c r="E99" s="183" t="str">
        <f>IFERROR(E98/E91,"")</f>
        <v/>
      </c>
      <c r="F99" s="183" t="str">
        <f t="shared" ref="F99:Q99" si="46">IFERROR(F98/F91,"")</f>
        <v/>
      </c>
      <c r="G99" s="183" t="str">
        <f t="shared" si="46"/>
        <v/>
      </c>
      <c r="H99" s="183" t="str">
        <f t="shared" si="46"/>
        <v/>
      </c>
      <c r="I99" s="183" t="str">
        <f t="shared" si="46"/>
        <v/>
      </c>
      <c r="J99" s="183" t="str">
        <f t="shared" si="46"/>
        <v/>
      </c>
      <c r="K99" s="183" t="str">
        <f t="shared" si="46"/>
        <v/>
      </c>
      <c r="L99" s="183" t="str">
        <f t="shared" si="46"/>
        <v/>
      </c>
      <c r="M99" s="183" t="str">
        <f t="shared" si="46"/>
        <v/>
      </c>
      <c r="N99" s="183" t="str">
        <f t="shared" si="46"/>
        <v/>
      </c>
      <c r="O99" s="183" t="str">
        <f t="shared" si="46"/>
        <v/>
      </c>
      <c r="P99" s="183" t="str">
        <f t="shared" si="46"/>
        <v/>
      </c>
      <c r="Q99" s="183" t="str">
        <f t="shared" si="46"/>
        <v/>
      </c>
      <c r="R99" s="38"/>
      <c r="S99" s="38"/>
    </row>
    <row r="100" spans="1:19">
      <c r="A100" s="255"/>
      <c r="B100" s="255"/>
      <c r="C100" s="255"/>
      <c r="D100" s="255" t="s">
        <v>599</v>
      </c>
      <c r="E100" s="255">
        <f>IFERROR(Input_unit*(E$4&lt;$D$1)*SUMIF('Historical BU2'!$A$89:$A$419,"DEP",INDEX('Historical BU2'!$D$89:$EE$419,0,MATCH(E$4,'Historical BU2'!$D$84:$EE$84,0))),"")</f>
        <v>0</v>
      </c>
      <c r="F100" s="255">
        <f>IFERROR(Input_unit*(F$4&lt;$D$1)*SUMIF('Historical BU2'!$A$89:$A$419,"DEP",INDEX('Historical BU2'!$D$89:$EE$419,0,MATCH(F$4,'Historical BU2'!$D$84:$EE$84,0))),"")</f>
        <v>0</v>
      </c>
      <c r="G100" s="255">
        <f>IFERROR(Input_unit*(G$4&lt;$D$1)*SUMIF('Historical BU2'!$A$89:$A$419,"DEP",INDEX('Historical BU2'!$D$89:$EE$419,0,MATCH(G$4,'Historical BU2'!$D$84:$EE$84,0))),"")</f>
        <v>0</v>
      </c>
      <c r="H100" s="255">
        <f>IFERROR(Input_unit*(H$4&lt;$D$1)*SUMIF('Historical BU2'!$A$89:$A$419,"DEP",INDEX('Historical BU2'!$D$89:$EE$419,0,MATCH(H$4,'Historical BU2'!$D$84:$EE$84,0))),"")</f>
        <v>0</v>
      </c>
      <c r="I100" s="255">
        <f>IFERROR(Input_unit*(I$4&lt;$D$1)*SUMIF('Historical BU2'!$A$89:$A$419,"DEP",INDEX('Historical BU2'!$D$89:$EE$419,0,MATCH(I$4,'Historical BU2'!$D$84:$EE$84,0))),"")</f>
        <v>0</v>
      </c>
      <c r="J100" s="255" t="str">
        <f>IFERROR(Input_unit*(J$4&lt;$D$1)*SUMIF('Historical BU2'!$A$89:$A$419,"DEP",INDEX('Historical BU2'!$D$89:$EE$419,0,MATCH(J$4,'Historical BU2'!$D$84:$EE$84,0))),"")</f>
        <v/>
      </c>
      <c r="K100" s="255" t="str">
        <f>IFERROR(Input_unit*(K$4&lt;$D$1)*SUMIF('Historical BU2'!$A$89:$A$419,"DEP",INDEX('Historical BU2'!$D$89:$EE$419,0,MATCH(K$4,'Historical BU2'!$D$84:$EE$84,0))),"")</f>
        <v/>
      </c>
      <c r="L100" s="255" t="str">
        <f>IFERROR(Input_unit*(L$4&lt;$D$1)*SUMIF('Historical BU2'!$A$89:$A$419,"DEP",INDEX('Historical BU2'!$D$89:$EE$419,0,MATCH(L$4,'Historical BU2'!$D$84:$EE$84,0))),"")</f>
        <v/>
      </c>
      <c r="M100" s="255" t="str">
        <f>IFERROR(Input_unit*(M$4&lt;$D$1)*SUMIF('Historical BU2'!$A$89:$A$419,"DEP",INDEX('Historical BU2'!$D$89:$EE$419,0,MATCH(M$4,'Historical BU2'!$D$84:$EE$84,0))),"")</f>
        <v/>
      </c>
      <c r="N100" s="255" t="str">
        <f>IFERROR(Input_unit*(N$4&lt;$D$1)*SUMIF('Historical BU2'!$A$89:$A$419,"DEP",INDEX('Historical BU2'!$D$89:$EE$419,0,MATCH(N$4,'Historical BU2'!$D$84:$EE$84,0))),"")</f>
        <v/>
      </c>
      <c r="O100" s="255" t="str">
        <f>IFERROR(Input_unit*(O$4&lt;$D$1)*SUMIF('Historical BU2'!$A$89:$A$419,"DEP",INDEX('Historical BU2'!$D$89:$EE$419,0,MATCH(O$4,'Historical BU2'!$D$84:$EE$84,0))),"")</f>
        <v/>
      </c>
      <c r="P100" s="255" t="str">
        <f>IFERROR(Input_unit*(P$4&lt;$D$1)*SUMIF('Historical BU2'!$A$89:$A$419,"DEP",INDEX('Historical BU2'!$D$89:$EE$419,0,MATCH(P$4,'Historical BU2'!$D$84:$EE$84,0))),"")</f>
        <v/>
      </c>
      <c r="Q100" s="255" t="str">
        <f>IFERROR(Input_unit*(Q$4&lt;$D$1)*SUMIF('Historical BU2'!$A$89:$A$419,"DEP",INDEX('Historical BU2'!$D$89:$EE$419,0,MATCH(Q$4,'Historical BU2'!$D$84:$EE$84,0))),"")</f>
        <v/>
      </c>
      <c r="R100" s="316" t="str">
        <f>IFERROR((INDEX(100:100,MATCH(DATE('Control Panel'!$B$4+'Control Panel'!$B$5-1,'Control Panel'!$B$6,'Control Panel'!$B$7),'Scenarios onshore'!$10:$10,0))/INDEX(100:100,MATCH(DATE('Control Panel'!$B$4,'Control Panel'!$B$6,'Control Panel'!$B$7),'Scenarios onshore'!$10:$10,0)))^(1/('Control Panel'!$B$5-1))-1,"n.a.")</f>
        <v>n.a.</v>
      </c>
      <c r="S100" s="292"/>
    </row>
    <row r="101" spans="1:19" ht="14.4">
      <c r="A101" s="1"/>
      <c r="B101" s="1"/>
      <c r="C101" s="1"/>
      <c r="D101" s="255" t="str">
        <f>$D$21</f>
        <v>Sponsor base</v>
      </c>
      <c r="E101" s="197"/>
      <c r="F101" s="197"/>
      <c r="G101" s="197"/>
      <c r="H101" s="197"/>
      <c r="I101" s="197">
        <f>'Sponsor Operating Model'!I233*-1000000</f>
        <v>0</v>
      </c>
      <c r="J101" s="197">
        <f>'Sponsor Operating Model'!J233*-1000000</f>
        <v>0</v>
      </c>
      <c r="K101" s="197">
        <f>'Sponsor Operating Model'!K233*-1000000</f>
        <v>0</v>
      </c>
      <c r="L101" s="197">
        <f>'Sponsor Operating Model'!L233*-1000000</f>
        <v>0</v>
      </c>
      <c r="M101" s="197">
        <f>'Sponsor Operating Model'!M233*-1000000</f>
        <v>0</v>
      </c>
      <c r="N101" s="197">
        <f>'Sponsor Operating Model'!N233*-1000000</f>
        <v>0</v>
      </c>
      <c r="O101" s="197">
        <f>'Sponsor Operating Model'!O233*-1000000</f>
        <v>0</v>
      </c>
      <c r="P101" s="197">
        <f>'Sponsor Operating Model'!P233*-1000000</f>
        <v>0</v>
      </c>
      <c r="Q101" s="197"/>
      <c r="R101" s="289"/>
      <c r="S101" s="316" t="str">
        <f>IFERROR((INDEX(101:101,MATCH(DATE('Control Panel'!$B$13,'Control Panel'!$B$6,'Control Panel'!$B$7),'Scenarios onshore'!$10:$10,0))/INDEX(100:100,MATCH(DATE('Control Panel'!$B$4+'Control Panel'!$B$5-1,'Control Panel'!$B$6,'Control Panel'!$B$7),'Scenarios onshore'!$10:$10,0)))^(1/('Control Panel'!$B$13-'Control Panel'!$B$12+1))-1,"n.a.")</f>
        <v>n.a.</v>
      </c>
    </row>
    <row r="102" spans="1:19" ht="14.4">
      <c r="A102" s="1"/>
      <c r="B102" s="1"/>
      <c r="C102" s="1"/>
      <c r="D102" s="255" t="str">
        <f>$D$22</f>
        <v>Flat</v>
      </c>
      <c r="E102" s="197"/>
      <c r="F102" s="197"/>
      <c r="G102" s="197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289"/>
      <c r="S102" s="316" t="str">
        <f>IFERROR((INDEX(102:102,MATCH(DATE('Control Panel'!$B$13,'Control Panel'!$B$6,'Control Panel'!$B$7),'Scenarios onshore'!$10:$10,0))/INDEX(100:100,MATCH(DATE('Control Panel'!$B$4+'Control Panel'!$B$5-1,'Control Panel'!$B$6,'Control Panel'!$B$7),'Scenarios onshore'!$10:$10,0)))^(1/('Control Panel'!$B$13-'Control Panel'!$B$12+1))-1,"n.a.")</f>
        <v>n.a.</v>
      </c>
    </row>
    <row r="103" spans="1:19" ht="14.4">
      <c r="A103" s="1"/>
      <c r="B103" s="1"/>
      <c r="C103" s="1"/>
      <c r="D103" s="255" t="str">
        <f>$D$23</f>
        <v>Bank case</v>
      </c>
      <c r="E103" s="197"/>
      <c r="F103" s="197"/>
      <c r="G103" s="197"/>
      <c r="H103" s="197"/>
      <c r="I103" s="197">
        <f>H92*0.09</f>
        <v>0</v>
      </c>
      <c r="J103" s="197">
        <f>I95*0.09</f>
        <v>0</v>
      </c>
      <c r="K103" s="197">
        <f t="shared" ref="K103:P103" si="47">J95*0.09</f>
        <v>0</v>
      </c>
      <c r="L103" s="197" t="e">
        <f t="shared" si="47"/>
        <v>#VALUE!</v>
      </c>
      <c r="M103" s="197" t="e">
        <f t="shared" si="47"/>
        <v>#VALUE!</v>
      </c>
      <c r="N103" s="197" t="e">
        <f t="shared" si="47"/>
        <v>#VALUE!</v>
      </c>
      <c r="O103" s="197" t="e">
        <f t="shared" si="47"/>
        <v>#VALUE!</v>
      </c>
      <c r="P103" s="197" t="e">
        <f t="shared" si="47"/>
        <v>#VALUE!</v>
      </c>
      <c r="Q103" s="197"/>
      <c r="R103" s="289"/>
      <c r="S103" s="316" t="str">
        <f>IFERROR((INDEX(103:103,MATCH(DATE('Control Panel'!$B$13,'Control Panel'!$B$6,'Control Panel'!$B$7),'Scenarios onshore'!$10:$10,0))/INDEX(100:100,MATCH(DATE('Control Panel'!$B$4+'Control Panel'!$B$5-1,'Control Panel'!$B$6,'Control Panel'!$B$7),'Scenarios onshore'!$10:$10,0)))^(1/('Control Panel'!$B$13-'Control Panel'!$B$12+1))-1,"n.a.")</f>
        <v>n.a.</v>
      </c>
    </row>
    <row r="104" spans="1:19" ht="14.4">
      <c r="A104" s="1"/>
      <c r="B104" s="1"/>
      <c r="C104" s="1"/>
      <c r="D104" s="255" t="str">
        <f>$D$24</f>
        <v>Bank worse</v>
      </c>
      <c r="E104" s="197"/>
      <c r="F104" s="197"/>
      <c r="G104" s="197"/>
      <c r="H104" s="197"/>
      <c r="I104" s="197">
        <f>I103</f>
        <v>0</v>
      </c>
      <c r="J104" s="197">
        <f>I96*0.09</f>
        <v>0</v>
      </c>
      <c r="K104" s="197">
        <f t="shared" ref="K104:P104" si="48">J96*0.09</f>
        <v>0</v>
      </c>
      <c r="L104" s="197" t="e">
        <f t="shared" si="48"/>
        <v>#VALUE!</v>
      </c>
      <c r="M104" s="197" t="e">
        <f t="shared" si="48"/>
        <v>#VALUE!</v>
      </c>
      <c r="N104" s="197" t="e">
        <f t="shared" si="48"/>
        <v>#VALUE!</v>
      </c>
      <c r="O104" s="197" t="e">
        <f t="shared" si="48"/>
        <v>#VALUE!</v>
      </c>
      <c r="P104" s="197" t="e">
        <f t="shared" si="48"/>
        <v>#VALUE!</v>
      </c>
      <c r="Q104" s="197"/>
      <c r="R104" s="289"/>
      <c r="S104" s="316" t="str">
        <f>IFERROR((INDEX(104:104,MATCH(DATE('Control Panel'!$B$13,'Control Panel'!$B$6,'Control Panel'!$B$7),'Scenarios onshore'!$10:$10,0))/INDEX(100:100,MATCH(DATE('Control Panel'!$B$4+'Control Panel'!$B$5-1,'Control Panel'!$B$6,'Control Panel'!$B$7),'Scenarios onshore'!$10:$10,0)))^(1/('Control Panel'!$B$13-'Control Panel'!$B$12+1))-1,"n.a.")</f>
        <v>n.a.</v>
      </c>
    </row>
    <row r="105" spans="1:19" ht="14.4">
      <c r="A105" s="1"/>
      <c r="B105" s="1"/>
      <c r="C105" s="88"/>
      <c r="D105" s="1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</row>
    <row r="106" spans="1:19" ht="14.4">
      <c r="A106" s="34"/>
      <c r="B106" s="180"/>
      <c r="C106" s="180" t="s">
        <v>1574</v>
      </c>
      <c r="D106" s="180" t="s">
        <v>604</v>
      </c>
      <c r="E106" s="180">
        <f t="shared" ref="E106:Q106" si="49">IF(E$5,INDEX(E109:E112,$D$2),E108)</f>
        <v>0</v>
      </c>
      <c r="F106" s="180">
        <f t="shared" si="49"/>
        <v>0</v>
      </c>
      <c r="G106" s="180">
        <f t="shared" si="49"/>
        <v>0</v>
      </c>
      <c r="H106" s="180">
        <f>IF(H$5,INDEX(H109:H112,$D$2),H108)</f>
        <v>0</v>
      </c>
      <c r="I106" s="180">
        <f t="shared" si="49"/>
        <v>0</v>
      </c>
      <c r="J106" s="180">
        <f t="shared" si="49"/>
        <v>0</v>
      </c>
      <c r="K106" s="180">
        <f t="shared" si="49"/>
        <v>0</v>
      </c>
      <c r="L106" s="180">
        <f t="shared" si="49"/>
        <v>0</v>
      </c>
      <c r="M106" s="180">
        <f t="shared" si="49"/>
        <v>0</v>
      </c>
      <c r="N106" s="180">
        <f t="shared" si="49"/>
        <v>0</v>
      </c>
      <c r="O106" s="180">
        <f t="shared" si="49"/>
        <v>0</v>
      </c>
      <c r="P106" s="180">
        <f t="shared" si="49"/>
        <v>0</v>
      </c>
      <c r="Q106" s="180">
        <f t="shared" si="49"/>
        <v>0</v>
      </c>
      <c r="R106" s="315" t="str">
        <f>IFERROR((INDEX(106:106,MATCH(DATE('Control Panel'!$B$4+'Control Panel'!$B$5-1,'Control Panel'!$B$6,'Control Panel'!$B$7),'Scenarios onshore'!$10:$10,0))/INDEX(106:106,MATCH(DATE('Control Panel'!$B$4,'Control Panel'!$B$6,'Control Panel'!$B$7),'Scenarios onshore'!$10:$10,0)))^(1/('Control Panel'!$B$5-1))-1,"n.a.")</f>
        <v>n.a.</v>
      </c>
      <c r="S106" s="315" t="str">
        <f>IFERROR((INDEX(106:106,MATCH(DATE('Control Panel'!$B$13,'Control Panel'!$B$6,'Control Panel'!$B$7),'Scenarios onshore'!$10:$10,0))/INDEX(106:106,MATCH(DATE('Control Panel'!$B$4+'Control Panel'!$B$5-1,'Control Panel'!$B$6,'Control Panel'!$B$7),'Scenarios onshore'!$10:$10,0)))^(1/('Control Panel'!$B$13-'Control Panel'!$B$12+1))-1,"n.a.")</f>
        <v>n.a.</v>
      </c>
    </row>
    <row r="107" spans="1:19" ht="14.4">
      <c r="A107" s="183"/>
      <c r="B107" s="183"/>
      <c r="C107" s="183"/>
      <c r="D107" s="183" t="s">
        <v>605</v>
      </c>
      <c r="E107" s="183" t="str">
        <f>IFERROR(E106/E18,"")</f>
        <v/>
      </c>
      <c r="F107" s="183" t="str">
        <f t="shared" ref="F107:Q107" si="50">IFERROR(F106/F18,"")</f>
        <v/>
      </c>
      <c r="G107" s="183" t="str">
        <f t="shared" si="50"/>
        <v/>
      </c>
      <c r="H107" s="183" t="str">
        <f t="shared" si="50"/>
        <v/>
      </c>
      <c r="I107" s="658" t="str">
        <f>IFERROR(I106/I$34,"")</f>
        <v/>
      </c>
      <c r="J107" s="658" t="str">
        <f t="shared" ref="J107:P107" si="51">IFERROR(J106/J$34,"")</f>
        <v/>
      </c>
      <c r="K107" s="658" t="str">
        <f t="shared" si="51"/>
        <v/>
      </c>
      <c r="L107" s="658" t="str">
        <f t="shared" si="51"/>
        <v/>
      </c>
      <c r="M107" s="658" t="str">
        <f t="shared" si="51"/>
        <v/>
      </c>
      <c r="N107" s="658" t="str">
        <f t="shared" si="51"/>
        <v/>
      </c>
      <c r="O107" s="658" t="str">
        <f t="shared" si="51"/>
        <v/>
      </c>
      <c r="P107" s="658" t="str">
        <f t="shared" si="51"/>
        <v/>
      </c>
      <c r="Q107" s="183" t="str">
        <f t="shared" si="50"/>
        <v/>
      </c>
      <c r="R107" s="38"/>
      <c r="S107" s="38"/>
    </row>
    <row r="108" spans="1:19">
      <c r="A108" s="255"/>
      <c r="B108" s="255"/>
      <c r="C108" s="255"/>
      <c r="D108" s="255" t="s">
        <v>599</v>
      </c>
      <c r="E108" s="255">
        <f>IFERROR(E92-D92+E100,0)</f>
        <v>0</v>
      </c>
      <c r="F108" s="255">
        <f t="shared" ref="F108:Q108" si="52">IFERROR(F92-E92+F100,0)</f>
        <v>0</v>
      </c>
      <c r="G108" s="255">
        <f t="shared" si="52"/>
        <v>0</v>
      </c>
      <c r="H108" s="255">
        <f t="shared" si="52"/>
        <v>0</v>
      </c>
      <c r="I108" s="255">
        <f t="shared" si="52"/>
        <v>0</v>
      </c>
      <c r="J108" s="255">
        <f t="shared" si="52"/>
        <v>0</v>
      </c>
      <c r="K108" s="255">
        <f t="shared" si="52"/>
        <v>0</v>
      </c>
      <c r="L108" s="255">
        <f t="shared" si="52"/>
        <v>0</v>
      </c>
      <c r="M108" s="255">
        <f t="shared" si="52"/>
        <v>0</v>
      </c>
      <c r="N108" s="255">
        <f t="shared" si="52"/>
        <v>0</v>
      </c>
      <c r="O108" s="255">
        <f t="shared" si="52"/>
        <v>0</v>
      </c>
      <c r="P108" s="255">
        <f t="shared" si="52"/>
        <v>0</v>
      </c>
      <c r="Q108" s="255">
        <f t="shared" si="52"/>
        <v>0</v>
      </c>
      <c r="R108" s="316" t="str">
        <f>IFERROR((INDEX(108:108,MATCH(DATE('Control Panel'!$B$4+'Control Panel'!$B$5-1,'Control Panel'!$B$6,'Control Panel'!$B$7),'Scenarios onshore'!$10:$10,0))/INDEX(108:108,MATCH(DATE('Control Panel'!$B$4,'Control Panel'!$B$6,'Control Panel'!$B$7),'Scenarios onshore'!$10:$10,0)))^(1/('Control Panel'!$B$5-1))-1,"n.a.")</f>
        <v>n.a.</v>
      </c>
      <c r="S108" s="292"/>
    </row>
    <row r="109" spans="1:19" ht="14.4">
      <c r="A109" s="1"/>
      <c r="B109" s="1"/>
      <c r="C109" s="1"/>
      <c r="D109" s="255" t="str">
        <f>$D$21</f>
        <v>Sponsor base</v>
      </c>
      <c r="E109" s="197"/>
      <c r="F109" s="197"/>
      <c r="G109" s="197"/>
      <c r="H109" s="197"/>
      <c r="I109" s="197">
        <f>'Sponsor Operating Model'!I273*-1000000</f>
        <v>0</v>
      </c>
      <c r="J109" s="197">
        <f>'Sponsor Operating Model'!J273*-1000000</f>
        <v>0</v>
      </c>
      <c r="K109" s="197">
        <f>'Sponsor Operating Model'!K273*-1000000</f>
        <v>0</v>
      </c>
      <c r="L109" s="197">
        <f>'Sponsor Operating Model'!L273*-1000000</f>
        <v>0</v>
      </c>
      <c r="M109" s="197">
        <f>'Sponsor Operating Model'!M273*-1000000</f>
        <v>0</v>
      </c>
      <c r="N109" s="197">
        <f>'Sponsor Operating Model'!N273*-1000000</f>
        <v>0</v>
      </c>
      <c r="O109" s="197">
        <f>'Sponsor Operating Model'!O273*-1000000</f>
        <v>0</v>
      </c>
      <c r="P109" s="197">
        <f>'Sponsor Operating Model'!P273*-1000000</f>
        <v>0</v>
      </c>
      <c r="Q109" s="197"/>
      <c r="R109" s="289"/>
      <c r="S109" s="316" t="str">
        <f>IFERROR((INDEX(109:109,MATCH(DATE('Control Panel'!$B$13,'Control Panel'!$B$6,'Control Panel'!$B$7),'Scenarios onshore'!$10:$10,0))/INDEX(108:108,MATCH(DATE('Control Panel'!$B$4+'Control Panel'!$B$5-1,'Control Panel'!$B$6,'Control Panel'!$B$7),'Scenarios onshore'!$10:$10,0)))^(1/('Control Panel'!$B$13-'Control Panel'!$B$12+1))-1,"n.a.")</f>
        <v>n.a.</v>
      </c>
    </row>
    <row r="110" spans="1:19" ht="14.4">
      <c r="A110" s="1"/>
      <c r="B110" s="1"/>
      <c r="C110" s="1"/>
      <c r="D110" s="255" t="str">
        <f>$D$22</f>
        <v>Flat</v>
      </c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>
        <f t="shared" ref="Q110" si="53">Q109</f>
        <v>0</v>
      </c>
      <c r="R110" s="289"/>
      <c r="S110" s="316" t="str">
        <f>IFERROR((INDEX(110:110,MATCH(DATE('Control Panel'!$B$13,'Control Panel'!$B$6,'Control Panel'!$B$7),'Scenarios onshore'!$10:$10,0))/INDEX(108:108,MATCH(DATE('Control Panel'!$B$4+'Control Panel'!$B$5-1,'Control Panel'!$B$6,'Control Panel'!$B$7),'Scenarios onshore'!$10:$10,0)))^(1/('Control Panel'!$B$13-'Control Panel'!$B$12+1))-1,"n.a.")</f>
        <v>n.a.</v>
      </c>
    </row>
    <row r="111" spans="1:19" ht="14.4">
      <c r="A111" s="1"/>
      <c r="B111" s="1"/>
      <c r="C111" s="1"/>
      <c r="D111" s="255" t="str">
        <f>$D$23</f>
        <v>Bank case</v>
      </c>
      <c r="E111" s="197"/>
      <c r="F111" s="197"/>
      <c r="G111" s="197"/>
      <c r="H111" s="197"/>
      <c r="I111" s="197">
        <f>I109</f>
        <v>0</v>
      </c>
      <c r="J111" s="197">
        <f>J39*0.05</f>
        <v>0</v>
      </c>
      <c r="K111" s="197">
        <f t="shared" ref="K111:P111" si="54">K39*0.05</f>
        <v>0</v>
      </c>
      <c r="L111" s="197">
        <f t="shared" si="54"/>
        <v>0</v>
      </c>
      <c r="M111" s="197">
        <f t="shared" si="54"/>
        <v>0</v>
      </c>
      <c r="N111" s="197">
        <f t="shared" si="54"/>
        <v>0</v>
      </c>
      <c r="O111" s="197">
        <f t="shared" si="54"/>
        <v>0</v>
      </c>
      <c r="P111" s="197">
        <f t="shared" si="54"/>
        <v>0</v>
      </c>
      <c r="Q111" s="197">
        <f>Q109</f>
        <v>0</v>
      </c>
      <c r="R111" s="289"/>
      <c r="S111" s="316" t="str">
        <f>IFERROR((INDEX(111:111,MATCH(DATE('Control Panel'!$B$13,'Control Panel'!$B$6,'Control Panel'!$B$7),'Scenarios onshore'!$10:$10,0))/INDEX(108:108,MATCH(DATE('Control Panel'!$B$4+'Control Panel'!$B$5-1,'Control Panel'!$B$6,'Control Panel'!$B$7),'Scenarios onshore'!$10:$10,0)))^(1/('Control Panel'!$B$13-'Control Panel'!$B$12+1))-1,"n.a.")</f>
        <v>n.a.</v>
      </c>
    </row>
    <row r="112" spans="1:19" ht="14.4">
      <c r="A112" s="1"/>
      <c r="B112" s="1"/>
      <c r="C112" s="1"/>
      <c r="D112" s="255" t="str">
        <f>$D$24</f>
        <v>Bank worse</v>
      </c>
      <c r="E112" s="197"/>
      <c r="F112" s="197"/>
      <c r="G112" s="197"/>
      <c r="H112" s="197"/>
      <c r="I112" s="197">
        <f>I111</f>
        <v>0</v>
      </c>
      <c r="J112" s="197">
        <f>J40*0.05</f>
        <v>0</v>
      </c>
      <c r="K112" s="197">
        <f t="shared" ref="K112:P112" si="55">K40*0.05</f>
        <v>0</v>
      </c>
      <c r="L112" s="197">
        <f t="shared" si="55"/>
        <v>0</v>
      </c>
      <c r="M112" s="197">
        <f t="shared" si="55"/>
        <v>0</v>
      </c>
      <c r="N112" s="197">
        <f t="shared" si="55"/>
        <v>0</v>
      </c>
      <c r="O112" s="197">
        <f t="shared" si="55"/>
        <v>0</v>
      </c>
      <c r="P112" s="197">
        <f t="shared" si="55"/>
        <v>0</v>
      </c>
      <c r="Q112" s="197"/>
      <c r="R112" s="289"/>
      <c r="S112" s="316" t="str">
        <f>IFERROR((INDEX(112:112,MATCH(DATE('Control Panel'!$B$13,'Control Panel'!$B$6,'Control Panel'!$B$7),'Scenarios onshore'!$10:$10,0))/INDEX(108:108,MATCH(DATE('Control Panel'!$B$4+'Control Panel'!$B$5-1,'Control Panel'!$B$6,'Control Panel'!$B$7),'Scenarios onshore'!$10:$10,0)))^(1/('Control Panel'!$B$13-'Control Panel'!$B$12+1))-1,"n.a.")</f>
        <v>n.a.</v>
      </c>
    </row>
    <row r="113" spans="1:19" ht="14.4">
      <c r="A113" s="1"/>
      <c r="B113" s="1"/>
      <c r="C113" s="88"/>
      <c r="D113" s="94"/>
      <c r="E113" s="287"/>
      <c r="F113" s="287"/>
      <c r="G113" s="287"/>
      <c r="H113" s="287"/>
      <c r="I113" s="287"/>
      <c r="J113" s="287"/>
      <c r="K113" s="287"/>
      <c r="L113" s="287"/>
      <c r="M113" s="287"/>
      <c r="N113" s="287"/>
      <c r="O113" s="287"/>
      <c r="P113" s="287"/>
      <c r="Q113" s="287"/>
    </row>
    <row r="114" spans="1:19" ht="14.4">
      <c r="A114" s="34"/>
      <c r="B114" s="180"/>
      <c r="C114" s="180" t="s">
        <v>1575</v>
      </c>
      <c r="D114" s="180" t="s">
        <v>604</v>
      </c>
      <c r="E114" s="180">
        <f t="shared" ref="E114:Q114" si="56">IF(E$5,INDEX(E116:E119,$D$2),E115)</f>
        <v>0</v>
      </c>
      <c r="F114" s="180">
        <f t="shared" si="56"/>
        <v>0</v>
      </c>
      <c r="G114" s="180">
        <f t="shared" si="56"/>
        <v>0</v>
      </c>
      <c r="H114" s="180">
        <f t="shared" si="56"/>
        <v>0</v>
      </c>
      <c r="I114" s="180">
        <f t="shared" si="56"/>
        <v>0</v>
      </c>
      <c r="J114" s="180">
        <f t="shared" si="56"/>
        <v>0</v>
      </c>
      <c r="K114" s="180" t="e">
        <f t="shared" si="56"/>
        <v>#VALUE!</v>
      </c>
      <c r="L114" s="180" t="e">
        <f t="shared" si="56"/>
        <v>#VALUE!</v>
      </c>
      <c r="M114" s="180" t="e">
        <f t="shared" si="56"/>
        <v>#VALUE!</v>
      </c>
      <c r="N114" s="180" t="e">
        <f t="shared" si="56"/>
        <v>#VALUE!</v>
      </c>
      <c r="O114" s="180" t="e">
        <f t="shared" si="56"/>
        <v>#VALUE!</v>
      </c>
      <c r="P114" s="180" t="str">
        <f t="shared" si="56"/>
        <v/>
      </c>
      <c r="Q114" s="180" t="str">
        <f t="shared" si="56"/>
        <v/>
      </c>
      <c r="R114" s="315" t="str">
        <f>IFERROR((INDEX(114:114,MATCH(DATE('Control Panel'!$B$4+'Control Panel'!$B$5-1,'Control Panel'!$B$6,'Control Panel'!$B$7),'Scenarios onshore'!$10:$10,0))/INDEX(114:114,MATCH(DATE('Control Panel'!$B$4,'Control Panel'!$B$6,'Control Panel'!$B$7),'Scenarios onshore'!$10:$10,0)))^(1/('Control Panel'!$B$5-1))-1,"n.a.")</f>
        <v>n.a.</v>
      </c>
      <c r="S114" s="315" t="str">
        <f>IFERROR((INDEX(114:114,MATCH(DATE('Control Panel'!$B$13,'Control Panel'!$B$6,'Control Panel'!$B$7),'Scenarios onshore'!$10:$10,0))/INDEX(114:114,MATCH(DATE('Control Panel'!$B$4+'Control Panel'!$B$5-1,'Control Panel'!$B$6,'Control Panel'!$B$7),'Scenarios onshore'!$10:$10,0)))^(1/('Control Panel'!$B$13-'Control Panel'!$B$12+1))-1,"n.a.")</f>
        <v>n.a.</v>
      </c>
    </row>
    <row r="115" spans="1:19">
      <c r="A115" s="255"/>
      <c r="B115" s="255"/>
      <c r="C115" s="255"/>
      <c r="D115" s="255" t="s">
        <v>599</v>
      </c>
      <c r="E115" s="255">
        <f>IFERROR(Input_unit*(E$4&lt;$D$1)*SUMIF('Historical BU2'!$A$89:$A$419,"ITG",INDEX('Historical BU2'!$D$89:$EE$419,0,MATCH(E$4,'Historical BU2'!$D$84:$EE$84,0))),"")</f>
        <v>0</v>
      </c>
      <c r="F115" s="255">
        <f>IFERROR(Input_unit*(F$4&lt;$D$1)*SUMIF('Historical BU2'!$A$89:$A$419,"ITG",INDEX('Historical BU2'!$D$89:$EE$419,0,MATCH(F$4,'Historical BU2'!$D$84:$EE$84,0))),"")</f>
        <v>0</v>
      </c>
      <c r="G115" s="255">
        <f>IFERROR(Input_unit*(G$4&lt;$D$1)*SUMIF('Historical BU2'!$A$89:$A$419,"ITG",INDEX('Historical BU2'!$D$89:$EE$419,0,MATCH(G$4,'Historical BU2'!$D$84:$EE$84,0))),"")</f>
        <v>0</v>
      </c>
      <c r="H115" s="255">
        <f>IFERROR(Input_unit*(H$4&lt;$D$1)*SUMIF('Historical BU2'!$A$89:$A$419,"ITG",INDEX('Historical BU2'!$D$89:$EE$419,0,MATCH(H$4,'Historical BU2'!$D$84:$EE$84,0))),"")</f>
        <v>0</v>
      </c>
      <c r="I115" s="255">
        <f>IFERROR(Input_unit*(I$4&lt;$D$1)*SUMIF('Historical BU2'!$A$89:$A$419,"ITG",INDEX('Historical BU2'!$D$89:$EE$419,0,MATCH(I$4,'Historical BU2'!$D$84:$EE$84,0))),"")</f>
        <v>0</v>
      </c>
      <c r="J115" s="255" t="str">
        <f>IFERROR(Input_unit*(J$4&lt;$D$1)*SUMIF('Historical BU2'!$A$89:$A$419,"ITG",INDEX('Historical BU2'!$D$89:$EE$419,0,MATCH(J$4,'Historical BU2'!$D$84:$EE$84,0))),"")</f>
        <v/>
      </c>
      <c r="K115" s="255" t="str">
        <f>IFERROR(Input_unit*(K$4&lt;$D$1)*SUMIF('Historical BU2'!$A$89:$A$419,"ITG",INDEX('Historical BU2'!$D$89:$EE$419,0,MATCH(K$4,'Historical BU2'!$D$84:$EE$84,0))),"")</f>
        <v/>
      </c>
      <c r="L115" s="255" t="str">
        <f>IFERROR(Input_unit*(L$4&lt;$D$1)*SUMIF('Historical BU2'!$A$89:$A$419,"ITG",INDEX('Historical BU2'!$D$89:$EE$419,0,MATCH(L$4,'Historical BU2'!$D$84:$EE$84,0))),"")</f>
        <v/>
      </c>
      <c r="M115" s="255" t="str">
        <f>IFERROR(Input_unit*(M$4&lt;$D$1)*SUMIF('Historical BU2'!$A$89:$A$419,"ITG",INDEX('Historical BU2'!$D$89:$EE$419,0,MATCH(M$4,'Historical BU2'!$D$84:$EE$84,0))),"")</f>
        <v/>
      </c>
      <c r="N115" s="255" t="str">
        <f>IFERROR(Input_unit*(N$4&lt;$D$1)*SUMIF('Historical BU2'!$A$89:$A$419,"ITG",INDEX('Historical BU2'!$D$89:$EE$419,0,MATCH(N$4,'Historical BU2'!$D$84:$EE$84,0))),"")</f>
        <v/>
      </c>
      <c r="O115" s="255" t="str">
        <f>IFERROR(Input_unit*(O$4&lt;$D$1)*SUMIF('Historical BU2'!$A$89:$A$419,"ITG",INDEX('Historical BU2'!$D$89:$EE$419,0,MATCH(O$4,'Historical BU2'!$D$84:$EE$84,0))),"")</f>
        <v/>
      </c>
      <c r="P115" s="255" t="str">
        <f>IFERROR(Input_unit*(P$4&lt;$D$1)*SUMIF('Historical BU2'!$A$89:$A$419,"ITG",INDEX('Historical BU2'!$D$89:$EE$419,0,MATCH(P$4,'Historical BU2'!$D$84:$EE$84,0))),"")</f>
        <v/>
      </c>
      <c r="Q115" s="255" t="str">
        <f>IFERROR(Input_unit*(Q$4&lt;$D$1)*SUMIF('Historical BU2'!$A$89:$A$419,"ITG",INDEX('Historical BU2'!$D$89:$EE$419,0,MATCH(Q$4,'Historical BU2'!$D$84:$EE$84,0))),"")</f>
        <v/>
      </c>
      <c r="R115" s="316" t="str">
        <f>IFERROR((INDEX(115:115,MATCH(DATE('Control Panel'!$B$4+'Control Panel'!$B$5-1,'Control Panel'!$B$6,'Control Panel'!$B$7),'Scenarios onshore'!$10:$10,0))/INDEX(115:115,MATCH(DATE('Control Panel'!$B$4,'Control Panel'!$B$6,'Control Panel'!$B$7),'Scenarios onshore'!$10:$10,0)))^(1/('Control Panel'!$B$5-1))-1,"n.a.")</f>
        <v>n.a.</v>
      </c>
      <c r="S115" s="292"/>
    </row>
    <row r="116" spans="1:19" ht="14.4">
      <c r="A116" s="1"/>
      <c r="B116" s="1"/>
      <c r="C116" s="1"/>
      <c r="D116" s="255" t="str">
        <f>$D$21</f>
        <v>Sponsor base</v>
      </c>
      <c r="E116" s="291">
        <f t="shared" ref="E116:Q119" si="57">IF(E$5,IF(D116&gt;0,D116+E132-E124,D$115+E132-E124),0)</f>
        <v>0</v>
      </c>
      <c r="F116" s="291">
        <f t="shared" si="57"/>
        <v>0</v>
      </c>
      <c r="G116" s="291">
        <f t="shared" si="57"/>
        <v>0</v>
      </c>
      <c r="H116" s="291">
        <f t="shared" si="57"/>
        <v>0</v>
      </c>
      <c r="I116" s="291">
        <f t="shared" si="57"/>
        <v>0</v>
      </c>
      <c r="J116" s="291">
        <f>IF(J$5,IF(I116&gt;0,I116+J132-J124,I$115+J132-J124),0)</f>
        <v>0</v>
      </c>
      <c r="K116" s="291" t="e">
        <f t="shared" si="57"/>
        <v>#VALUE!</v>
      </c>
      <c r="L116" s="291" t="e">
        <f t="shared" si="57"/>
        <v>#VALUE!</v>
      </c>
      <c r="M116" s="291" t="e">
        <f t="shared" si="57"/>
        <v>#VALUE!</v>
      </c>
      <c r="N116" s="291" t="e">
        <f t="shared" si="57"/>
        <v>#VALUE!</v>
      </c>
      <c r="O116" s="291" t="e">
        <f t="shared" si="57"/>
        <v>#VALUE!</v>
      </c>
      <c r="P116" s="291">
        <f t="shared" si="57"/>
        <v>0</v>
      </c>
      <c r="Q116" s="291">
        <f t="shared" si="57"/>
        <v>0</v>
      </c>
      <c r="R116" s="289"/>
      <c r="S116" s="316" t="str">
        <f>IFERROR((INDEX(116:116,MATCH(DATE('Control Panel'!$B$13,'Control Panel'!$B$6,'Control Panel'!$B$7),'Scenarios onshore'!$10:$10,0))/INDEX(115:115,MATCH(DATE('Control Panel'!$B$4+'Control Panel'!$B$5-1,'Control Panel'!$B$6,'Control Panel'!$B$7),'Scenarios onshore'!$10:$10,0)))^(1/('Control Panel'!$B$13-'Control Panel'!$B$12+1))-1,"n.a.")</f>
        <v>n.a.</v>
      </c>
    </row>
    <row r="117" spans="1:19" ht="14.4">
      <c r="A117" s="1"/>
      <c r="B117" s="1"/>
      <c r="C117" s="1"/>
      <c r="D117" s="255" t="str">
        <f>$D$22</f>
        <v>Flat</v>
      </c>
      <c r="E117" s="291">
        <f t="shared" si="57"/>
        <v>0</v>
      </c>
      <c r="F117" s="291">
        <f t="shared" si="57"/>
        <v>0</v>
      </c>
      <c r="G117" s="291">
        <f t="shared" si="57"/>
        <v>0</v>
      </c>
      <c r="H117" s="291">
        <f t="shared" si="57"/>
        <v>0</v>
      </c>
      <c r="I117" s="291">
        <f t="shared" si="57"/>
        <v>0</v>
      </c>
      <c r="J117" s="291">
        <f t="shared" si="57"/>
        <v>0</v>
      </c>
      <c r="K117" s="291" t="e">
        <f t="shared" si="57"/>
        <v>#VALUE!</v>
      </c>
      <c r="L117" s="291" t="e">
        <f t="shared" si="57"/>
        <v>#VALUE!</v>
      </c>
      <c r="M117" s="291" t="e">
        <f t="shared" si="57"/>
        <v>#VALUE!</v>
      </c>
      <c r="N117" s="291" t="e">
        <f t="shared" si="57"/>
        <v>#VALUE!</v>
      </c>
      <c r="O117" s="291" t="e">
        <f t="shared" si="57"/>
        <v>#VALUE!</v>
      </c>
      <c r="P117" s="291">
        <f t="shared" si="57"/>
        <v>0</v>
      </c>
      <c r="Q117" s="291">
        <f t="shared" si="57"/>
        <v>0</v>
      </c>
      <c r="R117" s="289"/>
      <c r="S117" s="316" t="str">
        <f>IFERROR((INDEX(117:117,MATCH(DATE('Control Panel'!$B$13,'Control Panel'!$B$6,'Control Panel'!$B$7),'Scenarios onshore'!$10:$10,0))/INDEX(115:115,MATCH(DATE('Control Panel'!$B$4+'Control Panel'!$B$5-1,'Control Panel'!$B$6,'Control Panel'!$B$7),'Scenarios onshore'!$10:$10,0)))^(1/('Control Panel'!$B$13-'Control Panel'!$B$12+1))-1,"n.a.")</f>
        <v>n.a.</v>
      </c>
    </row>
    <row r="118" spans="1:19" ht="14.4">
      <c r="A118" s="1"/>
      <c r="B118" s="1"/>
      <c r="C118" s="1"/>
      <c r="D118" s="255" t="str">
        <f>$D$23</f>
        <v>Bank case</v>
      </c>
      <c r="E118" s="291">
        <f t="shared" si="57"/>
        <v>0</v>
      </c>
      <c r="F118" s="291">
        <f t="shared" si="57"/>
        <v>0</v>
      </c>
      <c r="G118" s="291">
        <f t="shared" si="57"/>
        <v>0</v>
      </c>
      <c r="H118" s="291">
        <f t="shared" si="57"/>
        <v>0</v>
      </c>
      <c r="I118" s="291">
        <f t="shared" si="57"/>
        <v>0</v>
      </c>
      <c r="J118" s="291">
        <f t="shared" si="57"/>
        <v>0</v>
      </c>
      <c r="K118" s="291" t="e">
        <f t="shared" si="57"/>
        <v>#VALUE!</v>
      </c>
      <c r="L118" s="291" t="e">
        <f t="shared" si="57"/>
        <v>#VALUE!</v>
      </c>
      <c r="M118" s="291" t="e">
        <f t="shared" si="57"/>
        <v>#VALUE!</v>
      </c>
      <c r="N118" s="291" t="e">
        <f t="shared" si="57"/>
        <v>#VALUE!</v>
      </c>
      <c r="O118" s="291" t="e">
        <f t="shared" si="57"/>
        <v>#VALUE!</v>
      </c>
      <c r="P118" s="291">
        <f t="shared" si="57"/>
        <v>0</v>
      </c>
      <c r="Q118" s="291">
        <f t="shared" si="57"/>
        <v>0</v>
      </c>
      <c r="R118" s="289"/>
      <c r="S118" s="316" t="str">
        <f>IFERROR((INDEX(118:118,MATCH(DATE('Control Panel'!$B$13,'Control Panel'!$B$6,'Control Panel'!$B$7),'Scenarios onshore'!$10:$10,0))/INDEX(115:115,MATCH(DATE('Control Panel'!$B$4+'Control Panel'!$B$5-1,'Control Panel'!$B$6,'Control Panel'!$B$7),'Scenarios onshore'!$10:$10,0)))^(1/('Control Panel'!$B$13-'Control Panel'!$B$12+1))-1,"n.a.")</f>
        <v>n.a.</v>
      </c>
    </row>
    <row r="119" spans="1:19" ht="14.4">
      <c r="A119" s="1"/>
      <c r="B119" s="1"/>
      <c r="C119" s="1"/>
      <c r="D119" s="255" t="str">
        <f>$D$24</f>
        <v>Bank worse</v>
      </c>
      <c r="E119" s="291">
        <f t="shared" si="57"/>
        <v>0</v>
      </c>
      <c r="F119" s="291">
        <f t="shared" si="57"/>
        <v>0</v>
      </c>
      <c r="G119" s="291">
        <f t="shared" si="57"/>
        <v>0</v>
      </c>
      <c r="H119" s="291">
        <f t="shared" si="57"/>
        <v>0</v>
      </c>
      <c r="I119" s="291">
        <f t="shared" si="57"/>
        <v>0</v>
      </c>
      <c r="J119" s="291">
        <f t="shared" si="57"/>
        <v>0</v>
      </c>
      <c r="K119" s="291" t="e">
        <f t="shared" si="57"/>
        <v>#VALUE!</v>
      </c>
      <c r="L119" s="291" t="e">
        <f t="shared" si="57"/>
        <v>#VALUE!</v>
      </c>
      <c r="M119" s="291" t="e">
        <f t="shared" si="57"/>
        <v>#VALUE!</v>
      </c>
      <c r="N119" s="291" t="e">
        <f t="shared" si="57"/>
        <v>#VALUE!</v>
      </c>
      <c r="O119" s="291" t="e">
        <f t="shared" si="57"/>
        <v>#VALUE!</v>
      </c>
      <c r="P119" s="291">
        <f t="shared" si="57"/>
        <v>0</v>
      </c>
      <c r="Q119" s="291">
        <f t="shared" si="57"/>
        <v>0</v>
      </c>
      <c r="R119" s="289"/>
      <c r="S119" s="316" t="str">
        <f>IFERROR((INDEX(119:119,MATCH(DATE('Control Panel'!$B$13,'Control Panel'!$B$6,'Control Panel'!$B$7),'Scenarios onshore'!$10:$10,0))/INDEX(115:115,MATCH(DATE('Control Panel'!$B$4+'Control Panel'!$B$5-1,'Control Panel'!$B$6,'Control Panel'!$B$7),'Scenarios onshore'!$10:$10,0)))^(1/('Control Panel'!$B$13-'Control Panel'!$B$12+1))-1,"n.a.")</f>
        <v>n.a.</v>
      </c>
    </row>
    <row r="120" spans="1:19" ht="14.4">
      <c r="A120" s="1"/>
      <c r="B120" s="1"/>
      <c r="C120" s="88"/>
      <c r="D120" s="1"/>
      <c r="E120" s="287"/>
      <c r="F120" s="287"/>
      <c r="G120" s="287"/>
      <c r="H120" s="287"/>
      <c r="I120" s="287"/>
      <c r="J120" s="287"/>
      <c r="K120" s="287"/>
      <c r="L120" s="287"/>
      <c r="M120" s="287"/>
      <c r="N120" s="287"/>
      <c r="O120" s="287"/>
      <c r="P120" s="287"/>
      <c r="Q120" s="287"/>
    </row>
    <row r="121" spans="1:19" ht="14.4">
      <c r="A121" s="34"/>
      <c r="B121" s="180"/>
      <c r="C121" s="180" t="s">
        <v>1576</v>
      </c>
      <c r="D121" s="180" t="s">
        <v>604</v>
      </c>
      <c r="E121" s="180">
        <f t="shared" ref="E121:Q121" si="58">IF(E$5,INDEX(E124:E127,$D$2),E123)</f>
        <v>0</v>
      </c>
      <c r="F121" s="180">
        <f t="shared" si="58"/>
        <v>0</v>
      </c>
      <c r="G121" s="180">
        <f t="shared" si="58"/>
        <v>0</v>
      </c>
      <c r="H121" s="180">
        <f t="shared" si="58"/>
        <v>0</v>
      </c>
      <c r="I121" s="180">
        <f t="shared" si="58"/>
        <v>0</v>
      </c>
      <c r="J121" s="180">
        <f t="shared" si="58"/>
        <v>0</v>
      </c>
      <c r="K121" s="180">
        <f t="shared" si="58"/>
        <v>0</v>
      </c>
      <c r="L121" s="180">
        <f t="shared" si="58"/>
        <v>0</v>
      </c>
      <c r="M121" s="180">
        <f t="shared" si="58"/>
        <v>0</v>
      </c>
      <c r="N121" s="180">
        <f t="shared" si="58"/>
        <v>0</v>
      </c>
      <c r="O121" s="180">
        <f t="shared" si="58"/>
        <v>0</v>
      </c>
      <c r="P121" s="180" t="str">
        <f t="shared" si="58"/>
        <v/>
      </c>
      <c r="Q121" s="180" t="str">
        <f t="shared" si="58"/>
        <v/>
      </c>
      <c r="R121" s="315" t="str">
        <f>IFERROR((INDEX(121:121,MATCH(DATE('Control Panel'!$B$4+'Control Panel'!$B$5-1,'Control Panel'!$B$6,'Control Panel'!$B$7),'Scenarios onshore'!$10:$10,0))/INDEX(121:121,MATCH(DATE('Control Panel'!$B$4,'Control Panel'!$B$6,'Control Panel'!$B$7),'Scenarios onshore'!$10:$10,0)))^(1/('Control Panel'!$B$5-1))-1,"n.a.")</f>
        <v>n.a.</v>
      </c>
      <c r="S121" s="315" t="str">
        <f>IFERROR((INDEX(121:121,MATCH(DATE('Control Panel'!$B$13,'Control Panel'!$B$6,'Control Panel'!$B$7),'Scenarios onshore'!$10:$10,0))/INDEX(121:121,MATCH(DATE('Control Panel'!$B$4+'Control Panel'!$B$5-1,'Control Panel'!$B$6,'Control Panel'!$B$7),'Scenarios onshore'!$10:$10,0)))^(1/('Control Panel'!$B$13-'Control Panel'!$B$12+1))-1,"n.a.")</f>
        <v>n.a.</v>
      </c>
    </row>
    <row r="122" spans="1:19" ht="14.4">
      <c r="A122" s="183"/>
      <c r="B122" s="183"/>
      <c r="C122" s="183"/>
      <c r="D122" s="183" t="s">
        <v>937</v>
      </c>
      <c r="E122" s="183" t="str">
        <f>IFERROR(E121/E114,"")</f>
        <v/>
      </c>
      <c r="F122" s="183" t="str">
        <f t="shared" ref="F122:Q122" si="59">IFERROR(F121/F114,"")</f>
        <v/>
      </c>
      <c r="G122" s="183" t="str">
        <f t="shared" si="59"/>
        <v/>
      </c>
      <c r="H122" s="183" t="str">
        <f t="shared" si="59"/>
        <v/>
      </c>
      <c r="I122" s="183" t="str">
        <f t="shared" si="59"/>
        <v/>
      </c>
      <c r="J122" s="183" t="str">
        <f t="shared" si="59"/>
        <v/>
      </c>
      <c r="K122" s="183" t="str">
        <f t="shared" si="59"/>
        <v/>
      </c>
      <c r="L122" s="183" t="str">
        <f t="shared" si="59"/>
        <v/>
      </c>
      <c r="M122" s="183" t="str">
        <f t="shared" si="59"/>
        <v/>
      </c>
      <c r="N122" s="183" t="str">
        <f t="shared" si="59"/>
        <v/>
      </c>
      <c r="O122" s="183" t="str">
        <f t="shared" si="59"/>
        <v/>
      </c>
      <c r="P122" s="183" t="str">
        <f t="shared" si="59"/>
        <v/>
      </c>
      <c r="Q122" s="183" t="str">
        <f t="shared" si="59"/>
        <v/>
      </c>
      <c r="R122" s="38"/>
      <c r="S122" s="38"/>
    </row>
    <row r="123" spans="1:19">
      <c r="A123" s="255"/>
      <c r="B123" s="255"/>
      <c r="C123" s="255"/>
      <c r="D123" s="255" t="s">
        <v>599</v>
      </c>
      <c r="E123" s="255">
        <f>IFERROR(Input_unit*(E$4&lt;$D$1)*SUMIF('Historical BU2'!$A$89:$A$419,"AMO",INDEX('Historical BU2'!$D$89:$EE$419,0,MATCH(E$4,'Historical BU2'!$D$84:$EE$84,0))),"")</f>
        <v>0</v>
      </c>
      <c r="F123" s="255">
        <f>IFERROR(Input_unit*(F$4&lt;$D$1)*SUMIF('Historical BU2'!$A$89:$A$419,"AMO",INDEX('Historical BU2'!$D$89:$EE$419,0,MATCH(F$4,'Historical BU2'!$D$84:$EE$84,0))),"")</f>
        <v>0</v>
      </c>
      <c r="G123" s="255">
        <f>IFERROR(Input_unit*(G$4&lt;$D$1)*SUMIF('Historical BU2'!$A$89:$A$419,"AMO",INDEX('Historical BU2'!$D$89:$EE$419,0,MATCH(G$4,'Historical BU2'!$D$84:$EE$84,0))),"")</f>
        <v>0</v>
      </c>
      <c r="H123" s="255">
        <f>IFERROR(Input_unit*(H$4&lt;$D$1)*SUMIF('Historical BU2'!$A$89:$A$419,"AMO",INDEX('Historical BU2'!$D$89:$EE$419,0,MATCH(H$4,'Historical BU2'!$D$84:$EE$84,0))),"")</f>
        <v>0</v>
      </c>
      <c r="I123" s="255">
        <f>IFERROR(Input_unit*(I$4&lt;$D$1)*SUMIF('Historical BU2'!$A$89:$A$419,"AMO",INDEX('Historical BU2'!$D$89:$EE$419,0,MATCH(I$4,'Historical BU2'!$D$84:$EE$84,0))),"")</f>
        <v>0</v>
      </c>
      <c r="J123" s="255" t="str">
        <f>IFERROR(Input_unit*(J$4&lt;$D$1)*SUMIF('Historical BU2'!$A$89:$A$419,"AMO",INDEX('Historical BU2'!$D$89:$EE$419,0,MATCH(J$4,'Historical BU2'!$D$84:$EE$84,0))),"")</f>
        <v/>
      </c>
      <c r="K123" s="255" t="str">
        <f>IFERROR(Input_unit*(K$4&lt;$D$1)*SUMIF('Historical BU2'!$A$89:$A$419,"AMO",INDEX('Historical BU2'!$D$89:$EE$419,0,MATCH(K$4,'Historical BU2'!$D$84:$EE$84,0))),"")</f>
        <v/>
      </c>
      <c r="L123" s="255" t="str">
        <f>IFERROR(Input_unit*(L$4&lt;$D$1)*SUMIF('Historical BU2'!$A$89:$A$419,"AMO",INDEX('Historical BU2'!$D$89:$EE$419,0,MATCH(L$4,'Historical BU2'!$D$84:$EE$84,0))),"")</f>
        <v/>
      </c>
      <c r="M123" s="255" t="str">
        <f>IFERROR(Input_unit*(M$4&lt;$D$1)*SUMIF('Historical BU2'!$A$89:$A$419,"AMO",INDEX('Historical BU2'!$D$89:$EE$419,0,MATCH(M$4,'Historical BU2'!$D$84:$EE$84,0))),"")</f>
        <v/>
      </c>
      <c r="N123" s="255" t="str">
        <f>IFERROR(Input_unit*(N$4&lt;$D$1)*SUMIF('Historical BU2'!$A$89:$A$419,"AMO",INDEX('Historical BU2'!$D$89:$EE$419,0,MATCH(N$4,'Historical BU2'!$D$84:$EE$84,0))),"")</f>
        <v/>
      </c>
      <c r="O123" s="255" t="str">
        <f>IFERROR(Input_unit*(O$4&lt;$D$1)*SUMIF('Historical BU2'!$A$89:$A$419,"AMO",INDEX('Historical BU2'!$D$89:$EE$419,0,MATCH(O$4,'Historical BU2'!$D$84:$EE$84,0))),"")</f>
        <v/>
      </c>
      <c r="P123" s="255" t="str">
        <f>IFERROR(Input_unit*(P$4&lt;$D$1)*SUMIF('Historical BU2'!$A$89:$A$419,"AMO",INDEX('Historical BU2'!$D$89:$EE$419,0,MATCH(P$4,'Historical BU2'!$D$84:$EE$84,0))),"")</f>
        <v/>
      </c>
      <c r="Q123" s="255" t="str">
        <f>IFERROR(Input_unit*(Q$4&lt;$D$1)*SUMIF('Historical BU2'!$A$89:$A$419,"AMO",INDEX('Historical BU2'!$D$89:$EE$419,0,MATCH(Q$4,'Historical BU2'!$D$84:$EE$84,0))),"")</f>
        <v/>
      </c>
      <c r="R123" s="316" t="str">
        <f>IFERROR((INDEX(123:123,MATCH(DATE('Control Panel'!$B$4+'Control Panel'!$B$5-1,'Control Panel'!$B$6,'Control Panel'!$B$7),'Scenarios onshore'!$10:$10,0))/INDEX(123:123,MATCH(DATE('Control Panel'!$B$4,'Control Panel'!$B$6,'Control Panel'!$B$7),'Scenarios onshore'!$10:$10,0)))^(1/('Control Panel'!$B$5-1))-1,"n.a.")</f>
        <v>n.a.</v>
      </c>
      <c r="S123" s="292"/>
    </row>
    <row r="124" spans="1:19" ht="14.4">
      <c r="A124" s="1"/>
      <c r="B124" s="1"/>
      <c r="C124" s="1"/>
      <c r="D124" s="255" t="str">
        <f>$D$21</f>
        <v>Sponsor base</v>
      </c>
      <c r="E124" s="197"/>
      <c r="F124" s="197"/>
      <c r="G124" s="197"/>
      <c r="H124" s="197"/>
      <c r="I124" s="197"/>
      <c r="J124" s="197"/>
      <c r="K124" s="197"/>
      <c r="L124" s="197"/>
      <c r="M124" s="197"/>
      <c r="N124" s="197"/>
      <c r="O124" s="197"/>
      <c r="P124" s="197"/>
      <c r="Q124" s="197"/>
      <c r="R124" s="289"/>
      <c r="S124" s="316" t="str">
        <f>IFERROR((INDEX(124:124,MATCH(DATE('Control Panel'!$B$13,'Control Panel'!$B$6,'Control Panel'!$B$7),'Scenarios onshore'!$10:$10,0))/INDEX(123:123,MATCH(DATE('Control Panel'!$B$4+'Control Panel'!$B$5-1,'Control Panel'!$B$6,'Control Panel'!$B$7),'Scenarios onshore'!$10:$10,0)))^(1/('Control Panel'!$B$13-'Control Panel'!$B$12+1))-1,"n.a.")</f>
        <v>n.a.</v>
      </c>
    </row>
    <row r="125" spans="1:19" ht="14.4">
      <c r="A125" s="1"/>
      <c r="B125" s="1"/>
      <c r="C125" s="1"/>
      <c r="D125" s="255" t="str">
        <f>$D$22</f>
        <v>Flat</v>
      </c>
      <c r="E125" s="197"/>
      <c r="F125" s="197"/>
      <c r="G125" s="197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289"/>
      <c r="S125" s="316" t="str">
        <f>IFERROR((INDEX(125:125,MATCH(DATE('Control Panel'!$B$13,'Control Panel'!$B$6,'Control Panel'!$B$7),'Scenarios onshore'!$10:$10,0))/INDEX(123:123,MATCH(DATE('Control Panel'!$B$4+'Control Panel'!$B$5-1,'Control Panel'!$B$6,'Control Panel'!$B$7),'Scenarios onshore'!$10:$10,0)))^(1/('Control Panel'!$B$13-'Control Panel'!$B$12+1))-1,"n.a.")</f>
        <v>n.a.</v>
      </c>
    </row>
    <row r="126" spans="1:19" ht="14.4">
      <c r="A126" s="1"/>
      <c r="B126" s="1"/>
      <c r="C126" s="1"/>
      <c r="D126" s="255" t="str">
        <f>$D$23</f>
        <v>Bank case</v>
      </c>
      <c r="E126" s="197"/>
      <c r="F126" s="197"/>
      <c r="G126" s="197"/>
      <c r="H126" s="197"/>
      <c r="I126" s="197"/>
      <c r="J126" s="197"/>
      <c r="K126" s="197"/>
      <c r="L126" s="197"/>
      <c r="M126" s="197"/>
      <c r="N126" s="197"/>
      <c r="O126" s="197"/>
      <c r="P126" s="197"/>
      <c r="Q126" s="197"/>
      <c r="R126" s="289"/>
      <c r="S126" s="316" t="str">
        <f>IFERROR((INDEX(126:126,MATCH(DATE('Control Panel'!$B$13,'Control Panel'!$B$6,'Control Panel'!$B$7),'Scenarios onshore'!$10:$10,0))/INDEX(123:123,MATCH(DATE('Control Panel'!$B$4+'Control Panel'!$B$5-1,'Control Panel'!$B$6,'Control Panel'!$B$7),'Scenarios onshore'!$10:$10,0)))^(1/('Control Panel'!$B$13-'Control Panel'!$B$12+1))-1,"n.a.")</f>
        <v>n.a.</v>
      </c>
    </row>
    <row r="127" spans="1:19" ht="14.4">
      <c r="A127" s="1"/>
      <c r="B127" s="1"/>
      <c r="C127" s="1"/>
      <c r="D127" s="255" t="str">
        <f>$D$24</f>
        <v>Bank worse</v>
      </c>
      <c r="E127" s="197"/>
      <c r="F127" s="197"/>
      <c r="G127" s="197"/>
      <c r="H127" s="197"/>
      <c r="I127" s="197"/>
      <c r="J127" s="197"/>
      <c r="K127" s="197"/>
      <c r="L127" s="197"/>
      <c r="M127" s="197"/>
      <c r="N127" s="197"/>
      <c r="O127" s="197"/>
      <c r="P127" s="197"/>
      <c r="Q127" s="197"/>
      <c r="R127" s="289"/>
      <c r="S127" s="316" t="str">
        <f>IFERROR((INDEX(127:127,MATCH(DATE('Control Panel'!$B$13,'Control Panel'!$B$6,'Control Panel'!$B$7),'Scenarios onshore'!$10:$10,0))/INDEX(123:123,MATCH(DATE('Control Panel'!$B$4+'Control Panel'!$B$5-1,'Control Panel'!$B$6,'Control Panel'!$B$7),'Scenarios onshore'!$10:$10,0)))^(1/('Control Panel'!$B$13-'Control Panel'!$B$12+1))-1,"n.a.")</f>
        <v>n.a.</v>
      </c>
    </row>
    <row r="128" spans="1:19" ht="14.4">
      <c r="A128" s="1"/>
      <c r="B128" s="1"/>
      <c r="C128" s="88"/>
      <c r="D128" s="1"/>
      <c r="E128" s="287"/>
      <c r="F128" s="287"/>
      <c r="G128" s="287"/>
      <c r="H128" s="287"/>
      <c r="I128" s="287"/>
      <c r="J128" s="287"/>
      <c r="K128" s="287"/>
      <c r="L128" s="287"/>
      <c r="M128" s="287"/>
      <c r="N128" s="287"/>
      <c r="O128" s="287"/>
      <c r="P128" s="287"/>
      <c r="Q128" s="287"/>
    </row>
    <row r="129" spans="1:19" ht="14.4">
      <c r="A129" s="34"/>
      <c r="B129" s="180"/>
      <c r="C129" s="180" t="s">
        <v>1577</v>
      </c>
      <c r="D129" s="180" t="s">
        <v>604</v>
      </c>
      <c r="E129" s="180">
        <f t="shared" ref="E129:Q129" si="60">IF(E$5,INDEX(E132:E135,$D$2),E131)</f>
        <v>0</v>
      </c>
      <c r="F129" s="180">
        <f t="shared" si="60"/>
        <v>0</v>
      </c>
      <c r="G129" s="180">
        <f t="shared" si="60"/>
        <v>0</v>
      </c>
      <c r="H129" s="180">
        <f t="shared" si="60"/>
        <v>0</v>
      </c>
      <c r="I129" s="180">
        <f t="shared" si="60"/>
        <v>0</v>
      </c>
      <c r="J129" s="180">
        <f t="shared" si="60"/>
        <v>0</v>
      </c>
      <c r="K129" s="180">
        <f t="shared" si="60"/>
        <v>0</v>
      </c>
      <c r="L129" s="180">
        <f t="shared" si="60"/>
        <v>0</v>
      </c>
      <c r="M129" s="180">
        <f t="shared" si="60"/>
        <v>0</v>
      </c>
      <c r="N129" s="180">
        <f t="shared" si="60"/>
        <v>0</v>
      </c>
      <c r="O129" s="180">
        <f t="shared" si="60"/>
        <v>0</v>
      </c>
      <c r="P129" s="180">
        <f t="shared" si="60"/>
        <v>0</v>
      </c>
      <c r="Q129" s="180">
        <f t="shared" si="60"/>
        <v>0</v>
      </c>
      <c r="R129" s="315" t="str">
        <f>IFERROR((INDEX(129:129,MATCH(DATE('Control Panel'!$B$4+'Control Panel'!$B$5-1,'Control Panel'!$B$6,'Control Panel'!$B$7),'Scenarios onshore'!$10:$10,0))/INDEX(129:129,MATCH(DATE('Control Panel'!$B$4,'Control Panel'!$B$6,'Control Panel'!$B$7),'Scenarios onshore'!$10:$10,0)))^(1/('Control Panel'!$B$5-1))-1,"n.a.")</f>
        <v>n.a.</v>
      </c>
      <c r="S129" s="315" t="str">
        <f>IFERROR((INDEX(129:129,MATCH(DATE('Control Panel'!$B$13,'Control Panel'!$B$6,'Control Panel'!$B$7),'Scenarios onshore'!$10:$10,0))/INDEX(129:129,MATCH(DATE('Control Panel'!$B$4+'Control Panel'!$B$5-1,'Control Panel'!$B$6,'Control Panel'!$B$7),'Scenarios onshore'!$10:$10,0)))^(1/('Control Panel'!$B$13-'Control Panel'!$B$12+1))-1,"n.a.")</f>
        <v>n.a.</v>
      </c>
    </row>
    <row r="130" spans="1:19" ht="14.4">
      <c r="A130" s="183"/>
      <c r="B130" s="183"/>
      <c r="C130" s="183"/>
      <c r="D130" s="183" t="s">
        <v>605</v>
      </c>
      <c r="E130" s="183" t="str">
        <f>IFERROR(E129/E18,"")</f>
        <v/>
      </c>
      <c r="F130" s="183" t="str">
        <f t="shared" ref="F130:Q130" si="61">IFERROR(F129/F18,"")</f>
        <v/>
      </c>
      <c r="G130" s="183" t="str">
        <f t="shared" si="61"/>
        <v/>
      </c>
      <c r="H130" s="183" t="str">
        <f t="shared" si="61"/>
        <v/>
      </c>
      <c r="I130" s="183" t="str">
        <f t="shared" si="61"/>
        <v/>
      </c>
      <c r="J130" s="183" t="str">
        <f t="shared" si="61"/>
        <v/>
      </c>
      <c r="K130" s="183" t="str">
        <f t="shared" si="61"/>
        <v/>
      </c>
      <c r="L130" s="183" t="str">
        <f t="shared" si="61"/>
        <v/>
      </c>
      <c r="M130" s="183" t="str">
        <f t="shared" si="61"/>
        <v/>
      </c>
      <c r="N130" s="183" t="str">
        <f t="shared" si="61"/>
        <v/>
      </c>
      <c r="O130" s="183" t="str">
        <f t="shared" si="61"/>
        <v/>
      </c>
      <c r="P130" s="183" t="str">
        <f t="shared" si="61"/>
        <v/>
      </c>
      <c r="Q130" s="183" t="str">
        <f t="shared" si="61"/>
        <v/>
      </c>
      <c r="R130" s="38"/>
      <c r="S130" s="38"/>
    </row>
    <row r="131" spans="1:19">
      <c r="A131" s="255"/>
      <c r="B131" s="255"/>
      <c r="C131" s="255"/>
      <c r="D131" s="255" t="s">
        <v>599</v>
      </c>
      <c r="E131" s="255">
        <f>IFERROR(E115-D115+E123,0)</f>
        <v>0</v>
      </c>
      <c r="F131" s="255">
        <f>IFERROR(F115-E115+F123,0)</f>
        <v>0</v>
      </c>
      <c r="G131" s="255">
        <f t="shared" ref="G131:Q131" si="62">IFERROR(G115-F115+G123,0)</f>
        <v>0</v>
      </c>
      <c r="H131" s="255">
        <f t="shared" si="62"/>
        <v>0</v>
      </c>
      <c r="I131" s="255">
        <f t="shared" si="62"/>
        <v>0</v>
      </c>
      <c r="J131" s="255">
        <f t="shared" si="62"/>
        <v>0</v>
      </c>
      <c r="K131" s="255">
        <f t="shared" si="62"/>
        <v>0</v>
      </c>
      <c r="L131" s="255">
        <f t="shared" si="62"/>
        <v>0</v>
      </c>
      <c r="M131" s="255">
        <f t="shared" si="62"/>
        <v>0</v>
      </c>
      <c r="N131" s="255">
        <f t="shared" si="62"/>
        <v>0</v>
      </c>
      <c r="O131" s="255">
        <f t="shared" si="62"/>
        <v>0</v>
      </c>
      <c r="P131" s="255">
        <f t="shared" si="62"/>
        <v>0</v>
      </c>
      <c r="Q131" s="255">
        <f t="shared" si="62"/>
        <v>0</v>
      </c>
      <c r="R131" s="316" t="str">
        <f>IFERROR((INDEX(131:131,MATCH(DATE('Control Panel'!$B$4+'Control Panel'!$B$5-1,'Control Panel'!$B$6,'Control Panel'!$B$7),'Scenarios onshore'!$10:$10,0))/INDEX(131:131,MATCH(DATE('Control Panel'!$B$4,'Control Panel'!$B$6,'Control Panel'!$B$7),'Scenarios onshore'!$10:$10,0)))^(1/('Control Panel'!$B$5-1))-1,"n.a.")</f>
        <v>n.a.</v>
      </c>
      <c r="S131" s="292"/>
    </row>
    <row r="132" spans="1:19" ht="14.4">
      <c r="A132" s="1"/>
      <c r="B132" s="1"/>
      <c r="C132" s="1"/>
      <c r="D132" s="255" t="str">
        <f>$D$21</f>
        <v>Sponsor base</v>
      </c>
      <c r="E132" s="197"/>
      <c r="F132" s="197"/>
      <c r="G132" s="197"/>
      <c r="H132" s="197"/>
      <c r="I132" s="197"/>
      <c r="J132" s="197"/>
      <c r="K132" s="197"/>
      <c r="L132" s="197"/>
      <c r="M132" s="197"/>
      <c r="N132" s="197"/>
      <c r="O132" s="197"/>
      <c r="P132" s="197"/>
      <c r="Q132" s="197"/>
      <c r="R132" s="289"/>
      <c r="S132" s="316" t="str">
        <f>IFERROR((INDEX(132:132,MATCH(DATE('Control Panel'!$B$13,'Control Panel'!$B$6,'Control Panel'!$B$7),'Scenarios onshore'!$10:$10,0))/INDEX(131:131,MATCH(DATE('Control Panel'!$B$4+'Control Panel'!$B$5-1,'Control Panel'!$B$6,'Control Panel'!$B$7),'Scenarios onshore'!$10:$10,0)))^(1/('Control Panel'!$B$13-'Control Panel'!$B$12+1))-1,"n.a.")</f>
        <v>n.a.</v>
      </c>
    </row>
    <row r="133" spans="1:19" ht="14.4">
      <c r="A133" s="1"/>
      <c r="B133" s="1"/>
      <c r="C133" s="1"/>
      <c r="D133" s="255" t="str">
        <f>$D$22</f>
        <v>Flat</v>
      </c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289"/>
      <c r="S133" s="316" t="str">
        <f>IFERROR((INDEX(133:133,MATCH(DATE('Control Panel'!$B$13,'Control Panel'!$B$6,'Control Panel'!$B$7),'Scenarios onshore'!$10:$10,0))/INDEX(131:131,MATCH(DATE('Control Panel'!$B$4+'Control Panel'!$B$5-1,'Control Panel'!$B$6,'Control Panel'!$B$7),'Scenarios onshore'!$10:$10,0)))^(1/('Control Panel'!$B$13-'Control Panel'!$B$12+1))-1,"n.a.")</f>
        <v>n.a.</v>
      </c>
    </row>
    <row r="134" spans="1:19" ht="14.4">
      <c r="A134" s="1"/>
      <c r="B134" s="1"/>
      <c r="C134" s="1"/>
      <c r="D134" s="255" t="str">
        <f>$D$23</f>
        <v>Bank case</v>
      </c>
      <c r="E134" s="197"/>
      <c r="F134" s="197"/>
      <c r="G134" s="197"/>
      <c r="H134" s="197"/>
      <c r="I134" s="197"/>
      <c r="J134" s="197"/>
      <c r="K134" s="197"/>
      <c r="L134" s="197"/>
      <c r="M134" s="197"/>
      <c r="N134" s="197"/>
      <c r="O134" s="197"/>
      <c r="P134" s="197"/>
      <c r="Q134" s="197"/>
      <c r="R134" s="289"/>
      <c r="S134" s="316" t="str">
        <f>IFERROR((INDEX(134:134,MATCH(DATE('Control Panel'!$B$13,'Control Panel'!$B$6,'Control Panel'!$B$7),'Scenarios onshore'!$10:$10,0))/INDEX(131:131,MATCH(DATE('Control Panel'!$B$4+'Control Panel'!$B$5-1,'Control Panel'!$B$6,'Control Panel'!$B$7),'Scenarios onshore'!$10:$10,0)))^(1/('Control Panel'!$B$13-'Control Panel'!$B$12+1))-1,"n.a.")</f>
        <v>n.a.</v>
      </c>
    </row>
    <row r="135" spans="1:19" ht="14.4">
      <c r="A135" s="1"/>
      <c r="B135" s="1"/>
      <c r="C135" s="1"/>
      <c r="D135" s="255" t="str">
        <f>$D$24</f>
        <v>Bank worse</v>
      </c>
      <c r="E135" s="197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289"/>
      <c r="S135" s="316" t="str">
        <f>IFERROR((INDEX(135:135,MATCH(DATE('Control Panel'!$B$13,'Control Panel'!$B$6,'Control Panel'!$B$7),'Scenarios onshore'!$10:$10,0))/INDEX(131:131,MATCH(DATE('Control Panel'!$B$4+'Control Panel'!$B$5-1,'Control Panel'!$B$6,'Control Panel'!$B$7),'Scenarios onshore'!$10:$10,0)))^(1/('Control Panel'!$B$13-'Control Panel'!$B$12+1))-1,"n.a.")</f>
        <v>n.a.</v>
      </c>
    </row>
    <row r="136" spans="1:19" ht="14.4">
      <c r="A136" s="1"/>
      <c r="B136" s="1"/>
      <c r="C136" s="88"/>
      <c r="D136" s="1"/>
      <c r="E136" s="287"/>
      <c r="F136" s="287"/>
      <c r="G136" s="287"/>
      <c r="H136" s="287"/>
      <c r="I136" s="287"/>
      <c r="J136" s="287"/>
      <c r="K136" s="287"/>
      <c r="L136" s="287"/>
      <c r="M136" s="287"/>
      <c r="N136" s="287"/>
      <c r="O136" s="287"/>
      <c r="P136" s="287"/>
      <c r="Q136" s="287"/>
      <c r="R136" s="289"/>
      <c r="S136" s="289"/>
    </row>
    <row r="137" spans="1:19" ht="14.4">
      <c r="A137" s="34"/>
      <c r="B137" s="180" t="s">
        <v>897</v>
      </c>
      <c r="C137" s="180"/>
      <c r="D137" s="180"/>
      <c r="E137" s="180"/>
      <c r="F137" s="180"/>
      <c r="G137" s="180"/>
      <c r="H137" s="180"/>
      <c r="I137" s="180"/>
      <c r="J137" s="180"/>
      <c r="K137" s="180"/>
      <c r="L137" s="180"/>
      <c r="M137" s="180"/>
      <c r="N137" s="180"/>
      <c r="O137" s="180"/>
      <c r="P137" s="180"/>
      <c r="Q137" s="180"/>
      <c r="R137" s="311"/>
      <c r="S137" s="311"/>
    </row>
    <row r="138" spans="1:19" ht="14.4">
      <c r="A138" s="34"/>
      <c r="B138" s="180"/>
      <c r="C138" s="180" t="s">
        <v>1578</v>
      </c>
      <c r="D138" s="180" t="s">
        <v>604</v>
      </c>
      <c r="E138" s="180">
        <f t="shared" ref="E138:Q138" si="63">E82+IF(depr_inc,0,(-E98-E121))</f>
        <v>0</v>
      </c>
      <c r="F138" s="180">
        <f t="shared" si="63"/>
        <v>0</v>
      </c>
      <c r="G138" s="180">
        <f t="shared" si="63"/>
        <v>0</v>
      </c>
      <c r="H138" s="180">
        <f t="shared" si="63"/>
        <v>0</v>
      </c>
      <c r="I138" s="180">
        <f t="shared" si="63"/>
        <v>0</v>
      </c>
      <c r="J138" s="180">
        <f t="shared" si="63"/>
        <v>0</v>
      </c>
      <c r="K138" s="180">
        <f t="shared" si="63"/>
        <v>0</v>
      </c>
      <c r="L138" s="180">
        <f t="shared" si="63"/>
        <v>0</v>
      </c>
      <c r="M138" s="180">
        <f t="shared" si="63"/>
        <v>0</v>
      </c>
      <c r="N138" s="180">
        <f t="shared" si="63"/>
        <v>0</v>
      </c>
      <c r="O138" s="180">
        <f t="shared" si="63"/>
        <v>0</v>
      </c>
      <c r="P138" s="180" t="e">
        <f t="shared" si="63"/>
        <v>#VALUE!</v>
      </c>
      <c r="Q138" s="180" t="e">
        <f t="shared" si="63"/>
        <v>#VALUE!</v>
      </c>
      <c r="R138" s="315" t="str">
        <f>IFERROR((INDEX(138:138,MATCH(DATE('Control Panel'!$B$4+'Control Panel'!$B$5-1,'Control Panel'!$B$6,'Control Panel'!$B$7),'Scenarios onshore'!$10:$10,0))/INDEX(138:138,MATCH(DATE('Control Panel'!$B$4,'Control Panel'!$B$6,'Control Panel'!$B$7),'Scenarios onshore'!$10:$10,0)))^(1/('Control Panel'!$B$5-1))-1,"n.a.")</f>
        <v>n.a.</v>
      </c>
      <c r="S138" s="315" t="str">
        <f>IFERROR((INDEX(138:138,MATCH(DATE('Control Panel'!$B$13,'Control Panel'!$B$6,'Control Panel'!$B$7),'Scenarios onshore'!$10:$10,0))/INDEX(138:138,MATCH(DATE('Control Panel'!$B$4+'Control Panel'!$B$5-1,'Control Panel'!$B$6,'Control Panel'!$B$7),'Scenarios onshore'!$10:$10,0)))^(1/('Control Panel'!$B$13-'Control Panel'!$B$12+1))-1,"n.a.")</f>
        <v>n.a.</v>
      </c>
    </row>
    <row r="139" spans="1:19">
      <c r="A139" s="183"/>
      <c r="B139" s="183"/>
      <c r="C139" s="183"/>
      <c r="D139" s="183" t="s">
        <v>605</v>
      </c>
      <c r="E139" s="183" t="str">
        <f>IFERROR(E138/E34,"")</f>
        <v/>
      </c>
      <c r="F139" s="183" t="str">
        <f t="shared" ref="F139:Q139" si="64">IFERROR(F138/F50,"")</f>
        <v/>
      </c>
      <c r="G139" s="183" t="str">
        <f t="shared" si="64"/>
        <v/>
      </c>
      <c r="H139" s="183" t="str">
        <f t="shared" si="64"/>
        <v/>
      </c>
      <c r="I139" s="183" t="str">
        <f t="shared" si="64"/>
        <v/>
      </c>
      <c r="J139" s="183" t="str">
        <f t="shared" si="64"/>
        <v/>
      </c>
      <c r="K139" s="183" t="str">
        <f t="shared" si="64"/>
        <v/>
      </c>
      <c r="L139" s="183" t="str">
        <f t="shared" si="64"/>
        <v/>
      </c>
      <c r="M139" s="183" t="str">
        <f t="shared" si="64"/>
        <v/>
      </c>
      <c r="N139" s="183" t="str">
        <f t="shared" si="64"/>
        <v/>
      </c>
      <c r="O139" s="183" t="str">
        <f t="shared" si="64"/>
        <v/>
      </c>
      <c r="P139" s="183" t="str">
        <f t="shared" si="64"/>
        <v/>
      </c>
      <c r="Q139" s="183" t="str">
        <f t="shared" si="64"/>
        <v/>
      </c>
      <c r="R139" s="183"/>
      <c r="S139" s="183"/>
    </row>
    <row r="140" spans="1:19" ht="14.4">
      <c r="A140" s="38"/>
      <c r="B140" s="38"/>
      <c r="C140" s="38"/>
      <c r="D140" s="54"/>
      <c r="E140" s="287"/>
      <c r="F140" s="287"/>
      <c r="G140" s="287"/>
      <c r="H140" s="287"/>
      <c r="I140" s="287"/>
      <c r="J140" s="287"/>
      <c r="K140" s="287"/>
      <c r="L140" s="287"/>
      <c r="M140" s="287"/>
      <c r="N140" s="287"/>
      <c r="O140" s="287"/>
      <c r="P140" s="287"/>
      <c r="Q140" s="287"/>
      <c r="R140" s="289"/>
      <c r="S140" s="290"/>
    </row>
    <row r="141" spans="1:19">
      <c r="A141" s="285"/>
      <c r="B141" s="285"/>
      <c r="C141" s="285" t="s">
        <v>246</v>
      </c>
      <c r="D141" s="285" t="s">
        <v>599</v>
      </c>
      <c r="E141" s="285">
        <f>IFERROR(Input_unit*(E$4&lt;$D$1)*SUMIF('Historical BU2'!$A$89:$A$419,"OGA",INDEX('Historical BU2'!$D$89:$EE$419,0,MATCH(E$4,'Historical BU2'!$D$84:$EE$84,0))),0)</f>
        <v>0</v>
      </c>
      <c r="F141" s="285">
        <f>IFERROR(Input_unit*(F$4&lt;$D$1)*SUMIF('Historical BU2'!$A$89:$A$419,"OGA",INDEX('Historical BU2'!$D$89:$EE$419,0,MATCH(F$4,'Historical BU2'!$D$84:$EE$84,0))),0)</f>
        <v>0</v>
      </c>
      <c r="G141" s="285">
        <f>IFERROR(Input_unit*(G$4&lt;$D$1)*SUMIF('Historical BU2'!$A$89:$A$419,"OGA",INDEX('Historical BU2'!$D$89:$EE$419,0,MATCH(G$4,'Historical BU2'!$D$84:$EE$84,0))),0)</f>
        <v>0</v>
      </c>
      <c r="H141" s="285">
        <f>IFERROR(Input_unit*(H$4&lt;$D$1)*SUMIF('Historical BU2'!$A$89:$A$419,"OGA",INDEX('Historical BU2'!$D$89:$EE$419,0,MATCH(H$4,'Historical BU2'!$D$84:$EE$84,0))),0)</f>
        <v>0</v>
      </c>
      <c r="I141" s="285">
        <f>IFERROR(Input_unit*(I$4&lt;$D$1)*SUMIF('Historical BU2'!$A$89:$A$419,"OGA",INDEX('Historical BU2'!$D$89:$EE$419,0,MATCH(I$4,'Historical BU2'!$D$84:$EE$84,0))),0)</f>
        <v>0</v>
      </c>
      <c r="J141" s="285">
        <f>IFERROR(Input_unit*(J$4&lt;$D$1)*SUMIF('Historical BU2'!$A$89:$A$419,"OGA",INDEX('Historical BU2'!$D$89:$EE$419,0,MATCH(J$4,'Historical BU2'!$D$84:$EE$84,0))),0)</f>
        <v>0</v>
      </c>
      <c r="K141" s="285">
        <f>IFERROR(Input_unit*(K$4&lt;$D$1)*SUMIF('Historical BU2'!$A$89:$A$419,"OGA",INDEX('Historical BU2'!$D$89:$EE$419,0,MATCH(K$4,'Historical BU2'!$D$84:$EE$84,0))),0)</f>
        <v>0</v>
      </c>
      <c r="L141" s="285">
        <f>IFERROR(Input_unit*(L$4&lt;$D$1)*SUMIF('Historical BU2'!$A$89:$A$419,"OGA",INDEX('Historical BU2'!$D$89:$EE$419,0,MATCH(L$4,'Historical BU2'!$D$84:$EE$84,0))),0)</f>
        <v>0</v>
      </c>
      <c r="M141" s="285">
        <f>IFERROR(Input_unit*(M$4&lt;$D$1)*SUMIF('Historical BU2'!$A$89:$A$419,"OGA",INDEX('Historical BU2'!$D$89:$EE$419,0,MATCH(M$4,'Historical BU2'!$D$84:$EE$84,0))),0)</f>
        <v>0</v>
      </c>
      <c r="N141" s="285">
        <f>IFERROR(Input_unit*(N$4&lt;$D$1)*SUMIF('Historical BU2'!$A$89:$A$419,"OGA",INDEX('Historical BU2'!$D$89:$EE$419,0,MATCH(N$4,'Historical BU2'!$D$84:$EE$84,0))),0)</f>
        <v>0</v>
      </c>
      <c r="O141" s="285">
        <f>IFERROR(Input_unit*(O$4&lt;$D$1)*SUMIF('Historical BU2'!$A$89:$A$419,"OGA",INDEX('Historical BU2'!$D$89:$EE$419,0,MATCH(O$4,'Historical BU2'!$D$84:$EE$84,0))),0)</f>
        <v>0</v>
      </c>
      <c r="P141" s="285">
        <f>IFERROR(Input_unit*(P$4&lt;$D$1)*SUMIF('Historical BU2'!$A$89:$A$419,"OGA",INDEX('Historical BU2'!$D$89:$EE$419,0,MATCH(P$4,'Historical BU2'!$D$84:$EE$84,0))),0)</f>
        <v>0</v>
      </c>
      <c r="Q141" s="285">
        <f>IFERROR(Input_unit*(Q$4&lt;$D$1)*SUMIF('Historical BU2'!$A$89:$A$419,"OGA",INDEX('Historical BU2'!$D$89:$EE$419,0,MATCH(Q$4,'Historical BU2'!$D$84:$EE$84,0))),0)</f>
        <v>0</v>
      </c>
      <c r="R141" s="316"/>
      <c r="S141" s="285"/>
    </row>
    <row r="142" spans="1:19">
      <c r="A142" s="285"/>
      <c r="B142" s="285"/>
      <c r="C142" s="285" t="s">
        <v>247</v>
      </c>
      <c r="D142" s="285" t="s">
        <v>599</v>
      </c>
      <c r="E142" s="285">
        <f>IFERROR(Input_unit*-(E$4&lt;$D$1)*SUMIF('Historical BU2'!$A$89:$A$419,"OLO",INDEX('Historical BU2'!$D$89:$EE$419,0,MATCH(E$4,'Historical BU2'!$D$84:$EE$84,0))),0)</f>
        <v>0</v>
      </c>
      <c r="F142" s="285">
        <f>IFERROR(Input_unit*-(F$4&lt;$D$1)*SUMIF('Historical BU2'!$A$89:$A$419,"OLO",INDEX('Historical BU2'!$D$89:$EE$419,0,MATCH(F$4,'Historical BU2'!$D$84:$EE$84,0))),0)</f>
        <v>0</v>
      </c>
      <c r="G142" s="285">
        <f>IFERROR(Input_unit*-(G$4&lt;$D$1)*SUMIF('Historical BU2'!$A$89:$A$419,"OLO",INDEX('Historical BU2'!$D$89:$EE$419,0,MATCH(G$4,'Historical BU2'!$D$84:$EE$84,0))),0)</f>
        <v>0</v>
      </c>
      <c r="H142" s="285">
        <f>IFERROR(Input_unit*-(H$4&lt;$D$1)*SUMIF('Historical BU2'!$A$89:$A$419,"OLO",INDEX('Historical BU2'!$D$89:$EE$419,0,MATCH(H$4,'Historical BU2'!$D$84:$EE$84,0))),0)</f>
        <v>0</v>
      </c>
      <c r="I142" s="285">
        <f>IFERROR(Input_unit*-(I$4&lt;$D$1)*SUMIF('Historical BU2'!$A$89:$A$419,"OLO",INDEX('Historical BU2'!$D$89:$EE$419,0,MATCH(I$4,'Historical BU2'!$D$84:$EE$84,0))),0)</f>
        <v>0</v>
      </c>
      <c r="J142" s="285">
        <f>IFERROR(Input_unit*-(J$4&lt;$D$1)*SUMIF('Historical BU2'!$A$89:$A$419,"OLO",INDEX('Historical BU2'!$D$89:$EE$419,0,MATCH(J$4,'Historical BU2'!$D$84:$EE$84,0))),0)</f>
        <v>0</v>
      </c>
      <c r="K142" s="285">
        <f>IFERROR(Input_unit*-(K$4&lt;$D$1)*SUMIF('Historical BU2'!$A$89:$A$419,"OLO",INDEX('Historical BU2'!$D$89:$EE$419,0,MATCH(K$4,'Historical BU2'!$D$84:$EE$84,0))),0)</f>
        <v>0</v>
      </c>
      <c r="L142" s="285">
        <f>IFERROR(Input_unit*-(L$4&lt;$D$1)*SUMIF('Historical BU2'!$A$89:$A$419,"OLO",INDEX('Historical BU2'!$D$89:$EE$419,0,MATCH(L$4,'Historical BU2'!$D$84:$EE$84,0))),0)</f>
        <v>0</v>
      </c>
      <c r="M142" s="285">
        <f>IFERROR(Input_unit*-(M$4&lt;$D$1)*SUMIF('Historical BU2'!$A$89:$A$419,"OLO",INDEX('Historical BU2'!$D$89:$EE$419,0,MATCH(M$4,'Historical BU2'!$D$84:$EE$84,0))),0)</f>
        <v>0</v>
      </c>
      <c r="N142" s="285">
        <f>IFERROR(Input_unit*-(N$4&lt;$D$1)*SUMIF('Historical BU2'!$A$89:$A$419,"OLO",INDEX('Historical BU2'!$D$89:$EE$419,0,MATCH(N$4,'Historical BU2'!$D$84:$EE$84,0))),0)</f>
        <v>0</v>
      </c>
      <c r="O142" s="285">
        <f>IFERROR(Input_unit*-(O$4&lt;$D$1)*SUMIF('Historical BU2'!$A$89:$A$419,"OLO",INDEX('Historical BU2'!$D$89:$EE$419,0,MATCH(O$4,'Historical BU2'!$D$84:$EE$84,0))),0)</f>
        <v>0</v>
      </c>
      <c r="P142" s="285">
        <f>IFERROR(Input_unit*-(P$4&lt;$D$1)*SUMIF('Historical BU2'!$A$89:$A$419,"OLO",INDEX('Historical BU2'!$D$89:$EE$419,0,MATCH(P$4,'Historical BU2'!$D$84:$EE$84,0))),0)</f>
        <v>0</v>
      </c>
      <c r="Q142" s="285">
        <f>IFERROR(Input_unit*-(Q$4&lt;$D$1)*SUMIF('Historical BU2'!$A$89:$A$419,"OLO",INDEX('Historical BU2'!$D$89:$EE$419,0,MATCH(Q$4,'Historical BU2'!$D$84:$EE$84,0))),0)</f>
        <v>0</v>
      </c>
      <c r="R142" s="316"/>
      <c r="S142" s="285"/>
    </row>
    <row r="143" spans="1:19">
      <c r="A143" s="285"/>
      <c r="B143" s="285"/>
      <c r="C143" s="285" t="s">
        <v>205</v>
      </c>
      <c r="D143" s="285" t="s">
        <v>599</v>
      </c>
      <c r="E143" s="285">
        <f>IFERROR(Input_unit*-(E$4&lt;$D$1)*SUMIF('Historical BU2'!$A$89:$A$419,"INT",INDEX('Historical BU2'!$D$89:$EE$419,0,MATCH(E$4,'Historical BU2'!$D$84:$EE$84,0))),"")</f>
        <v>0</v>
      </c>
      <c r="F143" s="285">
        <f>IFERROR(Input_unit*-(F$4&lt;$D$1)*SUMIF('Historical BU2'!$A$89:$A$419,"INT",INDEX('Historical BU2'!$D$89:$EE$419,0,MATCH(F$4,'Historical BU2'!$D$84:$EE$84,0))),"")</f>
        <v>0</v>
      </c>
      <c r="G143" s="285">
        <f>IFERROR(Input_unit*-(G$4&lt;$D$1)*SUMIF('Historical BU2'!$A$89:$A$419,"INT",INDEX('Historical BU2'!$D$89:$EE$419,0,MATCH(G$4,'Historical BU2'!$D$84:$EE$84,0))),"")</f>
        <v>0</v>
      </c>
      <c r="H143" s="285">
        <f>IFERROR(Input_unit*-(H$4&lt;$D$1)*SUMIF('Historical BU2'!$A$89:$A$419,"INT",INDEX('Historical BU2'!$D$89:$EE$419,0,MATCH(H$4,'Historical BU2'!$D$84:$EE$84,0))),"")</f>
        <v>0</v>
      </c>
      <c r="I143" s="285">
        <f>IFERROR(Input_unit*-(I$4&lt;$D$1)*SUMIF('Historical BU2'!$A$89:$A$419,"INT",INDEX('Historical BU2'!$D$89:$EE$419,0,MATCH(I$4,'Historical BU2'!$D$84:$EE$84,0))),"")</f>
        <v>0</v>
      </c>
      <c r="J143" s="285" t="str">
        <f>IFERROR(Input_unit*-(J$4&lt;$D$1)*SUMIF('Historical BU2'!$A$89:$A$419,"INT",INDEX('Historical BU2'!$D$89:$EE$419,0,MATCH(J$4,'Historical BU2'!$D$84:$EE$84,0))),"")</f>
        <v/>
      </c>
      <c r="K143" s="285" t="str">
        <f>IFERROR(Input_unit*-(K$4&lt;$D$1)*SUMIF('Historical BU2'!$A$89:$A$419,"INT",INDEX('Historical BU2'!$D$89:$EE$419,0,MATCH(K$4,'Historical BU2'!$D$84:$EE$84,0))),"")</f>
        <v/>
      </c>
      <c r="L143" s="285" t="str">
        <f>IFERROR(Input_unit*-(L$4&lt;$D$1)*SUMIF('Historical BU2'!$A$89:$A$419,"INT",INDEX('Historical BU2'!$D$89:$EE$419,0,MATCH(L$4,'Historical BU2'!$D$84:$EE$84,0))),"")</f>
        <v/>
      </c>
      <c r="M143" s="285" t="str">
        <f>IFERROR(Input_unit*-(M$4&lt;$D$1)*SUMIF('Historical BU2'!$A$89:$A$419,"INT",INDEX('Historical BU2'!$D$89:$EE$419,0,MATCH(M$4,'Historical BU2'!$D$84:$EE$84,0))),"")</f>
        <v/>
      </c>
      <c r="N143" s="285" t="str">
        <f>IFERROR(Input_unit*-(N$4&lt;$D$1)*SUMIF('Historical BU2'!$A$89:$A$419,"INT",INDEX('Historical BU2'!$D$89:$EE$419,0,MATCH(N$4,'Historical BU2'!$D$84:$EE$84,0))),"")</f>
        <v/>
      </c>
      <c r="O143" s="285" t="str">
        <f>IFERROR(Input_unit*-(O$4&lt;$D$1)*SUMIF('Historical BU2'!$A$89:$A$419,"INT",INDEX('Historical BU2'!$D$89:$EE$419,0,MATCH(O$4,'Historical BU2'!$D$84:$EE$84,0))),"")</f>
        <v/>
      </c>
      <c r="P143" s="285" t="str">
        <f>IFERROR(Input_unit*-(P$4&lt;$D$1)*SUMIF('Historical BU2'!$A$89:$A$419,"INT",INDEX('Historical BU2'!$D$89:$EE$419,0,MATCH(P$4,'Historical BU2'!$D$84:$EE$84,0))),"")</f>
        <v/>
      </c>
      <c r="Q143" s="285" t="str">
        <f>IFERROR(Input_unit*-(Q$4&lt;$D$1)*SUMIF('Historical BU2'!$A$89:$A$419,"INT",INDEX('Historical BU2'!$D$89:$EE$419,0,MATCH(Q$4,'Historical BU2'!$D$84:$EE$84,0))),"")</f>
        <v/>
      </c>
      <c r="R143" s="316"/>
      <c r="S143" s="285"/>
    </row>
    <row r="144" spans="1:19">
      <c r="A144" s="285"/>
      <c r="B144" s="285"/>
      <c r="C144" s="285" t="s">
        <v>206</v>
      </c>
      <c r="D144" s="285" t="s">
        <v>599</v>
      </c>
      <c r="E144" s="285">
        <f>IFERROR(Input_unit*(E$4&lt;$D$1)*SUMIF('Historical BU2'!$A$89:$A$419,"INR",INDEX('Historical BU2'!$D$89:$EE$419,0,MATCH(E$4,'Historical BU2'!$D$84:$EE$84,0))),"")</f>
        <v>0</v>
      </c>
      <c r="F144" s="285">
        <f>IFERROR(Input_unit*(F$4&lt;$D$1)*SUMIF('Historical BU2'!$A$89:$A$419,"INR",INDEX('Historical BU2'!$D$89:$EE$419,0,MATCH(F$4,'Historical BU2'!$D$84:$EE$84,0))),"")</f>
        <v>0</v>
      </c>
      <c r="G144" s="285">
        <f>IFERROR(Input_unit*(G$4&lt;$D$1)*SUMIF('Historical BU2'!$A$89:$A$419,"INR",INDEX('Historical BU2'!$D$89:$EE$419,0,MATCH(G$4,'Historical BU2'!$D$84:$EE$84,0))),"")</f>
        <v>0</v>
      </c>
      <c r="H144" s="285">
        <f>IFERROR(Input_unit*(H$4&lt;$D$1)*SUMIF('Historical BU2'!$A$89:$A$419,"INR",INDEX('Historical BU2'!$D$89:$EE$419,0,MATCH(H$4,'Historical BU2'!$D$84:$EE$84,0))),"")</f>
        <v>0</v>
      </c>
      <c r="I144" s="285">
        <f>IFERROR(Input_unit*(I$4&lt;$D$1)*SUMIF('Historical BU2'!$A$89:$A$419,"INR",INDEX('Historical BU2'!$D$89:$EE$419,0,MATCH(I$4,'Historical BU2'!$D$84:$EE$84,0))),"")</f>
        <v>0</v>
      </c>
      <c r="J144" s="285" t="str">
        <f>IFERROR(Input_unit*(J$4&lt;$D$1)*SUMIF('Historical BU2'!$A$89:$A$419,"INR",INDEX('Historical BU2'!$D$89:$EE$419,0,MATCH(J$4,'Historical BU2'!$D$84:$EE$84,0))),"")</f>
        <v/>
      </c>
      <c r="K144" s="285" t="str">
        <f>IFERROR(Input_unit*(K$4&lt;$D$1)*SUMIF('Historical BU2'!$A$89:$A$419,"INR",INDEX('Historical BU2'!$D$89:$EE$419,0,MATCH(K$4,'Historical BU2'!$D$84:$EE$84,0))),"")</f>
        <v/>
      </c>
      <c r="L144" s="285" t="str">
        <f>IFERROR(Input_unit*(L$4&lt;$D$1)*SUMIF('Historical BU2'!$A$89:$A$419,"INR",INDEX('Historical BU2'!$D$89:$EE$419,0,MATCH(L$4,'Historical BU2'!$D$84:$EE$84,0))),"")</f>
        <v/>
      </c>
      <c r="M144" s="285" t="str">
        <f>IFERROR(Input_unit*(M$4&lt;$D$1)*SUMIF('Historical BU2'!$A$89:$A$419,"INR",INDEX('Historical BU2'!$D$89:$EE$419,0,MATCH(M$4,'Historical BU2'!$D$84:$EE$84,0))),"")</f>
        <v/>
      </c>
      <c r="N144" s="285" t="str">
        <f>IFERROR(Input_unit*(N$4&lt;$D$1)*SUMIF('Historical BU2'!$A$89:$A$419,"INR",INDEX('Historical BU2'!$D$89:$EE$419,0,MATCH(N$4,'Historical BU2'!$D$84:$EE$84,0))),"")</f>
        <v/>
      </c>
      <c r="O144" s="285" t="str">
        <f>IFERROR(Input_unit*(O$4&lt;$D$1)*SUMIF('Historical BU2'!$A$89:$A$419,"INR",INDEX('Historical BU2'!$D$89:$EE$419,0,MATCH(O$4,'Historical BU2'!$D$84:$EE$84,0))),"")</f>
        <v/>
      </c>
      <c r="P144" s="285" t="str">
        <f>IFERROR(Input_unit*(P$4&lt;$D$1)*SUMIF('Historical BU2'!$A$89:$A$419,"INR",INDEX('Historical BU2'!$D$89:$EE$419,0,MATCH(P$4,'Historical BU2'!$D$84:$EE$84,0))),"")</f>
        <v/>
      </c>
      <c r="Q144" s="285" t="str">
        <f>IFERROR(Input_unit*(Q$4&lt;$D$1)*SUMIF('Historical BU2'!$A$89:$A$419,"INR",INDEX('Historical BU2'!$D$89:$EE$419,0,MATCH(Q$4,'Historical BU2'!$D$84:$EE$84,0))),"")</f>
        <v/>
      </c>
      <c r="R144" s="316"/>
      <c r="S144" s="285"/>
    </row>
    <row r="145" spans="1:19">
      <c r="A145" s="285"/>
      <c r="B145" s="285"/>
      <c r="C145" s="285" t="s">
        <v>245</v>
      </c>
      <c r="D145" s="285" t="s">
        <v>599</v>
      </c>
      <c r="E145" s="285">
        <f>IFERROR(Input_unit*(E$4&lt;$D$1)*SUMIF('Historical BU2'!$A$89:$A$419,"DIR",INDEX('Historical BU2'!$D$89:$EE$419,0,MATCH(E$4,'Historical BU2'!$D$84:$EE$84,0))),0)</f>
        <v>0</v>
      </c>
      <c r="F145" s="285">
        <f>IFERROR(Input_unit*(F$4&lt;$D$1)*SUMIF('Historical BU2'!$A$89:$A$419,"DIR",INDEX('Historical BU2'!$D$89:$EE$419,0,MATCH(F$4,'Historical BU2'!$D$84:$EE$84,0))),0)</f>
        <v>0</v>
      </c>
      <c r="G145" s="285">
        <f>IFERROR(Input_unit*(G$4&lt;$D$1)*SUMIF('Historical BU2'!$A$89:$A$419,"DIR",INDEX('Historical BU2'!$D$89:$EE$419,0,MATCH(G$4,'Historical BU2'!$D$84:$EE$84,0))),0)</f>
        <v>0</v>
      </c>
      <c r="H145" s="285">
        <f>IFERROR(Input_unit*(H$4&lt;$D$1)*SUMIF('Historical BU2'!$A$89:$A$419,"DIR",INDEX('Historical BU2'!$D$89:$EE$419,0,MATCH(H$4,'Historical BU2'!$D$84:$EE$84,0))),0)</f>
        <v>0</v>
      </c>
      <c r="I145" s="285">
        <f>IFERROR(Input_unit*(I$4&lt;$D$1)*SUMIF('Historical BU2'!$A$89:$A$419,"DIR",INDEX('Historical BU2'!$D$89:$EE$419,0,MATCH(I$4,'Historical BU2'!$D$84:$EE$84,0))),0)</f>
        <v>0</v>
      </c>
      <c r="J145" s="285">
        <f>IFERROR(Input_unit*(J$4&lt;$D$1)*SUMIF('Historical BU2'!$A$89:$A$419,"DIR",INDEX('Historical BU2'!$D$89:$EE$419,0,MATCH(J$4,'Historical BU2'!$D$84:$EE$84,0))),0)</f>
        <v>0</v>
      </c>
      <c r="K145" s="285">
        <f>IFERROR(Input_unit*(K$4&lt;$D$1)*SUMIF('Historical BU2'!$A$89:$A$419,"DIR",INDEX('Historical BU2'!$D$89:$EE$419,0,MATCH(K$4,'Historical BU2'!$D$84:$EE$84,0))),0)</f>
        <v>0</v>
      </c>
      <c r="L145" s="285">
        <f>IFERROR(Input_unit*(L$4&lt;$D$1)*SUMIF('Historical BU2'!$A$89:$A$419,"DIR",INDEX('Historical BU2'!$D$89:$EE$419,0,MATCH(L$4,'Historical BU2'!$D$84:$EE$84,0))),0)</f>
        <v>0</v>
      </c>
      <c r="M145" s="285">
        <f>IFERROR(Input_unit*(M$4&lt;$D$1)*SUMIF('Historical BU2'!$A$89:$A$419,"DIR",INDEX('Historical BU2'!$D$89:$EE$419,0,MATCH(M$4,'Historical BU2'!$D$84:$EE$84,0))),0)</f>
        <v>0</v>
      </c>
      <c r="N145" s="285">
        <f>IFERROR(Input_unit*(N$4&lt;$D$1)*SUMIF('Historical BU2'!$A$89:$A$419,"DIR",INDEX('Historical BU2'!$D$89:$EE$419,0,MATCH(N$4,'Historical BU2'!$D$84:$EE$84,0))),0)</f>
        <v>0</v>
      </c>
      <c r="O145" s="285">
        <f>IFERROR(Input_unit*(O$4&lt;$D$1)*SUMIF('Historical BU2'!$A$89:$A$419,"DIR",INDEX('Historical BU2'!$D$89:$EE$419,0,MATCH(O$4,'Historical BU2'!$D$84:$EE$84,0))),0)</f>
        <v>0</v>
      </c>
      <c r="P145" s="285">
        <f>IFERROR(Input_unit*(P$4&lt;$D$1)*SUMIF('Historical BU2'!$A$89:$A$419,"DIR",INDEX('Historical BU2'!$D$89:$EE$419,0,MATCH(P$4,'Historical BU2'!$D$84:$EE$84,0))),0)</f>
        <v>0</v>
      </c>
      <c r="Q145" s="285">
        <f>IFERROR(Input_unit*(Q$4&lt;$D$1)*SUMIF('Historical BU2'!$A$89:$A$419,"DIR",INDEX('Historical BU2'!$D$89:$EE$419,0,MATCH(Q$4,'Historical BU2'!$D$84:$EE$84,0))),0)</f>
        <v>0</v>
      </c>
      <c r="R145" s="316"/>
      <c r="S145" s="285"/>
    </row>
    <row r="146" spans="1:19" ht="14.4">
      <c r="A146" s="34"/>
      <c r="B146" s="180"/>
      <c r="C146" s="180" t="s">
        <v>1579</v>
      </c>
      <c r="D146" s="180" t="s">
        <v>604</v>
      </c>
      <c r="E146" s="180">
        <f>IFERROR(E138+SUM(E141:E145),0)</f>
        <v>0</v>
      </c>
      <c r="F146" s="180">
        <f t="shared" ref="F146:Q146" si="65">IFERROR(F138+SUM(F141:F145),0)</f>
        <v>0</v>
      </c>
      <c r="G146" s="180">
        <f t="shared" si="65"/>
        <v>0</v>
      </c>
      <c r="H146" s="180">
        <f t="shared" si="65"/>
        <v>0</v>
      </c>
      <c r="I146" s="180">
        <f t="shared" si="65"/>
        <v>0</v>
      </c>
      <c r="J146" s="180">
        <f t="shared" si="65"/>
        <v>0</v>
      </c>
      <c r="K146" s="180">
        <f t="shared" si="65"/>
        <v>0</v>
      </c>
      <c r="L146" s="180">
        <f t="shared" si="65"/>
        <v>0</v>
      </c>
      <c r="M146" s="180">
        <f t="shared" si="65"/>
        <v>0</v>
      </c>
      <c r="N146" s="180">
        <f t="shared" si="65"/>
        <v>0</v>
      </c>
      <c r="O146" s="180">
        <f t="shared" si="65"/>
        <v>0</v>
      </c>
      <c r="P146" s="180">
        <f t="shared" si="65"/>
        <v>0</v>
      </c>
      <c r="Q146" s="180">
        <f t="shared" si="65"/>
        <v>0</v>
      </c>
      <c r="R146" s="315" t="str">
        <f>IFERROR((INDEX(146:146,MATCH(DATE('Control Panel'!$B$4+'Control Panel'!$B$5-1,'Control Panel'!$B$6,'Control Panel'!$B$7),'Scenarios onshore'!$10:$10,0))/INDEX(146:146,MATCH(DATE('Control Panel'!$B$4,'Control Panel'!$B$6,'Control Panel'!$B$7),'Scenarios onshore'!$10:$10,0)))^(1/('Control Panel'!$B$5-1))-1,"n.a.")</f>
        <v>n.a.</v>
      </c>
      <c r="S146" s="315" t="str">
        <f>IFERROR((INDEX(146:146,MATCH(DATE('Control Panel'!$B$13,'Control Panel'!$B$6,'Control Panel'!$B$7),'Scenarios onshore'!$10:$10,0))/INDEX(146:146,MATCH(DATE('Control Panel'!$B$4+'Control Panel'!$B$5-1,'Control Panel'!$B$6,'Control Panel'!$B$7),'Scenarios onshore'!$10:$10,0)))^(1/('Control Panel'!$B$13-'Control Panel'!$B$12+1))-1,"n.a.")</f>
        <v>n.a.</v>
      </c>
    </row>
    <row r="147" spans="1:19" ht="14.4">
      <c r="A147" s="1"/>
      <c r="B147" s="1"/>
      <c r="C147" s="88"/>
      <c r="D147" s="1"/>
      <c r="E147" s="287"/>
      <c r="F147" s="287"/>
      <c r="G147" s="287"/>
      <c r="H147" s="287"/>
      <c r="I147" s="287"/>
      <c r="J147" s="287"/>
      <c r="K147" s="287"/>
      <c r="L147" s="287"/>
      <c r="M147" s="287"/>
      <c r="N147" s="287"/>
      <c r="O147" s="287"/>
      <c r="P147" s="287"/>
      <c r="Q147" s="287"/>
      <c r="R147" s="289"/>
      <c r="S147" s="289"/>
    </row>
    <row r="148" spans="1:19" ht="14.4">
      <c r="A148" s="34"/>
      <c r="B148" s="180"/>
      <c r="C148" s="180" t="s">
        <v>1580</v>
      </c>
      <c r="D148" s="180" t="s">
        <v>935</v>
      </c>
      <c r="E148" s="313">
        <f t="shared" ref="E148:Q148" si="66">IF(E$5,INDEX(E150:E153,$D$2),E149)</f>
        <v>0</v>
      </c>
      <c r="F148" s="313">
        <f t="shared" si="66"/>
        <v>0</v>
      </c>
      <c r="G148" s="313">
        <f t="shared" si="66"/>
        <v>0</v>
      </c>
      <c r="H148" s="313">
        <f t="shared" si="66"/>
        <v>0</v>
      </c>
      <c r="I148" s="313">
        <f t="shared" si="66"/>
        <v>0</v>
      </c>
      <c r="J148" s="313">
        <f t="shared" si="66"/>
        <v>0.15</v>
      </c>
      <c r="K148" s="313">
        <f t="shared" si="66"/>
        <v>0.15</v>
      </c>
      <c r="L148" s="313">
        <f t="shared" si="66"/>
        <v>0.15</v>
      </c>
      <c r="M148" s="313">
        <f t="shared" si="66"/>
        <v>0.15</v>
      </c>
      <c r="N148" s="313">
        <f t="shared" si="66"/>
        <v>0.15</v>
      </c>
      <c r="O148" s="313">
        <f t="shared" si="66"/>
        <v>0.15</v>
      </c>
      <c r="P148" s="313">
        <f t="shared" si="66"/>
        <v>0</v>
      </c>
      <c r="Q148" s="313">
        <f t="shared" si="66"/>
        <v>0</v>
      </c>
      <c r="R148" s="311"/>
      <c r="S148" s="311"/>
    </row>
    <row r="149" spans="1:19">
      <c r="A149" s="183"/>
      <c r="B149" s="183"/>
      <c r="C149" s="183"/>
      <c r="D149" s="183" t="s">
        <v>599</v>
      </c>
      <c r="E149" s="183">
        <f>IFERROR(Input_unit*(E$4&lt;$D$1)*SUMIF('Historical BU2'!$A$89:$A$419,"TAX",INDEX('Historical BU2'!$D$89:$EE$419,0,MATCH(E$4,'Historical BU2'!$D$84:$EE$84,0)))/E146,0)</f>
        <v>0</v>
      </c>
      <c r="F149" s="183">
        <f>IFERROR(Input_unit*(F$4&lt;$D$1)*SUMIF('Historical BU2'!$A$89:$A$419,"TAX",INDEX('Historical BU2'!$D$89:$EE$419,0,MATCH(F$4,'Historical BU2'!$D$84:$EE$84,0)))/F146,0)</f>
        <v>0</v>
      </c>
      <c r="G149" s="183">
        <f>IFERROR(Input_unit*(G$4&lt;$D$1)*SUMIF('Historical BU2'!$A$89:$A$419,"TAX",INDEX('Historical BU2'!$D$89:$EE$419,0,MATCH(G$4,'Historical BU2'!$D$84:$EE$84,0)))/G146,0)</f>
        <v>0</v>
      </c>
      <c r="H149" s="183">
        <f>IFERROR(Input_unit*(H$4&lt;$D$1)*SUMIF('Historical BU2'!$A$89:$A$419,"TAX",INDEX('Historical BU2'!$D$89:$EE$419,0,MATCH(H$4,'Historical BU2'!$D$84:$EE$84,0)))/H146,0)</f>
        <v>0</v>
      </c>
      <c r="I149" s="183">
        <f>IFERROR(Input_unit*(I$4&lt;$D$1)*SUMIF('Historical BU2'!$A$89:$A$419,"TAX",INDEX('Historical BU2'!$D$89:$EE$419,0,MATCH(I$4,'Historical BU2'!$D$84:$EE$84,0)))/I146,0)</f>
        <v>0</v>
      </c>
      <c r="J149" s="183">
        <f>IFERROR(Input_unit*(J$4&lt;$D$1)*SUMIF('Historical BU2'!$A$89:$A$419,"TAX",INDEX('Historical BU2'!$D$89:$EE$419,0,MATCH(J$4,'Historical BU2'!$D$84:$EE$84,0)))/J146,0)</f>
        <v>0</v>
      </c>
      <c r="K149" s="183">
        <f>IFERROR(Input_unit*(K$4&lt;$D$1)*SUMIF('Historical BU2'!$A$89:$A$419,"TAX",INDEX('Historical BU2'!$D$89:$EE$419,0,MATCH(K$4,'Historical BU2'!$D$84:$EE$84,0)))/K146,0)</f>
        <v>0</v>
      </c>
      <c r="L149" s="183">
        <f>IFERROR(Input_unit*(L$4&lt;$D$1)*SUMIF('Historical BU2'!$A$89:$A$419,"TAX",INDEX('Historical BU2'!$D$89:$EE$419,0,MATCH(L$4,'Historical BU2'!$D$84:$EE$84,0)))/L146,0)</f>
        <v>0</v>
      </c>
      <c r="M149" s="183">
        <f>IFERROR(Input_unit*(M$4&lt;$D$1)*SUMIF('Historical BU2'!$A$89:$A$419,"TAX",INDEX('Historical BU2'!$D$89:$EE$419,0,MATCH(M$4,'Historical BU2'!$D$84:$EE$84,0)))/M146,0)</f>
        <v>0</v>
      </c>
      <c r="N149" s="183">
        <f>IFERROR(Input_unit*(N$4&lt;$D$1)*SUMIF('Historical BU2'!$A$89:$A$419,"TAX",INDEX('Historical BU2'!$D$89:$EE$419,0,MATCH(N$4,'Historical BU2'!$D$84:$EE$84,0)))/N146,0)</f>
        <v>0</v>
      </c>
      <c r="O149" s="183">
        <f>IFERROR(Input_unit*(O$4&lt;$D$1)*SUMIF('Historical BU2'!$A$89:$A$419,"TAX",INDEX('Historical BU2'!$D$89:$EE$419,0,MATCH(O$4,'Historical BU2'!$D$84:$EE$84,0)))/O146,0)</f>
        <v>0</v>
      </c>
      <c r="P149" s="183">
        <f>IFERROR(Input_unit*(P$4&lt;$D$1)*SUMIF('Historical BU2'!$A$89:$A$419,"TAX",INDEX('Historical BU2'!$D$89:$EE$419,0,MATCH(P$4,'Historical BU2'!$D$84:$EE$84,0)))/P146,0)</f>
        <v>0</v>
      </c>
      <c r="Q149" s="183">
        <f>IFERROR(Input_unit*(Q$4&lt;$D$1)*SUMIF('Historical BU2'!$A$89:$A$419,"TAX",INDEX('Historical BU2'!$D$89:$EE$419,0,MATCH(Q$4,'Historical BU2'!$D$84:$EE$84,0)))/Q146,0)</f>
        <v>0</v>
      </c>
      <c r="R149" s="286"/>
      <c r="S149" s="317"/>
    </row>
    <row r="150" spans="1:19" ht="14.4">
      <c r="A150" s="1"/>
      <c r="B150" s="1"/>
      <c r="C150" s="1"/>
      <c r="D150" s="255" t="str">
        <f>$D$21</f>
        <v>Sponsor base</v>
      </c>
      <c r="E150" s="274"/>
      <c r="F150" s="274"/>
      <c r="G150" s="274"/>
      <c r="H150" s="274"/>
      <c r="I150" s="274">
        <v>0.15</v>
      </c>
      <c r="J150" s="274">
        <v>0.15</v>
      </c>
      <c r="K150" s="274">
        <v>0.15</v>
      </c>
      <c r="L150" s="274">
        <v>0.15</v>
      </c>
      <c r="M150" s="274">
        <v>0.15</v>
      </c>
      <c r="N150" s="274">
        <v>0.15</v>
      </c>
      <c r="O150" s="274">
        <v>0.15</v>
      </c>
      <c r="P150" s="274">
        <v>0.15</v>
      </c>
      <c r="Q150" s="274"/>
      <c r="R150" s="289"/>
      <c r="S150" s="290"/>
    </row>
    <row r="151" spans="1:19" ht="14.4">
      <c r="A151" s="1"/>
      <c r="B151" s="1"/>
      <c r="C151" s="1"/>
      <c r="D151" s="255" t="str">
        <f>$D$22</f>
        <v>Flat</v>
      </c>
      <c r="E151" s="274"/>
      <c r="F151" s="274"/>
      <c r="G151" s="274"/>
      <c r="H151" s="274"/>
      <c r="I151" s="274">
        <v>0.15</v>
      </c>
      <c r="J151" s="274">
        <v>0.15</v>
      </c>
      <c r="K151" s="274">
        <v>0.15</v>
      </c>
      <c r="L151" s="274">
        <v>0.15</v>
      </c>
      <c r="M151" s="274">
        <v>0.15</v>
      </c>
      <c r="N151" s="274">
        <v>0.15</v>
      </c>
      <c r="O151" s="274">
        <v>0.15</v>
      </c>
      <c r="P151" s="274">
        <v>0.15</v>
      </c>
      <c r="Q151" s="274"/>
      <c r="R151" s="289"/>
      <c r="S151" s="290"/>
    </row>
    <row r="152" spans="1:19" ht="14.4">
      <c r="A152" s="1"/>
      <c r="B152" s="1"/>
      <c r="C152" s="1"/>
      <c r="D152" s="255" t="str">
        <f>$D$23</f>
        <v>Bank case</v>
      </c>
      <c r="E152" s="274"/>
      <c r="F152" s="274"/>
      <c r="G152" s="274"/>
      <c r="H152" s="274"/>
      <c r="I152" s="274">
        <v>0.15</v>
      </c>
      <c r="J152" s="274">
        <v>0.15</v>
      </c>
      <c r="K152" s="274">
        <v>0.15</v>
      </c>
      <c r="L152" s="274">
        <v>0.15</v>
      </c>
      <c r="M152" s="274">
        <v>0.15</v>
      </c>
      <c r="N152" s="274">
        <v>0.15</v>
      </c>
      <c r="O152" s="274">
        <v>0.15</v>
      </c>
      <c r="P152" s="274">
        <v>0.15</v>
      </c>
      <c r="Q152" s="274"/>
      <c r="R152" s="289"/>
      <c r="S152" s="290"/>
    </row>
    <row r="153" spans="1:19" ht="14.4">
      <c r="A153" s="1"/>
      <c r="B153" s="1"/>
      <c r="C153" s="1"/>
      <c r="D153" s="255" t="str">
        <f>$D$24</f>
        <v>Bank worse</v>
      </c>
      <c r="E153" s="274"/>
      <c r="F153" s="274"/>
      <c r="G153" s="274"/>
      <c r="H153" s="274"/>
      <c r="I153" s="274">
        <v>0.15</v>
      </c>
      <c r="J153" s="274">
        <v>0.15</v>
      </c>
      <c r="K153" s="274">
        <v>0.15</v>
      </c>
      <c r="L153" s="274">
        <v>0.15</v>
      </c>
      <c r="M153" s="274">
        <v>0.15</v>
      </c>
      <c r="N153" s="274">
        <v>0.15</v>
      </c>
      <c r="O153" s="274">
        <v>0.15</v>
      </c>
      <c r="P153" s="274">
        <v>0.15</v>
      </c>
      <c r="Q153" s="274"/>
      <c r="R153" s="289"/>
      <c r="S153" s="290"/>
    </row>
    <row r="154" spans="1:19" ht="14.4">
      <c r="A154" s="1"/>
      <c r="B154" s="1"/>
      <c r="C154" s="88"/>
      <c r="D154" s="1"/>
      <c r="E154" s="287"/>
      <c r="F154" s="287"/>
      <c r="G154" s="287"/>
      <c r="H154" s="287"/>
      <c r="I154" s="287"/>
      <c r="J154" s="287"/>
      <c r="K154" s="287"/>
      <c r="L154" s="287"/>
      <c r="M154" s="287"/>
      <c r="N154" s="287"/>
      <c r="O154" s="287"/>
      <c r="P154" s="287"/>
      <c r="Q154" s="287"/>
      <c r="R154" s="289"/>
      <c r="S154" s="289"/>
    </row>
    <row r="155" spans="1:19" ht="14.4">
      <c r="A155" s="1"/>
      <c r="B155" s="1"/>
      <c r="C155" s="180" t="s">
        <v>1581</v>
      </c>
      <c r="D155" s="1"/>
      <c r="E155" s="180">
        <f>-E148*E146</f>
        <v>0</v>
      </c>
      <c r="F155" s="180">
        <f t="shared" ref="F155:Q155" si="67">-F148*F146</f>
        <v>0</v>
      </c>
      <c r="G155" s="180">
        <f t="shared" si="67"/>
        <v>0</v>
      </c>
      <c r="H155" s="180">
        <f t="shared" si="67"/>
        <v>0</v>
      </c>
      <c r="I155" s="180">
        <f t="shared" si="67"/>
        <v>0</v>
      </c>
      <c r="J155" s="180">
        <f t="shared" si="67"/>
        <v>0</v>
      </c>
      <c r="K155" s="180">
        <f t="shared" si="67"/>
        <v>0</v>
      </c>
      <c r="L155" s="180">
        <f t="shared" si="67"/>
        <v>0</v>
      </c>
      <c r="M155" s="180">
        <f t="shared" si="67"/>
        <v>0</v>
      </c>
      <c r="N155" s="180">
        <f t="shared" si="67"/>
        <v>0</v>
      </c>
      <c r="O155" s="180">
        <f t="shared" si="67"/>
        <v>0</v>
      </c>
      <c r="P155" s="180">
        <f t="shared" si="67"/>
        <v>0</v>
      </c>
      <c r="Q155" s="180">
        <f t="shared" si="67"/>
        <v>0</v>
      </c>
      <c r="R155" s="289"/>
      <c r="S155" s="289"/>
    </row>
    <row r="156" spans="1:19" ht="14.4">
      <c r="A156" s="1"/>
      <c r="B156" s="1"/>
      <c r="C156" s="88"/>
      <c r="D156" s="1"/>
      <c r="E156" s="287"/>
      <c r="F156" s="287"/>
      <c r="G156" s="287"/>
      <c r="H156" s="287"/>
      <c r="I156" s="287"/>
      <c r="J156" s="287"/>
      <c r="K156" s="287"/>
      <c r="L156" s="287"/>
      <c r="M156" s="287"/>
      <c r="N156" s="287"/>
      <c r="O156" s="287"/>
      <c r="P156" s="287"/>
      <c r="Q156" s="287"/>
      <c r="R156" s="289"/>
      <c r="S156" s="289"/>
    </row>
    <row r="157" spans="1:19">
      <c r="A157" s="180"/>
      <c r="B157" s="180" t="s">
        <v>943</v>
      </c>
      <c r="C157" s="180"/>
      <c r="D157" s="180"/>
      <c r="E157" s="180"/>
      <c r="F157" s="180"/>
      <c r="G157" s="180"/>
      <c r="H157" s="180"/>
      <c r="I157" s="180"/>
      <c r="J157" s="180"/>
      <c r="K157" s="180"/>
      <c r="L157" s="180"/>
      <c r="M157" s="180"/>
      <c r="N157" s="180"/>
      <c r="O157" s="180"/>
      <c r="P157" s="180"/>
      <c r="Q157" s="180"/>
    </row>
    <row r="158" spans="1:19">
      <c r="A158" s="180"/>
      <c r="B158" s="180"/>
      <c r="C158" s="180" t="s">
        <v>1582</v>
      </c>
      <c r="D158" s="180" t="s">
        <v>604</v>
      </c>
      <c r="E158" s="180">
        <f t="shared" ref="E158:Q158" si="68">IF(E$5,INDEX(E161:E164,$D$2),E160)</f>
        <v>0</v>
      </c>
      <c r="F158" s="180">
        <f t="shared" si="68"/>
        <v>0</v>
      </c>
      <c r="G158" s="180">
        <f t="shared" si="68"/>
        <v>0</v>
      </c>
      <c r="H158" s="180">
        <f t="shared" si="68"/>
        <v>0</v>
      </c>
      <c r="I158" s="180">
        <f t="shared" si="68"/>
        <v>0</v>
      </c>
      <c r="J158" s="180">
        <f t="shared" si="68"/>
        <v>0</v>
      </c>
      <c r="K158" s="180">
        <f t="shared" si="68"/>
        <v>0</v>
      </c>
      <c r="L158" s="180">
        <f t="shared" si="68"/>
        <v>0</v>
      </c>
      <c r="M158" s="180">
        <f t="shared" si="68"/>
        <v>0</v>
      </c>
      <c r="N158" s="180">
        <f t="shared" si="68"/>
        <v>0</v>
      </c>
      <c r="O158" s="180">
        <f t="shared" si="68"/>
        <v>0</v>
      </c>
      <c r="P158" s="180">
        <f t="shared" si="68"/>
        <v>0</v>
      </c>
      <c r="Q158" s="180">
        <f t="shared" si="68"/>
        <v>0</v>
      </c>
      <c r="R158" s="315" t="str">
        <f>IFERROR((INDEX(158:158,MATCH(DATE('Control Panel'!$B$4+'Control Panel'!$B$5-1,'Control Panel'!$B$6,'Control Panel'!$B$7),'Scenarios onshore'!$10:$10,0))/INDEX(158:158,MATCH(DATE('Control Panel'!$B$4,'Control Panel'!$B$6,'Control Panel'!$B$7),'Scenarios onshore'!$10:$10,0)))^(1/('Control Panel'!$B$5-1))-1,"n.a.")</f>
        <v>n.a.</v>
      </c>
      <c r="S158" s="315" t="str">
        <f>IFERROR((INDEX(158:158,MATCH(DATE('Control Panel'!$B$13,'Control Panel'!$B$6,'Control Panel'!$B$7),'Scenarios onshore'!$10:$10,0))/INDEX(158:158,MATCH(DATE('Control Panel'!$B$4+'Control Panel'!$B$5-1,'Control Panel'!$B$6,'Control Panel'!$B$7),'Scenarios onshore'!$10:$10,0)))^(1/('Control Panel'!$B$13-'Control Panel'!$B$12+1))-1,"n.a.")</f>
        <v>n.a.</v>
      </c>
    </row>
    <row r="159" spans="1:19" ht="14.4">
      <c r="A159" s="255"/>
      <c r="B159" s="255"/>
      <c r="C159" s="255"/>
      <c r="D159" s="187" t="s">
        <v>945</v>
      </c>
      <c r="E159" s="187" t="str">
        <f t="shared" ref="E159:Q159" si="69">IFERROR(E158/E18*365,"")</f>
        <v/>
      </c>
      <c r="F159" s="187" t="str">
        <f t="shared" si="69"/>
        <v/>
      </c>
      <c r="G159" s="187" t="str">
        <f t="shared" si="69"/>
        <v/>
      </c>
      <c r="H159" s="187" t="str">
        <f t="shared" si="69"/>
        <v/>
      </c>
      <c r="I159" s="659" t="str">
        <f>IFERROR(I158/I$34*365,"")</f>
        <v/>
      </c>
      <c r="J159" s="659" t="str">
        <f>IFERROR(J158/J34*365,"")</f>
        <v/>
      </c>
      <c r="K159" s="659" t="str">
        <f t="shared" ref="K159:P159" si="70">IFERROR(K158/K34*365,"")</f>
        <v/>
      </c>
      <c r="L159" s="659" t="str">
        <f t="shared" si="70"/>
        <v/>
      </c>
      <c r="M159" s="659" t="str">
        <f t="shared" si="70"/>
        <v/>
      </c>
      <c r="N159" s="659" t="str">
        <f t="shared" si="70"/>
        <v/>
      </c>
      <c r="O159" s="659" t="str">
        <f t="shared" si="70"/>
        <v/>
      </c>
      <c r="P159" s="659" t="str">
        <f t="shared" si="70"/>
        <v/>
      </c>
      <c r="Q159" s="187" t="str">
        <f t="shared" si="69"/>
        <v/>
      </c>
      <c r="R159" s="38"/>
      <c r="S159" s="38"/>
    </row>
    <row r="160" spans="1:19">
      <c r="A160" s="255"/>
      <c r="B160" s="255"/>
      <c r="C160" s="255"/>
      <c r="D160" s="255" t="s">
        <v>599</v>
      </c>
      <c r="E160" s="255">
        <f>IFERROR(Input_unit*(E$4&lt;$D$1)*SUMIF('Historical BU2'!$A$89:$A$419,"ACR",INDEX('Historical BU2'!$D$89:$EE$419,0,MATCH(E$4,'Historical BU2'!$D$84:$EE$84,0))),0)</f>
        <v>0</v>
      </c>
      <c r="F160" s="255">
        <f>IFERROR(Input_unit*(F$4&lt;$D$1)*SUMIF('Historical BU2'!$A$89:$A$419,"ACR",INDEX('Historical BU2'!$D$89:$EE$419,0,MATCH(F$4,'Historical BU2'!$D$84:$EE$84,0))),0)</f>
        <v>0</v>
      </c>
      <c r="G160" s="255">
        <f>IFERROR(Input_unit*(G$4&lt;$D$1)*SUMIF('Historical BU2'!$A$89:$A$419,"ACR",INDEX('Historical BU2'!$D$89:$EE$419,0,MATCH(G$4,'Historical BU2'!$D$84:$EE$84,0))),0)</f>
        <v>0</v>
      </c>
      <c r="H160" s="255">
        <f>IFERROR(Input_unit*(H$4&lt;$D$1)*SUMIF('Historical BU2'!$A$89:$A$419,"ACR",INDEX('Historical BU2'!$D$89:$EE$419,0,MATCH(H$4,'Historical BU2'!$D$84:$EE$84,0))),0)</f>
        <v>0</v>
      </c>
      <c r="I160" s="255">
        <f>IFERROR(Input_unit*(I$4&lt;$D$1)*SUMIF('Historical BU2'!$A$89:$A$419,"ACR",INDEX('Historical BU2'!$D$89:$EE$419,0,MATCH(I$4,'Historical BU2'!$D$84:$EE$84,0))),0)</f>
        <v>0</v>
      </c>
      <c r="J160" s="255">
        <f>IFERROR(Input_unit*(J$4&lt;$D$1)*SUMIF('Historical BU2'!$A$89:$A$419,"ACR",INDEX('Historical BU2'!$D$89:$EE$419,0,MATCH(J$4,'Historical BU2'!$D$84:$EE$84,0))),0)</f>
        <v>0</v>
      </c>
      <c r="K160" s="255">
        <f>IFERROR(Input_unit*(K$4&lt;$D$1)*SUMIF('Historical BU2'!$A$89:$A$419,"ACR",INDEX('Historical BU2'!$D$89:$EE$419,0,MATCH(K$4,'Historical BU2'!$D$84:$EE$84,0))),0)</f>
        <v>0</v>
      </c>
      <c r="L160" s="255">
        <f>IFERROR(Input_unit*(L$4&lt;$D$1)*SUMIF('Historical BU2'!$A$89:$A$419,"ACR",INDEX('Historical BU2'!$D$89:$EE$419,0,MATCH(L$4,'Historical BU2'!$D$84:$EE$84,0))),0)</f>
        <v>0</v>
      </c>
      <c r="M160" s="255">
        <f>IFERROR(Input_unit*(M$4&lt;$D$1)*SUMIF('Historical BU2'!$A$89:$A$419,"ACR",INDEX('Historical BU2'!$D$89:$EE$419,0,MATCH(M$4,'Historical BU2'!$D$84:$EE$84,0))),0)</f>
        <v>0</v>
      </c>
      <c r="N160" s="255">
        <f>IFERROR(Input_unit*(N$4&lt;$D$1)*SUMIF('Historical BU2'!$A$89:$A$419,"ACR",INDEX('Historical BU2'!$D$89:$EE$419,0,MATCH(N$4,'Historical BU2'!$D$84:$EE$84,0))),0)</f>
        <v>0</v>
      </c>
      <c r="O160" s="255">
        <f>IFERROR(Input_unit*(O$4&lt;$D$1)*SUMIF('Historical BU2'!$A$89:$A$419,"ACR",INDEX('Historical BU2'!$D$89:$EE$419,0,MATCH(O$4,'Historical BU2'!$D$84:$EE$84,0))),0)</f>
        <v>0</v>
      </c>
      <c r="P160" s="255">
        <f>IFERROR(Input_unit*(P$4&lt;$D$1)*SUMIF('Historical BU2'!$A$89:$A$419,"ACR",INDEX('Historical BU2'!$D$89:$EE$419,0,MATCH(P$4,'Historical BU2'!$D$84:$EE$84,0))),0)</f>
        <v>0</v>
      </c>
      <c r="Q160" s="255">
        <f>IFERROR(Input_unit*(Q$4&lt;$D$1)*SUMIF('Historical BU2'!$A$89:$A$419,"ACR",INDEX('Historical BU2'!$D$89:$EE$419,0,MATCH(Q$4,'Historical BU2'!$D$84:$EE$84,0))),0)</f>
        <v>0</v>
      </c>
      <c r="R160" s="316" t="str">
        <f>IFERROR((INDEX(160:160,MATCH(DATE('Control Panel'!$B$4+'Control Panel'!$B$5-1,'Control Panel'!$B$6,'Control Panel'!$B$7),'Scenarios onshore'!$10:$10,0))/INDEX(160:160,MATCH(DATE('Control Panel'!$B$4,'Control Panel'!$B$6,'Control Panel'!$B$7),'Scenarios onshore'!$10:$10,0)))^(1/('Control Panel'!$B$5-1))-1,"n.a.")</f>
        <v>n.a.</v>
      </c>
      <c r="S160" s="292"/>
    </row>
    <row r="161" spans="1:19" ht="14.4">
      <c r="A161" s="1"/>
      <c r="B161" s="1"/>
      <c r="C161" s="1"/>
      <c r="D161" s="255" t="str">
        <f>$D$21</f>
        <v>Sponsor base</v>
      </c>
      <c r="E161" s="197"/>
      <c r="F161" s="197"/>
      <c r="G161" s="197"/>
      <c r="H161" s="197"/>
      <c r="I161" s="197">
        <f>'Sponsor Operating Model'!I241*1000000</f>
        <v>0</v>
      </c>
      <c r="J161" s="197">
        <f>'Sponsor Operating Model'!J241*1000000</f>
        <v>0</v>
      </c>
      <c r="K161" s="197">
        <f>'Sponsor Operating Model'!K241*1000000</f>
        <v>0</v>
      </c>
      <c r="L161" s="197">
        <f>'Sponsor Operating Model'!L241*1000000</f>
        <v>0</v>
      </c>
      <c r="M161" s="197">
        <f>'Sponsor Operating Model'!M241*1000000</f>
        <v>0</v>
      </c>
      <c r="N161" s="197">
        <f>'Sponsor Operating Model'!N241*1000000</f>
        <v>0</v>
      </c>
      <c r="O161" s="197">
        <f>'Sponsor Operating Model'!O241*1000000</f>
        <v>0</v>
      </c>
      <c r="P161" s="197">
        <f>'Sponsor Operating Model'!P241*1000000</f>
        <v>0</v>
      </c>
      <c r="Q161" s="197"/>
      <c r="R161" s="289"/>
      <c r="S161" s="316" t="str">
        <f>IFERROR((INDEX(161:161,MATCH(DATE('Control Panel'!$B$13,'Control Panel'!$B$6,'Control Panel'!$B$7),'Scenarios onshore'!$10:$10,0))/INDEX(160:160,MATCH(DATE('Control Panel'!$B$4+'Control Panel'!$B$5-1,'Control Panel'!$B$6,'Control Panel'!$B$7),'Scenarios onshore'!$10:$10,0)))^(1/('Control Panel'!$B$13-'Control Panel'!$B$12+1))-1,"n.a.")</f>
        <v>n.a.</v>
      </c>
    </row>
    <row r="162" spans="1:19" ht="14.4">
      <c r="A162" s="1"/>
      <c r="B162" s="1"/>
      <c r="C162" s="1"/>
      <c r="D162" s="255" t="str">
        <f>$D$22</f>
        <v>Flat</v>
      </c>
      <c r="E162" s="197"/>
      <c r="F162" s="197"/>
      <c r="G162" s="197"/>
      <c r="H162" s="197"/>
      <c r="I162" s="197"/>
      <c r="J162" s="197"/>
      <c r="K162" s="197"/>
      <c r="L162" s="197"/>
      <c r="M162" s="197"/>
      <c r="N162" s="197"/>
      <c r="O162" s="197"/>
      <c r="P162" s="197"/>
      <c r="Q162" s="197"/>
      <c r="R162" s="289"/>
      <c r="S162" s="316" t="str">
        <f>IFERROR((INDEX(162:162,MATCH(DATE('Control Panel'!$B$13,'Control Panel'!$B$6,'Control Panel'!$B$7),'Scenarios onshore'!$10:$10,0))/INDEX(160:160,MATCH(DATE('Control Panel'!$B$4+'Control Panel'!$B$5-1,'Control Panel'!$B$6,'Control Panel'!$B$7),'Scenarios onshore'!$10:$10,0)))^(1/('Control Panel'!$B$13-'Control Panel'!$B$12+1))-1,"n.a.")</f>
        <v>n.a.</v>
      </c>
    </row>
    <row r="163" spans="1:19" ht="14.4">
      <c r="A163" s="1"/>
      <c r="B163" s="1"/>
      <c r="C163" s="1"/>
      <c r="D163" s="255" t="str">
        <f>$D$23</f>
        <v>Bank case</v>
      </c>
      <c r="E163" s="197"/>
      <c r="F163" s="197"/>
      <c r="G163" s="197"/>
      <c r="H163" s="197"/>
      <c r="I163" s="197">
        <f>I39/365*66</f>
        <v>0</v>
      </c>
      <c r="J163" s="197">
        <f t="shared" ref="J163:P163" si="71">J39/365*66</f>
        <v>0</v>
      </c>
      <c r="K163" s="197">
        <f t="shared" si="71"/>
        <v>0</v>
      </c>
      <c r="L163" s="197">
        <f t="shared" si="71"/>
        <v>0</v>
      </c>
      <c r="M163" s="197">
        <f t="shared" si="71"/>
        <v>0</v>
      </c>
      <c r="N163" s="197">
        <f t="shared" si="71"/>
        <v>0</v>
      </c>
      <c r="O163" s="197">
        <f t="shared" si="71"/>
        <v>0</v>
      </c>
      <c r="P163" s="197">
        <f t="shared" si="71"/>
        <v>0</v>
      </c>
      <c r="Q163" s="197"/>
      <c r="R163" s="289"/>
      <c r="S163" s="316" t="str">
        <f>IFERROR((INDEX(163:163,MATCH(DATE('Control Panel'!$B$13,'Control Panel'!$B$6,'Control Panel'!$B$7),'Scenarios onshore'!$10:$10,0))/INDEX(160:160,MATCH(DATE('Control Panel'!$B$4+'Control Panel'!$B$5-1,'Control Panel'!$B$6,'Control Panel'!$B$7),'Scenarios onshore'!$10:$10,0)))^(1/('Control Panel'!$B$13-'Control Panel'!$B$12+1))-1,"n.a.")</f>
        <v>n.a.</v>
      </c>
    </row>
    <row r="164" spans="1:19" ht="14.4">
      <c r="A164" s="1"/>
      <c r="B164" s="1"/>
      <c r="C164" s="1"/>
      <c r="D164" s="255" t="str">
        <f>$D$24</f>
        <v>Bank worse</v>
      </c>
      <c r="E164" s="197"/>
      <c r="F164" s="197"/>
      <c r="G164" s="197"/>
      <c r="H164" s="197"/>
      <c r="I164" s="197">
        <f>I40/365*66</f>
        <v>0</v>
      </c>
      <c r="J164" s="197">
        <f t="shared" ref="J164:P164" si="72">J40/365*66</f>
        <v>0</v>
      </c>
      <c r="K164" s="197">
        <f t="shared" si="72"/>
        <v>0</v>
      </c>
      <c r="L164" s="197">
        <f t="shared" si="72"/>
        <v>0</v>
      </c>
      <c r="M164" s="197">
        <f t="shared" si="72"/>
        <v>0</v>
      </c>
      <c r="N164" s="197">
        <f t="shared" si="72"/>
        <v>0</v>
      </c>
      <c r="O164" s="197">
        <f t="shared" si="72"/>
        <v>0</v>
      </c>
      <c r="P164" s="197">
        <f t="shared" si="72"/>
        <v>0</v>
      </c>
      <c r="Q164" s="197"/>
      <c r="R164" s="289"/>
      <c r="S164" s="316" t="str">
        <f>IFERROR((INDEX(164:164,MATCH(DATE('Control Panel'!$B$13,'Control Panel'!$B$6,'Control Panel'!$B$7),'Scenarios onshore'!$10:$10,0))/INDEX(160:160,MATCH(DATE('Control Panel'!$B$4+'Control Panel'!$B$5-1,'Control Panel'!$B$6,'Control Panel'!$B$7),'Scenarios onshore'!$10:$10,0)))^(1/('Control Panel'!$B$13-'Control Panel'!$B$12+1))-1,"n.a.")</f>
        <v>n.a.</v>
      </c>
    </row>
    <row r="165" spans="1:19" ht="14.4">
      <c r="A165" s="38"/>
      <c r="B165" s="38"/>
      <c r="C165" s="38"/>
      <c r="D165" s="54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</row>
    <row r="166" spans="1:19">
      <c r="A166" s="180"/>
      <c r="B166" s="180"/>
      <c r="C166" s="180" t="s">
        <v>1583</v>
      </c>
      <c r="D166" s="180" t="s">
        <v>604</v>
      </c>
      <c r="E166" s="180">
        <f t="shared" ref="E166:Q166" si="73">IF(E$5,INDEX(E169:E172,$D$2),E168)</f>
        <v>0</v>
      </c>
      <c r="F166" s="180">
        <f t="shared" si="73"/>
        <v>0</v>
      </c>
      <c r="G166" s="180">
        <f t="shared" si="73"/>
        <v>0</v>
      </c>
      <c r="H166" s="180">
        <f t="shared" si="73"/>
        <v>0</v>
      </c>
      <c r="I166" s="180">
        <f t="shared" si="73"/>
        <v>0</v>
      </c>
      <c r="J166" s="180">
        <f t="shared" si="73"/>
        <v>0</v>
      </c>
      <c r="K166" s="180">
        <f t="shared" si="73"/>
        <v>0</v>
      </c>
      <c r="L166" s="180">
        <f t="shared" si="73"/>
        <v>0</v>
      </c>
      <c r="M166" s="180">
        <f t="shared" si="73"/>
        <v>0</v>
      </c>
      <c r="N166" s="180">
        <f t="shared" si="73"/>
        <v>0</v>
      </c>
      <c r="O166" s="180">
        <f t="shared" si="73"/>
        <v>0</v>
      </c>
      <c r="P166" s="180">
        <f t="shared" si="73"/>
        <v>0</v>
      </c>
      <c r="Q166" s="180">
        <f t="shared" si="73"/>
        <v>0</v>
      </c>
      <c r="R166" s="315" t="str">
        <f>IFERROR((INDEX(166:166,MATCH(DATE('Control Panel'!$B$4+'Control Panel'!$B$5-1,'Control Panel'!$B$6,'Control Panel'!$B$7),'Scenarios onshore'!$10:$10,0))/INDEX(166:166,MATCH(DATE('Control Panel'!$B$4,'Control Panel'!$B$6,'Control Panel'!$B$7),'Scenarios onshore'!$10:$10,0)))^(1/('Control Panel'!$B$5-1))-1,"n.a.")</f>
        <v>n.a.</v>
      </c>
      <c r="S166" s="315" t="str">
        <f>IFERROR((INDEX(166:166,MATCH(DATE('Control Panel'!$B$13,'Control Panel'!$B$6,'Control Panel'!$B$7),'Scenarios onshore'!$10:$10,0))/INDEX(166:166,MATCH(DATE('Control Panel'!$B$4+'Control Panel'!$B$5-1,'Control Panel'!$B$6,'Control Panel'!$B$7),'Scenarios onshore'!$10:$10,0)))^(1/('Control Panel'!$B$13-'Control Panel'!$B$12+1))-1,"n.a.")</f>
        <v>n.a.</v>
      </c>
    </row>
    <row r="167" spans="1:19" ht="14.4">
      <c r="A167" s="255"/>
      <c r="B167" s="255"/>
      <c r="C167" s="255"/>
      <c r="D167" s="187" t="s">
        <v>945</v>
      </c>
      <c r="E167" s="187" t="str">
        <f t="shared" ref="E167:F167" si="74">IFERROR(E166/E42*365,"")</f>
        <v/>
      </c>
      <c r="F167" s="187" t="str">
        <f t="shared" si="74"/>
        <v/>
      </c>
      <c r="G167" s="187" t="str">
        <f>IFERROR(G166/G42*365,"")</f>
        <v/>
      </c>
      <c r="H167" s="187" t="str">
        <f t="shared" ref="H167:Q167" si="75">IFERROR(H166/H42*365,"")</f>
        <v/>
      </c>
      <c r="I167" s="187" t="str">
        <f t="shared" si="75"/>
        <v/>
      </c>
      <c r="J167" s="187" t="str">
        <f t="shared" si="75"/>
        <v/>
      </c>
      <c r="K167" s="187" t="str">
        <f t="shared" si="75"/>
        <v/>
      </c>
      <c r="L167" s="187" t="str">
        <f t="shared" si="75"/>
        <v/>
      </c>
      <c r="M167" s="187" t="str">
        <f t="shared" si="75"/>
        <v/>
      </c>
      <c r="N167" s="187" t="str">
        <f t="shared" si="75"/>
        <v/>
      </c>
      <c r="O167" s="187" t="str">
        <f t="shared" si="75"/>
        <v/>
      </c>
      <c r="P167" s="187" t="str">
        <f t="shared" si="75"/>
        <v/>
      </c>
      <c r="Q167" s="187" t="str">
        <f t="shared" si="75"/>
        <v/>
      </c>
      <c r="R167" s="38"/>
      <c r="S167" s="38"/>
    </row>
    <row r="168" spans="1:19">
      <c r="A168" s="255"/>
      <c r="B168" s="255"/>
      <c r="C168" s="255"/>
      <c r="D168" s="255" t="s">
        <v>599</v>
      </c>
      <c r="E168" s="255">
        <f>IFERROR(Input_unit*(E$4&lt;$D$1)*SUMIF('Historical BU2'!$A$89:$A$419,"ACP",INDEX('Historical BU2'!$D$89:$EE$419,0,MATCH(E$4,'Historical BU2'!$D$84:$EE$84,0))),0)</f>
        <v>0</v>
      </c>
      <c r="F168" s="255">
        <f>IFERROR(Input_unit*(F$4&lt;$D$1)*SUMIF('Historical BU2'!$A$89:$A$419,"ACP",INDEX('Historical BU2'!$D$89:$EE$419,0,MATCH(F$4,'Historical BU2'!$D$84:$EE$84,0))),0)</f>
        <v>0</v>
      </c>
      <c r="G168" s="255">
        <f>IFERROR(Input_unit*(G$4&lt;$D$1)*SUMIF('Historical BU2'!$A$89:$A$419,"ACP",INDEX('Historical BU2'!$D$89:$EE$419,0,MATCH(G$4,'Historical BU2'!$D$84:$EE$84,0))),0)</f>
        <v>0</v>
      </c>
      <c r="H168" s="255">
        <f>IFERROR(Input_unit*(H$4&lt;$D$1)*SUMIF('Historical BU2'!$A$89:$A$419,"ACP",INDEX('Historical BU2'!$D$89:$EE$419,0,MATCH(H$4,'Historical BU2'!$D$84:$EE$84,0))),0)</f>
        <v>0</v>
      </c>
      <c r="I168" s="255">
        <f>IFERROR(Input_unit*(I$4&lt;$D$1)*SUMIF('Historical BU2'!$A$89:$A$419,"ACP",INDEX('Historical BU2'!$D$89:$EE$419,0,MATCH(I$4,'Historical BU2'!$D$84:$EE$84,0))),0)</f>
        <v>0</v>
      </c>
      <c r="J168" s="255">
        <f>IFERROR(Input_unit*(J$4&lt;$D$1)*SUMIF('Historical BU2'!$A$89:$A$419,"ACP",INDEX('Historical BU2'!$D$89:$EE$419,0,MATCH(J$4,'Historical BU2'!$D$84:$EE$84,0))),0)</f>
        <v>0</v>
      </c>
      <c r="K168" s="255">
        <f>IFERROR(Input_unit*(K$4&lt;$D$1)*SUMIF('Historical BU2'!$A$89:$A$419,"ACP",INDEX('Historical BU2'!$D$89:$EE$419,0,MATCH(K$4,'Historical BU2'!$D$84:$EE$84,0))),0)</f>
        <v>0</v>
      </c>
      <c r="L168" s="255">
        <f>IFERROR(Input_unit*(L$4&lt;$D$1)*SUMIF('Historical BU2'!$A$89:$A$419,"ACP",INDEX('Historical BU2'!$D$89:$EE$419,0,MATCH(L$4,'Historical BU2'!$D$84:$EE$84,0))),0)</f>
        <v>0</v>
      </c>
      <c r="M168" s="255">
        <f>IFERROR(Input_unit*(M$4&lt;$D$1)*SUMIF('Historical BU2'!$A$89:$A$419,"ACP",INDEX('Historical BU2'!$D$89:$EE$419,0,MATCH(M$4,'Historical BU2'!$D$84:$EE$84,0))),0)</f>
        <v>0</v>
      </c>
      <c r="N168" s="255">
        <f>IFERROR(Input_unit*(N$4&lt;$D$1)*SUMIF('Historical BU2'!$A$89:$A$419,"ACP",INDEX('Historical BU2'!$D$89:$EE$419,0,MATCH(N$4,'Historical BU2'!$D$84:$EE$84,0))),0)</f>
        <v>0</v>
      </c>
      <c r="O168" s="255">
        <f>IFERROR(Input_unit*(O$4&lt;$D$1)*SUMIF('Historical BU2'!$A$89:$A$419,"ACP",INDEX('Historical BU2'!$D$89:$EE$419,0,MATCH(O$4,'Historical BU2'!$D$84:$EE$84,0))),0)</f>
        <v>0</v>
      </c>
      <c r="P168" s="255">
        <f>IFERROR(Input_unit*(P$4&lt;$D$1)*SUMIF('Historical BU2'!$A$89:$A$419,"ACP",INDEX('Historical BU2'!$D$89:$EE$419,0,MATCH(P$4,'Historical BU2'!$D$84:$EE$84,0))),0)</f>
        <v>0</v>
      </c>
      <c r="Q168" s="255">
        <f>IFERROR(Input_unit*(Q$4&lt;$D$1)*SUMIF('Historical BU2'!$A$89:$A$419,"ACP",INDEX('Historical BU2'!$D$89:$EE$419,0,MATCH(Q$4,'Historical BU2'!$D$84:$EE$84,0))),0)</f>
        <v>0</v>
      </c>
      <c r="R168" s="316" t="str">
        <f>IFERROR((INDEX(168:168,MATCH(DATE('Control Panel'!$B$4+'Control Panel'!$B$5-1,'Control Panel'!$B$6,'Control Panel'!$B$7),'Scenarios onshore'!$10:$10,0))/INDEX(168:168,MATCH(DATE('Control Panel'!$B$4,'Control Panel'!$B$6,'Control Panel'!$B$7),'Scenarios onshore'!$10:$10,0)))^(1/('Control Panel'!$B$5-1))-1,"n.a.")</f>
        <v>n.a.</v>
      </c>
      <c r="S168" s="292"/>
    </row>
    <row r="169" spans="1:19" ht="14.4">
      <c r="A169" s="1"/>
      <c r="B169" s="1"/>
      <c r="C169" s="1"/>
      <c r="D169" s="255" t="str">
        <f>$D$21</f>
        <v>Sponsor base</v>
      </c>
      <c r="E169" s="197"/>
      <c r="F169" s="197"/>
      <c r="G169" s="197"/>
      <c r="H169" s="197"/>
      <c r="I169" s="197">
        <f>'Sponsor Operating Model'!I247*-1000000</f>
        <v>0</v>
      </c>
      <c r="J169" s="197">
        <f>'Sponsor Operating Model'!J247*-1000000</f>
        <v>0</v>
      </c>
      <c r="K169" s="197">
        <f>'Sponsor Operating Model'!K247*-1000000</f>
        <v>0</v>
      </c>
      <c r="L169" s="197">
        <f>'Sponsor Operating Model'!L247*-1000000</f>
        <v>0</v>
      </c>
      <c r="M169" s="197">
        <f>'Sponsor Operating Model'!M247*-1000000</f>
        <v>0</v>
      </c>
      <c r="N169" s="197">
        <f>'Sponsor Operating Model'!N247*-1000000</f>
        <v>0</v>
      </c>
      <c r="O169" s="197">
        <f>'Sponsor Operating Model'!O247*-1000000</f>
        <v>0</v>
      </c>
      <c r="P169" s="197">
        <f>'Sponsor Operating Model'!P247*-1000000</f>
        <v>0</v>
      </c>
      <c r="Q169" s="197"/>
      <c r="R169" s="289"/>
      <c r="S169" s="316" t="str">
        <f>IFERROR((INDEX(169:169,MATCH(DATE('Control Panel'!$B$13,'Control Panel'!$B$6,'Control Panel'!$B$7),'Scenarios onshore'!$10:$10,0))/INDEX(168:168,MATCH(DATE('Control Panel'!$B$4+'Control Panel'!$B$5-1,'Control Panel'!$B$6,'Control Panel'!$B$7),'Scenarios onshore'!$10:$10,0)))^(1/('Control Panel'!$B$13-'Control Panel'!$B$12+1))-1,"n.a.")</f>
        <v>n.a.</v>
      </c>
    </row>
    <row r="170" spans="1:19" ht="14.4">
      <c r="A170" s="1"/>
      <c r="B170" s="1"/>
      <c r="C170" s="1"/>
      <c r="D170" s="255" t="str">
        <f>$D$22</f>
        <v>Flat</v>
      </c>
      <c r="E170" s="197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289"/>
      <c r="S170" s="316" t="str">
        <f>IFERROR((INDEX(170:170,MATCH(DATE('Control Panel'!$B$13,'Control Panel'!$B$6,'Control Panel'!$B$7),'Scenarios onshore'!$10:$10,0))/INDEX(168:168,MATCH(DATE('Control Panel'!$B$4+'Control Panel'!$B$5-1,'Control Panel'!$B$6,'Control Panel'!$B$7),'Scenarios onshore'!$10:$10,0)))^(1/('Control Panel'!$B$13-'Control Panel'!$B$12+1))-1,"n.a.")</f>
        <v>n.a.</v>
      </c>
    </row>
    <row r="171" spans="1:19" ht="14.4">
      <c r="A171" s="1"/>
      <c r="B171" s="1"/>
      <c r="C171" s="1"/>
      <c r="D171" s="255" t="str">
        <f>$D$23</f>
        <v>Bank case</v>
      </c>
      <c r="E171" s="197"/>
      <c r="F171" s="197"/>
      <c r="G171" s="197"/>
      <c r="H171" s="197"/>
      <c r="I171" s="197">
        <f>I47/365*30</f>
        <v>0</v>
      </c>
      <c r="J171" s="197">
        <f t="shared" ref="J171:P171" si="76">J47/365*30</f>
        <v>0</v>
      </c>
      <c r="K171" s="197">
        <f t="shared" si="76"/>
        <v>0</v>
      </c>
      <c r="L171" s="197">
        <f t="shared" si="76"/>
        <v>0</v>
      </c>
      <c r="M171" s="197">
        <f t="shared" si="76"/>
        <v>0</v>
      </c>
      <c r="N171" s="197">
        <f t="shared" si="76"/>
        <v>0</v>
      </c>
      <c r="O171" s="197">
        <f t="shared" si="76"/>
        <v>0</v>
      </c>
      <c r="P171" s="197">
        <f t="shared" si="76"/>
        <v>0</v>
      </c>
      <c r="Q171" s="197"/>
      <c r="R171" s="289"/>
      <c r="S171" s="316" t="str">
        <f>IFERROR((INDEX(171:171,MATCH(DATE('Control Panel'!$B$13,'Control Panel'!$B$6,'Control Panel'!$B$7),'Scenarios onshore'!$10:$10,0))/INDEX(168:168,MATCH(DATE('Control Panel'!$B$4+'Control Panel'!$B$5-1,'Control Panel'!$B$6,'Control Panel'!$B$7),'Scenarios onshore'!$10:$10,0)))^(1/('Control Panel'!$B$13-'Control Panel'!$B$12+1))-1,"n.a.")</f>
        <v>n.a.</v>
      </c>
    </row>
    <row r="172" spans="1:19" ht="14.4">
      <c r="A172" s="1"/>
      <c r="B172" s="1"/>
      <c r="C172" s="1"/>
      <c r="D172" s="255" t="str">
        <f>$D$24</f>
        <v>Bank worse</v>
      </c>
      <c r="E172" s="197"/>
      <c r="F172" s="197"/>
      <c r="G172" s="197"/>
      <c r="H172" s="197"/>
      <c r="I172" s="197">
        <f>I48/365*30</f>
        <v>0</v>
      </c>
      <c r="J172" s="197">
        <f t="shared" ref="J172:P172" si="77">J48/365*30</f>
        <v>0</v>
      </c>
      <c r="K172" s="197">
        <f t="shared" si="77"/>
        <v>0</v>
      </c>
      <c r="L172" s="197">
        <f t="shared" si="77"/>
        <v>0</v>
      </c>
      <c r="M172" s="197">
        <f t="shared" si="77"/>
        <v>0</v>
      </c>
      <c r="N172" s="197">
        <f t="shared" si="77"/>
        <v>0</v>
      </c>
      <c r="O172" s="197">
        <f t="shared" si="77"/>
        <v>0</v>
      </c>
      <c r="P172" s="197">
        <f t="shared" si="77"/>
        <v>0</v>
      </c>
      <c r="Q172" s="197"/>
      <c r="R172" s="289"/>
      <c r="S172" s="316" t="str">
        <f>IFERROR((INDEX(172:172,MATCH(DATE('Control Panel'!$B$13,'Control Panel'!$B$6,'Control Panel'!$B$7),'Scenarios onshore'!$10:$10,0))/INDEX(168:168,MATCH(DATE('Control Panel'!$B$4+'Control Panel'!$B$5-1,'Control Panel'!$B$6,'Control Panel'!$B$7),'Scenarios onshore'!$10:$10,0)))^(1/('Control Panel'!$B$13-'Control Panel'!$B$12+1))-1,"n.a.")</f>
        <v>n.a.</v>
      </c>
    </row>
    <row r="173" spans="1:19" ht="14.4">
      <c r="A173" s="38"/>
      <c r="B173" s="38"/>
      <c r="C173" s="38"/>
      <c r="D173" s="38"/>
      <c r="E173" s="287"/>
      <c r="F173" s="287"/>
      <c r="G173" s="287"/>
      <c r="H173" s="287"/>
      <c r="I173" s="287"/>
      <c r="J173" s="287"/>
      <c r="K173" s="287"/>
      <c r="L173" s="287"/>
      <c r="M173" s="287"/>
      <c r="N173" s="287"/>
      <c r="O173" s="287"/>
      <c r="P173" s="287"/>
      <c r="Q173" s="287"/>
    </row>
    <row r="174" spans="1:19">
      <c r="A174" s="180"/>
      <c r="B174" s="180"/>
      <c r="C174" s="180" t="s">
        <v>1584</v>
      </c>
      <c r="D174" s="180" t="s">
        <v>604</v>
      </c>
      <c r="E174" s="180">
        <f t="shared" ref="E174:Q174" si="78">IF(E$5,INDEX(E177:E180,$D$2),E176)</f>
        <v>0</v>
      </c>
      <c r="F174" s="180">
        <f t="shared" si="78"/>
        <v>0</v>
      </c>
      <c r="G174" s="180">
        <f t="shared" si="78"/>
        <v>0</v>
      </c>
      <c r="H174" s="180">
        <f t="shared" si="78"/>
        <v>0</v>
      </c>
      <c r="I174" s="180">
        <f t="shared" si="78"/>
        <v>0</v>
      </c>
      <c r="J174" s="180">
        <f t="shared" si="78"/>
        <v>0</v>
      </c>
      <c r="K174" s="180">
        <f t="shared" si="78"/>
        <v>0</v>
      </c>
      <c r="L174" s="180">
        <f t="shared" si="78"/>
        <v>0</v>
      </c>
      <c r="M174" s="180">
        <f t="shared" si="78"/>
        <v>0</v>
      </c>
      <c r="N174" s="180">
        <f t="shared" si="78"/>
        <v>0</v>
      </c>
      <c r="O174" s="180">
        <f t="shared" si="78"/>
        <v>0</v>
      </c>
      <c r="P174" s="180">
        <f t="shared" si="78"/>
        <v>0</v>
      </c>
      <c r="Q174" s="180">
        <f t="shared" si="78"/>
        <v>0</v>
      </c>
      <c r="R174" s="315" t="str">
        <f>IFERROR((INDEX(174:174,MATCH(DATE('Control Panel'!$B$4+'Control Panel'!$B$5-1,'Control Panel'!$B$6,'Control Panel'!$B$7),'Scenarios onshore'!$10:$10,0))/INDEX(174:174,MATCH(DATE('Control Panel'!$B$4,'Control Panel'!$B$6,'Control Panel'!$B$7),'Scenarios onshore'!$10:$10,0)))^(1/('Control Panel'!$B$5-1))-1,"n.a.")</f>
        <v>n.a.</v>
      </c>
      <c r="S174" s="315" t="str">
        <f>IFERROR((INDEX(174:174,MATCH(DATE('Control Panel'!$B$13,'Control Panel'!$B$6,'Control Panel'!$B$7),'Scenarios onshore'!$10:$10,0))/INDEX(174:174,MATCH(DATE('Control Panel'!$B$4+'Control Panel'!$B$5-1,'Control Panel'!$B$6,'Control Panel'!$B$7),'Scenarios onshore'!$10:$10,0)))^(1/('Control Panel'!$B$13-'Control Panel'!$B$12+1))-1,"n.a.")</f>
        <v>n.a.</v>
      </c>
    </row>
    <row r="175" spans="1:19" ht="14.4">
      <c r="A175" s="255"/>
      <c r="B175" s="255"/>
      <c r="C175" s="255"/>
      <c r="D175" s="187" t="s">
        <v>945</v>
      </c>
      <c r="E175" s="187" t="str">
        <f>IFERROR(E174/E42*365,"")</f>
        <v/>
      </c>
      <c r="F175" s="187" t="str">
        <f t="shared" ref="F175:Q175" si="79">IFERROR(F174/F42*365,"")</f>
        <v/>
      </c>
      <c r="G175" s="187" t="str">
        <f t="shared" si="79"/>
        <v/>
      </c>
      <c r="H175" s="187" t="str">
        <f t="shared" si="79"/>
        <v/>
      </c>
      <c r="I175" s="187" t="str">
        <f t="shared" si="79"/>
        <v/>
      </c>
      <c r="J175" s="187" t="str">
        <f t="shared" si="79"/>
        <v/>
      </c>
      <c r="K175" s="187" t="str">
        <f t="shared" si="79"/>
        <v/>
      </c>
      <c r="L175" s="187" t="str">
        <f t="shared" si="79"/>
        <v/>
      </c>
      <c r="M175" s="187" t="str">
        <f t="shared" si="79"/>
        <v/>
      </c>
      <c r="N175" s="187" t="str">
        <f t="shared" si="79"/>
        <v/>
      </c>
      <c r="O175" s="187" t="str">
        <f t="shared" si="79"/>
        <v/>
      </c>
      <c r="P175" s="187" t="str">
        <f t="shared" si="79"/>
        <v/>
      </c>
      <c r="Q175" s="187" t="str">
        <f t="shared" si="79"/>
        <v/>
      </c>
      <c r="R175" s="38"/>
      <c r="S175" s="38"/>
    </row>
    <row r="176" spans="1:19">
      <c r="A176" s="255"/>
      <c r="B176" s="255"/>
      <c r="C176" s="255"/>
      <c r="D176" s="255" t="s">
        <v>599</v>
      </c>
      <c r="E176" s="255">
        <f>IFERROR(Input_unit*(E$4&lt;$D$1)*SUMIF('Historical BU2'!$A$89:$A$419,"INV",INDEX('Historical BU2'!$D$89:$EE$419,0,MATCH(E$4,'Historical BU2'!$D$84:$EE$84,0))),0)</f>
        <v>0</v>
      </c>
      <c r="F176" s="255">
        <f>IFERROR(Input_unit*(F$4&lt;$D$1)*SUMIF('Historical BU2'!$A$89:$A$419,"INV",INDEX('Historical BU2'!$D$89:$EE$419,0,MATCH(F$4,'Historical BU2'!$D$84:$EE$84,0))),0)</f>
        <v>0</v>
      </c>
      <c r="G176" s="255">
        <f>IFERROR(Input_unit*(G$4&lt;$D$1)*SUMIF('Historical BU2'!$A$89:$A$419,"INV",INDEX('Historical BU2'!$D$89:$EE$419,0,MATCH(G$4,'Historical BU2'!$D$84:$EE$84,0))),0)</f>
        <v>0</v>
      </c>
      <c r="H176" s="255">
        <f>IFERROR(Input_unit*(H$4&lt;$D$1)*SUMIF('Historical BU2'!$A$89:$A$419,"INV",INDEX('Historical BU2'!$D$89:$EE$419,0,MATCH(H$4,'Historical BU2'!$D$84:$EE$84,0))),0)</f>
        <v>0</v>
      </c>
      <c r="I176" s="255">
        <f>IFERROR(Input_unit*(I$4&lt;$D$1)*SUMIF('Historical BU2'!$A$89:$A$419,"INV",INDEX('Historical BU2'!$D$89:$EE$419,0,MATCH(I$4,'Historical BU2'!$D$84:$EE$84,0))),0)</f>
        <v>0</v>
      </c>
      <c r="J176" s="255">
        <f>IFERROR(Input_unit*(J$4&lt;$D$1)*SUMIF('Historical BU2'!$A$89:$A$419,"INV",INDEX('Historical BU2'!$D$89:$EE$419,0,MATCH(J$4,'Historical BU2'!$D$84:$EE$84,0))),0)</f>
        <v>0</v>
      </c>
      <c r="K176" s="255">
        <f>IFERROR(Input_unit*(K$4&lt;$D$1)*SUMIF('Historical BU2'!$A$89:$A$419,"INV",INDEX('Historical BU2'!$D$89:$EE$419,0,MATCH(K$4,'Historical BU2'!$D$84:$EE$84,0))),0)</f>
        <v>0</v>
      </c>
      <c r="L176" s="255">
        <f>IFERROR(Input_unit*(L$4&lt;$D$1)*SUMIF('Historical BU2'!$A$89:$A$419,"INV",INDEX('Historical BU2'!$D$89:$EE$419,0,MATCH(L$4,'Historical BU2'!$D$84:$EE$84,0))),0)</f>
        <v>0</v>
      </c>
      <c r="M176" s="255">
        <f>IFERROR(Input_unit*(M$4&lt;$D$1)*SUMIF('Historical BU2'!$A$89:$A$419,"INV",INDEX('Historical BU2'!$D$89:$EE$419,0,MATCH(M$4,'Historical BU2'!$D$84:$EE$84,0))),0)</f>
        <v>0</v>
      </c>
      <c r="N176" s="255">
        <f>IFERROR(Input_unit*(N$4&lt;$D$1)*SUMIF('Historical BU2'!$A$89:$A$419,"INV",INDEX('Historical BU2'!$D$89:$EE$419,0,MATCH(N$4,'Historical BU2'!$D$84:$EE$84,0))),0)</f>
        <v>0</v>
      </c>
      <c r="O176" s="255">
        <f>IFERROR(Input_unit*(O$4&lt;$D$1)*SUMIF('Historical BU2'!$A$89:$A$419,"INV",INDEX('Historical BU2'!$D$89:$EE$419,0,MATCH(O$4,'Historical BU2'!$D$84:$EE$84,0))),0)</f>
        <v>0</v>
      </c>
      <c r="P176" s="255">
        <f>IFERROR(Input_unit*(P$4&lt;$D$1)*SUMIF('Historical BU2'!$A$89:$A$419,"INV",INDEX('Historical BU2'!$D$89:$EE$419,0,MATCH(P$4,'Historical BU2'!$D$84:$EE$84,0))),0)</f>
        <v>0</v>
      </c>
      <c r="Q176" s="255">
        <f>IFERROR(Input_unit*(Q$4&lt;$D$1)*SUMIF('Historical BU2'!$A$89:$A$419,"INV",INDEX('Historical BU2'!$D$89:$EE$419,0,MATCH(Q$4,'Historical BU2'!$D$84:$EE$84,0))),0)</f>
        <v>0</v>
      </c>
      <c r="R176" s="316" t="str">
        <f>IFERROR((INDEX(176:176,MATCH(DATE('Control Panel'!$B$4+'Control Panel'!$B$5-1,'Control Panel'!$B$6,'Control Panel'!$B$7),'Scenarios onshore'!$10:$10,0))/INDEX(176:176,MATCH(DATE('Control Panel'!$B$4,'Control Panel'!$B$6,'Control Panel'!$B$7),'Scenarios onshore'!$10:$10,0)))^(1/('Control Panel'!$B$5-1))-1,"n.a.")</f>
        <v>n.a.</v>
      </c>
      <c r="S176" s="292"/>
    </row>
    <row r="177" spans="1:19" ht="14.4">
      <c r="A177" s="1"/>
      <c r="B177" s="1"/>
      <c r="C177" s="1"/>
      <c r="D177" s="255" t="str">
        <f>$D$21</f>
        <v>Sponsor base</v>
      </c>
      <c r="E177" s="197"/>
      <c r="F177" s="197"/>
      <c r="G177" s="197"/>
      <c r="H177" s="197"/>
      <c r="I177" s="197">
        <f>('Sponsor Operating Model'!I242+'Sponsor Operating Model'!I243)*1000000</f>
        <v>0</v>
      </c>
      <c r="J177" s="197">
        <f>('Sponsor Operating Model'!J242+'Sponsor Operating Model'!J243)*1000000</f>
        <v>0</v>
      </c>
      <c r="K177" s="197">
        <f>('Sponsor Operating Model'!K242+'Sponsor Operating Model'!K243)*1000000</f>
        <v>0</v>
      </c>
      <c r="L177" s="197">
        <f>('Sponsor Operating Model'!L242+'Sponsor Operating Model'!L243)*1000000</f>
        <v>0</v>
      </c>
      <c r="M177" s="197">
        <f>('Sponsor Operating Model'!M242+'Sponsor Operating Model'!M243)*1000000</f>
        <v>0</v>
      </c>
      <c r="N177" s="197">
        <f>('Sponsor Operating Model'!N242+'Sponsor Operating Model'!N243)*1000000</f>
        <v>0</v>
      </c>
      <c r="O177" s="197">
        <f>('Sponsor Operating Model'!O242+'Sponsor Operating Model'!O243)*1000000</f>
        <v>0</v>
      </c>
      <c r="P177" s="197">
        <f>('Sponsor Operating Model'!P242+'Sponsor Operating Model'!P243)*1000000</f>
        <v>0</v>
      </c>
      <c r="Q177" s="197"/>
      <c r="R177" s="289"/>
      <c r="S177" s="316" t="str">
        <f>IFERROR((INDEX(177:177,MATCH(DATE('Control Panel'!$B$13,'Control Panel'!$B$6,'Control Panel'!$B$7),'Scenarios onshore'!$10:$10,0))/INDEX(176:176,MATCH(DATE('Control Panel'!$B$4+'Control Panel'!$B$5-1,'Control Panel'!$B$6,'Control Panel'!$B$7),'Scenarios onshore'!$10:$10,0)))^(1/('Control Panel'!$B$13-'Control Panel'!$B$12+1))-1,"n.a.")</f>
        <v>n.a.</v>
      </c>
    </row>
    <row r="178" spans="1:19" ht="14.4">
      <c r="A178" s="1"/>
      <c r="B178" s="1"/>
      <c r="C178" s="1"/>
      <c r="D178" s="255" t="str">
        <f>$D$22</f>
        <v>Flat</v>
      </c>
      <c r="E178" s="197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289"/>
      <c r="S178" s="316" t="str">
        <f>IFERROR((INDEX(178:178,MATCH(DATE('Control Panel'!$B$13,'Control Panel'!$B$6,'Control Panel'!$B$7),'Scenarios onshore'!$10:$10,0))/INDEX(176:176,MATCH(DATE('Control Panel'!$B$4+'Control Panel'!$B$5-1,'Control Panel'!$B$6,'Control Panel'!$B$7),'Scenarios onshore'!$10:$10,0)))^(1/('Control Panel'!$B$13-'Control Panel'!$B$12+1))-1,"n.a.")</f>
        <v>n.a.</v>
      </c>
    </row>
    <row r="179" spans="1:19" ht="14.4">
      <c r="A179" s="1"/>
      <c r="B179" s="1"/>
      <c r="C179" s="1"/>
      <c r="D179" s="255" t="str">
        <f>$D$23</f>
        <v>Bank case</v>
      </c>
      <c r="E179" s="197"/>
      <c r="F179" s="197"/>
      <c r="G179" s="197"/>
      <c r="H179" s="197"/>
      <c r="I179" s="197">
        <f>I47/365*75</f>
        <v>0</v>
      </c>
      <c r="J179" s="197">
        <f t="shared" ref="J179:P179" si="80">J47/365*75</f>
        <v>0</v>
      </c>
      <c r="K179" s="197">
        <f t="shared" si="80"/>
        <v>0</v>
      </c>
      <c r="L179" s="197">
        <f t="shared" si="80"/>
        <v>0</v>
      </c>
      <c r="M179" s="197">
        <f t="shared" si="80"/>
        <v>0</v>
      </c>
      <c r="N179" s="197">
        <f t="shared" si="80"/>
        <v>0</v>
      </c>
      <c r="O179" s="197">
        <f t="shared" si="80"/>
        <v>0</v>
      </c>
      <c r="P179" s="197">
        <f t="shared" si="80"/>
        <v>0</v>
      </c>
      <c r="Q179" s="197"/>
      <c r="R179" s="289"/>
      <c r="S179" s="316" t="str">
        <f>IFERROR((INDEX(179:179,MATCH(DATE('Control Panel'!$B$13,'Control Panel'!$B$6,'Control Panel'!$B$7),'Scenarios onshore'!$10:$10,0))/INDEX(176:176,MATCH(DATE('Control Panel'!$B$4+'Control Panel'!$B$5-1,'Control Panel'!$B$6,'Control Panel'!$B$7),'Scenarios onshore'!$10:$10,0)))^(1/('Control Panel'!$B$13-'Control Panel'!$B$12+1))-1,"n.a.")</f>
        <v>n.a.</v>
      </c>
    </row>
    <row r="180" spans="1:19" ht="14.4">
      <c r="A180" s="1"/>
      <c r="B180" s="1"/>
      <c r="C180" s="1"/>
      <c r="D180" s="255" t="str">
        <f>$D$24</f>
        <v>Bank worse</v>
      </c>
      <c r="E180" s="197"/>
      <c r="F180" s="197"/>
      <c r="G180" s="197"/>
      <c r="H180" s="197"/>
      <c r="I180" s="197">
        <f>I48/365*75</f>
        <v>0</v>
      </c>
      <c r="J180" s="197">
        <f t="shared" ref="J180:P180" si="81">J48/365*75</f>
        <v>0</v>
      </c>
      <c r="K180" s="197">
        <f t="shared" si="81"/>
        <v>0</v>
      </c>
      <c r="L180" s="197">
        <f t="shared" si="81"/>
        <v>0</v>
      </c>
      <c r="M180" s="197">
        <f t="shared" si="81"/>
        <v>0</v>
      </c>
      <c r="N180" s="197">
        <f t="shared" si="81"/>
        <v>0</v>
      </c>
      <c r="O180" s="197">
        <f t="shared" si="81"/>
        <v>0</v>
      </c>
      <c r="P180" s="197">
        <f t="shared" si="81"/>
        <v>0</v>
      </c>
      <c r="Q180" s="197"/>
      <c r="R180" s="289"/>
      <c r="S180" s="316" t="str">
        <f>IFERROR((INDEX(180:180,MATCH(DATE('Control Panel'!$B$13,'Control Panel'!$B$6,'Control Panel'!$B$7),'Scenarios onshore'!$10:$10,0))/INDEX(176:176,MATCH(DATE('Control Panel'!$B$4+'Control Panel'!$B$5-1,'Control Panel'!$B$6,'Control Panel'!$B$7),'Scenarios onshore'!$10:$10,0)))^(1/('Control Panel'!$B$13-'Control Panel'!$B$12+1))-1,"n.a.")</f>
        <v>n.a.</v>
      </c>
    </row>
    <row r="183" spans="1:19">
      <c r="A183" s="180"/>
      <c r="B183" s="180"/>
      <c r="C183" s="180" t="s">
        <v>1585</v>
      </c>
      <c r="D183" s="180" t="s">
        <v>604</v>
      </c>
      <c r="E183" s="180">
        <f t="shared" ref="E183:Q183" si="82">IF(E$5,INDEX(E186:E189,$D$2),E185)</f>
        <v>0</v>
      </c>
      <c r="F183" s="180">
        <f t="shared" si="82"/>
        <v>0</v>
      </c>
      <c r="G183" s="180">
        <f t="shared" si="82"/>
        <v>0</v>
      </c>
      <c r="H183" s="180">
        <f t="shared" si="82"/>
        <v>0</v>
      </c>
      <c r="I183" s="180">
        <f t="shared" si="82"/>
        <v>0</v>
      </c>
      <c r="J183" s="180">
        <f t="shared" si="82"/>
        <v>0</v>
      </c>
      <c r="K183" s="180">
        <f t="shared" si="82"/>
        <v>0</v>
      </c>
      <c r="L183" s="180">
        <f t="shared" si="82"/>
        <v>0</v>
      </c>
      <c r="M183" s="180">
        <f t="shared" si="82"/>
        <v>0</v>
      </c>
      <c r="N183" s="180">
        <f t="shared" si="82"/>
        <v>0</v>
      </c>
      <c r="O183" s="180">
        <f t="shared" si="82"/>
        <v>0</v>
      </c>
      <c r="P183" s="180">
        <f t="shared" si="82"/>
        <v>0</v>
      </c>
      <c r="Q183" s="180">
        <f t="shared" si="82"/>
        <v>0</v>
      </c>
      <c r="R183" s="315" t="str">
        <f>IFERROR((INDEX(183:183,MATCH(DATE('Control Panel'!$B$4+'Control Panel'!$B$5-1,'Control Panel'!$B$6,'Control Panel'!$B$7),'Scenarios onshore'!$10:$10,0))/INDEX(183:183,MATCH(DATE('Control Panel'!$B$4,'Control Panel'!$B$6,'Control Panel'!$B$7),'Scenarios onshore'!$10:$10,0)))^(1/('Control Panel'!$B$5-1))-1,"n.a.")</f>
        <v>n.a.</v>
      </c>
      <c r="S183" s="315" t="str">
        <f>IFERROR((INDEX(183:183,MATCH(DATE('Control Panel'!$B$13,'Control Panel'!$B$6,'Control Panel'!$B$7),'Scenarios onshore'!$10:$10,0))/INDEX(183:183,MATCH(DATE('Control Panel'!$B$4+'Control Panel'!$B$5-1,'Control Panel'!$B$6,'Control Panel'!$B$7),'Scenarios onshore'!$10:$10,0)))^(1/('Control Panel'!$B$13-'Control Panel'!$B$12+1))-1,"n.a.")</f>
        <v>n.a.</v>
      </c>
    </row>
    <row r="184" spans="1:19" ht="14.4">
      <c r="A184" s="255"/>
      <c r="B184" s="255"/>
      <c r="C184" s="255"/>
      <c r="D184" s="187" t="s">
        <v>605</v>
      </c>
      <c r="E184" s="183" t="str">
        <f t="shared" ref="E184:Q184" si="83">IFERROR(E183/E18,"")</f>
        <v/>
      </c>
      <c r="F184" s="183" t="str">
        <f t="shared" si="83"/>
        <v/>
      </c>
      <c r="G184" s="183" t="str">
        <f t="shared" si="83"/>
        <v/>
      </c>
      <c r="H184" s="183" t="str">
        <f t="shared" si="83"/>
        <v/>
      </c>
      <c r="I184" s="658" t="str">
        <f>IFERROR(I183/I$34,"")</f>
        <v/>
      </c>
      <c r="J184" s="658" t="str">
        <f t="shared" ref="J184:P184" si="84">IFERROR(J183/J$34,"")</f>
        <v/>
      </c>
      <c r="K184" s="658" t="str">
        <f t="shared" si="84"/>
        <v/>
      </c>
      <c r="L184" s="658" t="str">
        <f t="shared" si="84"/>
        <v/>
      </c>
      <c r="M184" s="658" t="str">
        <f t="shared" si="84"/>
        <v/>
      </c>
      <c r="N184" s="658" t="str">
        <f t="shared" si="84"/>
        <v/>
      </c>
      <c r="O184" s="658" t="str">
        <f t="shared" si="84"/>
        <v/>
      </c>
      <c r="P184" s="658" t="str">
        <f t="shared" si="84"/>
        <v/>
      </c>
      <c r="Q184" s="183" t="str">
        <f t="shared" si="83"/>
        <v/>
      </c>
      <c r="R184" s="38"/>
      <c r="S184" s="38"/>
    </row>
    <row r="185" spans="1:19">
      <c r="A185" s="255"/>
      <c r="B185" s="255"/>
      <c r="C185" s="255"/>
      <c r="D185" s="255" t="s">
        <v>599</v>
      </c>
      <c r="E185" s="255">
        <f>IFERROR(Input_unit*(E$4&lt;$D$1)*SUMIF('Historical BU2'!$A$89:$A$419,"ORE",INDEX('Historical BU2'!$D$89:$EE$419,0,MATCH(E$4,'Historical BU2'!$D$84:$EE$84,0))),0)+IFERROR(Input_unit*(E$4&lt;$D$1)*SUMIF('Historical BU2'!$A$89:$A$419,"OCA",INDEX('Historical BU2'!$D$89:$EE$419,0,MATCH(E$4,'Historical BU2'!$D$84:$EE$84,0))),0)</f>
        <v>0</v>
      </c>
      <c r="F185" s="255">
        <f>IFERROR(Input_unit*(F$4&lt;$D$1)*SUMIF('Historical BU2'!$A$89:$A$419,"ORE",INDEX('Historical BU2'!$D$89:$EE$419,0,MATCH(F$4,'Historical BU2'!$D$84:$EE$84,0))),0)+IFERROR(Input_unit*(F$4&lt;$D$1)*SUMIF('Historical BU2'!$A$89:$A$419,"OCA",INDEX('Historical BU2'!$D$89:$EE$419,0,MATCH(F$4,'Historical BU2'!$D$84:$EE$84,0))),0)</f>
        <v>0</v>
      </c>
      <c r="G185" s="255">
        <f>IFERROR(Input_unit*(G$4&lt;$D$1)*SUMIF('Historical BU2'!$A$89:$A$419,"ORE",INDEX('Historical BU2'!$D$89:$EE$419,0,MATCH(G$4,'Historical BU2'!$D$84:$EE$84,0))),0)+IFERROR(Input_unit*(G$4&lt;$D$1)*SUMIF('Historical BU2'!$A$89:$A$419,"OCA",INDEX('Historical BU2'!$D$89:$EE$419,0,MATCH(G$4,'Historical BU2'!$D$84:$EE$84,0))),0)</f>
        <v>0</v>
      </c>
      <c r="H185" s="255">
        <f>IFERROR(Input_unit*(H$4&lt;$D$1)*SUMIF('Historical BU2'!$A$89:$A$419,"ORE",INDEX('Historical BU2'!$D$89:$EE$419,0,MATCH(H$4,'Historical BU2'!$D$84:$EE$84,0))),0)+IFERROR(Input_unit*(H$4&lt;$D$1)*SUMIF('Historical BU2'!$A$89:$A$419,"OCA",INDEX('Historical BU2'!$D$89:$EE$419,0,MATCH(H$4,'Historical BU2'!$D$84:$EE$84,0))),0)</f>
        <v>0</v>
      </c>
      <c r="I185" s="255">
        <f>IFERROR(Input_unit*(I$4&lt;$D$1)*SUMIF('Historical BU2'!$A$89:$A$419,"ORE",INDEX('Historical BU2'!$D$89:$EE$419,0,MATCH(I$4,'Historical BU2'!$D$84:$EE$84,0))),0)+IFERROR(Input_unit*(I$4&lt;$D$1)*SUMIF('Historical BU2'!$A$89:$A$419,"OCA",INDEX('Historical BU2'!$D$89:$EE$419,0,MATCH(I$4,'Historical BU2'!$D$84:$EE$84,0))),0)</f>
        <v>0</v>
      </c>
      <c r="J185" s="255">
        <f>IFERROR(Input_unit*(J$4&lt;$D$1)*SUMIF('Historical BU2'!$A$89:$A$419,"ORE",INDEX('Historical BU2'!$D$89:$EE$419,0,MATCH(J$4,'Historical BU2'!$D$84:$EE$84,0))),0)+IFERROR(Input_unit*(J$4&lt;$D$1)*SUMIF('Historical BU2'!$A$89:$A$419,"OCA",INDEX('Historical BU2'!$D$89:$EE$419,0,MATCH(J$4,'Historical BU2'!$D$84:$EE$84,0))),0)</f>
        <v>0</v>
      </c>
      <c r="K185" s="255">
        <f>IFERROR(Input_unit*(K$4&lt;$D$1)*SUMIF('Historical BU2'!$A$89:$A$419,"ORE",INDEX('Historical BU2'!$D$89:$EE$419,0,MATCH(K$4,'Historical BU2'!$D$84:$EE$84,0))),0)+IFERROR(Input_unit*(K$4&lt;$D$1)*SUMIF('Historical BU2'!$A$89:$A$419,"OCA",INDEX('Historical BU2'!$D$89:$EE$419,0,MATCH(K$4,'Historical BU2'!$D$84:$EE$84,0))),0)</f>
        <v>0</v>
      </c>
      <c r="L185" s="255">
        <f>IFERROR(Input_unit*(L$4&lt;$D$1)*SUMIF('Historical BU2'!$A$89:$A$419,"ORE",INDEX('Historical BU2'!$D$89:$EE$419,0,MATCH(L$4,'Historical BU2'!$D$84:$EE$84,0))),0)+IFERROR(Input_unit*(L$4&lt;$D$1)*SUMIF('Historical BU2'!$A$89:$A$419,"OCA",INDEX('Historical BU2'!$D$89:$EE$419,0,MATCH(L$4,'Historical BU2'!$D$84:$EE$84,0))),0)</f>
        <v>0</v>
      </c>
      <c r="M185" s="255">
        <f>IFERROR(Input_unit*(M$4&lt;$D$1)*SUMIF('Historical BU2'!$A$89:$A$419,"ORE",INDEX('Historical BU2'!$D$89:$EE$419,0,MATCH(M$4,'Historical BU2'!$D$84:$EE$84,0))),0)+IFERROR(Input_unit*(M$4&lt;$D$1)*SUMIF('Historical BU2'!$A$89:$A$419,"OCA",INDEX('Historical BU2'!$D$89:$EE$419,0,MATCH(M$4,'Historical BU2'!$D$84:$EE$84,0))),0)</f>
        <v>0</v>
      </c>
      <c r="N185" s="255">
        <f>IFERROR(Input_unit*(N$4&lt;$D$1)*SUMIF('Historical BU2'!$A$89:$A$419,"ORE",INDEX('Historical BU2'!$D$89:$EE$419,0,MATCH(N$4,'Historical BU2'!$D$84:$EE$84,0))),0)+IFERROR(Input_unit*(N$4&lt;$D$1)*SUMIF('Historical BU2'!$A$89:$A$419,"OCA",INDEX('Historical BU2'!$D$89:$EE$419,0,MATCH(N$4,'Historical BU2'!$D$84:$EE$84,0))),0)</f>
        <v>0</v>
      </c>
      <c r="O185" s="255">
        <f>IFERROR(Input_unit*(O$4&lt;$D$1)*SUMIF('Historical BU2'!$A$89:$A$419,"ORE",INDEX('Historical BU2'!$D$89:$EE$419,0,MATCH(O$4,'Historical BU2'!$D$84:$EE$84,0))),0)+IFERROR(Input_unit*(O$4&lt;$D$1)*SUMIF('Historical BU2'!$A$89:$A$419,"OCA",INDEX('Historical BU2'!$D$89:$EE$419,0,MATCH(O$4,'Historical BU2'!$D$84:$EE$84,0))),0)</f>
        <v>0</v>
      </c>
      <c r="P185" s="255">
        <f>IFERROR(Input_unit*(P$4&lt;$D$1)*SUMIF('Historical BU2'!$A$89:$A$419,"ORE",INDEX('Historical BU2'!$D$89:$EE$419,0,MATCH(P$4,'Historical BU2'!$D$84:$EE$84,0))),0)+IFERROR(Input_unit*(P$4&lt;$D$1)*SUMIF('Historical BU2'!$A$89:$A$419,"OCA",INDEX('Historical BU2'!$D$89:$EE$419,0,MATCH(P$4,'Historical BU2'!$D$84:$EE$84,0))),0)</f>
        <v>0</v>
      </c>
      <c r="Q185" s="255">
        <f>IFERROR(Input_unit*(Q$4&lt;$D$1)*SUMIF('Historical BU2'!$A$89:$A$419,"ORE",INDEX('Historical BU2'!$D$89:$EE$419,0,MATCH(Q$4,'Historical BU2'!$D$84:$EE$84,0))),0)+IFERROR(Input_unit*(Q$4&lt;$D$1)*SUMIF('Historical BU2'!$A$89:$A$419,"OCA",INDEX('Historical BU2'!$D$89:$EE$419,0,MATCH(Q$4,'Historical BU2'!$D$84:$EE$84,0))),0)</f>
        <v>0</v>
      </c>
      <c r="R185" s="316" t="str">
        <f>IFERROR((INDEX(185:185,MATCH(DATE('Control Panel'!$B$4+'Control Panel'!$B$5-1,'Control Panel'!$B$6,'Control Panel'!$B$7),'Scenarios onshore'!$10:$10,0))/INDEX(185:185,MATCH(DATE('Control Panel'!$B$4,'Control Panel'!$B$6,'Control Panel'!$B$7),'Scenarios onshore'!$10:$10,0)))^(1/('Control Panel'!$B$5-1))-1,"n.a.")</f>
        <v>n.a.</v>
      </c>
      <c r="S185" s="292"/>
    </row>
    <row r="186" spans="1:19" ht="14.4">
      <c r="A186" s="1"/>
      <c r="B186" s="1"/>
      <c r="C186" s="1"/>
      <c r="D186" s="255" t="str">
        <f>$D$21</f>
        <v>Sponsor base</v>
      </c>
      <c r="E186" s="197"/>
      <c r="F186" s="197"/>
      <c r="G186" s="197"/>
      <c r="H186" s="197"/>
      <c r="I186" s="197">
        <f>('Sponsor Operating Model'!I246+'Sponsor Operating Model'!I245)*1000000</f>
        <v>0</v>
      </c>
      <c r="J186" s="197">
        <f>('Sponsor Operating Model'!J246+'Sponsor Operating Model'!J245)*1000000</f>
        <v>0</v>
      </c>
      <c r="K186" s="197">
        <f>('Sponsor Operating Model'!K246+'Sponsor Operating Model'!K245)*1000000</f>
        <v>0</v>
      </c>
      <c r="L186" s="197">
        <f>('Sponsor Operating Model'!L246+'Sponsor Operating Model'!L245)*1000000</f>
        <v>0</v>
      </c>
      <c r="M186" s="197">
        <f>('Sponsor Operating Model'!M246+'Sponsor Operating Model'!M245)*1000000</f>
        <v>0</v>
      </c>
      <c r="N186" s="197">
        <f>('Sponsor Operating Model'!N246+'Sponsor Operating Model'!N245)*1000000</f>
        <v>0</v>
      </c>
      <c r="O186" s="197">
        <f>('Sponsor Operating Model'!O246+'Sponsor Operating Model'!O245)*1000000</f>
        <v>0</v>
      </c>
      <c r="P186" s="197">
        <f>('Sponsor Operating Model'!P246+'Sponsor Operating Model'!P245)*1000000</f>
        <v>0</v>
      </c>
      <c r="Q186" s="197"/>
      <c r="R186" s="289"/>
      <c r="S186" s="316" t="str">
        <f>IFERROR((INDEX(186:186,MATCH(DATE('Control Panel'!$B$13,'Control Panel'!$B$6,'Control Panel'!$B$7),'Scenarios onshore'!$10:$10,0))/INDEX(185:185,MATCH(DATE('Control Panel'!$B$4+'Control Panel'!$B$5-1,'Control Panel'!$B$6,'Control Panel'!$B$7),'Scenarios onshore'!$10:$10,0)))^(1/('Control Panel'!$B$13-'Control Panel'!$B$12+1))-1,"n.a.")</f>
        <v>n.a.</v>
      </c>
    </row>
    <row r="187" spans="1:19" ht="14.4">
      <c r="A187" s="1"/>
      <c r="B187" s="1"/>
      <c r="C187" s="1"/>
      <c r="D187" s="255" t="str">
        <f>$D$22</f>
        <v>Flat</v>
      </c>
      <c r="E187" s="197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289"/>
      <c r="S187" s="316" t="str">
        <f>IFERROR((INDEX(187:187,MATCH(DATE('Control Panel'!$B$13,'Control Panel'!$B$6,'Control Panel'!$B$7),'Scenarios onshore'!$10:$10,0))/INDEX(185:185,MATCH(DATE('Control Panel'!$B$4+'Control Panel'!$B$5-1,'Control Panel'!$B$6,'Control Panel'!$B$7),'Scenarios onshore'!$10:$10,0)))^(1/('Control Panel'!$B$13-'Control Panel'!$B$12+1))-1,"n.a.")</f>
        <v>n.a.</v>
      </c>
    </row>
    <row r="188" spans="1:19" ht="14.4">
      <c r="A188" s="1"/>
      <c r="B188" s="1"/>
      <c r="C188" s="1"/>
      <c r="D188" s="255" t="str">
        <f>$D$23</f>
        <v>Bank case</v>
      </c>
      <c r="E188" s="197"/>
      <c r="F188" s="197"/>
      <c r="G188" s="197"/>
      <c r="H188" s="197"/>
      <c r="I188" s="197">
        <f>I39*0.019</f>
        <v>0</v>
      </c>
      <c r="J188" s="197">
        <f t="shared" ref="J188:P188" si="85">J39*0.019</f>
        <v>0</v>
      </c>
      <c r="K188" s="197">
        <f t="shared" si="85"/>
        <v>0</v>
      </c>
      <c r="L188" s="197">
        <f t="shared" si="85"/>
        <v>0</v>
      </c>
      <c r="M188" s="197">
        <f t="shared" si="85"/>
        <v>0</v>
      </c>
      <c r="N188" s="197">
        <f t="shared" si="85"/>
        <v>0</v>
      </c>
      <c r="O188" s="197">
        <f t="shared" si="85"/>
        <v>0</v>
      </c>
      <c r="P188" s="197">
        <f t="shared" si="85"/>
        <v>0</v>
      </c>
      <c r="Q188" s="197"/>
      <c r="R188" s="289"/>
      <c r="S188" s="316" t="str">
        <f>IFERROR((INDEX(188:188,MATCH(DATE('Control Panel'!$B$13,'Control Panel'!$B$6,'Control Panel'!$B$7),'Scenarios onshore'!$10:$10,0))/INDEX(185:185,MATCH(DATE('Control Panel'!$B$4+'Control Panel'!$B$5-1,'Control Panel'!$B$6,'Control Panel'!$B$7),'Scenarios onshore'!$10:$10,0)))^(1/('Control Panel'!$B$13-'Control Panel'!$B$12+1))-1,"n.a.")</f>
        <v>n.a.</v>
      </c>
    </row>
    <row r="189" spans="1:19" ht="14.4">
      <c r="A189" s="1"/>
      <c r="B189" s="1"/>
      <c r="C189" s="1"/>
      <c r="D189" s="255" t="str">
        <f>$D$24</f>
        <v>Bank worse</v>
      </c>
      <c r="E189" s="197"/>
      <c r="F189" s="197"/>
      <c r="G189" s="197"/>
      <c r="H189" s="197"/>
      <c r="I189" s="197">
        <f>I40*0.019</f>
        <v>0</v>
      </c>
      <c r="J189" s="197">
        <f t="shared" ref="J189:P189" si="86">J40*0.019</f>
        <v>0</v>
      </c>
      <c r="K189" s="197">
        <f t="shared" si="86"/>
        <v>0</v>
      </c>
      <c r="L189" s="197">
        <f t="shared" si="86"/>
        <v>0</v>
      </c>
      <c r="M189" s="197">
        <f t="shared" si="86"/>
        <v>0</v>
      </c>
      <c r="N189" s="197">
        <f t="shared" si="86"/>
        <v>0</v>
      </c>
      <c r="O189" s="197">
        <f t="shared" si="86"/>
        <v>0</v>
      </c>
      <c r="P189" s="197">
        <f t="shared" si="86"/>
        <v>0</v>
      </c>
      <c r="Q189" s="197"/>
      <c r="R189" s="289"/>
      <c r="S189" s="316" t="str">
        <f>IFERROR((INDEX(189:189,MATCH(DATE('Control Panel'!$B$13,'Control Panel'!$B$6,'Control Panel'!$B$7),'Scenarios onshore'!$10:$10,0))/INDEX(185:185,MATCH(DATE('Control Panel'!$B$4+'Control Panel'!$B$5-1,'Control Panel'!$B$6,'Control Panel'!$B$7),'Scenarios onshore'!$10:$10,0)))^(1/('Control Panel'!$B$13-'Control Panel'!$B$12+1))-1,"n.a.")</f>
        <v>n.a.</v>
      </c>
    </row>
    <row r="192" spans="1:19">
      <c r="A192" s="180"/>
      <c r="B192" s="180"/>
      <c r="C192" s="180" t="s">
        <v>1586</v>
      </c>
      <c r="D192" s="180" t="s">
        <v>604</v>
      </c>
      <c r="E192" s="180">
        <f t="shared" ref="E192:Q192" si="87">IF(E$5,INDEX(E195:E198,$D$2),E194)</f>
        <v>0</v>
      </c>
      <c r="F192" s="180">
        <f t="shared" si="87"/>
        <v>0</v>
      </c>
      <c r="G192" s="180">
        <f t="shared" si="87"/>
        <v>0</v>
      </c>
      <c r="H192" s="180">
        <f t="shared" si="87"/>
        <v>0</v>
      </c>
      <c r="I192" s="180">
        <f t="shared" si="87"/>
        <v>0</v>
      </c>
      <c r="J192" s="180">
        <f t="shared" si="87"/>
        <v>0</v>
      </c>
      <c r="K192" s="180">
        <f t="shared" si="87"/>
        <v>0</v>
      </c>
      <c r="L192" s="180">
        <f t="shared" si="87"/>
        <v>0</v>
      </c>
      <c r="M192" s="180">
        <f t="shared" si="87"/>
        <v>0</v>
      </c>
      <c r="N192" s="180">
        <f t="shared" si="87"/>
        <v>0</v>
      </c>
      <c r="O192" s="180">
        <f t="shared" si="87"/>
        <v>0</v>
      </c>
      <c r="P192" s="180">
        <f t="shared" si="87"/>
        <v>0</v>
      </c>
      <c r="Q192" s="180">
        <f t="shared" si="87"/>
        <v>0</v>
      </c>
      <c r="R192" s="315" t="str">
        <f>IFERROR((INDEX(192:192,MATCH(DATE('Control Panel'!$B$4+'Control Panel'!$B$5-1,'Control Panel'!$B$6,'Control Panel'!$B$7),'Scenarios onshore'!$10:$10,0))/INDEX(192:192,MATCH(DATE('Control Panel'!$B$4,'Control Panel'!$B$6,'Control Panel'!$B$7),'Scenarios onshore'!$10:$10,0)))^(1/('Control Panel'!$B$5-1))-1,"n.a.")</f>
        <v>n.a.</v>
      </c>
      <c r="S192" s="315" t="str">
        <f>IFERROR((INDEX(192:192,MATCH(DATE('Control Panel'!$B$13,'Control Panel'!$B$6,'Control Panel'!$B$7),'Scenarios onshore'!$10:$10,0))/INDEX(192:192,MATCH(DATE('Control Panel'!$B$4+'Control Panel'!$B$5-1,'Control Panel'!$B$6,'Control Panel'!$B$7),'Scenarios onshore'!$10:$10,0)))^(1/('Control Panel'!$B$13-'Control Panel'!$B$12+1))-1,"n.a.")</f>
        <v>n.a.</v>
      </c>
    </row>
    <row r="193" spans="1:21" ht="14.4">
      <c r="A193" s="255"/>
      <c r="B193" s="255"/>
      <c r="C193" s="255"/>
      <c r="D193" s="187" t="s">
        <v>605</v>
      </c>
      <c r="E193" s="183" t="str">
        <f t="shared" ref="E193:Q193" si="88">IFERROR(E192/E18,"")</f>
        <v/>
      </c>
      <c r="F193" s="183" t="str">
        <f t="shared" si="88"/>
        <v/>
      </c>
      <c r="G193" s="183" t="str">
        <f t="shared" si="88"/>
        <v/>
      </c>
      <c r="H193" s="183" t="str">
        <f t="shared" si="88"/>
        <v/>
      </c>
      <c r="I193" s="658" t="str">
        <f>IFERROR(I192/I$34,"")</f>
        <v/>
      </c>
      <c r="J193" s="658" t="str">
        <f t="shared" ref="J193:P193" si="89">IFERROR(J192/J$34,"")</f>
        <v/>
      </c>
      <c r="K193" s="658" t="str">
        <f t="shared" si="89"/>
        <v/>
      </c>
      <c r="L193" s="658" t="str">
        <f t="shared" si="89"/>
        <v/>
      </c>
      <c r="M193" s="658" t="str">
        <f t="shared" si="89"/>
        <v/>
      </c>
      <c r="N193" s="658" t="str">
        <f t="shared" si="89"/>
        <v/>
      </c>
      <c r="O193" s="658" t="str">
        <f t="shared" si="89"/>
        <v/>
      </c>
      <c r="P193" s="658" t="str">
        <f t="shared" si="89"/>
        <v/>
      </c>
      <c r="Q193" s="183" t="str">
        <f t="shared" si="88"/>
        <v/>
      </c>
      <c r="R193" s="38"/>
      <c r="S193" s="38"/>
    </row>
    <row r="194" spans="1:21">
      <c r="A194" s="255"/>
      <c r="B194" s="255"/>
      <c r="D194" s="255" t="s">
        <v>599</v>
      </c>
      <c r="E194" s="255">
        <f>IFERROR(Input_unit*(E$4&lt;$D$1)*SUMIF('Historical BU2'!$A$89:$A$419,"ACC",INDEX('Historical BU2'!$D$89:$EE$419,0,MATCH(E$4,'Historical BU2'!$D$84:$EE$84,0))),0)+IFERROR(Input_unit*(E$4&lt;$D$1)*SUMIF('Historical BU2'!$A$89:$A$419,"CTL",INDEX('Historical BU2'!$D$89:$EE$419,0,MATCH(E$4,'Historical BU2'!$D$84:$EE$84,0))),0)+IFERROR(Input_unit*(E$4&lt;$D$1)*SUMIF('Historical BU2'!$A$89:$A$419,"ADV",INDEX('Historical BU2'!$D$89:$EE$419,0,MATCH(E$4,'Historical BU2'!$D$84:$EE$84,0))),0)+IFERROR(Input_unit*(E$4&lt;$D$1)*SUMIF('Historical BU2'!$A$89:$A$419,"OSL",INDEX('Historical BU2'!$D$89:$EE$419,0,MATCH(E$4,'Historical BU2'!$D$84:$EE$84,0))),0)</f>
        <v>0</v>
      </c>
      <c r="F194" s="255">
        <f>IFERROR(Input_unit*(F$4&lt;$D$1)*SUMIF('Historical BU2'!$A$89:$A$419,"ACC",INDEX('Historical BU2'!$D$89:$EE$419,0,MATCH(F$4,'Historical BU2'!$D$84:$EE$84,0))),0)+IFERROR(Input_unit*(F$4&lt;$D$1)*SUMIF('Historical BU2'!$A$89:$A$419,"CTL",INDEX('Historical BU2'!$D$89:$EE$419,0,MATCH(F$4,'Historical BU2'!$D$84:$EE$84,0))),0)+IFERROR(Input_unit*(F$4&lt;$D$1)*SUMIF('Historical BU2'!$A$89:$A$419,"ADV",INDEX('Historical BU2'!$D$89:$EE$419,0,MATCH(F$4,'Historical BU2'!$D$84:$EE$84,0))),0)+IFERROR(Input_unit*(F$4&lt;$D$1)*SUMIF('Historical BU2'!$A$89:$A$419,"OSL",INDEX('Historical BU2'!$D$89:$EE$419,0,MATCH(F$4,'Historical BU2'!$D$84:$EE$84,0))),0)</f>
        <v>0</v>
      </c>
      <c r="G194" s="255">
        <f>IFERROR(Input_unit*(G$4&lt;$D$1)*SUMIF('Historical BU2'!$A$89:$A$419,"ACC",INDEX('Historical BU2'!$D$89:$EE$419,0,MATCH(G$4,'Historical BU2'!$D$84:$EE$84,0))),0)+IFERROR(Input_unit*(G$4&lt;$D$1)*SUMIF('Historical BU2'!$A$89:$A$419,"CTL",INDEX('Historical BU2'!$D$89:$EE$419,0,MATCH(G$4,'Historical BU2'!$D$84:$EE$84,0))),0)+IFERROR(Input_unit*(G$4&lt;$D$1)*SUMIF('Historical BU2'!$A$89:$A$419,"ADV",INDEX('Historical BU2'!$D$89:$EE$419,0,MATCH(G$4,'Historical BU2'!$D$84:$EE$84,0))),0)+IFERROR(Input_unit*(G$4&lt;$D$1)*SUMIF('Historical BU2'!$A$89:$A$419,"OSL",INDEX('Historical BU2'!$D$89:$EE$419,0,MATCH(G$4,'Historical BU2'!$D$84:$EE$84,0))),0)</f>
        <v>0</v>
      </c>
      <c r="H194" s="255">
        <f>IFERROR(Input_unit*(H$4&lt;$D$1)*SUMIF('Historical BU2'!$A$89:$A$419,"ACC",INDEX('Historical BU2'!$D$89:$EE$419,0,MATCH(H$4,'Historical BU2'!$D$84:$EE$84,0))),0)+IFERROR(Input_unit*(H$4&lt;$D$1)*SUMIF('Historical BU2'!$A$89:$A$419,"CTL",INDEX('Historical BU2'!$D$89:$EE$419,0,MATCH(H$4,'Historical BU2'!$D$84:$EE$84,0))),0)+IFERROR(Input_unit*(H$4&lt;$D$1)*SUMIF('Historical BU2'!$A$89:$A$419,"ADV",INDEX('Historical BU2'!$D$89:$EE$419,0,MATCH(H$4,'Historical BU2'!$D$84:$EE$84,0))),0)+IFERROR(Input_unit*(H$4&lt;$D$1)*SUMIF('Historical BU2'!$A$89:$A$419,"OSL",INDEX('Historical BU2'!$D$89:$EE$419,0,MATCH(H$4,'Historical BU2'!$D$84:$EE$84,0))),0)</f>
        <v>0</v>
      </c>
      <c r="I194" s="255">
        <f>IFERROR(Input_unit*(I$4&lt;$D$1)*SUMIF('Historical BU2'!$A$89:$A$419,"ACC",INDEX('Historical BU2'!$D$89:$EE$419,0,MATCH(I$4,'Historical BU2'!$D$84:$EE$84,0))),0)+IFERROR(Input_unit*(I$4&lt;$D$1)*SUMIF('Historical BU2'!$A$89:$A$419,"CTL",INDEX('Historical BU2'!$D$89:$EE$419,0,MATCH(I$4,'Historical BU2'!$D$84:$EE$84,0))),0)+IFERROR(Input_unit*(I$4&lt;$D$1)*SUMIF('Historical BU2'!$A$89:$A$419,"ADV",INDEX('Historical BU2'!$D$89:$EE$419,0,MATCH(I$4,'Historical BU2'!$D$84:$EE$84,0))),0)+IFERROR(Input_unit*(I$4&lt;$D$1)*SUMIF('Historical BU2'!$A$89:$A$419,"OSL",INDEX('Historical BU2'!$D$89:$EE$419,0,MATCH(I$4,'Historical BU2'!$D$84:$EE$84,0))),0)</f>
        <v>0</v>
      </c>
      <c r="J194" s="255">
        <f>IFERROR(Input_unit*(J$4&lt;$D$1)*SUMIF('Historical BU2'!$A$89:$A$419,"ACC",INDEX('Historical BU2'!$D$89:$EE$419,0,MATCH(J$4,'Historical BU2'!$D$84:$EE$84,0))),0)+IFERROR(Input_unit*(J$4&lt;$D$1)*SUMIF('Historical BU2'!$A$89:$A$419,"CTL",INDEX('Historical BU2'!$D$89:$EE$419,0,MATCH(J$4,'Historical BU2'!$D$84:$EE$84,0))),0)+IFERROR(Input_unit*(J$4&lt;$D$1)*SUMIF('Historical BU2'!$A$89:$A$419,"ADV",INDEX('Historical BU2'!$D$89:$EE$419,0,MATCH(J$4,'Historical BU2'!$D$84:$EE$84,0))),0)+IFERROR(Input_unit*(J$4&lt;$D$1)*SUMIF('Historical BU2'!$A$89:$A$419,"OSL",INDEX('Historical BU2'!$D$89:$EE$419,0,MATCH(J$4,'Historical BU2'!$D$84:$EE$84,0))),0)</f>
        <v>0</v>
      </c>
      <c r="K194" s="255">
        <f>IFERROR(Input_unit*(K$4&lt;$D$1)*SUMIF('Historical BU2'!$A$89:$A$419,"ACC",INDEX('Historical BU2'!$D$89:$EE$419,0,MATCH(K$4,'Historical BU2'!$D$84:$EE$84,0))),0)+IFERROR(Input_unit*(K$4&lt;$D$1)*SUMIF('Historical BU2'!$A$89:$A$419,"CTL",INDEX('Historical BU2'!$D$89:$EE$419,0,MATCH(K$4,'Historical BU2'!$D$84:$EE$84,0))),0)+IFERROR(Input_unit*(K$4&lt;$D$1)*SUMIF('Historical BU2'!$A$89:$A$419,"ADV",INDEX('Historical BU2'!$D$89:$EE$419,0,MATCH(K$4,'Historical BU2'!$D$84:$EE$84,0))),0)+IFERROR(Input_unit*(K$4&lt;$D$1)*SUMIF('Historical BU2'!$A$89:$A$419,"OSL",INDEX('Historical BU2'!$D$89:$EE$419,0,MATCH(K$4,'Historical BU2'!$D$84:$EE$84,0))),0)</f>
        <v>0</v>
      </c>
      <c r="L194" s="255">
        <f>IFERROR(Input_unit*(L$4&lt;$D$1)*SUMIF('Historical BU2'!$A$89:$A$419,"ACC",INDEX('Historical BU2'!$D$89:$EE$419,0,MATCH(L$4,'Historical BU2'!$D$84:$EE$84,0))),0)+IFERROR(Input_unit*(L$4&lt;$D$1)*SUMIF('Historical BU2'!$A$89:$A$419,"CTL",INDEX('Historical BU2'!$D$89:$EE$419,0,MATCH(L$4,'Historical BU2'!$D$84:$EE$84,0))),0)+IFERROR(Input_unit*(L$4&lt;$D$1)*SUMIF('Historical BU2'!$A$89:$A$419,"ADV",INDEX('Historical BU2'!$D$89:$EE$419,0,MATCH(L$4,'Historical BU2'!$D$84:$EE$84,0))),0)+IFERROR(Input_unit*(L$4&lt;$D$1)*SUMIF('Historical BU2'!$A$89:$A$419,"OSL",INDEX('Historical BU2'!$D$89:$EE$419,0,MATCH(L$4,'Historical BU2'!$D$84:$EE$84,0))),0)</f>
        <v>0</v>
      </c>
      <c r="M194" s="255">
        <f>IFERROR(Input_unit*(M$4&lt;$D$1)*SUMIF('Historical BU2'!$A$89:$A$419,"ACC",INDEX('Historical BU2'!$D$89:$EE$419,0,MATCH(M$4,'Historical BU2'!$D$84:$EE$84,0))),0)+IFERROR(Input_unit*(M$4&lt;$D$1)*SUMIF('Historical BU2'!$A$89:$A$419,"CTL",INDEX('Historical BU2'!$D$89:$EE$419,0,MATCH(M$4,'Historical BU2'!$D$84:$EE$84,0))),0)+IFERROR(Input_unit*(M$4&lt;$D$1)*SUMIF('Historical BU2'!$A$89:$A$419,"ADV",INDEX('Historical BU2'!$D$89:$EE$419,0,MATCH(M$4,'Historical BU2'!$D$84:$EE$84,0))),0)+IFERROR(Input_unit*(M$4&lt;$D$1)*SUMIF('Historical BU2'!$A$89:$A$419,"OSL",INDEX('Historical BU2'!$D$89:$EE$419,0,MATCH(M$4,'Historical BU2'!$D$84:$EE$84,0))),0)</f>
        <v>0</v>
      </c>
      <c r="N194" s="255">
        <f>IFERROR(Input_unit*(N$4&lt;$D$1)*SUMIF('Historical BU2'!$A$89:$A$419,"ACC",INDEX('Historical BU2'!$D$89:$EE$419,0,MATCH(N$4,'Historical BU2'!$D$84:$EE$84,0))),0)+IFERROR(Input_unit*(N$4&lt;$D$1)*SUMIF('Historical BU2'!$A$89:$A$419,"CTL",INDEX('Historical BU2'!$D$89:$EE$419,0,MATCH(N$4,'Historical BU2'!$D$84:$EE$84,0))),0)+IFERROR(Input_unit*(N$4&lt;$D$1)*SUMIF('Historical BU2'!$A$89:$A$419,"ADV",INDEX('Historical BU2'!$D$89:$EE$419,0,MATCH(N$4,'Historical BU2'!$D$84:$EE$84,0))),0)+IFERROR(Input_unit*(N$4&lt;$D$1)*SUMIF('Historical BU2'!$A$89:$A$419,"OSL",INDEX('Historical BU2'!$D$89:$EE$419,0,MATCH(N$4,'Historical BU2'!$D$84:$EE$84,0))),0)</f>
        <v>0</v>
      </c>
      <c r="O194" s="255">
        <f>IFERROR(Input_unit*(O$4&lt;$D$1)*SUMIF('Historical BU2'!$A$89:$A$419,"ACC",INDEX('Historical BU2'!$D$89:$EE$419,0,MATCH(O$4,'Historical BU2'!$D$84:$EE$84,0))),0)+IFERROR(Input_unit*(O$4&lt;$D$1)*SUMIF('Historical BU2'!$A$89:$A$419,"CTL",INDEX('Historical BU2'!$D$89:$EE$419,0,MATCH(O$4,'Historical BU2'!$D$84:$EE$84,0))),0)+IFERROR(Input_unit*(O$4&lt;$D$1)*SUMIF('Historical BU2'!$A$89:$A$419,"ADV",INDEX('Historical BU2'!$D$89:$EE$419,0,MATCH(O$4,'Historical BU2'!$D$84:$EE$84,0))),0)+IFERROR(Input_unit*(O$4&lt;$D$1)*SUMIF('Historical BU2'!$A$89:$A$419,"OSL",INDEX('Historical BU2'!$D$89:$EE$419,0,MATCH(O$4,'Historical BU2'!$D$84:$EE$84,0))),0)</f>
        <v>0</v>
      </c>
      <c r="P194" s="255">
        <f>IFERROR(Input_unit*(P$4&lt;$D$1)*SUMIF('Historical BU2'!$A$89:$A$419,"ACC",INDEX('Historical BU2'!$D$89:$EE$419,0,MATCH(P$4,'Historical BU2'!$D$84:$EE$84,0))),0)+IFERROR(Input_unit*(P$4&lt;$D$1)*SUMIF('Historical BU2'!$A$89:$A$419,"CTL",INDEX('Historical BU2'!$D$89:$EE$419,0,MATCH(P$4,'Historical BU2'!$D$84:$EE$84,0))),0)+IFERROR(Input_unit*(P$4&lt;$D$1)*SUMIF('Historical BU2'!$A$89:$A$419,"ADV",INDEX('Historical BU2'!$D$89:$EE$419,0,MATCH(P$4,'Historical BU2'!$D$84:$EE$84,0))),0)+IFERROR(Input_unit*(P$4&lt;$D$1)*SUMIF('Historical BU2'!$A$89:$A$419,"OSL",INDEX('Historical BU2'!$D$89:$EE$419,0,MATCH(P$4,'Historical BU2'!$D$84:$EE$84,0))),0)</f>
        <v>0</v>
      </c>
      <c r="Q194" s="255">
        <f>IFERROR(Input_unit*(Q$4&lt;$D$1)*SUMIF('Historical BU2'!$A$89:$A$419,"ACC",INDEX('Historical BU2'!$D$89:$EE$419,0,MATCH(Q$4,'Historical BU2'!$D$84:$EE$84,0))),0)+IFERROR(Input_unit*(Q$4&lt;$D$1)*SUMIF('Historical BU2'!$A$89:$A$419,"CTL",INDEX('Historical BU2'!$D$89:$EE$419,0,MATCH(Q$4,'Historical BU2'!$D$84:$EE$84,0))),0)+IFERROR(Input_unit*(Q$4&lt;$D$1)*SUMIF('Historical BU2'!$A$89:$A$419,"ADV",INDEX('Historical BU2'!$D$89:$EE$419,0,MATCH(Q$4,'Historical BU2'!$D$84:$EE$84,0))),0)+IFERROR(Input_unit*(Q$4&lt;$D$1)*SUMIF('Historical BU2'!$A$89:$A$419,"OSL",INDEX('Historical BU2'!$D$89:$EE$419,0,MATCH(Q$4,'Historical BU2'!$D$84:$EE$84,0))),0)</f>
        <v>0</v>
      </c>
      <c r="R194" s="316" t="str">
        <f>IFERROR((INDEX(194:194,MATCH(DATE('Control Panel'!$B$4+'Control Panel'!$B$5-1,'Control Panel'!$B$6,'Control Panel'!$B$7),'Scenarios onshore'!$10:$10,0))/INDEX(194:194,MATCH(DATE('Control Panel'!$B$4,'Control Panel'!$B$6,'Control Panel'!$B$7),'Scenarios onshore'!$10:$10,0)))^(1/('Control Panel'!$B$5-1))-1,"n.a.")</f>
        <v>n.a.</v>
      </c>
      <c r="S194" s="292"/>
    </row>
    <row r="195" spans="1:21" ht="14.4">
      <c r="A195" s="1"/>
      <c r="B195" s="1"/>
      <c r="D195" s="255" t="str">
        <f>$D$21</f>
        <v>Sponsor base</v>
      </c>
      <c r="E195" s="197"/>
      <c r="F195" s="197"/>
      <c r="G195" s="197"/>
      <c r="H195" s="197"/>
      <c r="I195" s="197">
        <f>('Sponsor Operating Model'!I248+'Sponsor Operating Model'!I249+'Sponsor Operating Model'!I250+'Sponsor Operating Model'!I251)*-1000000</f>
        <v>0</v>
      </c>
      <c r="J195" s="197">
        <f>('Sponsor Operating Model'!J248+'Sponsor Operating Model'!J249+'Sponsor Operating Model'!J250+'Sponsor Operating Model'!J251)*-1000000</f>
        <v>0</v>
      </c>
      <c r="K195" s="197">
        <f>('Sponsor Operating Model'!K248+'Sponsor Operating Model'!K249+'Sponsor Operating Model'!K250+'Sponsor Operating Model'!K251)*-1000000</f>
        <v>0</v>
      </c>
      <c r="L195" s="197">
        <f>('Sponsor Operating Model'!L248+'Sponsor Operating Model'!L249+'Sponsor Operating Model'!L250+'Sponsor Operating Model'!L251)*-1000000</f>
        <v>0</v>
      </c>
      <c r="M195" s="197">
        <f>('Sponsor Operating Model'!M248+'Sponsor Operating Model'!M249+'Sponsor Operating Model'!M250+'Sponsor Operating Model'!M251)*-1000000</f>
        <v>0</v>
      </c>
      <c r="N195" s="197">
        <f>('Sponsor Operating Model'!N248+'Sponsor Operating Model'!N249+'Sponsor Operating Model'!N250+'Sponsor Operating Model'!N251)*-1000000</f>
        <v>0</v>
      </c>
      <c r="O195" s="197">
        <f>('Sponsor Operating Model'!O248+'Sponsor Operating Model'!O249+'Sponsor Operating Model'!O250+'Sponsor Operating Model'!O251)*-1000000</f>
        <v>0</v>
      </c>
      <c r="P195" s="197">
        <f>('Sponsor Operating Model'!P248+'Sponsor Operating Model'!P249+'Sponsor Operating Model'!P250+'Sponsor Operating Model'!P251)*-1000000</f>
        <v>0</v>
      </c>
      <c r="Q195" s="197"/>
      <c r="R195" s="289"/>
      <c r="S195" s="316" t="str">
        <f>IFERROR((INDEX(195:195,MATCH(DATE('Control Panel'!$B$13,'Control Panel'!$B$6,'Control Panel'!$B$7),'Scenarios onshore'!$10:$10,0))/INDEX(194:194,MATCH(DATE('Control Panel'!$B$4+'Control Panel'!$B$5-1,'Control Panel'!$B$6,'Control Panel'!$B$7),'Scenarios onshore'!$10:$10,0)))^(1/('Control Panel'!$B$13-'Control Panel'!$B$12+1))-1,"n.a.")</f>
        <v>n.a.</v>
      </c>
      <c r="U195" s="28" t="s">
        <v>1753</v>
      </c>
    </row>
    <row r="196" spans="1:21" ht="14.4">
      <c r="A196" s="1"/>
      <c r="B196" s="1"/>
      <c r="D196" s="255" t="str">
        <f>$D$22</f>
        <v>Flat</v>
      </c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289"/>
      <c r="S196" s="316" t="str">
        <f>IFERROR((INDEX(196:196,MATCH(DATE('Control Panel'!$B$13,'Control Panel'!$B$6,'Control Panel'!$B$7),'Scenarios onshore'!$10:$10,0))/INDEX(194:194,MATCH(DATE('Control Panel'!$B$4+'Control Panel'!$B$5-1,'Control Panel'!$B$6,'Control Panel'!$B$7),'Scenarios onshore'!$10:$10,0)))^(1/('Control Panel'!$B$13-'Control Panel'!$B$12+1))-1,"n.a.")</f>
        <v>n.a.</v>
      </c>
    </row>
    <row r="197" spans="1:21" ht="14.4">
      <c r="A197" s="1"/>
      <c r="B197" s="1"/>
      <c r="D197" s="255" t="str">
        <f>$D$23</f>
        <v>Bank case</v>
      </c>
      <c r="E197" s="197"/>
      <c r="F197" s="197"/>
      <c r="G197" s="197"/>
      <c r="H197" s="197"/>
      <c r="I197" s="197">
        <f>I39*0.07+30000000</f>
        <v>30000000</v>
      </c>
      <c r="J197" s="197">
        <f t="shared" ref="J197:P197" si="90">J39*0.07+30000000</f>
        <v>30000000</v>
      </c>
      <c r="K197" s="197">
        <f t="shared" si="90"/>
        <v>30000000</v>
      </c>
      <c r="L197" s="197">
        <f t="shared" si="90"/>
        <v>30000000</v>
      </c>
      <c r="M197" s="197">
        <f t="shared" si="90"/>
        <v>30000000</v>
      </c>
      <c r="N197" s="197">
        <f t="shared" si="90"/>
        <v>30000000</v>
      </c>
      <c r="O197" s="197">
        <f t="shared" si="90"/>
        <v>30000000</v>
      </c>
      <c r="P197" s="197">
        <f t="shared" si="90"/>
        <v>30000000</v>
      </c>
      <c r="Q197" s="197"/>
      <c r="R197" s="289"/>
      <c r="S197" s="316" t="str">
        <f>IFERROR((INDEX(197:197,MATCH(DATE('Control Panel'!$B$13,'Control Panel'!$B$6,'Control Panel'!$B$7),'Scenarios onshore'!$10:$10,0))/INDEX(194:194,MATCH(DATE('Control Panel'!$B$4+'Control Panel'!$B$5-1,'Control Panel'!$B$6,'Control Panel'!$B$7),'Scenarios onshore'!$10:$10,0)))^(1/('Control Panel'!$B$13-'Control Panel'!$B$12+1))-1,"n.a.")</f>
        <v>n.a.</v>
      </c>
    </row>
    <row r="198" spans="1:21" ht="14.4">
      <c r="A198" s="1"/>
      <c r="B198" s="1"/>
      <c r="C198" s="1"/>
      <c r="D198" s="255" t="str">
        <f>$D$24</f>
        <v>Bank worse</v>
      </c>
      <c r="E198" s="197"/>
      <c r="F198" s="197"/>
      <c r="G198" s="197"/>
      <c r="H198" s="197"/>
      <c r="I198" s="197">
        <f>I40*0.07+30000000</f>
        <v>30000000</v>
      </c>
      <c r="J198" s="197">
        <f t="shared" ref="J198:P198" si="91">J40*0.07+30000000</f>
        <v>30000000</v>
      </c>
      <c r="K198" s="197">
        <f t="shared" si="91"/>
        <v>30000000</v>
      </c>
      <c r="L198" s="197">
        <f t="shared" si="91"/>
        <v>30000000</v>
      </c>
      <c r="M198" s="197">
        <f t="shared" si="91"/>
        <v>30000000</v>
      </c>
      <c r="N198" s="197">
        <f t="shared" si="91"/>
        <v>30000000</v>
      </c>
      <c r="O198" s="197">
        <f t="shared" si="91"/>
        <v>30000000</v>
      </c>
      <c r="P198" s="197">
        <f t="shared" si="91"/>
        <v>30000000</v>
      </c>
      <c r="Q198" s="197"/>
      <c r="R198" s="289"/>
      <c r="S198" s="316" t="str">
        <f>IFERROR((INDEX(198:198,MATCH(DATE('Control Panel'!$B$13,'Control Panel'!$B$6,'Control Panel'!$B$7),'Scenarios onshore'!$10:$10,0))/INDEX(194:194,MATCH(DATE('Control Panel'!$B$4+'Control Panel'!$B$5-1,'Control Panel'!$B$6,'Control Panel'!$B$7),'Scenarios onshore'!$10:$10,0)))^(1/('Control Panel'!$B$13-'Control Panel'!$B$12+1))-1,"n.a.")</f>
        <v>n.a.</v>
      </c>
    </row>
    <row r="199" spans="1:21" ht="14.4">
      <c r="A199" s="38"/>
      <c r="B199" s="38"/>
      <c r="C199" s="38"/>
      <c r="D199" s="38"/>
      <c r="E199" s="287"/>
      <c r="F199" s="287"/>
      <c r="G199" s="287"/>
      <c r="H199" s="287"/>
      <c r="I199" s="287"/>
      <c r="J199" s="287"/>
      <c r="K199" s="287"/>
      <c r="L199" s="287"/>
      <c r="M199" s="287"/>
      <c r="N199" s="287"/>
      <c r="O199" s="287"/>
      <c r="P199" s="287"/>
      <c r="Q199" s="287"/>
    </row>
    <row r="200" spans="1:21">
      <c r="A200" s="180"/>
      <c r="B200" s="180"/>
      <c r="C200" s="180" t="s">
        <v>1587</v>
      </c>
      <c r="D200" s="180" t="s">
        <v>604</v>
      </c>
      <c r="E200" s="180">
        <f t="shared" ref="E200:Q200" si="92">IF(E$5,INDEX(E203:E206,$D$2),E202)</f>
        <v>0</v>
      </c>
      <c r="F200" s="180">
        <f t="shared" si="92"/>
        <v>0</v>
      </c>
      <c r="G200" s="180">
        <f t="shared" si="92"/>
        <v>0</v>
      </c>
      <c r="H200" s="180">
        <f t="shared" si="92"/>
        <v>0</v>
      </c>
      <c r="I200" s="180">
        <f t="shared" si="92"/>
        <v>0</v>
      </c>
      <c r="J200" s="180">
        <f t="shared" si="92"/>
        <v>0</v>
      </c>
      <c r="K200" s="180">
        <f t="shared" si="92"/>
        <v>0</v>
      </c>
      <c r="L200" s="180">
        <f t="shared" si="92"/>
        <v>0</v>
      </c>
      <c r="M200" s="180">
        <f t="shared" si="92"/>
        <v>0</v>
      </c>
      <c r="N200" s="180">
        <f t="shared" si="92"/>
        <v>0</v>
      </c>
      <c r="O200" s="180">
        <f t="shared" si="92"/>
        <v>0</v>
      </c>
      <c r="P200" s="180">
        <f t="shared" si="92"/>
        <v>0</v>
      </c>
      <c r="Q200" s="180">
        <f t="shared" si="92"/>
        <v>0</v>
      </c>
      <c r="R200" s="315" t="str">
        <f>IFERROR((INDEX(200:200,MATCH(DATE('Control Panel'!$B$4+'Control Panel'!$B$5-1,'Control Panel'!$B$6,'Control Panel'!$B$7),'Scenarios onshore'!$10:$10,0))/INDEX(200:200,MATCH(DATE('Control Panel'!$B$4,'Control Panel'!$B$6,'Control Panel'!$B$7),'Scenarios onshore'!$10:$10,0)))^(1/('Control Panel'!$B$5-1))-1,"n.a.")</f>
        <v>n.a.</v>
      </c>
      <c r="S200" s="315" t="str">
        <f>IFERROR((INDEX(200:200,MATCH(DATE('Control Panel'!$B$13,'Control Panel'!$B$6,'Control Panel'!$B$7),'Scenarios onshore'!$10:$10,0))/INDEX(200:200,MATCH(DATE('Control Panel'!$B$4+'Control Panel'!$B$5-1,'Control Panel'!$B$6,'Control Panel'!$B$7),'Scenarios onshore'!$10:$10,0)))^(1/('Control Panel'!$B$13-'Control Panel'!$B$12+1))-1,"n.a.")</f>
        <v>n.a.</v>
      </c>
    </row>
    <row r="201" spans="1:21" ht="14.4">
      <c r="A201" s="255"/>
      <c r="B201" s="255"/>
      <c r="C201" s="255"/>
      <c r="D201" s="187" t="s">
        <v>605</v>
      </c>
      <c r="E201" s="183" t="str">
        <f t="shared" ref="E201:Q201" si="93">IFERROR(E200/E18,"")</f>
        <v/>
      </c>
      <c r="F201" s="183" t="str">
        <f t="shared" si="93"/>
        <v/>
      </c>
      <c r="G201" s="183" t="str">
        <f t="shared" si="93"/>
        <v/>
      </c>
      <c r="H201" s="183" t="str">
        <f t="shared" si="93"/>
        <v/>
      </c>
      <c r="I201" s="183" t="str">
        <f t="shared" si="93"/>
        <v/>
      </c>
      <c r="J201" s="183" t="str">
        <f t="shared" si="93"/>
        <v/>
      </c>
      <c r="K201" s="183" t="str">
        <f t="shared" si="93"/>
        <v/>
      </c>
      <c r="L201" s="183" t="str">
        <f t="shared" si="93"/>
        <v/>
      </c>
      <c r="M201" s="183" t="str">
        <f t="shared" si="93"/>
        <v/>
      </c>
      <c r="N201" s="183" t="str">
        <f t="shared" si="93"/>
        <v/>
      </c>
      <c r="O201" s="183" t="str">
        <f t="shared" si="93"/>
        <v/>
      </c>
      <c r="P201" s="183" t="str">
        <f t="shared" si="93"/>
        <v/>
      </c>
      <c r="Q201" s="183" t="str">
        <f t="shared" si="93"/>
        <v/>
      </c>
      <c r="R201" s="38"/>
      <c r="S201" s="38"/>
    </row>
    <row r="202" spans="1:21">
      <c r="A202" s="255"/>
      <c r="B202" s="255"/>
      <c r="D202" s="255" t="s">
        <v>599</v>
      </c>
      <c r="E202" s="255">
        <f>E160-E168+E176+E185-E194</f>
        <v>0</v>
      </c>
      <c r="F202" s="255">
        <f t="shared" ref="F202:Q202" si="94">F160-F168+F176+F185-F194</f>
        <v>0</v>
      </c>
      <c r="G202" s="255">
        <f t="shared" si="94"/>
        <v>0</v>
      </c>
      <c r="H202" s="255">
        <f t="shared" si="94"/>
        <v>0</v>
      </c>
      <c r="I202" s="255">
        <f>I160-I168+I176+I185-I194</f>
        <v>0</v>
      </c>
      <c r="J202" s="255">
        <f t="shared" si="94"/>
        <v>0</v>
      </c>
      <c r="K202" s="255">
        <f t="shared" si="94"/>
        <v>0</v>
      </c>
      <c r="L202" s="255">
        <f t="shared" si="94"/>
        <v>0</v>
      </c>
      <c r="M202" s="255">
        <f t="shared" si="94"/>
        <v>0</v>
      </c>
      <c r="N202" s="255">
        <f t="shared" si="94"/>
        <v>0</v>
      </c>
      <c r="O202" s="255">
        <f t="shared" si="94"/>
        <v>0</v>
      </c>
      <c r="P202" s="255">
        <f t="shared" si="94"/>
        <v>0</v>
      </c>
      <c r="Q202" s="255">
        <f t="shared" si="94"/>
        <v>0</v>
      </c>
      <c r="R202" s="316" t="str">
        <f>IFERROR((INDEX(202:202,MATCH(DATE('Control Panel'!$B$4+'Control Panel'!$B$5-1,'Control Panel'!$B$6,'Control Panel'!$B$7),'Scenarios onshore'!$10:$10,0))/INDEX(202:202,MATCH(DATE('Control Panel'!$B$4,'Control Panel'!$B$6,'Control Panel'!$B$7),'Scenarios onshore'!$10:$10,0)))^(1/('Control Panel'!$B$5-1))-1,"n.a.")</f>
        <v>n.a.</v>
      </c>
      <c r="S202" s="292"/>
    </row>
    <row r="203" spans="1:21" ht="14.4">
      <c r="A203" s="1"/>
      <c r="B203" s="1"/>
      <c r="D203" s="255" t="str">
        <f>$D$21</f>
        <v>Sponsor base</v>
      </c>
      <c r="E203" s="291">
        <f t="shared" ref="E203:Q206" si="95">E161-E169+E177+E186-E195</f>
        <v>0</v>
      </c>
      <c r="F203" s="291">
        <f t="shared" si="95"/>
        <v>0</v>
      </c>
      <c r="G203" s="291">
        <f t="shared" si="95"/>
        <v>0</v>
      </c>
      <c r="H203" s="291">
        <f t="shared" si="95"/>
        <v>0</v>
      </c>
      <c r="I203" s="291">
        <f t="shared" si="95"/>
        <v>0</v>
      </c>
      <c r="J203" s="291">
        <f>J161-J169+J177+J186-J195</f>
        <v>0</v>
      </c>
      <c r="K203" s="291">
        <f t="shared" si="95"/>
        <v>0</v>
      </c>
      <c r="L203" s="291">
        <f t="shared" si="95"/>
        <v>0</v>
      </c>
      <c r="M203" s="291">
        <f t="shared" si="95"/>
        <v>0</v>
      </c>
      <c r="N203" s="291">
        <f t="shared" si="95"/>
        <v>0</v>
      </c>
      <c r="O203" s="291">
        <f t="shared" si="95"/>
        <v>0</v>
      </c>
      <c r="P203" s="291">
        <f t="shared" si="95"/>
        <v>0</v>
      </c>
      <c r="Q203" s="291">
        <f t="shared" si="95"/>
        <v>0</v>
      </c>
      <c r="R203" s="289"/>
      <c r="S203" s="316" t="str">
        <f>IFERROR((INDEX(203:203,MATCH(DATE('Control Panel'!$B$13,'Control Panel'!$B$6,'Control Panel'!$B$7),'Scenarios onshore'!$10:$10,0))/INDEX(202:202,MATCH(DATE('Control Panel'!$B$4+'Control Panel'!$B$5-1,'Control Panel'!$B$6,'Control Panel'!$B$7),'Scenarios onshore'!$10:$10,0)))^(1/('Control Panel'!$B$13-'Control Panel'!$B$12+1))-1,"n.a.")</f>
        <v>n.a.</v>
      </c>
    </row>
    <row r="204" spans="1:21" ht="14.4">
      <c r="A204" s="1"/>
      <c r="B204" s="1"/>
      <c r="D204" s="255" t="str">
        <f>$D$22</f>
        <v>Flat</v>
      </c>
      <c r="E204" s="291">
        <f t="shared" si="95"/>
        <v>0</v>
      </c>
      <c r="F204" s="291">
        <f t="shared" si="95"/>
        <v>0</v>
      </c>
      <c r="G204" s="291">
        <f t="shared" si="95"/>
        <v>0</v>
      </c>
      <c r="H204" s="291">
        <f t="shared" si="95"/>
        <v>0</v>
      </c>
      <c r="I204" s="291">
        <f t="shared" si="95"/>
        <v>0</v>
      </c>
      <c r="J204" s="291">
        <f t="shared" si="95"/>
        <v>0</v>
      </c>
      <c r="K204" s="291">
        <f t="shared" si="95"/>
        <v>0</v>
      </c>
      <c r="L204" s="291">
        <f t="shared" si="95"/>
        <v>0</v>
      </c>
      <c r="M204" s="291">
        <f t="shared" si="95"/>
        <v>0</v>
      </c>
      <c r="N204" s="291">
        <f t="shared" si="95"/>
        <v>0</v>
      </c>
      <c r="O204" s="291">
        <f t="shared" si="95"/>
        <v>0</v>
      </c>
      <c r="P204" s="291">
        <f t="shared" si="95"/>
        <v>0</v>
      </c>
      <c r="Q204" s="291">
        <f t="shared" si="95"/>
        <v>0</v>
      </c>
      <c r="R204" s="289"/>
      <c r="S204" s="316" t="str">
        <f>IFERROR((INDEX(204:204,MATCH(DATE('Control Panel'!$B$13,'Control Panel'!$B$6,'Control Panel'!$B$7),'Scenarios onshore'!$10:$10,0))/INDEX(202:202,MATCH(DATE('Control Panel'!$B$4+'Control Panel'!$B$5-1,'Control Panel'!$B$6,'Control Panel'!$B$7),'Scenarios onshore'!$10:$10,0)))^(1/('Control Panel'!$B$13-'Control Panel'!$B$12+1))-1,"n.a.")</f>
        <v>n.a.</v>
      </c>
    </row>
    <row r="205" spans="1:21" ht="14.4">
      <c r="A205" s="1"/>
      <c r="B205" s="1"/>
      <c r="D205" s="255" t="str">
        <f>$D$23</f>
        <v>Bank case</v>
      </c>
      <c r="E205" s="291">
        <f t="shared" si="95"/>
        <v>0</v>
      </c>
      <c r="F205" s="291">
        <f t="shared" si="95"/>
        <v>0</v>
      </c>
      <c r="G205" s="291">
        <f t="shared" si="95"/>
        <v>0</v>
      </c>
      <c r="H205" s="291">
        <f t="shared" si="95"/>
        <v>0</v>
      </c>
      <c r="I205" s="291">
        <f t="shared" si="95"/>
        <v>-30000000</v>
      </c>
      <c r="J205" s="291">
        <f t="shared" si="95"/>
        <v>-30000000</v>
      </c>
      <c r="K205" s="291">
        <f t="shared" si="95"/>
        <v>-30000000</v>
      </c>
      <c r="L205" s="291">
        <f t="shared" si="95"/>
        <v>-30000000</v>
      </c>
      <c r="M205" s="291">
        <f t="shared" si="95"/>
        <v>-30000000</v>
      </c>
      <c r="N205" s="291">
        <f t="shared" si="95"/>
        <v>-30000000</v>
      </c>
      <c r="O205" s="291">
        <f t="shared" si="95"/>
        <v>-30000000</v>
      </c>
      <c r="P205" s="291">
        <f t="shared" si="95"/>
        <v>-30000000</v>
      </c>
      <c r="Q205" s="291">
        <f t="shared" si="95"/>
        <v>0</v>
      </c>
      <c r="R205" s="289"/>
      <c r="S205" s="316" t="str">
        <f>IFERROR((INDEX(205:205,MATCH(DATE('Control Panel'!$B$13,'Control Panel'!$B$6,'Control Panel'!$B$7),'Scenarios onshore'!$10:$10,0))/INDEX(202:202,MATCH(DATE('Control Panel'!$B$4+'Control Panel'!$B$5-1,'Control Panel'!$B$6,'Control Panel'!$B$7),'Scenarios onshore'!$10:$10,0)))^(1/('Control Panel'!$B$13-'Control Panel'!$B$12+1))-1,"n.a.")</f>
        <v>n.a.</v>
      </c>
    </row>
    <row r="206" spans="1:21" ht="14.4">
      <c r="A206" s="1"/>
      <c r="B206" s="1"/>
      <c r="C206" s="1"/>
      <c r="D206" s="255" t="str">
        <f>$D$24</f>
        <v>Bank worse</v>
      </c>
      <c r="E206" s="291">
        <f t="shared" si="95"/>
        <v>0</v>
      </c>
      <c r="F206" s="291">
        <f t="shared" si="95"/>
        <v>0</v>
      </c>
      <c r="G206" s="291">
        <f t="shared" si="95"/>
        <v>0</v>
      </c>
      <c r="H206" s="291">
        <f t="shared" si="95"/>
        <v>0</v>
      </c>
      <c r="I206" s="291">
        <f t="shared" si="95"/>
        <v>-30000000</v>
      </c>
      <c r="J206" s="291">
        <f t="shared" si="95"/>
        <v>-30000000</v>
      </c>
      <c r="K206" s="291">
        <f t="shared" si="95"/>
        <v>-30000000</v>
      </c>
      <c r="L206" s="291">
        <f t="shared" si="95"/>
        <v>-30000000</v>
      </c>
      <c r="M206" s="291">
        <f t="shared" si="95"/>
        <v>-30000000</v>
      </c>
      <c r="N206" s="291">
        <f t="shared" si="95"/>
        <v>-30000000</v>
      </c>
      <c r="O206" s="291">
        <f t="shared" si="95"/>
        <v>-30000000</v>
      </c>
      <c r="P206" s="291">
        <f t="shared" si="95"/>
        <v>-30000000</v>
      </c>
      <c r="Q206" s="291">
        <f t="shared" si="95"/>
        <v>0</v>
      </c>
      <c r="R206" s="289"/>
      <c r="S206" s="316" t="str">
        <f>IFERROR((INDEX(206:206,MATCH(DATE('Control Panel'!$B$13,'Control Panel'!$B$6,'Control Panel'!$B$7),'Scenarios onshore'!$10:$10,0))/INDEX(202:202,MATCH(DATE('Control Panel'!$B$4+'Control Panel'!$B$5-1,'Control Panel'!$B$6,'Control Panel'!$B$7),'Scenarios onshore'!$10:$10,0)))^(1/('Control Panel'!$B$13-'Control Panel'!$B$12+1))-1,"n.a.")</f>
        <v>n.a.</v>
      </c>
    </row>
    <row r="208" spans="1:21">
      <c r="A208" s="180"/>
      <c r="B208" s="180"/>
      <c r="C208" s="180" t="s">
        <v>1588</v>
      </c>
      <c r="D208" s="180"/>
      <c r="E208" s="180"/>
      <c r="F208" s="180">
        <f>AND(ABS(F200)&gt;0,ABS(E200)&gt;0)*(F200-E200)</f>
        <v>0</v>
      </c>
      <c r="G208" s="180">
        <f t="shared" ref="G208:Q208" si="96">AND(ABS(G200)&gt;0,ABS(F200)&gt;0)*(G200-F200)</f>
        <v>0</v>
      </c>
      <c r="H208" s="180">
        <f t="shared" si="96"/>
        <v>0</v>
      </c>
      <c r="I208" s="180">
        <f t="shared" si="96"/>
        <v>0</v>
      </c>
      <c r="J208" s="180">
        <f>AND(ABS(J200)&gt;0,ABS(I200)&gt;0)*(J200-I200)</f>
        <v>0</v>
      </c>
      <c r="K208" s="180">
        <f t="shared" si="96"/>
        <v>0</v>
      </c>
      <c r="L208" s="180">
        <f t="shared" si="96"/>
        <v>0</v>
      </c>
      <c r="M208" s="180">
        <f t="shared" si="96"/>
        <v>0</v>
      </c>
      <c r="N208" s="180">
        <f t="shared" si="96"/>
        <v>0</v>
      </c>
      <c r="O208" s="180">
        <f t="shared" si="96"/>
        <v>0</v>
      </c>
      <c r="P208" s="180">
        <f t="shared" si="96"/>
        <v>0</v>
      </c>
      <c r="Q208" s="180">
        <f t="shared" si="96"/>
        <v>0</v>
      </c>
      <c r="R208" s="180"/>
      <c r="S208" s="180"/>
    </row>
    <row r="211" spans="1:19">
      <c r="A211" s="334"/>
      <c r="B211" s="334"/>
      <c r="C211" s="334"/>
      <c r="D211" s="334"/>
    </row>
    <row r="212" spans="1:19">
      <c r="A212" s="288" t="s">
        <v>1525</v>
      </c>
      <c r="B212" s="288"/>
      <c r="C212" s="288"/>
      <c r="D212" s="288"/>
      <c r="E212" s="180"/>
      <c r="F212" s="180"/>
      <c r="G212" s="180"/>
      <c r="H212" s="180"/>
      <c r="I212" s="180"/>
      <c r="J212" s="180"/>
      <c r="K212" s="180"/>
      <c r="L212" s="180"/>
      <c r="M212" s="180"/>
      <c r="N212" s="180"/>
      <c r="O212" s="180"/>
      <c r="P212" s="180"/>
      <c r="Q212" s="180"/>
      <c r="R212" s="227"/>
      <c r="S212" s="227"/>
    </row>
    <row r="213" spans="1:19">
      <c r="A213" s="180"/>
      <c r="B213" s="180" t="s">
        <v>952</v>
      </c>
      <c r="C213" s="180"/>
      <c r="D213" s="180"/>
      <c r="E213" s="180"/>
      <c r="F213" s="180"/>
      <c r="G213" s="180"/>
      <c r="H213" s="180"/>
      <c r="I213" s="180"/>
      <c r="J213" s="180"/>
      <c r="K213" s="180"/>
      <c r="L213" s="180"/>
      <c r="M213" s="180"/>
      <c r="N213" s="180"/>
      <c r="O213" s="180"/>
      <c r="P213" s="180"/>
      <c r="Q213" s="180"/>
      <c r="R213" s="227"/>
      <c r="S213" s="227"/>
    </row>
    <row r="214" spans="1:19">
      <c r="A214" s="255"/>
      <c r="B214" s="255"/>
      <c r="C214" s="255" t="s">
        <v>953</v>
      </c>
      <c r="D214" s="255"/>
      <c r="E214" s="255">
        <f>+E91</f>
        <v>0</v>
      </c>
      <c r="F214" s="255">
        <f t="shared" ref="F214:Q214" si="97">+F91</f>
        <v>0</v>
      </c>
      <c r="G214" s="255">
        <f t="shared" si="97"/>
        <v>0</v>
      </c>
      <c r="H214" s="255">
        <f t="shared" si="97"/>
        <v>0</v>
      </c>
      <c r="I214" s="255">
        <f t="shared" si="97"/>
        <v>0</v>
      </c>
      <c r="J214" s="255">
        <f t="shared" si="97"/>
        <v>0</v>
      </c>
      <c r="K214" s="255" t="e">
        <f t="shared" si="97"/>
        <v>#VALUE!</v>
      </c>
      <c r="L214" s="255" t="e">
        <f t="shared" si="97"/>
        <v>#VALUE!</v>
      </c>
      <c r="M214" s="255" t="e">
        <f t="shared" si="97"/>
        <v>#VALUE!</v>
      </c>
      <c r="N214" s="255" t="e">
        <f t="shared" si="97"/>
        <v>#VALUE!</v>
      </c>
      <c r="O214" s="255" t="e">
        <f t="shared" si="97"/>
        <v>#VALUE!</v>
      </c>
      <c r="P214" s="255" t="str">
        <f t="shared" si="97"/>
        <v/>
      </c>
      <c r="Q214" s="255" t="str">
        <f t="shared" si="97"/>
        <v/>
      </c>
      <c r="R214" s="292"/>
      <c r="S214" s="292"/>
    </row>
    <row r="215" spans="1:19">
      <c r="A215" s="255"/>
      <c r="B215" s="255"/>
      <c r="C215" s="255" t="s">
        <v>954</v>
      </c>
      <c r="D215" s="255"/>
      <c r="E215" s="255">
        <f>+E98</f>
        <v>0</v>
      </c>
      <c r="F215" s="255">
        <f t="shared" ref="F215:Q215" si="98">+F98</f>
        <v>0</v>
      </c>
      <c r="G215" s="255">
        <f t="shared" si="98"/>
        <v>0</v>
      </c>
      <c r="H215" s="255">
        <f t="shared" si="98"/>
        <v>0</v>
      </c>
      <c r="I215" s="255">
        <f t="shared" si="98"/>
        <v>0</v>
      </c>
      <c r="J215" s="255">
        <f t="shared" si="98"/>
        <v>0</v>
      </c>
      <c r="K215" s="255">
        <f t="shared" si="98"/>
        <v>0</v>
      </c>
      <c r="L215" s="255">
        <f t="shared" si="98"/>
        <v>0</v>
      </c>
      <c r="M215" s="255">
        <f t="shared" si="98"/>
        <v>0</v>
      </c>
      <c r="N215" s="255">
        <f t="shared" si="98"/>
        <v>0</v>
      </c>
      <c r="O215" s="255">
        <f t="shared" si="98"/>
        <v>0</v>
      </c>
      <c r="P215" s="255" t="str">
        <f t="shared" si="98"/>
        <v/>
      </c>
      <c r="Q215" s="255" t="str">
        <f t="shared" si="98"/>
        <v/>
      </c>
      <c r="R215" s="292"/>
      <c r="S215" s="292"/>
    </row>
    <row r="216" spans="1:19">
      <c r="A216" s="255"/>
      <c r="B216" s="255"/>
      <c r="C216" s="255" t="s">
        <v>955</v>
      </c>
      <c r="D216" s="255"/>
      <c r="E216" s="255">
        <f>+E106</f>
        <v>0</v>
      </c>
      <c r="F216" s="255">
        <f t="shared" ref="F216:Q216" si="99">+F106</f>
        <v>0</v>
      </c>
      <c r="G216" s="255">
        <f t="shared" si="99"/>
        <v>0</v>
      </c>
      <c r="H216" s="255">
        <f t="shared" si="99"/>
        <v>0</v>
      </c>
      <c r="I216" s="255">
        <f t="shared" si="99"/>
        <v>0</v>
      </c>
      <c r="J216" s="255">
        <f t="shared" si="99"/>
        <v>0</v>
      </c>
      <c r="K216" s="255">
        <f t="shared" si="99"/>
        <v>0</v>
      </c>
      <c r="L216" s="255">
        <f t="shared" si="99"/>
        <v>0</v>
      </c>
      <c r="M216" s="255">
        <f t="shared" si="99"/>
        <v>0</v>
      </c>
      <c r="N216" s="255">
        <f t="shared" si="99"/>
        <v>0</v>
      </c>
      <c r="O216" s="255">
        <f t="shared" si="99"/>
        <v>0</v>
      </c>
      <c r="P216" s="255">
        <f t="shared" si="99"/>
        <v>0</v>
      </c>
      <c r="Q216" s="255">
        <f t="shared" si="99"/>
        <v>0</v>
      </c>
      <c r="R216" s="292"/>
      <c r="S216" s="292"/>
    </row>
    <row r="217" spans="1:19">
      <c r="A217" s="255"/>
      <c r="B217" s="255"/>
      <c r="C217" s="255" t="s">
        <v>956</v>
      </c>
      <c r="D217" s="255"/>
      <c r="E217" s="255">
        <f>+E114</f>
        <v>0</v>
      </c>
      <c r="F217" s="255">
        <f t="shared" ref="F217:Q217" si="100">+F114</f>
        <v>0</v>
      </c>
      <c r="G217" s="255">
        <f t="shared" si="100"/>
        <v>0</v>
      </c>
      <c r="H217" s="255">
        <f t="shared" si="100"/>
        <v>0</v>
      </c>
      <c r="I217" s="255">
        <f t="shared" si="100"/>
        <v>0</v>
      </c>
      <c r="J217" s="255">
        <f t="shared" si="100"/>
        <v>0</v>
      </c>
      <c r="K217" s="255" t="e">
        <f t="shared" si="100"/>
        <v>#VALUE!</v>
      </c>
      <c r="L217" s="255" t="e">
        <f t="shared" si="100"/>
        <v>#VALUE!</v>
      </c>
      <c r="M217" s="255" t="e">
        <f t="shared" si="100"/>
        <v>#VALUE!</v>
      </c>
      <c r="N217" s="255" t="e">
        <f t="shared" si="100"/>
        <v>#VALUE!</v>
      </c>
      <c r="O217" s="255" t="e">
        <f t="shared" si="100"/>
        <v>#VALUE!</v>
      </c>
      <c r="P217" s="255" t="str">
        <f t="shared" si="100"/>
        <v/>
      </c>
      <c r="Q217" s="255" t="str">
        <f t="shared" si="100"/>
        <v/>
      </c>
      <c r="R217" s="292"/>
      <c r="S217" s="292"/>
    </row>
    <row r="218" spans="1:19">
      <c r="A218" s="255"/>
      <c r="B218" s="255"/>
      <c r="C218" s="255" t="s">
        <v>957</v>
      </c>
      <c r="D218" s="255"/>
      <c r="E218" s="255">
        <f>+E121</f>
        <v>0</v>
      </c>
      <c r="F218" s="255">
        <f t="shared" ref="F218:Q218" si="101">+F121</f>
        <v>0</v>
      </c>
      <c r="G218" s="255">
        <f t="shared" si="101"/>
        <v>0</v>
      </c>
      <c r="H218" s="255">
        <f t="shared" si="101"/>
        <v>0</v>
      </c>
      <c r="I218" s="255">
        <f t="shared" si="101"/>
        <v>0</v>
      </c>
      <c r="J218" s="255">
        <f t="shared" si="101"/>
        <v>0</v>
      </c>
      <c r="K218" s="255">
        <f t="shared" si="101"/>
        <v>0</v>
      </c>
      <c r="L218" s="255">
        <f t="shared" si="101"/>
        <v>0</v>
      </c>
      <c r="M218" s="255">
        <f t="shared" si="101"/>
        <v>0</v>
      </c>
      <c r="N218" s="255">
        <f t="shared" si="101"/>
        <v>0</v>
      </c>
      <c r="O218" s="255">
        <f t="shared" si="101"/>
        <v>0</v>
      </c>
      <c r="P218" s="255" t="str">
        <f t="shared" si="101"/>
        <v/>
      </c>
      <c r="Q218" s="255" t="str">
        <f t="shared" si="101"/>
        <v/>
      </c>
      <c r="R218" s="292"/>
      <c r="S218" s="292"/>
    </row>
    <row r="219" spans="1:19">
      <c r="C219" s="28" t="s">
        <v>958</v>
      </c>
      <c r="E219" s="374">
        <f>+E129</f>
        <v>0</v>
      </c>
      <c r="F219" s="374">
        <f t="shared" ref="F219:Q219" si="102">+F129</f>
        <v>0</v>
      </c>
      <c r="G219" s="374">
        <f t="shared" si="102"/>
        <v>0</v>
      </c>
      <c r="H219" s="374">
        <f t="shared" si="102"/>
        <v>0</v>
      </c>
      <c r="I219" s="374">
        <f t="shared" si="102"/>
        <v>0</v>
      </c>
      <c r="J219" s="374">
        <f t="shared" si="102"/>
        <v>0</v>
      </c>
      <c r="K219" s="374">
        <f t="shared" si="102"/>
        <v>0</v>
      </c>
      <c r="L219" s="374">
        <f t="shared" si="102"/>
        <v>0</v>
      </c>
      <c r="M219" s="374">
        <f t="shared" si="102"/>
        <v>0</v>
      </c>
      <c r="N219" s="374">
        <f t="shared" si="102"/>
        <v>0</v>
      </c>
      <c r="O219" s="374">
        <f t="shared" si="102"/>
        <v>0</v>
      </c>
      <c r="P219" s="374">
        <f t="shared" si="102"/>
        <v>0</v>
      </c>
      <c r="Q219" s="374">
        <f t="shared" si="102"/>
        <v>0</v>
      </c>
    </row>
    <row r="221" spans="1:19">
      <c r="A221" s="180"/>
      <c r="B221" s="180" t="s">
        <v>943</v>
      </c>
      <c r="C221" s="180"/>
      <c r="D221" s="180"/>
      <c r="E221" s="180"/>
      <c r="F221" s="180"/>
      <c r="G221" s="180"/>
      <c r="H221" s="180"/>
      <c r="I221" s="180"/>
      <c r="J221" s="180"/>
      <c r="K221" s="180"/>
      <c r="L221" s="180"/>
      <c r="M221" s="180"/>
      <c r="N221" s="180"/>
      <c r="O221" s="180"/>
      <c r="P221" s="180"/>
      <c r="Q221" s="180"/>
      <c r="R221" s="227"/>
      <c r="S221" s="227"/>
    </row>
    <row r="222" spans="1:19">
      <c r="A222" s="293"/>
      <c r="B222" s="293"/>
      <c r="C222" s="293" t="s">
        <v>959</v>
      </c>
      <c r="D222" s="293"/>
      <c r="E222" s="293">
        <f>+E158</f>
        <v>0</v>
      </c>
      <c r="F222" s="293">
        <f t="shared" ref="F222:Q222" si="103">+F158</f>
        <v>0</v>
      </c>
      <c r="G222" s="293">
        <f t="shared" si="103"/>
        <v>0</v>
      </c>
      <c r="H222" s="293">
        <f t="shared" si="103"/>
        <v>0</v>
      </c>
      <c r="I222" s="293">
        <f t="shared" si="103"/>
        <v>0</v>
      </c>
      <c r="J222" s="293">
        <f t="shared" si="103"/>
        <v>0</v>
      </c>
      <c r="K222" s="293">
        <f t="shared" si="103"/>
        <v>0</v>
      </c>
      <c r="L222" s="293">
        <f t="shared" si="103"/>
        <v>0</v>
      </c>
      <c r="M222" s="293">
        <f t="shared" si="103"/>
        <v>0</v>
      </c>
      <c r="N222" s="293">
        <f t="shared" si="103"/>
        <v>0</v>
      </c>
      <c r="O222" s="293">
        <f t="shared" si="103"/>
        <v>0</v>
      </c>
      <c r="P222" s="293">
        <f t="shared" si="103"/>
        <v>0</v>
      </c>
      <c r="Q222" s="293">
        <f t="shared" si="103"/>
        <v>0</v>
      </c>
      <c r="R222" s="293"/>
      <c r="S222" s="293"/>
    </row>
    <row r="223" spans="1:19">
      <c r="A223" s="293"/>
      <c r="B223" s="293"/>
      <c r="C223" s="293" t="s">
        <v>960</v>
      </c>
      <c r="D223" s="293"/>
      <c r="E223" s="293">
        <f>+E166</f>
        <v>0</v>
      </c>
      <c r="F223" s="293">
        <f t="shared" ref="F223:Q223" si="104">+F166</f>
        <v>0</v>
      </c>
      <c r="G223" s="293">
        <f t="shared" si="104"/>
        <v>0</v>
      </c>
      <c r="H223" s="293">
        <f t="shared" si="104"/>
        <v>0</v>
      </c>
      <c r="I223" s="293">
        <f t="shared" si="104"/>
        <v>0</v>
      </c>
      <c r="J223" s="293">
        <f t="shared" si="104"/>
        <v>0</v>
      </c>
      <c r="K223" s="293">
        <f t="shared" si="104"/>
        <v>0</v>
      </c>
      <c r="L223" s="293">
        <f t="shared" si="104"/>
        <v>0</v>
      </c>
      <c r="M223" s="293">
        <f t="shared" si="104"/>
        <v>0</v>
      </c>
      <c r="N223" s="293">
        <f t="shared" si="104"/>
        <v>0</v>
      </c>
      <c r="O223" s="293">
        <f t="shared" si="104"/>
        <v>0</v>
      </c>
      <c r="P223" s="293">
        <f t="shared" si="104"/>
        <v>0</v>
      </c>
      <c r="Q223" s="293">
        <f t="shared" si="104"/>
        <v>0</v>
      </c>
      <c r="R223" s="293"/>
      <c r="S223" s="293"/>
    </row>
    <row r="224" spans="1:19">
      <c r="A224" s="293"/>
      <c r="B224" s="293"/>
      <c r="C224" s="293" t="s">
        <v>961</v>
      </c>
      <c r="D224" s="293"/>
      <c r="E224" s="293">
        <f>+E174</f>
        <v>0</v>
      </c>
      <c r="F224" s="293">
        <f t="shared" ref="F224:Q224" si="105">+F174</f>
        <v>0</v>
      </c>
      <c r="G224" s="293">
        <f t="shared" si="105"/>
        <v>0</v>
      </c>
      <c r="H224" s="293">
        <f t="shared" si="105"/>
        <v>0</v>
      </c>
      <c r="I224" s="293">
        <f t="shared" si="105"/>
        <v>0</v>
      </c>
      <c r="J224" s="293">
        <f t="shared" si="105"/>
        <v>0</v>
      </c>
      <c r="K224" s="293">
        <f t="shared" si="105"/>
        <v>0</v>
      </c>
      <c r="L224" s="293">
        <f t="shared" si="105"/>
        <v>0</v>
      </c>
      <c r="M224" s="293">
        <f t="shared" si="105"/>
        <v>0</v>
      </c>
      <c r="N224" s="293">
        <f t="shared" si="105"/>
        <v>0</v>
      </c>
      <c r="O224" s="293">
        <f t="shared" si="105"/>
        <v>0</v>
      </c>
      <c r="P224" s="293">
        <f t="shared" si="105"/>
        <v>0</v>
      </c>
      <c r="Q224" s="293">
        <f t="shared" si="105"/>
        <v>0</v>
      </c>
      <c r="R224" s="293"/>
      <c r="S224" s="293"/>
    </row>
    <row r="225" spans="1:19">
      <c r="A225" s="293"/>
      <c r="B225" s="293"/>
      <c r="C225" s="293" t="s">
        <v>64</v>
      </c>
      <c r="D225" s="293"/>
      <c r="E225" s="293">
        <f>+E183</f>
        <v>0</v>
      </c>
      <c r="F225" s="293">
        <f t="shared" ref="F225:Q225" si="106">+F183</f>
        <v>0</v>
      </c>
      <c r="G225" s="293">
        <f t="shared" si="106"/>
        <v>0</v>
      </c>
      <c r="H225" s="293">
        <f t="shared" si="106"/>
        <v>0</v>
      </c>
      <c r="I225" s="293">
        <f t="shared" si="106"/>
        <v>0</v>
      </c>
      <c r="J225" s="293">
        <f t="shared" si="106"/>
        <v>0</v>
      </c>
      <c r="K225" s="293">
        <f t="shared" si="106"/>
        <v>0</v>
      </c>
      <c r="L225" s="293">
        <f t="shared" si="106"/>
        <v>0</v>
      </c>
      <c r="M225" s="293">
        <f t="shared" si="106"/>
        <v>0</v>
      </c>
      <c r="N225" s="293">
        <f t="shared" si="106"/>
        <v>0</v>
      </c>
      <c r="O225" s="293">
        <f t="shared" si="106"/>
        <v>0</v>
      </c>
      <c r="P225" s="293">
        <f t="shared" si="106"/>
        <v>0</v>
      </c>
      <c r="Q225" s="293">
        <f t="shared" si="106"/>
        <v>0</v>
      </c>
      <c r="R225" s="293"/>
      <c r="S225" s="293"/>
    </row>
    <row r="226" spans="1:19">
      <c r="A226" s="293"/>
      <c r="B226" s="293"/>
      <c r="C226" s="293" t="s">
        <v>112</v>
      </c>
      <c r="D226" s="293"/>
      <c r="E226" s="293">
        <f>+E192</f>
        <v>0</v>
      </c>
      <c r="F226" s="293">
        <f t="shared" ref="F226:Q226" si="107">+F192</f>
        <v>0</v>
      </c>
      <c r="G226" s="293">
        <f t="shared" si="107"/>
        <v>0</v>
      </c>
      <c r="H226" s="293">
        <f t="shared" si="107"/>
        <v>0</v>
      </c>
      <c r="I226" s="293">
        <f t="shared" si="107"/>
        <v>0</v>
      </c>
      <c r="J226" s="293">
        <f t="shared" si="107"/>
        <v>0</v>
      </c>
      <c r="K226" s="293">
        <f t="shared" si="107"/>
        <v>0</v>
      </c>
      <c r="L226" s="293">
        <f t="shared" si="107"/>
        <v>0</v>
      </c>
      <c r="M226" s="293">
        <f t="shared" si="107"/>
        <v>0</v>
      </c>
      <c r="N226" s="293">
        <f t="shared" si="107"/>
        <v>0</v>
      </c>
      <c r="O226" s="293">
        <f t="shared" si="107"/>
        <v>0</v>
      </c>
      <c r="P226" s="293">
        <f t="shared" si="107"/>
        <v>0</v>
      </c>
      <c r="Q226" s="293">
        <f t="shared" si="107"/>
        <v>0</v>
      </c>
      <c r="R226" s="293"/>
      <c r="S226" s="293"/>
    </row>
    <row r="227" spans="1:19">
      <c r="A227" s="293"/>
      <c r="B227" s="293"/>
      <c r="C227" s="293" t="s">
        <v>962</v>
      </c>
      <c r="D227" s="293"/>
      <c r="E227" s="293">
        <f>E222-E223+E224+E225-E226</f>
        <v>0</v>
      </c>
      <c r="F227" s="293">
        <f t="shared" ref="F227:Q227" si="108">F222-F223+F224+F225-F226</f>
        <v>0</v>
      </c>
      <c r="G227" s="293">
        <f t="shared" si="108"/>
        <v>0</v>
      </c>
      <c r="H227" s="293">
        <f t="shared" si="108"/>
        <v>0</v>
      </c>
      <c r="I227" s="293">
        <f t="shared" si="108"/>
        <v>0</v>
      </c>
      <c r="J227" s="293">
        <f t="shared" si="108"/>
        <v>0</v>
      </c>
      <c r="K227" s="293">
        <f t="shared" si="108"/>
        <v>0</v>
      </c>
      <c r="L227" s="293">
        <f t="shared" si="108"/>
        <v>0</v>
      </c>
      <c r="M227" s="293">
        <f t="shared" si="108"/>
        <v>0</v>
      </c>
      <c r="N227" s="293">
        <f t="shared" si="108"/>
        <v>0</v>
      </c>
      <c r="O227" s="293">
        <f t="shared" si="108"/>
        <v>0</v>
      </c>
      <c r="P227" s="293">
        <f t="shared" si="108"/>
        <v>0</v>
      </c>
      <c r="Q227" s="293">
        <f t="shared" si="108"/>
        <v>0</v>
      </c>
      <c r="R227" s="293"/>
      <c r="S227" s="293"/>
    </row>
    <row r="228" spans="1:19">
      <c r="A228" s="293"/>
      <c r="B228" s="293"/>
      <c r="C228" s="293" t="s">
        <v>963</v>
      </c>
      <c r="D228" s="293"/>
      <c r="E228" s="293"/>
      <c r="F228" s="293">
        <f>F227-E227</f>
        <v>0</v>
      </c>
      <c r="G228" s="293">
        <f t="shared" ref="G228:Q228" si="109">G227-F227</f>
        <v>0</v>
      </c>
      <c r="H228" s="293">
        <f t="shared" si="109"/>
        <v>0</v>
      </c>
      <c r="I228" s="293">
        <f t="shared" si="109"/>
        <v>0</v>
      </c>
      <c r="J228" s="293">
        <f t="shared" si="109"/>
        <v>0</v>
      </c>
      <c r="K228" s="293">
        <f t="shared" si="109"/>
        <v>0</v>
      </c>
      <c r="L228" s="293">
        <f t="shared" si="109"/>
        <v>0</v>
      </c>
      <c r="M228" s="293">
        <f t="shared" si="109"/>
        <v>0</v>
      </c>
      <c r="N228" s="293">
        <f t="shared" si="109"/>
        <v>0</v>
      </c>
      <c r="O228" s="293">
        <f t="shared" si="109"/>
        <v>0</v>
      </c>
      <c r="P228" s="293">
        <f t="shared" si="109"/>
        <v>0</v>
      </c>
      <c r="Q228" s="293">
        <f t="shared" si="109"/>
        <v>0</v>
      </c>
      <c r="R228" s="293"/>
      <c r="S228" s="293"/>
    </row>
  </sheetData>
  <mergeCells count="1">
    <mergeCell ref="R10:S10"/>
  </mergeCells>
  <phoneticPr fontId="52" type="noConversion"/>
  <conditionalFormatting sqref="E5:Q7">
    <cfRule type="cellIs" dxfId="41" priority="1" operator="equal">
      <formula>TRUE</formula>
    </cfRule>
  </conditionalFormatting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61" r:id="rId4" name="Drop Down 1">
              <controlPr defaultSize="0" autoLine="0" autoPict="0">
                <anchor moveWithCells="1">
                  <from>
                    <xdr:col>2</xdr:col>
                    <xdr:colOff>3136392</xdr:colOff>
                    <xdr:row>9</xdr:row>
                    <xdr:rowOff>64008</xdr:rowOff>
                  </from>
                  <to>
                    <xdr:col>3</xdr:col>
                    <xdr:colOff>1271016</xdr:colOff>
                    <xdr:row>10</xdr:row>
                    <xdr:rowOff>146304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tabColor rgb="FF00B0F0"/>
    <pageSetUpPr fitToPage="1"/>
  </sheetPr>
  <dimension ref="B1:AO79"/>
  <sheetViews>
    <sheetView showGridLines="0" view="pageBreakPreview" topLeftCell="A28" zoomScale="90" zoomScaleSheetLayoutView="90" workbookViewId="0">
      <selection activeCell="G71" sqref="G71"/>
    </sheetView>
  </sheetViews>
  <sheetFormatPr defaultColWidth="9.140625" defaultRowHeight="13.7" outlineLevelCol="1"/>
  <cols>
    <col min="1" max="1" width="1.5703125" style="6" customWidth="1"/>
    <col min="2" max="2" width="1.28515625" style="6" customWidth="1"/>
    <col min="3" max="3" width="13.28515625" style="6" customWidth="1"/>
    <col min="4" max="4" width="11.140625" style="6" customWidth="1"/>
    <col min="5" max="5" width="10.42578125" style="6" customWidth="1"/>
    <col min="6" max="6" width="16.42578125" style="6" customWidth="1"/>
    <col min="7" max="7" width="16" style="6" customWidth="1"/>
    <col min="8" max="8" width="15.42578125" style="6" customWidth="1"/>
    <col min="9" max="11" width="10.42578125" style="6" customWidth="1"/>
    <col min="12" max="12" width="22.5703125" style="6" customWidth="1"/>
    <col min="13" max="19" width="9.85546875" style="6" customWidth="1"/>
    <col min="20" max="20" width="12" style="6" customWidth="1"/>
    <col min="21" max="28" width="9.85546875" style="6" customWidth="1"/>
    <col min="29" max="40" width="9.85546875" style="6" customWidth="1" outlineLevel="1"/>
    <col min="41" max="16384" width="9.140625" style="6"/>
  </cols>
  <sheetData>
    <row r="1" spans="2:41" ht="16.600000000000001">
      <c r="B1" s="1"/>
      <c r="C1" s="196" t="str">
        <f>CONCATENATE("Project ",project_name," - Financing Assumptions")</f>
        <v>Project  - Financing Assumptions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</row>
    <row r="2" spans="2:41" ht="14.4">
      <c r="B2" s="1"/>
      <c r="C2" s="194" t="str">
        <f>CONCATENATE("In ",model_curr," thousand unless otherwise stated")</f>
        <v>In USD thousand unless otherwise stated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</row>
    <row r="3" spans="2:41" ht="14.4">
      <c r="B3" s="1"/>
      <c r="C3" s="55" t="s">
        <v>38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</row>
    <row r="4" spans="2:41">
      <c r="C4" s="198"/>
      <c r="D4" s="198"/>
      <c r="E4" s="198"/>
      <c r="F4" s="198"/>
      <c r="G4" s="198"/>
      <c r="H4" s="198"/>
      <c r="I4" s="198"/>
      <c r="J4" s="198"/>
      <c r="K4" s="198"/>
      <c r="L4" s="198"/>
      <c r="M4" s="198"/>
      <c r="N4" s="198"/>
      <c r="O4" s="198"/>
      <c r="P4" s="198"/>
      <c r="Q4" s="198"/>
      <c r="R4" s="198"/>
      <c r="S4" s="198"/>
      <c r="T4" s="198"/>
      <c r="U4" s="198"/>
      <c r="V4" s="198"/>
      <c r="W4" s="198"/>
      <c r="X4" s="198"/>
      <c r="Y4" s="198"/>
      <c r="Z4" s="198"/>
      <c r="AA4" s="198"/>
      <c r="AB4" s="198"/>
      <c r="AC4" s="198"/>
      <c r="AD4" s="198"/>
      <c r="AE4" s="198"/>
      <c r="AF4" s="198"/>
      <c r="AG4" s="198"/>
      <c r="AH4" s="198"/>
      <c r="AI4" s="198"/>
      <c r="AJ4" s="198"/>
      <c r="AK4" s="198"/>
      <c r="AL4" s="198"/>
      <c r="AM4" s="198"/>
      <c r="AN4" s="198"/>
      <c r="AO4" s="198"/>
    </row>
    <row r="5" spans="2:41">
      <c r="C5" s="198"/>
      <c r="D5" s="198"/>
      <c r="E5" s="198"/>
      <c r="F5" s="198"/>
      <c r="G5" s="198"/>
      <c r="H5" s="198"/>
      <c r="I5" s="198"/>
      <c r="J5" s="198"/>
      <c r="K5" s="198"/>
      <c r="L5" s="198"/>
      <c r="M5" s="198">
        <f>'Financial Quarterly onshore'!D4</f>
        <v>43555</v>
      </c>
      <c r="N5" s="198">
        <f>'Financial Quarterly onshore'!E4</f>
        <v>43646</v>
      </c>
      <c r="O5" s="198">
        <f>'Financial Quarterly onshore'!F4</f>
        <v>43738</v>
      </c>
      <c r="P5" s="198">
        <f>'Financial Quarterly onshore'!G4</f>
        <v>43830</v>
      </c>
      <c r="Q5" s="198">
        <f>'Financial Quarterly onshore'!H4</f>
        <v>43921</v>
      </c>
      <c r="R5" s="198">
        <f>'Financial Quarterly onshore'!I4</f>
        <v>44012</v>
      </c>
      <c r="S5" s="198">
        <f>'Financial Quarterly onshore'!J4</f>
        <v>44104</v>
      </c>
      <c r="T5" s="198">
        <f>'Financial Quarterly onshore'!K4</f>
        <v>44196</v>
      </c>
      <c r="U5" s="198">
        <f>'Financial Quarterly onshore'!L4</f>
        <v>44286</v>
      </c>
      <c r="V5" s="198">
        <f>'Financial Quarterly onshore'!M4</f>
        <v>44377</v>
      </c>
      <c r="W5" s="198">
        <f>'Financial Quarterly onshore'!N4</f>
        <v>44469</v>
      </c>
      <c r="X5" s="198">
        <f>'Financial Quarterly onshore'!O4</f>
        <v>44561</v>
      </c>
      <c r="Y5" s="198">
        <f>'Financial Quarterly onshore'!P4</f>
        <v>44651</v>
      </c>
      <c r="Z5" s="198">
        <f>'Financial Quarterly onshore'!Q4</f>
        <v>44742</v>
      </c>
      <c r="AA5" s="198">
        <f>'Financial Quarterly onshore'!R4</f>
        <v>44834</v>
      </c>
      <c r="AB5" s="198">
        <f>'Financial Quarterly onshore'!S4</f>
        <v>44926</v>
      </c>
      <c r="AC5" s="198">
        <f>'Financial Quarterly onshore'!T4</f>
        <v>45016</v>
      </c>
      <c r="AD5" s="198">
        <f>'Financial Quarterly onshore'!U4</f>
        <v>45107</v>
      </c>
      <c r="AE5" s="198">
        <f>'Financial Quarterly onshore'!V4</f>
        <v>45199</v>
      </c>
      <c r="AF5" s="198">
        <f>'Financial Quarterly onshore'!W4</f>
        <v>45291</v>
      </c>
      <c r="AG5" s="198">
        <f>'Financial Quarterly onshore'!X4</f>
        <v>45382</v>
      </c>
      <c r="AH5" s="198">
        <f>'Financial Quarterly onshore'!Y4</f>
        <v>45473</v>
      </c>
      <c r="AI5" s="198">
        <f>'Financial Quarterly onshore'!Z4</f>
        <v>45565</v>
      </c>
      <c r="AJ5" s="198">
        <f>'Financial Quarterly onshore'!AA4</f>
        <v>45657</v>
      </c>
      <c r="AK5" s="198">
        <f>'Financial Quarterly onshore'!AB4</f>
        <v>45747</v>
      </c>
      <c r="AL5" s="198">
        <f>'Financial Quarterly onshore'!AC4</f>
        <v>45838</v>
      </c>
      <c r="AM5" s="198">
        <f>'Financial Quarterly onshore'!AD4</f>
        <v>45930</v>
      </c>
      <c r="AN5" s="198">
        <f>'Financial Quarterly onshore'!AE4</f>
        <v>46022</v>
      </c>
      <c r="AO5" s="198">
        <f>'Financial Quarterly onshore'!AF4</f>
        <v>46112</v>
      </c>
    </row>
    <row r="6" spans="2:41">
      <c r="C6" s="209" t="s">
        <v>694</v>
      </c>
      <c r="D6" s="209"/>
      <c r="E6" s="209"/>
      <c r="F6" s="209"/>
      <c r="G6" s="209"/>
      <c r="H6" s="209"/>
      <c r="I6" s="209"/>
      <c r="J6" s="209"/>
      <c r="K6" s="209"/>
      <c r="L6" s="209"/>
      <c r="M6" s="209" t="b">
        <f>'Financial Quarterly onshore'!D5</f>
        <v>1</v>
      </c>
      <c r="N6" s="209" t="b">
        <f>'Financial Quarterly onshore'!E5</f>
        <v>1</v>
      </c>
      <c r="O6" s="209" t="b">
        <f>'Financial Quarterly onshore'!F5</f>
        <v>1</v>
      </c>
      <c r="P6" s="209" t="b">
        <f>'Financial Quarterly onshore'!G5</f>
        <v>1</v>
      </c>
      <c r="Q6" s="209" t="b">
        <f>'Financial Quarterly onshore'!H5</f>
        <v>1</v>
      </c>
      <c r="R6" s="209" t="b">
        <f>'Financial Quarterly onshore'!I5</f>
        <v>1</v>
      </c>
      <c r="S6" s="209" t="b">
        <f>'Financial Quarterly onshore'!J5</f>
        <v>1</v>
      </c>
      <c r="T6" s="209" t="b">
        <f>'Financial Quarterly onshore'!K5</f>
        <v>1</v>
      </c>
      <c r="U6" s="209" t="b">
        <f>'Financial Quarterly onshore'!L5</f>
        <v>1</v>
      </c>
      <c r="V6" s="209" t="b">
        <f>'Financial Quarterly onshore'!M5</f>
        <v>1</v>
      </c>
      <c r="W6" s="209" t="b">
        <f>'Financial Quarterly onshore'!N5</f>
        <v>1</v>
      </c>
      <c r="X6" s="209" t="b">
        <f>'Financial Quarterly onshore'!O5</f>
        <v>1</v>
      </c>
      <c r="Y6" s="209" t="b">
        <f>'Financial Quarterly onshore'!P5</f>
        <v>1</v>
      </c>
      <c r="Z6" s="209" t="b">
        <f>'Financial Quarterly onshore'!Q5</f>
        <v>1</v>
      </c>
      <c r="AA6" s="209" t="b">
        <f>'Financial Quarterly onshore'!R5</f>
        <v>1</v>
      </c>
      <c r="AB6" s="209" t="b">
        <f>'Financial Quarterly onshore'!S5</f>
        <v>1</v>
      </c>
      <c r="AC6" s="209" t="b">
        <f>'Financial Quarterly onshore'!T5</f>
        <v>1</v>
      </c>
      <c r="AD6" s="209" t="b">
        <f>'Financial Quarterly onshore'!U5</f>
        <v>1</v>
      </c>
      <c r="AE6" s="209" t="b">
        <f>'Financial Quarterly onshore'!V5</f>
        <v>1</v>
      </c>
      <c r="AF6" s="209" t="b">
        <f>'Financial Quarterly onshore'!W5</f>
        <v>1</v>
      </c>
      <c r="AG6" s="209" t="b">
        <f>'Financial Quarterly onshore'!X5</f>
        <v>1</v>
      </c>
      <c r="AH6" s="209" t="b">
        <f>'Financial Quarterly onshore'!Y5</f>
        <v>1</v>
      </c>
      <c r="AI6" s="209" t="b">
        <f>'Financial Quarterly onshore'!Z5</f>
        <v>1</v>
      </c>
      <c r="AJ6" s="209" t="b">
        <f>'Financial Quarterly onshore'!AA5</f>
        <v>1</v>
      </c>
      <c r="AK6" s="209" t="b">
        <f>'Financial Quarterly onshore'!AB5</f>
        <v>0</v>
      </c>
      <c r="AL6" s="209" t="b">
        <f>'Financial Quarterly onshore'!AC5</f>
        <v>0</v>
      </c>
      <c r="AM6" s="209" t="b">
        <f>'Financial Quarterly onshore'!AD5</f>
        <v>0</v>
      </c>
      <c r="AN6" s="209" t="b">
        <f>'Financial Quarterly onshore'!AE5</f>
        <v>0</v>
      </c>
      <c r="AO6" s="209" t="b">
        <f>'Financial Quarterly onshore'!AF5</f>
        <v>0</v>
      </c>
    </row>
    <row r="7" spans="2:41">
      <c r="C7" s="209" t="s">
        <v>743</v>
      </c>
      <c r="D7" s="209"/>
      <c r="E7" s="209"/>
      <c r="F7" s="209"/>
      <c r="G7" s="209"/>
      <c r="H7" s="209"/>
      <c r="I7" s="209"/>
      <c r="J7" s="209"/>
      <c r="K7" s="209"/>
      <c r="L7" s="209"/>
      <c r="M7" s="209">
        <v>0.25</v>
      </c>
      <c r="N7" s="209">
        <f>+M7+0.25</f>
        <v>0.5</v>
      </c>
      <c r="O7" s="209">
        <f>+N7+0.25</f>
        <v>0.75</v>
      </c>
      <c r="P7" s="209">
        <f t="shared" ref="P7:AO7" si="0">+O7+0.25</f>
        <v>1</v>
      </c>
      <c r="Q7" s="209">
        <f t="shared" si="0"/>
        <v>1.25</v>
      </c>
      <c r="R7" s="209">
        <f t="shared" si="0"/>
        <v>1.5</v>
      </c>
      <c r="S7" s="209">
        <f t="shared" si="0"/>
        <v>1.75</v>
      </c>
      <c r="T7" s="209">
        <f t="shared" si="0"/>
        <v>2</v>
      </c>
      <c r="U7" s="209">
        <f t="shared" si="0"/>
        <v>2.25</v>
      </c>
      <c r="V7" s="209">
        <f t="shared" si="0"/>
        <v>2.5</v>
      </c>
      <c r="W7" s="209">
        <f t="shared" si="0"/>
        <v>2.75</v>
      </c>
      <c r="X7" s="209">
        <f t="shared" si="0"/>
        <v>3</v>
      </c>
      <c r="Y7" s="209">
        <f t="shared" si="0"/>
        <v>3.25</v>
      </c>
      <c r="Z7" s="209">
        <f t="shared" si="0"/>
        <v>3.5</v>
      </c>
      <c r="AA7" s="209">
        <f t="shared" si="0"/>
        <v>3.75</v>
      </c>
      <c r="AB7" s="209">
        <f t="shared" si="0"/>
        <v>4</v>
      </c>
      <c r="AC7" s="209">
        <f t="shared" si="0"/>
        <v>4.25</v>
      </c>
      <c r="AD7" s="209">
        <f t="shared" si="0"/>
        <v>4.5</v>
      </c>
      <c r="AE7" s="209">
        <f t="shared" si="0"/>
        <v>4.75</v>
      </c>
      <c r="AF7" s="209">
        <f t="shared" si="0"/>
        <v>5</v>
      </c>
      <c r="AG7" s="209">
        <f t="shared" si="0"/>
        <v>5.25</v>
      </c>
      <c r="AH7" s="209">
        <f t="shared" si="0"/>
        <v>5.5</v>
      </c>
      <c r="AI7" s="209">
        <f t="shared" si="0"/>
        <v>5.75</v>
      </c>
      <c r="AJ7" s="209">
        <f t="shared" si="0"/>
        <v>6</v>
      </c>
      <c r="AK7" s="209">
        <f t="shared" si="0"/>
        <v>6.25</v>
      </c>
      <c r="AL7" s="209">
        <f t="shared" si="0"/>
        <v>6.5</v>
      </c>
      <c r="AM7" s="209">
        <f t="shared" si="0"/>
        <v>6.75</v>
      </c>
      <c r="AN7" s="209">
        <f t="shared" si="0"/>
        <v>7</v>
      </c>
      <c r="AO7" s="209">
        <f t="shared" si="0"/>
        <v>7.25</v>
      </c>
    </row>
    <row r="9" spans="2:41">
      <c r="C9" s="222" t="s">
        <v>24</v>
      </c>
      <c r="D9" s="209"/>
      <c r="E9" s="209"/>
      <c r="F9" s="178"/>
      <c r="G9" s="178"/>
      <c r="H9" s="178"/>
      <c r="I9" s="178"/>
      <c r="J9" s="178"/>
      <c r="L9" s="222"/>
      <c r="M9" s="222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</row>
    <row r="10" spans="2:41">
      <c r="C10" s="255" t="s">
        <v>25</v>
      </c>
      <c r="F10" s="197">
        <v>100000</v>
      </c>
      <c r="L10" s="57"/>
      <c r="M10" s="57"/>
    </row>
    <row r="11" spans="2:41" ht="14.4">
      <c r="C11" s="197" t="s">
        <v>1058</v>
      </c>
      <c r="D11" s="1"/>
      <c r="E11" s="1"/>
      <c r="F11" s="273">
        <v>1.41E-2</v>
      </c>
      <c r="L11" s="59"/>
      <c r="M11" s="59">
        <f>$F$11</f>
        <v>1.41E-2</v>
      </c>
      <c r="N11" s="59">
        <f t="shared" ref="N11:AO11" si="1">$F$11</f>
        <v>1.41E-2</v>
      </c>
      <c r="O11" s="59">
        <f t="shared" si="1"/>
        <v>1.41E-2</v>
      </c>
      <c r="P11" s="59">
        <f t="shared" si="1"/>
        <v>1.41E-2</v>
      </c>
      <c r="Q11" s="59">
        <f t="shared" si="1"/>
        <v>1.41E-2</v>
      </c>
      <c r="R11" s="59">
        <f t="shared" si="1"/>
        <v>1.41E-2</v>
      </c>
      <c r="S11" s="59">
        <f t="shared" si="1"/>
        <v>1.41E-2</v>
      </c>
      <c r="T11" s="59">
        <f t="shared" si="1"/>
        <v>1.41E-2</v>
      </c>
      <c r="U11" s="59">
        <f t="shared" si="1"/>
        <v>1.41E-2</v>
      </c>
      <c r="V11" s="59">
        <f t="shared" si="1"/>
        <v>1.41E-2</v>
      </c>
      <c r="W11" s="59">
        <f t="shared" si="1"/>
        <v>1.41E-2</v>
      </c>
      <c r="X11" s="59">
        <f t="shared" si="1"/>
        <v>1.41E-2</v>
      </c>
      <c r="Y11" s="59">
        <f t="shared" si="1"/>
        <v>1.41E-2</v>
      </c>
      <c r="Z11" s="59">
        <f t="shared" si="1"/>
        <v>1.41E-2</v>
      </c>
      <c r="AA11" s="59">
        <f t="shared" si="1"/>
        <v>1.41E-2</v>
      </c>
      <c r="AB11" s="59">
        <f t="shared" si="1"/>
        <v>1.41E-2</v>
      </c>
      <c r="AC11" s="59">
        <f t="shared" si="1"/>
        <v>1.41E-2</v>
      </c>
      <c r="AD11" s="59">
        <f t="shared" si="1"/>
        <v>1.41E-2</v>
      </c>
      <c r="AE11" s="59">
        <f t="shared" si="1"/>
        <v>1.41E-2</v>
      </c>
      <c r="AF11" s="59">
        <f t="shared" si="1"/>
        <v>1.41E-2</v>
      </c>
      <c r="AG11" s="59">
        <f t="shared" si="1"/>
        <v>1.41E-2</v>
      </c>
      <c r="AH11" s="59">
        <f t="shared" si="1"/>
        <v>1.41E-2</v>
      </c>
      <c r="AI11" s="59">
        <f t="shared" si="1"/>
        <v>1.41E-2</v>
      </c>
      <c r="AJ11" s="59">
        <f t="shared" si="1"/>
        <v>1.41E-2</v>
      </c>
      <c r="AK11" s="59">
        <f t="shared" si="1"/>
        <v>1.41E-2</v>
      </c>
      <c r="AL11" s="59">
        <f t="shared" si="1"/>
        <v>1.41E-2</v>
      </c>
      <c r="AM11" s="59">
        <f t="shared" si="1"/>
        <v>1.41E-2</v>
      </c>
      <c r="AN11" s="59">
        <f t="shared" si="1"/>
        <v>1.41E-2</v>
      </c>
      <c r="AO11" s="59">
        <f t="shared" si="1"/>
        <v>1.41E-2</v>
      </c>
    </row>
    <row r="12" spans="2:41" ht="14.4">
      <c r="C12" s="268" t="s">
        <v>839</v>
      </c>
      <c r="D12" s="1"/>
      <c r="E12" s="1"/>
      <c r="F12" s="273">
        <v>5.0000000000000001E-3</v>
      </c>
    </row>
    <row r="13" spans="2:41">
      <c r="C13" s="222" t="s">
        <v>742</v>
      </c>
      <c r="D13" s="209"/>
      <c r="E13" s="209"/>
      <c r="F13" s="178"/>
      <c r="G13" s="178"/>
      <c r="H13" s="178"/>
      <c r="I13" s="178"/>
      <c r="J13" s="178"/>
      <c r="L13" s="222" t="s">
        <v>799</v>
      </c>
      <c r="M13" s="222"/>
      <c r="N13" s="222"/>
      <c r="O13" s="222"/>
      <c r="P13" s="222"/>
      <c r="Q13" s="222"/>
      <c r="R13" s="222"/>
      <c r="S13" s="222"/>
      <c r="T13" s="222"/>
      <c r="U13" s="222"/>
      <c r="V13" s="222"/>
      <c r="W13" s="222"/>
      <c r="X13" s="222"/>
      <c r="Y13" s="222"/>
      <c r="Z13" s="222"/>
      <c r="AA13" s="222"/>
      <c r="AB13" s="222"/>
      <c r="AC13" s="222"/>
      <c r="AD13" s="222"/>
      <c r="AE13" s="222"/>
      <c r="AF13" s="222"/>
      <c r="AG13" s="222"/>
      <c r="AH13" s="222"/>
      <c r="AI13" s="222"/>
      <c r="AJ13" s="222"/>
      <c r="AK13" s="222"/>
      <c r="AL13" s="222"/>
      <c r="AM13" s="222"/>
      <c r="AN13" s="222"/>
      <c r="AO13" s="222"/>
    </row>
    <row r="14" spans="2:41">
      <c r="C14" s="219" t="s">
        <v>26</v>
      </c>
      <c r="D14" s="214"/>
      <c r="E14" s="214"/>
      <c r="F14" s="219">
        <f>+F15/$F$10</f>
        <v>0</v>
      </c>
      <c r="H14" s="61" t="s">
        <v>29</v>
      </c>
      <c r="I14" s="62"/>
      <c r="J14" s="63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  <c r="AF14" s="64"/>
      <c r="AG14" s="64"/>
      <c r="AH14" s="64"/>
      <c r="AI14" s="64"/>
      <c r="AJ14" s="64"/>
      <c r="AK14" s="64"/>
      <c r="AL14" s="64"/>
      <c r="AM14" s="64"/>
      <c r="AN14" s="64"/>
      <c r="AO14" s="64"/>
    </row>
    <row r="15" spans="2:41">
      <c r="C15" s="60" t="s">
        <v>27</v>
      </c>
      <c r="D15" s="22"/>
      <c r="E15" s="22"/>
      <c r="F15" s="197">
        <v>0</v>
      </c>
      <c r="H15" s="65" t="s">
        <v>861</v>
      </c>
      <c r="I15" s="66"/>
      <c r="J15" s="67" t="s">
        <v>30</v>
      </c>
      <c r="L15" s="282" t="s">
        <v>1013</v>
      </c>
      <c r="M15" s="282"/>
      <c r="N15" s="255">
        <f>-$F15*N16</f>
        <v>0</v>
      </c>
      <c r="O15" s="255">
        <f t="shared" ref="O15:AO15" si="2">-$F15*O16</f>
        <v>0</v>
      </c>
      <c r="P15" s="255">
        <f t="shared" si="2"/>
        <v>0</v>
      </c>
      <c r="Q15" s="255">
        <f t="shared" si="2"/>
        <v>0</v>
      </c>
      <c r="R15" s="255">
        <f t="shared" si="2"/>
        <v>0</v>
      </c>
      <c r="S15" s="255">
        <f>-$F15*S16</f>
        <v>0</v>
      </c>
      <c r="T15" s="255">
        <f>-$F15*T16</f>
        <v>0</v>
      </c>
      <c r="U15" s="255">
        <f t="shared" si="2"/>
        <v>0</v>
      </c>
      <c r="V15" s="255">
        <f t="shared" si="2"/>
        <v>0</v>
      </c>
      <c r="W15" s="255">
        <f t="shared" si="2"/>
        <v>0</v>
      </c>
      <c r="X15" s="255">
        <f t="shared" si="2"/>
        <v>0</v>
      </c>
      <c r="Y15" s="255">
        <f t="shared" si="2"/>
        <v>0</v>
      </c>
      <c r="Z15" s="255">
        <f t="shared" si="2"/>
        <v>0</v>
      </c>
      <c r="AA15" s="255">
        <f t="shared" si="2"/>
        <v>0</v>
      </c>
      <c r="AB15" s="255">
        <f t="shared" si="2"/>
        <v>0</v>
      </c>
      <c r="AC15" s="255">
        <f t="shared" si="2"/>
        <v>0</v>
      </c>
      <c r="AD15" s="255">
        <f t="shared" si="2"/>
        <v>0</v>
      </c>
      <c r="AE15" s="255">
        <f t="shared" si="2"/>
        <v>0</v>
      </c>
      <c r="AF15" s="255">
        <f t="shared" si="2"/>
        <v>0</v>
      </c>
      <c r="AG15" s="255">
        <f t="shared" si="2"/>
        <v>0</v>
      </c>
      <c r="AH15" s="255">
        <f t="shared" si="2"/>
        <v>0</v>
      </c>
      <c r="AI15" s="255">
        <f t="shared" si="2"/>
        <v>0</v>
      </c>
      <c r="AJ15" s="255">
        <f t="shared" si="2"/>
        <v>0</v>
      </c>
      <c r="AK15" s="255">
        <f t="shared" si="2"/>
        <v>0</v>
      </c>
      <c r="AL15" s="255">
        <f t="shared" si="2"/>
        <v>0</v>
      </c>
      <c r="AM15" s="255">
        <f t="shared" si="2"/>
        <v>0</v>
      </c>
      <c r="AN15" s="255">
        <f t="shared" si="2"/>
        <v>0</v>
      </c>
      <c r="AO15" s="255">
        <f t="shared" si="2"/>
        <v>0</v>
      </c>
    </row>
    <row r="16" spans="2:41">
      <c r="C16" s="60" t="s">
        <v>804</v>
      </c>
      <c r="D16" s="22"/>
      <c r="E16" s="22"/>
      <c r="F16" s="277" t="s">
        <v>1527</v>
      </c>
      <c r="G16" s="68">
        <f>IF(F16="variable",1,0)</f>
        <v>0</v>
      </c>
      <c r="H16" s="69" t="str">
        <f>CONCATENATE("&gt;",I17,"x")</f>
        <v>&gt;4x</v>
      </c>
      <c r="I16" s="278">
        <v>99999</v>
      </c>
      <c r="J16" s="279">
        <v>400</v>
      </c>
      <c r="L16" s="282" t="s">
        <v>1014</v>
      </c>
      <c r="M16" s="60"/>
      <c r="N16" s="274">
        <v>0</v>
      </c>
      <c r="O16" s="274">
        <v>0</v>
      </c>
      <c r="P16" s="274">
        <v>0</v>
      </c>
      <c r="Q16" s="274">
        <v>0</v>
      </c>
      <c r="R16" s="274">
        <v>0</v>
      </c>
      <c r="S16" s="274">
        <v>0</v>
      </c>
      <c r="T16" s="274">
        <v>0</v>
      </c>
      <c r="U16" s="274">
        <v>0</v>
      </c>
      <c r="V16" s="274">
        <v>0</v>
      </c>
      <c r="W16" s="274">
        <f>S16</f>
        <v>0</v>
      </c>
      <c r="X16" s="274">
        <v>0</v>
      </c>
      <c r="Y16" s="274">
        <v>0</v>
      </c>
      <c r="Z16" s="274">
        <v>0</v>
      </c>
      <c r="AA16" s="274">
        <v>0</v>
      </c>
      <c r="AB16" s="274">
        <v>0</v>
      </c>
      <c r="AC16" s="274">
        <v>0</v>
      </c>
      <c r="AD16" s="274">
        <v>0</v>
      </c>
      <c r="AE16" s="274">
        <v>0</v>
      </c>
      <c r="AF16" s="274">
        <v>1</v>
      </c>
      <c r="AG16" s="274">
        <v>0</v>
      </c>
      <c r="AH16" s="274">
        <v>0</v>
      </c>
      <c r="AI16" s="274">
        <v>0</v>
      </c>
      <c r="AJ16" s="274">
        <v>0</v>
      </c>
      <c r="AK16" s="274">
        <v>0</v>
      </c>
      <c r="AL16" s="274">
        <v>0</v>
      </c>
      <c r="AM16" s="274">
        <v>0</v>
      </c>
      <c r="AN16" s="274">
        <v>0</v>
      </c>
      <c r="AO16" s="274">
        <v>0</v>
      </c>
    </row>
    <row r="17" spans="3:41">
      <c r="C17" s="6" t="s">
        <v>28</v>
      </c>
      <c r="F17" s="275">
        <f>SUMPRODUCT(N16:AN16,$N$7:$AN$7)</f>
        <v>5</v>
      </c>
      <c r="H17" s="69" t="str">
        <f>CONCATENATE(I18,"x&lt;x&lt;=",I17,"x")</f>
        <v>3x&lt;x&lt;=4x</v>
      </c>
      <c r="I17" s="278">
        <v>4</v>
      </c>
      <c r="J17" s="279">
        <v>400</v>
      </c>
      <c r="L17" s="282" t="s">
        <v>1015</v>
      </c>
      <c r="M17" s="261" t="str">
        <f>INDEX('Covenants onshore'!D$43:D$87,MATCH('Financing assumptions onshore'!$H15,'Covenants onshore'!$C$43:$C$87,0))</f>
        <v>na</v>
      </c>
      <c r="N17" s="261" t="str">
        <f>INDEX('Covenants onshore'!E$43:E$87,MATCH('Financing assumptions onshore'!$H15,'Covenants onshore'!$C$43:$C$87,0))</f>
        <v>na</v>
      </c>
      <c r="O17" s="261" t="str">
        <f>INDEX('Covenants onshore'!F$43:F$87,MATCH('Financing assumptions onshore'!$H15,'Covenants onshore'!$C$43:$C$87,0))</f>
        <v>na</v>
      </c>
      <c r="P17" s="261" t="e">
        <f ca="1">INDEX('Covenants onshore'!G$43:G$87,MATCH('Financing assumptions onshore'!$H15,'Covenants onshore'!$C$43:$C$87,0))</f>
        <v>#DIV/0!</v>
      </c>
      <c r="Q17" s="261" t="e">
        <f ca="1">INDEX('Covenants onshore'!H$43:H$87,MATCH('Financing assumptions onshore'!$H15,'Covenants onshore'!$C$43:$C$87,0))</f>
        <v>#DIV/0!</v>
      </c>
      <c r="R17" s="261" t="e">
        <f ca="1">INDEX('Covenants onshore'!I$43:I$87,MATCH('Financing assumptions onshore'!$H15,'Covenants onshore'!$C$43:$C$87,0))</f>
        <v>#DIV/0!</v>
      </c>
      <c r="S17" s="261" t="e">
        <f ca="1">INDEX('Covenants onshore'!J$43:J$87,MATCH('Financing assumptions onshore'!$H15,'Covenants onshore'!$C$43:$C$87,0))</f>
        <v>#DIV/0!</v>
      </c>
      <c r="T17" s="261" t="e">
        <f ca="1">INDEX('Covenants onshore'!K$43:K$87,MATCH('Financing assumptions onshore'!$H15,'Covenants onshore'!$C$43:$C$87,0))</f>
        <v>#DIV/0!</v>
      </c>
      <c r="U17" s="261" t="e">
        <f ca="1">INDEX('Covenants onshore'!L$43:L$87,MATCH('Financing assumptions onshore'!$H15,'Covenants onshore'!$C$43:$C$87,0))</f>
        <v>#DIV/0!</v>
      </c>
      <c r="V17" s="261" t="e">
        <f ca="1">INDEX('Covenants onshore'!M$43:M$87,MATCH('Financing assumptions onshore'!$H15,'Covenants onshore'!$C$43:$C$87,0))</f>
        <v>#DIV/0!</v>
      </c>
      <c r="W17" s="261" t="e">
        <f ca="1">INDEX('Covenants onshore'!N$43:N$87,MATCH('Financing assumptions onshore'!$H15,'Covenants onshore'!$C$43:$C$87,0))</f>
        <v>#DIV/0!</v>
      </c>
      <c r="X17" s="261" t="e">
        <f ca="1">INDEX('Covenants onshore'!O$43:O$87,MATCH('Financing assumptions onshore'!$H15,'Covenants onshore'!$C$43:$C$87,0))</f>
        <v>#DIV/0!</v>
      </c>
      <c r="Y17" s="261" t="e">
        <f ca="1">INDEX('Covenants onshore'!P$43:P$87,MATCH('Financing assumptions onshore'!$H15,'Covenants onshore'!$C$43:$C$87,0))</f>
        <v>#DIV/0!</v>
      </c>
      <c r="Z17" s="261" t="e">
        <f ca="1">INDEX('Covenants onshore'!Q$43:Q$87,MATCH('Financing assumptions onshore'!$H15,'Covenants onshore'!$C$43:$C$87,0))</f>
        <v>#DIV/0!</v>
      </c>
      <c r="AA17" s="261" t="e">
        <f ca="1">INDEX('Covenants onshore'!R$43:R$87,MATCH('Financing assumptions onshore'!$H15,'Covenants onshore'!$C$43:$C$87,0))</f>
        <v>#DIV/0!</v>
      </c>
      <c r="AB17" s="261" t="e">
        <f ca="1">INDEX('Covenants onshore'!S$43:S$87,MATCH('Financing assumptions onshore'!$H15,'Covenants onshore'!$C$43:$C$87,0))</f>
        <v>#DIV/0!</v>
      </c>
      <c r="AC17" s="261" t="e">
        <f ca="1">INDEX('Covenants onshore'!T$43:T$87,MATCH('Financing assumptions onshore'!$H15,'Covenants onshore'!$C$43:$C$87,0))</f>
        <v>#DIV/0!</v>
      </c>
      <c r="AD17" s="261" t="e">
        <f ca="1">INDEX('Covenants onshore'!U$43:U$87,MATCH('Financing assumptions onshore'!$H15,'Covenants onshore'!$C$43:$C$87,0))</f>
        <v>#DIV/0!</v>
      </c>
      <c r="AE17" s="261" t="e">
        <f ca="1">INDEX('Covenants onshore'!V$43:V$87,MATCH('Financing assumptions onshore'!$H15,'Covenants onshore'!$C$43:$C$87,0))</f>
        <v>#DIV/0!</v>
      </c>
      <c r="AF17" s="261" t="e">
        <f ca="1">INDEX('Covenants onshore'!W$43:W$87,MATCH('Financing assumptions onshore'!$H15,'Covenants onshore'!$C$43:$C$87,0))</f>
        <v>#DIV/0!</v>
      </c>
      <c r="AG17" s="261" t="e">
        <f ca="1">INDEX('Covenants onshore'!X$43:X$87,MATCH('Financing assumptions onshore'!$H15,'Covenants onshore'!$C$43:$C$87,0))</f>
        <v>#DIV/0!</v>
      </c>
      <c r="AH17" s="261" t="e">
        <f ca="1">INDEX('Covenants onshore'!Y$43:Y$87,MATCH('Financing assumptions onshore'!$H15,'Covenants onshore'!$C$43:$C$87,0))</f>
        <v>#DIV/0!</v>
      </c>
      <c r="AI17" s="261" t="e">
        <f ca="1">INDEX('Covenants onshore'!Z$43:Z$87,MATCH('Financing assumptions onshore'!$H15,'Covenants onshore'!$C$43:$C$87,0))</f>
        <v>#DIV/0!</v>
      </c>
      <c r="AJ17" s="261" t="e">
        <f ca="1">INDEX('Covenants onshore'!AA$43:AA$87,MATCH('Financing assumptions onshore'!$H15,'Covenants onshore'!$C$43:$C$87,0))</f>
        <v>#DIV/0!</v>
      </c>
      <c r="AK17" s="261" t="e">
        <f ca="1">INDEX('Covenants onshore'!AB$43:AB$87,MATCH('Financing assumptions onshore'!$H15,'Covenants onshore'!$C$43:$C$87,0))</f>
        <v>#N/A</v>
      </c>
      <c r="AL17" s="261" t="e">
        <f ca="1">INDEX('Covenants onshore'!AC$43:AC$87,MATCH('Financing assumptions onshore'!$H15,'Covenants onshore'!$C$43:$C$87,0))</f>
        <v>#N/A</v>
      </c>
      <c r="AM17" s="261" t="e">
        <f ca="1">INDEX('Covenants onshore'!AD$43:AD$87,MATCH('Financing assumptions onshore'!$H15,'Covenants onshore'!$C$43:$C$87,0))</f>
        <v>#N/A</v>
      </c>
      <c r="AN17" s="261" t="e">
        <f ca="1">INDEX('Covenants onshore'!AE$43:AE$87,MATCH('Financing assumptions onshore'!$H15,'Covenants onshore'!$C$43:$C$87,0))</f>
        <v>#N/A</v>
      </c>
      <c r="AO17" s="261" t="e">
        <f ca="1">INDEX('Covenants onshore'!AF$43:AF$87,MATCH('Financing assumptions onshore'!$H15,'Covenants onshore'!$C$43:$C$87,0))</f>
        <v>#N/A</v>
      </c>
    </row>
    <row r="18" spans="3:41">
      <c r="C18" s="58" t="s">
        <v>903</v>
      </c>
      <c r="D18" s="22"/>
      <c r="E18" s="22"/>
      <c r="F18" s="276">
        <v>400</v>
      </c>
      <c r="H18" s="69" t="str">
        <f>CONCATENATE(I19,"x&lt;x&lt;=",I18,"x")</f>
        <v>2.99x&lt;x&lt;=3x</v>
      </c>
      <c r="I18" s="278">
        <v>3</v>
      </c>
      <c r="J18" s="279">
        <v>400</v>
      </c>
      <c r="L18" s="282" t="s">
        <v>803</v>
      </c>
      <c r="M18" s="183">
        <f>IFERROR(INDEX($J16:$J20,MATCH(L17,$I16:$I20,-1)),$F18)/10000+$G16*M$11</f>
        <v>0.04</v>
      </c>
      <c r="N18" s="183">
        <f t="shared" ref="N18:AO18" si="3">IFERROR(INDEX($J16:$J20,MATCH(M17,$I16:$I20,-1)),$F18)/10000+$G16*N$11</f>
        <v>0.04</v>
      </c>
      <c r="O18" s="183">
        <f>IFERROR(INDEX($J16:$J20,MATCH(N17,$I16:$I20,-1)),$F18)/10000+$G16*O$11</f>
        <v>0.04</v>
      </c>
      <c r="P18" s="183">
        <f t="shared" si="3"/>
        <v>0.04</v>
      </c>
      <c r="Q18" s="183">
        <f t="shared" ca="1" si="3"/>
        <v>0.04</v>
      </c>
      <c r="R18" s="183">
        <f t="shared" ca="1" si="3"/>
        <v>0.04</v>
      </c>
      <c r="S18" s="183">
        <f t="shared" ca="1" si="3"/>
        <v>0.04</v>
      </c>
      <c r="T18" s="183">
        <f t="shared" ca="1" si="3"/>
        <v>0.04</v>
      </c>
      <c r="U18" s="183">
        <f t="shared" ca="1" si="3"/>
        <v>0.04</v>
      </c>
      <c r="V18" s="183">
        <f t="shared" ca="1" si="3"/>
        <v>0.04</v>
      </c>
      <c r="W18" s="183">
        <f t="shared" ca="1" si="3"/>
        <v>0.04</v>
      </c>
      <c r="X18" s="183">
        <f t="shared" ca="1" si="3"/>
        <v>0.04</v>
      </c>
      <c r="Y18" s="183">
        <f t="shared" ca="1" si="3"/>
        <v>0.04</v>
      </c>
      <c r="Z18" s="183">
        <f t="shared" ca="1" si="3"/>
        <v>0.04</v>
      </c>
      <c r="AA18" s="183">
        <f t="shared" ca="1" si="3"/>
        <v>0.04</v>
      </c>
      <c r="AB18" s="183">
        <f t="shared" ca="1" si="3"/>
        <v>0.04</v>
      </c>
      <c r="AC18" s="183">
        <f t="shared" ca="1" si="3"/>
        <v>0.04</v>
      </c>
      <c r="AD18" s="183">
        <f t="shared" ca="1" si="3"/>
        <v>0.04</v>
      </c>
      <c r="AE18" s="183">
        <f t="shared" ca="1" si="3"/>
        <v>0.04</v>
      </c>
      <c r="AF18" s="183">
        <f t="shared" ca="1" si="3"/>
        <v>0.04</v>
      </c>
      <c r="AG18" s="183">
        <f t="shared" ca="1" si="3"/>
        <v>0.04</v>
      </c>
      <c r="AH18" s="183">
        <f t="shared" ca="1" si="3"/>
        <v>0.04</v>
      </c>
      <c r="AI18" s="183">
        <f t="shared" ca="1" si="3"/>
        <v>0.04</v>
      </c>
      <c r="AJ18" s="183">
        <f t="shared" ca="1" si="3"/>
        <v>0.04</v>
      </c>
      <c r="AK18" s="183">
        <f t="shared" ca="1" si="3"/>
        <v>0.04</v>
      </c>
      <c r="AL18" s="183">
        <f t="shared" ca="1" si="3"/>
        <v>0.04</v>
      </c>
      <c r="AM18" s="183">
        <f t="shared" ca="1" si="3"/>
        <v>0.04</v>
      </c>
      <c r="AN18" s="183">
        <f t="shared" ca="1" si="3"/>
        <v>0.04</v>
      </c>
      <c r="AO18" s="183">
        <f t="shared" ca="1" si="3"/>
        <v>0.04</v>
      </c>
    </row>
    <row r="19" spans="3:41">
      <c r="C19" s="58" t="s">
        <v>740</v>
      </c>
      <c r="D19" s="22"/>
      <c r="E19" s="22"/>
      <c r="F19" s="276">
        <v>0</v>
      </c>
      <c r="H19" s="69" t="str">
        <f>CONCATENATE(I20,"x&lt;x&lt;=",I19,"x")</f>
        <v>2.98x&lt;x&lt;=2.99x</v>
      </c>
      <c r="I19" s="278">
        <v>2.99</v>
      </c>
      <c r="J19" s="279">
        <v>400</v>
      </c>
      <c r="L19" s="60"/>
      <c r="M19" s="60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  <c r="AA19" s="64"/>
      <c r="AB19" s="64"/>
      <c r="AC19" s="64"/>
      <c r="AD19" s="64"/>
      <c r="AE19" s="64"/>
      <c r="AF19" s="64"/>
      <c r="AG19" s="64"/>
      <c r="AH19" s="64"/>
      <c r="AI19" s="64"/>
      <c r="AJ19" s="64"/>
      <c r="AK19" s="64"/>
      <c r="AL19" s="64"/>
      <c r="AM19" s="64"/>
      <c r="AN19" s="64"/>
      <c r="AO19" s="64"/>
    </row>
    <row r="20" spans="3:41">
      <c r="C20" s="12" t="s">
        <v>701</v>
      </c>
      <c r="F20" s="269">
        <f>F15+SUM(M15:AO15)</f>
        <v>0</v>
      </c>
      <c r="H20" s="73" t="str">
        <f>CONCATENATE("&lt;",I20,"x")</f>
        <v>&lt;2.98x</v>
      </c>
      <c r="I20" s="280">
        <v>2.98</v>
      </c>
      <c r="J20" s="281">
        <v>400</v>
      </c>
      <c r="L20" s="60"/>
      <c r="M20" s="60"/>
      <c r="O20" s="74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</row>
    <row r="21" spans="3:41" ht="14.4">
      <c r="C21" s="57"/>
      <c r="D21" s="1"/>
      <c r="E21" s="1"/>
      <c r="F21" s="75"/>
    </row>
    <row r="22" spans="3:41">
      <c r="C22" s="222" t="s">
        <v>744</v>
      </c>
      <c r="D22" s="209"/>
      <c r="E22" s="209"/>
      <c r="F22" s="178"/>
      <c r="G22" s="178"/>
      <c r="H22" s="178"/>
      <c r="I22" s="178"/>
      <c r="J22" s="178"/>
      <c r="L22" s="222" t="s">
        <v>799</v>
      </c>
      <c r="M22" s="222"/>
      <c r="N22" s="222"/>
      <c r="O22" s="222"/>
      <c r="P22" s="222"/>
      <c r="Q22" s="222"/>
      <c r="R22" s="222"/>
      <c r="S22" s="222"/>
      <c r="T22" s="222"/>
      <c r="U22" s="222"/>
      <c r="V22" s="222"/>
      <c r="W22" s="222"/>
      <c r="X22" s="222"/>
      <c r="Y22" s="222"/>
      <c r="Z22" s="222"/>
      <c r="AA22" s="222"/>
      <c r="AB22" s="222"/>
      <c r="AC22" s="222"/>
      <c r="AD22" s="222"/>
      <c r="AE22" s="222"/>
      <c r="AF22" s="222"/>
      <c r="AG22" s="222"/>
      <c r="AH22" s="222"/>
      <c r="AI22" s="222"/>
      <c r="AJ22" s="222"/>
      <c r="AK22" s="222"/>
      <c r="AL22" s="222"/>
      <c r="AM22" s="222"/>
      <c r="AN22" s="222"/>
      <c r="AO22" s="222"/>
    </row>
    <row r="23" spans="3:41">
      <c r="C23" s="219" t="s">
        <v>26</v>
      </c>
      <c r="D23" s="214"/>
      <c r="E23" s="214"/>
      <c r="F23" s="219">
        <f>+F24/$F$10</f>
        <v>0</v>
      </c>
      <c r="H23" s="61" t="s">
        <v>795</v>
      </c>
      <c r="I23" s="62"/>
      <c r="J23" s="63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  <c r="AA23" s="64"/>
      <c r="AB23" s="64"/>
      <c r="AC23" s="64"/>
      <c r="AD23" s="64"/>
      <c r="AE23" s="64"/>
      <c r="AF23" s="64"/>
      <c r="AG23" s="64"/>
      <c r="AH23" s="64"/>
      <c r="AI23" s="64"/>
      <c r="AJ23" s="64"/>
      <c r="AK23" s="64"/>
      <c r="AL23" s="64"/>
      <c r="AM23" s="64"/>
      <c r="AN23" s="64"/>
      <c r="AO23" s="64"/>
    </row>
    <row r="24" spans="3:41">
      <c r="C24" s="60" t="s">
        <v>27</v>
      </c>
      <c r="D24" s="22"/>
      <c r="E24" s="22"/>
      <c r="F24" s="197">
        <v>0</v>
      </c>
      <c r="H24" s="65" t="s">
        <v>860</v>
      </c>
      <c r="I24" s="66"/>
      <c r="J24" s="67" t="s">
        <v>30</v>
      </c>
      <c r="L24" s="282" t="s">
        <v>800</v>
      </c>
      <c r="M24" s="282"/>
      <c r="N24" s="255">
        <f>-$F24*N25</f>
        <v>0</v>
      </c>
      <c r="O24" s="255">
        <f t="shared" ref="O24:AO24" si="4">-$F24*O25</f>
        <v>0</v>
      </c>
      <c r="P24" s="255">
        <f t="shared" si="4"/>
        <v>0</v>
      </c>
      <c r="Q24" s="255">
        <f t="shared" si="4"/>
        <v>0</v>
      </c>
      <c r="R24" s="255">
        <f t="shared" si="4"/>
        <v>0</v>
      </c>
      <c r="S24" s="255">
        <f t="shared" si="4"/>
        <v>0</v>
      </c>
      <c r="T24" s="255">
        <f t="shared" si="4"/>
        <v>0</v>
      </c>
      <c r="U24" s="255">
        <f t="shared" si="4"/>
        <v>0</v>
      </c>
      <c r="V24" s="255">
        <f t="shared" si="4"/>
        <v>0</v>
      </c>
      <c r="W24" s="255">
        <f t="shared" si="4"/>
        <v>0</v>
      </c>
      <c r="X24" s="255">
        <f t="shared" si="4"/>
        <v>0</v>
      </c>
      <c r="Y24" s="255">
        <f t="shared" si="4"/>
        <v>0</v>
      </c>
      <c r="Z24" s="255">
        <f t="shared" si="4"/>
        <v>0</v>
      </c>
      <c r="AA24" s="255">
        <f t="shared" si="4"/>
        <v>0</v>
      </c>
      <c r="AB24" s="255">
        <f t="shared" si="4"/>
        <v>0</v>
      </c>
      <c r="AC24" s="255">
        <f t="shared" si="4"/>
        <v>0</v>
      </c>
      <c r="AD24" s="255">
        <f t="shared" si="4"/>
        <v>0</v>
      </c>
      <c r="AE24" s="255">
        <f t="shared" si="4"/>
        <v>0</v>
      </c>
      <c r="AF24" s="255">
        <f t="shared" si="4"/>
        <v>0</v>
      </c>
      <c r="AG24" s="255">
        <f t="shared" si="4"/>
        <v>0</v>
      </c>
      <c r="AH24" s="255">
        <f t="shared" si="4"/>
        <v>0</v>
      </c>
      <c r="AI24" s="255">
        <f t="shared" si="4"/>
        <v>0</v>
      </c>
      <c r="AJ24" s="255">
        <f t="shared" si="4"/>
        <v>0</v>
      </c>
      <c r="AK24" s="255">
        <f t="shared" si="4"/>
        <v>0</v>
      </c>
      <c r="AL24" s="255">
        <f t="shared" si="4"/>
        <v>0</v>
      </c>
      <c r="AM24" s="255">
        <f t="shared" si="4"/>
        <v>0</v>
      </c>
      <c r="AN24" s="255">
        <f t="shared" si="4"/>
        <v>0</v>
      </c>
      <c r="AO24" s="255">
        <f t="shared" si="4"/>
        <v>0</v>
      </c>
    </row>
    <row r="25" spans="3:41">
      <c r="C25" s="60" t="s">
        <v>804</v>
      </c>
      <c r="D25" s="22"/>
      <c r="E25" s="22"/>
      <c r="F25" s="277" t="s">
        <v>805</v>
      </c>
      <c r="G25" s="68">
        <f>IF(F25="variable",1,0)</f>
        <v>1</v>
      </c>
      <c r="H25" s="69" t="str">
        <f>CONCATENATE("&gt;",I26,"x")</f>
        <v>&gt;4x</v>
      </c>
      <c r="I25" s="278">
        <v>99999</v>
      </c>
      <c r="J25" s="279">
        <v>275</v>
      </c>
      <c r="L25" s="282" t="s">
        <v>801</v>
      </c>
      <c r="M25" s="60"/>
      <c r="N25" s="274">
        <v>1.4999999999999999E-2</v>
      </c>
      <c r="O25" s="274">
        <v>1.4999999999999999E-2</v>
      </c>
      <c r="P25" s="274">
        <v>1.4999999999999999E-2</v>
      </c>
      <c r="Q25" s="274">
        <v>1.4999999999999999E-2</v>
      </c>
      <c r="R25" s="274">
        <v>1.4999999999999999E-2</v>
      </c>
      <c r="S25" s="274">
        <v>1.4999999999999999E-2</v>
      </c>
      <c r="T25" s="274">
        <v>1.4999999999999999E-2</v>
      </c>
      <c r="U25" s="274">
        <v>1.4999999999999999E-2</v>
      </c>
      <c r="V25" s="274">
        <v>1.4999999999999999E-2</v>
      </c>
      <c r="W25" s="274">
        <v>1.4999999999999999E-2</v>
      </c>
      <c r="X25" s="274">
        <v>1.4999999999999999E-2</v>
      </c>
      <c r="Y25" s="274">
        <v>1.4999999999999999E-2</v>
      </c>
      <c r="Z25" s="274">
        <v>1.4999999999999999E-2</v>
      </c>
      <c r="AA25" s="274">
        <v>1.4999999999999999E-2</v>
      </c>
      <c r="AB25" s="274">
        <v>1.4999999999999999E-2</v>
      </c>
      <c r="AC25" s="274">
        <v>1.4999999999999999E-2</v>
      </c>
      <c r="AD25" s="274">
        <v>1.4999999999999999E-2</v>
      </c>
      <c r="AE25" s="274">
        <v>1.4999999999999999E-2</v>
      </c>
      <c r="AF25" s="274">
        <v>1.4999999999999999E-2</v>
      </c>
      <c r="AG25" s="274">
        <v>0.71499999999999997</v>
      </c>
      <c r="AH25" s="274">
        <v>0</v>
      </c>
      <c r="AI25" s="274">
        <v>0</v>
      </c>
      <c r="AJ25" s="274">
        <v>0</v>
      </c>
      <c r="AK25" s="274">
        <v>0</v>
      </c>
      <c r="AL25" s="274">
        <v>0</v>
      </c>
      <c r="AM25" s="274">
        <v>0</v>
      </c>
      <c r="AN25" s="274">
        <v>0</v>
      </c>
      <c r="AO25" s="274">
        <v>0</v>
      </c>
    </row>
    <row r="26" spans="3:41">
      <c r="C26" s="6" t="s">
        <v>28</v>
      </c>
      <c r="F26" s="275">
        <f>SUMPRODUCT(N25:AN25,$N$7:$AN$7)</f>
        <v>4.5374999999999996</v>
      </c>
      <c r="H26" s="69" t="str">
        <f>CONCATENATE(I27,"x&lt;x&lt;=",I26,"x")</f>
        <v>3x&lt;x&lt;=4x</v>
      </c>
      <c r="I26" s="278">
        <v>4</v>
      </c>
      <c r="J26" s="279">
        <v>250</v>
      </c>
      <c r="L26" s="282" t="s">
        <v>802</v>
      </c>
      <c r="M26" s="261" t="str">
        <f>INDEX('Covenants onshore'!D$43:D$87,MATCH('Financing assumptions onshore'!$H24,'Covenants onshore'!$C$43:$C$87,0))</f>
        <v>na</v>
      </c>
      <c r="N26" s="261" t="str">
        <f>INDEX('Covenants onshore'!E$43:E$87,MATCH('Financing assumptions onshore'!$H24,'Covenants onshore'!$C$43:$C$87,0))</f>
        <v>na</v>
      </c>
      <c r="O26" s="261" t="str">
        <f>INDEX('Covenants onshore'!F$43:F$87,MATCH('Financing assumptions onshore'!$H24,'Covenants onshore'!$C$43:$C$87,0))</f>
        <v>na</v>
      </c>
      <c r="P26" s="261" t="e">
        <f ca="1">INDEX('Covenants onshore'!G$43:G$87,MATCH('Financing assumptions onshore'!$H24,'Covenants onshore'!$C$43:$C$87,0))</f>
        <v>#DIV/0!</v>
      </c>
      <c r="Q26" s="261" t="e">
        <f ca="1">INDEX('Covenants onshore'!H$43:H$87,MATCH('Financing assumptions onshore'!$H24,'Covenants onshore'!$C$43:$C$87,0))</f>
        <v>#DIV/0!</v>
      </c>
      <c r="R26" s="261" t="e">
        <f ca="1">INDEX('Covenants onshore'!I$43:I$87,MATCH('Financing assumptions onshore'!$H24,'Covenants onshore'!$C$43:$C$87,0))</f>
        <v>#DIV/0!</v>
      </c>
      <c r="S26" s="261" t="e">
        <f ca="1">INDEX('Covenants onshore'!J$43:J$87,MATCH('Financing assumptions onshore'!$H24,'Covenants onshore'!$C$43:$C$87,0))</f>
        <v>#DIV/0!</v>
      </c>
      <c r="T26" s="261" t="e">
        <f ca="1">INDEX('Covenants onshore'!K$43:K$87,MATCH('Financing assumptions onshore'!$H24,'Covenants onshore'!$C$43:$C$87,0))</f>
        <v>#DIV/0!</v>
      </c>
      <c r="U26" s="261" t="e">
        <f ca="1">INDEX('Covenants onshore'!L$43:L$87,MATCH('Financing assumptions onshore'!$H24,'Covenants onshore'!$C$43:$C$87,0))</f>
        <v>#DIV/0!</v>
      </c>
      <c r="V26" s="261" t="e">
        <f ca="1">INDEX('Covenants onshore'!M$43:M$87,MATCH('Financing assumptions onshore'!$H24,'Covenants onshore'!$C$43:$C$87,0))</f>
        <v>#DIV/0!</v>
      </c>
      <c r="W26" s="261" t="e">
        <f ca="1">INDEX('Covenants onshore'!N$43:N$87,MATCH('Financing assumptions onshore'!$H24,'Covenants onshore'!$C$43:$C$87,0))</f>
        <v>#DIV/0!</v>
      </c>
      <c r="X26" s="261" t="e">
        <f ca="1">INDEX('Covenants onshore'!O$43:O$87,MATCH('Financing assumptions onshore'!$H24,'Covenants onshore'!$C$43:$C$87,0))</f>
        <v>#DIV/0!</v>
      </c>
      <c r="Y26" s="261" t="e">
        <f ca="1">INDEX('Covenants onshore'!P$43:P$87,MATCH('Financing assumptions onshore'!$H24,'Covenants onshore'!$C$43:$C$87,0))</f>
        <v>#DIV/0!</v>
      </c>
      <c r="Z26" s="261" t="e">
        <f ca="1">INDEX('Covenants onshore'!Q$43:Q$87,MATCH('Financing assumptions onshore'!$H24,'Covenants onshore'!$C$43:$C$87,0))</f>
        <v>#DIV/0!</v>
      </c>
      <c r="AA26" s="261" t="e">
        <f ca="1">INDEX('Covenants onshore'!R$43:R$87,MATCH('Financing assumptions onshore'!$H24,'Covenants onshore'!$C$43:$C$87,0))</f>
        <v>#DIV/0!</v>
      </c>
      <c r="AB26" s="261" t="e">
        <f ca="1">INDEX('Covenants onshore'!S$43:S$87,MATCH('Financing assumptions onshore'!$H24,'Covenants onshore'!$C$43:$C$87,0))</f>
        <v>#DIV/0!</v>
      </c>
      <c r="AC26" s="261" t="e">
        <f ca="1">INDEX('Covenants onshore'!T$43:T$87,MATCH('Financing assumptions onshore'!$H24,'Covenants onshore'!$C$43:$C$87,0))</f>
        <v>#DIV/0!</v>
      </c>
      <c r="AD26" s="261" t="e">
        <f ca="1">INDEX('Covenants onshore'!U$43:U$87,MATCH('Financing assumptions onshore'!$H24,'Covenants onshore'!$C$43:$C$87,0))</f>
        <v>#DIV/0!</v>
      </c>
      <c r="AE26" s="261" t="e">
        <f ca="1">INDEX('Covenants onshore'!V$43:V$87,MATCH('Financing assumptions onshore'!$H24,'Covenants onshore'!$C$43:$C$87,0))</f>
        <v>#DIV/0!</v>
      </c>
      <c r="AF26" s="261" t="e">
        <f ca="1">INDEX('Covenants onshore'!W$43:W$87,MATCH('Financing assumptions onshore'!$H24,'Covenants onshore'!$C$43:$C$87,0))</f>
        <v>#DIV/0!</v>
      </c>
      <c r="AG26" s="261" t="e">
        <f ca="1">INDEX('Covenants onshore'!X$43:X$87,MATCH('Financing assumptions onshore'!$H24,'Covenants onshore'!$C$43:$C$87,0))</f>
        <v>#DIV/0!</v>
      </c>
      <c r="AH26" s="261" t="e">
        <f ca="1">INDEX('Covenants onshore'!Y$43:Y$87,MATCH('Financing assumptions onshore'!$H24,'Covenants onshore'!$C$43:$C$87,0))</f>
        <v>#DIV/0!</v>
      </c>
      <c r="AI26" s="261" t="e">
        <f ca="1">INDEX('Covenants onshore'!Z$43:Z$87,MATCH('Financing assumptions onshore'!$H24,'Covenants onshore'!$C$43:$C$87,0))</f>
        <v>#DIV/0!</v>
      </c>
      <c r="AJ26" s="261" t="e">
        <f ca="1">INDEX('Covenants onshore'!AA$43:AA$87,MATCH('Financing assumptions onshore'!$H24,'Covenants onshore'!$C$43:$C$87,0))</f>
        <v>#DIV/0!</v>
      </c>
      <c r="AK26" s="261" t="e">
        <f ca="1">INDEX('Covenants onshore'!AB$43:AB$87,MATCH('Financing assumptions onshore'!$H24,'Covenants onshore'!$C$43:$C$87,0))</f>
        <v>#N/A</v>
      </c>
      <c r="AL26" s="261" t="e">
        <f ca="1">INDEX('Covenants onshore'!AC$43:AC$87,MATCH('Financing assumptions onshore'!$H24,'Covenants onshore'!$C$43:$C$87,0))</f>
        <v>#N/A</v>
      </c>
      <c r="AM26" s="261" t="e">
        <f ca="1">INDEX('Covenants onshore'!AD$43:AD$87,MATCH('Financing assumptions onshore'!$H24,'Covenants onshore'!$C$43:$C$87,0))</f>
        <v>#N/A</v>
      </c>
      <c r="AN26" s="261" t="e">
        <f ca="1">INDEX('Covenants onshore'!AE$43:AE$87,MATCH('Financing assumptions onshore'!$H24,'Covenants onshore'!$C$43:$C$87,0))</f>
        <v>#N/A</v>
      </c>
      <c r="AO26" s="261" t="e">
        <f ca="1">INDEX('Covenants onshore'!AF$43:AF$87,MATCH('Financing assumptions onshore'!$H24,'Covenants onshore'!$C$43:$C$87,0))</f>
        <v>#N/A</v>
      </c>
    </row>
    <row r="27" spans="3:41">
      <c r="C27" s="58" t="s">
        <v>903</v>
      </c>
      <c r="D27" s="22"/>
      <c r="E27" s="22"/>
      <c r="F27" s="276">
        <v>425</v>
      </c>
      <c r="H27" s="69" t="str">
        <f>CONCATENATE(I28,"x&lt;x&lt;=",I27,"x")</f>
        <v>2.99x&lt;x&lt;=3x</v>
      </c>
      <c r="I27" s="278">
        <v>3</v>
      </c>
      <c r="J27" s="279">
        <v>250</v>
      </c>
      <c r="L27" s="282" t="s">
        <v>803</v>
      </c>
      <c r="M27" s="183">
        <f>IFERROR(INDEX($J25:$J29,MATCH(L26,$I25:$I29,-1)),$F27)/10000+$G25*M$11</f>
        <v>5.6600000000000004E-2</v>
      </c>
      <c r="N27" s="183">
        <f t="shared" ref="N27:AO27" si="5">IFERROR(INDEX($J25:$J29,MATCH(M26,$I25:$I29,-1)),$F27)/10000+$G25*N$11</f>
        <v>5.6600000000000004E-2</v>
      </c>
      <c r="O27" s="183">
        <f t="shared" si="5"/>
        <v>5.6600000000000004E-2</v>
      </c>
      <c r="P27" s="183">
        <f t="shared" si="5"/>
        <v>5.6600000000000004E-2</v>
      </c>
      <c r="Q27" s="183">
        <f t="shared" ca="1" si="5"/>
        <v>5.6600000000000004E-2</v>
      </c>
      <c r="R27" s="183">
        <f t="shared" ca="1" si="5"/>
        <v>5.6600000000000004E-2</v>
      </c>
      <c r="S27" s="183">
        <f t="shared" ca="1" si="5"/>
        <v>5.6600000000000004E-2</v>
      </c>
      <c r="T27" s="183">
        <f t="shared" ca="1" si="5"/>
        <v>5.6600000000000004E-2</v>
      </c>
      <c r="U27" s="183">
        <f t="shared" ca="1" si="5"/>
        <v>5.6600000000000004E-2</v>
      </c>
      <c r="V27" s="183">
        <f t="shared" ca="1" si="5"/>
        <v>5.6600000000000004E-2</v>
      </c>
      <c r="W27" s="183">
        <f t="shared" ca="1" si="5"/>
        <v>5.6600000000000004E-2</v>
      </c>
      <c r="X27" s="183">
        <f t="shared" ca="1" si="5"/>
        <v>5.6600000000000004E-2</v>
      </c>
      <c r="Y27" s="183">
        <f t="shared" ca="1" si="5"/>
        <v>5.6600000000000004E-2</v>
      </c>
      <c r="Z27" s="183">
        <f t="shared" ca="1" si="5"/>
        <v>5.6600000000000004E-2</v>
      </c>
      <c r="AA27" s="183">
        <f t="shared" ca="1" si="5"/>
        <v>5.6600000000000004E-2</v>
      </c>
      <c r="AB27" s="183">
        <f t="shared" ca="1" si="5"/>
        <v>5.6600000000000004E-2</v>
      </c>
      <c r="AC27" s="183">
        <f t="shared" ca="1" si="5"/>
        <v>5.6600000000000004E-2</v>
      </c>
      <c r="AD27" s="183">
        <f t="shared" ca="1" si="5"/>
        <v>5.6600000000000004E-2</v>
      </c>
      <c r="AE27" s="183">
        <f t="shared" ca="1" si="5"/>
        <v>5.6600000000000004E-2</v>
      </c>
      <c r="AF27" s="183">
        <f t="shared" ca="1" si="5"/>
        <v>5.6600000000000004E-2</v>
      </c>
      <c r="AG27" s="183">
        <f t="shared" ca="1" si="5"/>
        <v>5.6600000000000004E-2</v>
      </c>
      <c r="AH27" s="183">
        <f t="shared" ca="1" si="5"/>
        <v>5.6600000000000004E-2</v>
      </c>
      <c r="AI27" s="183">
        <f t="shared" ca="1" si="5"/>
        <v>5.6600000000000004E-2</v>
      </c>
      <c r="AJ27" s="183">
        <f t="shared" ca="1" si="5"/>
        <v>5.6600000000000004E-2</v>
      </c>
      <c r="AK27" s="183">
        <f t="shared" ca="1" si="5"/>
        <v>5.6600000000000004E-2</v>
      </c>
      <c r="AL27" s="183">
        <f t="shared" ca="1" si="5"/>
        <v>5.6600000000000004E-2</v>
      </c>
      <c r="AM27" s="183">
        <f t="shared" ca="1" si="5"/>
        <v>5.6600000000000004E-2</v>
      </c>
      <c r="AN27" s="183">
        <f t="shared" ca="1" si="5"/>
        <v>5.6600000000000004E-2</v>
      </c>
      <c r="AO27" s="183">
        <f t="shared" ca="1" si="5"/>
        <v>5.6600000000000004E-2</v>
      </c>
    </row>
    <row r="28" spans="3:41">
      <c r="C28" s="58" t="s">
        <v>740</v>
      </c>
      <c r="D28" s="22"/>
      <c r="E28" s="22"/>
      <c r="F28" s="276">
        <v>0</v>
      </c>
      <c r="H28" s="69" t="str">
        <f>CONCATENATE(I29,"x&lt;x&lt;=",I28,"x")</f>
        <v>2.98x&lt;x&lt;=2.99x</v>
      </c>
      <c r="I28" s="278">
        <v>2.99</v>
      </c>
      <c r="J28" s="279">
        <v>250</v>
      </c>
      <c r="L28" s="60"/>
      <c r="M28" s="60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</row>
    <row r="29" spans="3:41">
      <c r="C29" s="12" t="s">
        <v>701</v>
      </c>
      <c r="F29" s="269">
        <f>F24+SUM(M24:AO24)</f>
        <v>0</v>
      </c>
      <c r="H29" s="73" t="str">
        <f>CONCATENATE("&lt;",I29,"x")</f>
        <v>&lt;2.98x</v>
      </c>
      <c r="I29" s="280">
        <v>2.98</v>
      </c>
      <c r="J29" s="281">
        <v>250</v>
      </c>
      <c r="L29" s="60"/>
      <c r="M29" s="60"/>
      <c r="O29" s="74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</row>
    <row r="30" spans="3:41" ht="14.4">
      <c r="C30" s="57"/>
      <c r="D30" s="1"/>
      <c r="E30" s="1"/>
      <c r="F30" s="75"/>
    </row>
    <row r="31" spans="3:41">
      <c r="C31" s="222" t="s">
        <v>745</v>
      </c>
      <c r="D31" s="209"/>
      <c r="E31" s="209"/>
      <c r="F31" s="178"/>
      <c r="G31" s="178"/>
      <c r="H31" s="178"/>
      <c r="I31" s="178"/>
      <c r="J31" s="178"/>
      <c r="L31" s="222" t="s">
        <v>799</v>
      </c>
      <c r="M31" s="222"/>
      <c r="N31" s="222"/>
      <c r="O31" s="222"/>
      <c r="P31" s="222"/>
      <c r="Q31" s="222"/>
      <c r="R31" s="222"/>
      <c r="S31" s="222"/>
      <c r="T31" s="222"/>
      <c r="U31" s="222"/>
      <c r="V31" s="222"/>
      <c r="W31" s="222"/>
      <c r="X31" s="222"/>
      <c r="Y31" s="222"/>
      <c r="Z31" s="222"/>
      <c r="AA31" s="222"/>
      <c r="AB31" s="222"/>
      <c r="AC31" s="222"/>
      <c r="AD31" s="222"/>
      <c r="AE31" s="222"/>
      <c r="AF31" s="222"/>
      <c r="AG31" s="222"/>
      <c r="AH31" s="222"/>
      <c r="AI31" s="222"/>
      <c r="AJ31" s="222"/>
      <c r="AK31" s="222"/>
      <c r="AL31" s="222"/>
      <c r="AM31" s="222"/>
      <c r="AN31" s="222"/>
      <c r="AO31" s="222"/>
    </row>
    <row r="32" spans="3:41">
      <c r="C32" s="219" t="s">
        <v>26</v>
      </c>
      <c r="D32" s="214"/>
      <c r="E32" s="214"/>
      <c r="F32" s="219">
        <f>+F33/$F$10</f>
        <v>0</v>
      </c>
      <c r="H32" s="61" t="s">
        <v>796</v>
      </c>
      <c r="I32" s="62"/>
      <c r="J32" s="63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</row>
    <row r="33" spans="3:41">
      <c r="C33" s="60" t="s">
        <v>27</v>
      </c>
      <c r="D33" s="22"/>
      <c r="E33" s="22"/>
      <c r="F33" s="197">
        <v>0</v>
      </c>
      <c r="H33" s="65" t="s">
        <v>860</v>
      </c>
      <c r="I33" s="66"/>
      <c r="J33" s="67" t="s">
        <v>30</v>
      </c>
      <c r="L33" s="282" t="s">
        <v>800</v>
      </c>
      <c r="M33" s="282"/>
      <c r="N33" s="255">
        <f>-$F33*N34</f>
        <v>0</v>
      </c>
      <c r="O33" s="255">
        <f t="shared" ref="O33:AO33" si="6">-$F33*O34</f>
        <v>0</v>
      </c>
      <c r="P33" s="255">
        <f t="shared" si="6"/>
        <v>0</v>
      </c>
      <c r="Q33" s="255">
        <f t="shared" si="6"/>
        <v>0</v>
      </c>
      <c r="R33" s="255">
        <f t="shared" si="6"/>
        <v>0</v>
      </c>
      <c r="S33" s="255">
        <f t="shared" si="6"/>
        <v>0</v>
      </c>
      <c r="T33" s="255">
        <f t="shared" si="6"/>
        <v>0</v>
      </c>
      <c r="U33" s="255">
        <f t="shared" si="6"/>
        <v>0</v>
      </c>
      <c r="V33" s="255">
        <f t="shared" si="6"/>
        <v>0</v>
      </c>
      <c r="W33" s="255">
        <f t="shared" si="6"/>
        <v>0</v>
      </c>
      <c r="X33" s="255">
        <f t="shared" si="6"/>
        <v>0</v>
      </c>
      <c r="Y33" s="255">
        <f t="shared" si="6"/>
        <v>0</v>
      </c>
      <c r="Z33" s="255">
        <f t="shared" si="6"/>
        <v>0</v>
      </c>
      <c r="AA33" s="255">
        <f t="shared" si="6"/>
        <v>0</v>
      </c>
      <c r="AB33" s="255">
        <f t="shared" si="6"/>
        <v>0</v>
      </c>
      <c r="AC33" s="255">
        <f t="shared" si="6"/>
        <v>0</v>
      </c>
      <c r="AD33" s="255">
        <f t="shared" si="6"/>
        <v>0</v>
      </c>
      <c r="AE33" s="255">
        <f t="shared" si="6"/>
        <v>0</v>
      </c>
      <c r="AF33" s="255">
        <f t="shared" si="6"/>
        <v>0</v>
      </c>
      <c r="AG33" s="255">
        <f t="shared" si="6"/>
        <v>0</v>
      </c>
      <c r="AH33" s="255">
        <f t="shared" si="6"/>
        <v>0</v>
      </c>
      <c r="AI33" s="255">
        <f t="shared" si="6"/>
        <v>0</v>
      </c>
      <c r="AJ33" s="255">
        <f t="shared" si="6"/>
        <v>0</v>
      </c>
      <c r="AK33" s="255">
        <f t="shared" si="6"/>
        <v>0</v>
      </c>
      <c r="AL33" s="255">
        <f t="shared" si="6"/>
        <v>0</v>
      </c>
      <c r="AM33" s="255">
        <f t="shared" si="6"/>
        <v>0</v>
      </c>
      <c r="AN33" s="255">
        <f t="shared" si="6"/>
        <v>0</v>
      </c>
      <c r="AO33" s="255">
        <f t="shared" si="6"/>
        <v>0</v>
      </c>
    </row>
    <row r="34" spans="3:41">
      <c r="C34" s="60" t="s">
        <v>804</v>
      </c>
      <c r="D34" s="22"/>
      <c r="E34" s="22"/>
      <c r="F34" s="277" t="s">
        <v>805</v>
      </c>
      <c r="G34" s="68">
        <f>IF(F34="variable",1,0)</f>
        <v>1</v>
      </c>
      <c r="H34" s="69" t="str">
        <f>CONCATENATE("&gt;",I35,"x")</f>
        <v>&gt;4x</v>
      </c>
      <c r="I34" s="278">
        <v>99999</v>
      </c>
      <c r="J34" s="279">
        <v>275</v>
      </c>
      <c r="L34" s="282" t="s">
        <v>801</v>
      </c>
      <c r="M34" s="60"/>
      <c r="N34" s="274">
        <v>1.4999999999999999E-2</v>
      </c>
      <c r="O34" s="274">
        <v>1.4999999999999999E-2</v>
      </c>
      <c r="P34" s="274">
        <v>1.4999999999999999E-2</v>
      </c>
      <c r="Q34" s="274">
        <v>1.4999999999999999E-2</v>
      </c>
      <c r="R34" s="274">
        <v>1.4999999999999999E-2</v>
      </c>
      <c r="S34" s="274">
        <v>1.4999999999999999E-2</v>
      </c>
      <c r="T34" s="274">
        <v>1.4999999999999999E-2</v>
      </c>
      <c r="U34" s="274">
        <v>1.4999999999999999E-2</v>
      </c>
      <c r="V34" s="274">
        <v>1.4999999999999999E-2</v>
      </c>
      <c r="W34" s="274">
        <v>1.4999999999999999E-2</v>
      </c>
      <c r="X34" s="274">
        <v>1.4999999999999999E-2</v>
      </c>
      <c r="Y34" s="274">
        <v>1.4999999999999999E-2</v>
      </c>
      <c r="Z34" s="274">
        <v>1.4999999999999999E-2</v>
      </c>
      <c r="AA34" s="274">
        <v>1.4999999999999999E-2</v>
      </c>
      <c r="AB34" s="274">
        <v>1.4999999999999999E-2</v>
      </c>
      <c r="AC34" s="274">
        <v>1.4999999999999999E-2</v>
      </c>
      <c r="AD34" s="274">
        <v>1.4999999999999999E-2</v>
      </c>
      <c r="AE34" s="274">
        <v>1.4999999999999999E-2</v>
      </c>
      <c r="AF34" s="274">
        <v>1.4999999999999999E-2</v>
      </c>
      <c r="AG34" s="274">
        <v>0.71499999999999997</v>
      </c>
      <c r="AH34" s="274">
        <v>0</v>
      </c>
      <c r="AI34" s="274">
        <v>0</v>
      </c>
      <c r="AJ34" s="274">
        <v>0</v>
      </c>
      <c r="AK34" s="274">
        <v>0</v>
      </c>
      <c r="AL34" s="274">
        <v>0</v>
      </c>
      <c r="AM34" s="274">
        <v>0</v>
      </c>
      <c r="AN34" s="274">
        <v>0</v>
      </c>
      <c r="AO34" s="274">
        <v>0</v>
      </c>
    </row>
    <row r="35" spans="3:41">
      <c r="C35" s="6" t="s">
        <v>28</v>
      </c>
      <c r="F35" s="275">
        <f>SUMPRODUCT(N34:AN34,$N$7:$AN$7)</f>
        <v>4.5374999999999996</v>
      </c>
      <c r="H35" s="69" t="str">
        <f>CONCATENATE(I36,"x&lt;x&lt;=",I35,"x")</f>
        <v>3x&lt;x&lt;=4x</v>
      </c>
      <c r="I35" s="278">
        <v>4</v>
      </c>
      <c r="J35" s="279">
        <v>250</v>
      </c>
      <c r="L35" s="282" t="s">
        <v>802</v>
      </c>
      <c r="M35" s="261" t="str">
        <f>INDEX('Covenants onshore'!D$43:D$87,MATCH('Financing assumptions onshore'!$H33,'Covenants onshore'!$C$43:$C$87,0))</f>
        <v>na</v>
      </c>
      <c r="N35" s="261" t="str">
        <f>INDEX('Covenants onshore'!E$43:E$87,MATCH('Financing assumptions onshore'!$H33,'Covenants onshore'!$C$43:$C$87,0))</f>
        <v>na</v>
      </c>
      <c r="O35" s="261" t="str">
        <f>INDEX('Covenants onshore'!F$43:F$87,MATCH('Financing assumptions onshore'!$H33,'Covenants onshore'!$C$43:$C$87,0))</f>
        <v>na</v>
      </c>
      <c r="P35" s="261" t="e">
        <f ca="1">INDEX('Covenants onshore'!G$43:G$87,MATCH('Financing assumptions onshore'!$H33,'Covenants onshore'!$C$43:$C$87,0))</f>
        <v>#DIV/0!</v>
      </c>
      <c r="Q35" s="261" t="e">
        <f ca="1">INDEX('Covenants onshore'!H$43:H$87,MATCH('Financing assumptions onshore'!$H33,'Covenants onshore'!$C$43:$C$87,0))</f>
        <v>#DIV/0!</v>
      </c>
      <c r="R35" s="261" t="e">
        <f ca="1">INDEX('Covenants onshore'!I$43:I$87,MATCH('Financing assumptions onshore'!$H33,'Covenants onshore'!$C$43:$C$87,0))</f>
        <v>#DIV/0!</v>
      </c>
      <c r="S35" s="261" t="e">
        <f ca="1">INDEX('Covenants onshore'!J$43:J$87,MATCH('Financing assumptions onshore'!$H33,'Covenants onshore'!$C$43:$C$87,0))</f>
        <v>#DIV/0!</v>
      </c>
      <c r="T35" s="261" t="e">
        <f ca="1">INDEX('Covenants onshore'!K$43:K$87,MATCH('Financing assumptions onshore'!$H33,'Covenants onshore'!$C$43:$C$87,0))</f>
        <v>#DIV/0!</v>
      </c>
      <c r="U35" s="261" t="e">
        <f ca="1">INDEX('Covenants onshore'!L$43:L$87,MATCH('Financing assumptions onshore'!$H33,'Covenants onshore'!$C$43:$C$87,0))</f>
        <v>#DIV/0!</v>
      </c>
      <c r="V35" s="261" t="e">
        <f ca="1">INDEX('Covenants onshore'!M$43:M$87,MATCH('Financing assumptions onshore'!$H33,'Covenants onshore'!$C$43:$C$87,0))</f>
        <v>#DIV/0!</v>
      </c>
      <c r="W35" s="261" t="e">
        <f ca="1">INDEX('Covenants onshore'!N$43:N$87,MATCH('Financing assumptions onshore'!$H33,'Covenants onshore'!$C$43:$C$87,0))</f>
        <v>#DIV/0!</v>
      </c>
      <c r="X35" s="261" t="e">
        <f ca="1">INDEX('Covenants onshore'!O$43:O$87,MATCH('Financing assumptions onshore'!$H33,'Covenants onshore'!$C$43:$C$87,0))</f>
        <v>#DIV/0!</v>
      </c>
      <c r="Y35" s="261" t="e">
        <f ca="1">INDEX('Covenants onshore'!P$43:P$87,MATCH('Financing assumptions onshore'!$H33,'Covenants onshore'!$C$43:$C$87,0))</f>
        <v>#DIV/0!</v>
      </c>
      <c r="Z35" s="261" t="e">
        <f ca="1">INDEX('Covenants onshore'!Q$43:Q$87,MATCH('Financing assumptions onshore'!$H33,'Covenants onshore'!$C$43:$C$87,0))</f>
        <v>#DIV/0!</v>
      </c>
      <c r="AA35" s="261" t="e">
        <f ca="1">INDEX('Covenants onshore'!R$43:R$87,MATCH('Financing assumptions onshore'!$H33,'Covenants onshore'!$C$43:$C$87,0))</f>
        <v>#DIV/0!</v>
      </c>
      <c r="AB35" s="261" t="e">
        <f ca="1">INDEX('Covenants onshore'!S$43:S$87,MATCH('Financing assumptions onshore'!$H33,'Covenants onshore'!$C$43:$C$87,0))</f>
        <v>#DIV/0!</v>
      </c>
      <c r="AC35" s="261" t="e">
        <f ca="1">INDEX('Covenants onshore'!T$43:T$87,MATCH('Financing assumptions onshore'!$H33,'Covenants onshore'!$C$43:$C$87,0))</f>
        <v>#DIV/0!</v>
      </c>
      <c r="AD35" s="261" t="e">
        <f ca="1">INDEX('Covenants onshore'!U$43:U$87,MATCH('Financing assumptions onshore'!$H33,'Covenants onshore'!$C$43:$C$87,0))</f>
        <v>#DIV/0!</v>
      </c>
      <c r="AE35" s="261" t="e">
        <f ca="1">INDEX('Covenants onshore'!V$43:V$87,MATCH('Financing assumptions onshore'!$H33,'Covenants onshore'!$C$43:$C$87,0))</f>
        <v>#DIV/0!</v>
      </c>
      <c r="AF35" s="261" t="e">
        <f ca="1">INDEX('Covenants onshore'!W$43:W$87,MATCH('Financing assumptions onshore'!$H33,'Covenants onshore'!$C$43:$C$87,0))</f>
        <v>#DIV/0!</v>
      </c>
      <c r="AG35" s="261" t="e">
        <f ca="1">INDEX('Covenants onshore'!X$43:X$87,MATCH('Financing assumptions onshore'!$H33,'Covenants onshore'!$C$43:$C$87,0))</f>
        <v>#DIV/0!</v>
      </c>
      <c r="AH35" s="261" t="e">
        <f ca="1">INDEX('Covenants onshore'!Y$43:Y$87,MATCH('Financing assumptions onshore'!$H33,'Covenants onshore'!$C$43:$C$87,0))</f>
        <v>#DIV/0!</v>
      </c>
      <c r="AI35" s="261" t="e">
        <f ca="1">INDEX('Covenants onshore'!Z$43:Z$87,MATCH('Financing assumptions onshore'!$H33,'Covenants onshore'!$C$43:$C$87,0))</f>
        <v>#DIV/0!</v>
      </c>
      <c r="AJ35" s="261" t="e">
        <f ca="1">INDEX('Covenants onshore'!AA$43:AA$87,MATCH('Financing assumptions onshore'!$H33,'Covenants onshore'!$C$43:$C$87,0))</f>
        <v>#DIV/0!</v>
      </c>
      <c r="AK35" s="261" t="e">
        <f ca="1">INDEX('Covenants onshore'!AB$43:AB$87,MATCH('Financing assumptions onshore'!$H33,'Covenants onshore'!$C$43:$C$87,0))</f>
        <v>#N/A</v>
      </c>
      <c r="AL35" s="261" t="e">
        <f ca="1">INDEX('Covenants onshore'!AC$43:AC$87,MATCH('Financing assumptions onshore'!$H33,'Covenants onshore'!$C$43:$C$87,0))</f>
        <v>#N/A</v>
      </c>
      <c r="AM35" s="261" t="e">
        <f ca="1">INDEX('Covenants onshore'!AD$43:AD$87,MATCH('Financing assumptions onshore'!$H33,'Covenants onshore'!$C$43:$C$87,0))</f>
        <v>#N/A</v>
      </c>
      <c r="AN35" s="261" t="e">
        <f ca="1">INDEX('Covenants onshore'!AE$43:AE$87,MATCH('Financing assumptions onshore'!$H33,'Covenants onshore'!$C$43:$C$87,0))</f>
        <v>#N/A</v>
      </c>
      <c r="AO35" s="261" t="e">
        <f ca="1">INDEX('Covenants onshore'!AF$43:AF$87,MATCH('Financing assumptions onshore'!$H33,'Covenants onshore'!$C$43:$C$87,0))</f>
        <v>#N/A</v>
      </c>
    </row>
    <row r="36" spans="3:41">
      <c r="C36" s="58" t="s">
        <v>903</v>
      </c>
      <c r="D36" s="22"/>
      <c r="E36" s="22"/>
      <c r="F36" s="276">
        <v>425</v>
      </c>
      <c r="H36" s="69" t="str">
        <f>CONCATENATE(I37,"x&lt;x&lt;=",I36,"x")</f>
        <v>2.99x&lt;x&lt;=3x</v>
      </c>
      <c r="I36" s="278">
        <v>3</v>
      </c>
      <c r="J36" s="279">
        <v>250</v>
      </c>
      <c r="L36" s="282" t="s">
        <v>803</v>
      </c>
      <c r="M36" s="183">
        <f>IFERROR(INDEX($J34:$J38,MATCH(L35,$I34:$I38,-1)),$F36)/10000+$G34*M$11</f>
        <v>5.6600000000000004E-2</v>
      </c>
      <c r="N36" s="183">
        <f t="shared" ref="N36:AO36" si="7">IFERROR(INDEX($J34:$J38,MATCH(M35,$I34:$I38,-1)),$F36)/10000+$G34*N$11</f>
        <v>5.6600000000000004E-2</v>
      </c>
      <c r="O36" s="183">
        <f t="shared" si="7"/>
        <v>5.6600000000000004E-2</v>
      </c>
      <c r="P36" s="183">
        <f t="shared" si="7"/>
        <v>5.6600000000000004E-2</v>
      </c>
      <c r="Q36" s="183">
        <f t="shared" ca="1" si="7"/>
        <v>5.6600000000000004E-2</v>
      </c>
      <c r="R36" s="183">
        <f t="shared" ca="1" si="7"/>
        <v>5.6600000000000004E-2</v>
      </c>
      <c r="S36" s="183">
        <f t="shared" ca="1" si="7"/>
        <v>5.6600000000000004E-2</v>
      </c>
      <c r="T36" s="183">
        <f t="shared" ca="1" si="7"/>
        <v>5.6600000000000004E-2</v>
      </c>
      <c r="U36" s="183">
        <f t="shared" ca="1" si="7"/>
        <v>5.6600000000000004E-2</v>
      </c>
      <c r="V36" s="183">
        <f t="shared" ca="1" si="7"/>
        <v>5.6600000000000004E-2</v>
      </c>
      <c r="W36" s="183">
        <f t="shared" ca="1" si="7"/>
        <v>5.6600000000000004E-2</v>
      </c>
      <c r="X36" s="183">
        <f t="shared" ca="1" si="7"/>
        <v>5.6600000000000004E-2</v>
      </c>
      <c r="Y36" s="183">
        <f t="shared" ca="1" si="7"/>
        <v>5.6600000000000004E-2</v>
      </c>
      <c r="Z36" s="183">
        <f t="shared" ca="1" si="7"/>
        <v>5.6600000000000004E-2</v>
      </c>
      <c r="AA36" s="183">
        <f t="shared" ca="1" si="7"/>
        <v>5.6600000000000004E-2</v>
      </c>
      <c r="AB36" s="183">
        <f t="shared" ca="1" si="7"/>
        <v>5.6600000000000004E-2</v>
      </c>
      <c r="AC36" s="183">
        <f t="shared" ca="1" si="7"/>
        <v>5.6600000000000004E-2</v>
      </c>
      <c r="AD36" s="183">
        <f t="shared" ca="1" si="7"/>
        <v>5.6600000000000004E-2</v>
      </c>
      <c r="AE36" s="183">
        <f t="shared" ca="1" si="7"/>
        <v>5.6600000000000004E-2</v>
      </c>
      <c r="AF36" s="183">
        <f t="shared" ca="1" si="7"/>
        <v>5.6600000000000004E-2</v>
      </c>
      <c r="AG36" s="183">
        <f t="shared" ca="1" si="7"/>
        <v>5.6600000000000004E-2</v>
      </c>
      <c r="AH36" s="183">
        <f t="shared" ca="1" si="7"/>
        <v>5.6600000000000004E-2</v>
      </c>
      <c r="AI36" s="183">
        <f t="shared" ca="1" si="7"/>
        <v>5.6600000000000004E-2</v>
      </c>
      <c r="AJ36" s="183">
        <f t="shared" ca="1" si="7"/>
        <v>5.6600000000000004E-2</v>
      </c>
      <c r="AK36" s="183">
        <f t="shared" ca="1" si="7"/>
        <v>5.6600000000000004E-2</v>
      </c>
      <c r="AL36" s="183">
        <f t="shared" ca="1" si="7"/>
        <v>5.6600000000000004E-2</v>
      </c>
      <c r="AM36" s="183">
        <f t="shared" ca="1" si="7"/>
        <v>5.6600000000000004E-2</v>
      </c>
      <c r="AN36" s="183">
        <f t="shared" ca="1" si="7"/>
        <v>5.6600000000000004E-2</v>
      </c>
      <c r="AO36" s="183">
        <f t="shared" ca="1" si="7"/>
        <v>5.6600000000000004E-2</v>
      </c>
    </row>
    <row r="37" spans="3:41">
      <c r="C37" s="58" t="s">
        <v>740</v>
      </c>
      <c r="D37" s="22"/>
      <c r="E37" s="22"/>
      <c r="F37" s="276">
        <v>0</v>
      </c>
      <c r="H37" s="69" t="str">
        <f>CONCATENATE(I38,"x&lt;x&lt;=",I37,"x")</f>
        <v>2.98x&lt;x&lt;=2.99x</v>
      </c>
      <c r="I37" s="278">
        <v>2.99</v>
      </c>
      <c r="J37" s="279">
        <v>250</v>
      </c>
      <c r="L37" s="60"/>
      <c r="M37" s="60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</row>
    <row r="38" spans="3:41">
      <c r="C38" s="12" t="s">
        <v>701</v>
      </c>
      <c r="F38" s="269">
        <f>F33+SUM(M33:AO33)</f>
        <v>0</v>
      </c>
      <c r="H38" s="73" t="str">
        <f>CONCATENATE("&lt;",I38,"x")</f>
        <v>&lt;2.98x</v>
      </c>
      <c r="I38" s="280">
        <v>2.98</v>
      </c>
      <c r="J38" s="281">
        <v>250</v>
      </c>
      <c r="L38" s="60"/>
      <c r="M38" s="60"/>
      <c r="O38" s="74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</row>
    <row r="39" spans="3:41">
      <c r="C39" s="12"/>
      <c r="F39" s="72"/>
      <c r="L39" s="60"/>
      <c r="M39" s="60"/>
      <c r="O39" s="74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</row>
    <row r="40" spans="3:41">
      <c r="C40" s="222" t="s">
        <v>752</v>
      </c>
      <c r="D40" s="209"/>
      <c r="E40" s="209"/>
      <c r="F40" s="178"/>
      <c r="G40" s="178"/>
      <c r="H40" s="178"/>
      <c r="I40" s="178"/>
      <c r="J40" s="178"/>
      <c r="L40" s="222" t="s">
        <v>799</v>
      </c>
      <c r="M40" s="222"/>
      <c r="N40" s="222"/>
      <c r="O40" s="222"/>
      <c r="P40" s="222"/>
      <c r="Q40" s="222"/>
      <c r="R40" s="222"/>
      <c r="S40" s="222"/>
      <c r="T40" s="222"/>
      <c r="U40" s="222"/>
      <c r="V40" s="222"/>
      <c r="W40" s="222"/>
      <c r="X40" s="222"/>
      <c r="Y40" s="222"/>
      <c r="Z40" s="222"/>
      <c r="AA40" s="222"/>
      <c r="AB40" s="222"/>
      <c r="AC40" s="222"/>
      <c r="AD40" s="222"/>
      <c r="AE40" s="222"/>
      <c r="AF40" s="222"/>
      <c r="AG40" s="222"/>
      <c r="AH40" s="222"/>
      <c r="AI40" s="222"/>
      <c r="AJ40" s="222"/>
      <c r="AK40" s="222"/>
      <c r="AL40" s="222"/>
      <c r="AM40" s="222"/>
      <c r="AN40" s="222"/>
      <c r="AO40" s="222"/>
    </row>
    <row r="41" spans="3:41">
      <c r="C41" s="219" t="s">
        <v>26</v>
      </c>
      <c r="D41" s="214"/>
      <c r="E41" s="214"/>
      <c r="F41" s="219">
        <f>+F42/$F$10</f>
        <v>0</v>
      </c>
      <c r="H41" s="61" t="s">
        <v>797</v>
      </c>
      <c r="I41" s="62"/>
      <c r="J41" s="63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</row>
    <row r="42" spans="3:41">
      <c r="C42" s="60" t="s">
        <v>27</v>
      </c>
      <c r="D42" s="22"/>
      <c r="E42" s="22"/>
      <c r="F42" s="197">
        <v>0</v>
      </c>
      <c r="H42" s="65" t="s">
        <v>860</v>
      </c>
      <c r="I42" s="66"/>
      <c r="J42" s="67" t="s">
        <v>30</v>
      </c>
      <c r="L42" s="282" t="s">
        <v>800</v>
      </c>
      <c r="M42" s="282"/>
      <c r="N42" s="255">
        <f>-$F42*N43</f>
        <v>0</v>
      </c>
      <c r="O42" s="255">
        <f t="shared" ref="O42:AO42" si="8">-$F42*O43</f>
        <v>0</v>
      </c>
      <c r="P42" s="255">
        <f t="shared" si="8"/>
        <v>0</v>
      </c>
      <c r="Q42" s="255">
        <f t="shared" si="8"/>
        <v>0</v>
      </c>
      <c r="R42" s="255">
        <f t="shared" si="8"/>
        <v>0</v>
      </c>
      <c r="S42" s="255">
        <f t="shared" si="8"/>
        <v>0</v>
      </c>
      <c r="T42" s="255">
        <f t="shared" si="8"/>
        <v>0</v>
      </c>
      <c r="U42" s="255">
        <f t="shared" si="8"/>
        <v>0</v>
      </c>
      <c r="V42" s="255">
        <f t="shared" si="8"/>
        <v>0</v>
      </c>
      <c r="W42" s="255">
        <f t="shared" si="8"/>
        <v>0</v>
      </c>
      <c r="X42" s="255">
        <f t="shared" si="8"/>
        <v>0</v>
      </c>
      <c r="Y42" s="255">
        <f t="shared" si="8"/>
        <v>0</v>
      </c>
      <c r="Z42" s="255">
        <f t="shared" si="8"/>
        <v>0</v>
      </c>
      <c r="AA42" s="255">
        <f t="shared" si="8"/>
        <v>0</v>
      </c>
      <c r="AB42" s="255">
        <f t="shared" si="8"/>
        <v>0</v>
      </c>
      <c r="AC42" s="255">
        <f t="shared" si="8"/>
        <v>0</v>
      </c>
      <c r="AD42" s="255">
        <f t="shared" si="8"/>
        <v>0</v>
      </c>
      <c r="AE42" s="255">
        <f t="shared" si="8"/>
        <v>0</v>
      </c>
      <c r="AF42" s="255">
        <f t="shared" si="8"/>
        <v>0</v>
      </c>
      <c r="AG42" s="255">
        <f t="shared" si="8"/>
        <v>0</v>
      </c>
      <c r="AH42" s="255">
        <f t="shared" si="8"/>
        <v>0</v>
      </c>
      <c r="AI42" s="255">
        <f t="shared" si="8"/>
        <v>0</v>
      </c>
      <c r="AJ42" s="255">
        <f t="shared" si="8"/>
        <v>0</v>
      </c>
      <c r="AK42" s="255">
        <f t="shared" si="8"/>
        <v>0</v>
      </c>
      <c r="AL42" s="255">
        <f t="shared" si="8"/>
        <v>0</v>
      </c>
      <c r="AM42" s="255">
        <f t="shared" si="8"/>
        <v>0</v>
      </c>
      <c r="AN42" s="255">
        <f t="shared" si="8"/>
        <v>0</v>
      </c>
      <c r="AO42" s="255">
        <f t="shared" si="8"/>
        <v>0</v>
      </c>
    </row>
    <row r="43" spans="3:41">
      <c r="C43" s="60" t="s">
        <v>804</v>
      </c>
      <c r="D43" s="22"/>
      <c r="E43" s="22"/>
      <c r="F43" s="277" t="s">
        <v>805</v>
      </c>
      <c r="G43" s="68">
        <f>IF(F43="variable",1,0)</f>
        <v>1</v>
      </c>
      <c r="H43" s="69" t="str">
        <f>CONCATENATE("&gt;",I44,"x")</f>
        <v>&gt;4x</v>
      </c>
      <c r="I43" s="278">
        <v>99999</v>
      </c>
      <c r="J43" s="279">
        <v>275</v>
      </c>
      <c r="L43" s="282" t="s">
        <v>801</v>
      </c>
      <c r="M43" s="60"/>
      <c r="N43" s="274">
        <v>1.4999999999999999E-2</v>
      </c>
      <c r="O43" s="274">
        <v>1.4999999999999999E-2</v>
      </c>
      <c r="P43" s="274">
        <v>1.4999999999999999E-2</v>
      </c>
      <c r="Q43" s="274">
        <v>1.4999999999999999E-2</v>
      </c>
      <c r="R43" s="274">
        <v>1.4999999999999999E-2</v>
      </c>
      <c r="S43" s="274">
        <v>1.4999999999999999E-2</v>
      </c>
      <c r="T43" s="274">
        <v>1.4999999999999999E-2</v>
      </c>
      <c r="U43" s="274">
        <v>1.4999999999999999E-2</v>
      </c>
      <c r="V43" s="274">
        <v>1.4999999999999999E-2</v>
      </c>
      <c r="W43" s="274">
        <v>1.4999999999999999E-2</v>
      </c>
      <c r="X43" s="274">
        <v>1.4999999999999999E-2</v>
      </c>
      <c r="Y43" s="274">
        <v>1.4999999999999999E-2</v>
      </c>
      <c r="Z43" s="274">
        <v>1.4999999999999999E-2</v>
      </c>
      <c r="AA43" s="274">
        <v>1.4999999999999999E-2</v>
      </c>
      <c r="AB43" s="274">
        <v>1.4999999999999999E-2</v>
      </c>
      <c r="AC43" s="274">
        <v>1.4999999999999999E-2</v>
      </c>
      <c r="AD43" s="274">
        <v>1.4999999999999999E-2</v>
      </c>
      <c r="AE43" s="274">
        <v>1.4999999999999999E-2</v>
      </c>
      <c r="AF43" s="274">
        <v>1.4999999999999999E-2</v>
      </c>
      <c r="AG43" s="274">
        <v>0.71499999999999997</v>
      </c>
      <c r="AH43" s="274">
        <v>0</v>
      </c>
      <c r="AI43" s="274">
        <v>0</v>
      </c>
      <c r="AJ43" s="274">
        <v>0</v>
      </c>
      <c r="AK43" s="274">
        <v>0</v>
      </c>
      <c r="AL43" s="274">
        <v>0</v>
      </c>
      <c r="AM43" s="274">
        <v>0</v>
      </c>
      <c r="AN43" s="274">
        <v>0</v>
      </c>
      <c r="AO43" s="274">
        <v>0</v>
      </c>
    </row>
    <row r="44" spans="3:41">
      <c r="C44" s="6" t="s">
        <v>28</v>
      </c>
      <c r="F44" s="275">
        <f>SUMPRODUCT(N43:AN43,$N$7:$AN$7)</f>
        <v>4.5374999999999996</v>
      </c>
      <c r="H44" s="69" t="str">
        <f>CONCATENATE(I45,"x&lt;x&lt;=",I44,"x")</f>
        <v>3x&lt;x&lt;=4x</v>
      </c>
      <c r="I44" s="278">
        <v>4</v>
      </c>
      <c r="J44" s="279">
        <v>250</v>
      </c>
      <c r="L44" s="282" t="s">
        <v>802</v>
      </c>
      <c r="M44" s="261" t="str">
        <f>INDEX('Covenants onshore'!D$43:D$87,MATCH('Financing assumptions onshore'!$H42,'Covenants onshore'!$C$43:$C$87,0))</f>
        <v>na</v>
      </c>
      <c r="N44" s="261" t="str">
        <f>INDEX('Covenants onshore'!E$43:E$87,MATCH('Financing assumptions onshore'!$H42,'Covenants onshore'!$C$43:$C$87,0))</f>
        <v>na</v>
      </c>
      <c r="O44" s="261" t="str">
        <f>INDEX('Covenants onshore'!F$43:F$87,MATCH('Financing assumptions onshore'!$H42,'Covenants onshore'!$C$43:$C$87,0))</f>
        <v>na</v>
      </c>
      <c r="P44" s="261" t="e">
        <f ca="1">INDEX('Covenants onshore'!G$43:G$87,MATCH('Financing assumptions onshore'!$H42,'Covenants onshore'!$C$43:$C$87,0))</f>
        <v>#DIV/0!</v>
      </c>
      <c r="Q44" s="261" t="e">
        <f ca="1">INDEX('Covenants onshore'!H$43:H$87,MATCH('Financing assumptions onshore'!$H42,'Covenants onshore'!$C$43:$C$87,0))</f>
        <v>#DIV/0!</v>
      </c>
      <c r="R44" s="261" t="e">
        <f ca="1">INDEX('Covenants onshore'!I$43:I$87,MATCH('Financing assumptions onshore'!$H42,'Covenants onshore'!$C$43:$C$87,0))</f>
        <v>#DIV/0!</v>
      </c>
      <c r="S44" s="261" t="e">
        <f ca="1">INDEX('Covenants onshore'!J$43:J$87,MATCH('Financing assumptions onshore'!$H42,'Covenants onshore'!$C$43:$C$87,0))</f>
        <v>#DIV/0!</v>
      </c>
      <c r="T44" s="261" t="e">
        <f ca="1">INDEX('Covenants onshore'!K$43:K$87,MATCH('Financing assumptions onshore'!$H42,'Covenants onshore'!$C$43:$C$87,0))</f>
        <v>#DIV/0!</v>
      </c>
      <c r="U44" s="261" t="e">
        <f ca="1">INDEX('Covenants onshore'!L$43:L$87,MATCH('Financing assumptions onshore'!$H42,'Covenants onshore'!$C$43:$C$87,0))</f>
        <v>#DIV/0!</v>
      </c>
      <c r="V44" s="261" t="e">
        <f ca="1">INDEX('Covenants onshore'!M$43:M$87,MATCH('Financing assumptions onshore'!$H42,'Covenants onshore'!$C$43:$C$87,0))</f>
        <v>#DIV/0!</v>
      </c>
      <c r="W44" s="261" t="e">
        <f ca="1">INDEX('Covenants onshore'!N$43:N$87,MATCH('Financing assumptions onshore'!$H42,'Covenants onshore'!$C$43:$C$87,0))</f>
        <v>#DIV/0!</v>
      </c>
      <c r="X44" s="261" t="e">
        <f ca="1">INDEX('Covenants onshore'!O$43:O$87,MATCH('Financing assumptions onshore'!$H42,'Covenants onshore'!$C$43:$C$87,0))</f>
        <v>#DIV/0!</v>
      </c>
      <c r="Y44" s="261" t="e">
        <f ca="1">INDEX('Covenants onshore'!P$43:P$87,MATCH('Financing assumptions onshore'!$H42,'Covenants onshore'!$C$43:$C$87,0))</f>
        <v>#DIV/0!</v>
      </c>
      <c r="Z44" s="261" t="e">
        <f ca="1">INDEX('Covenants onshore'!Q$43:Q$87,MATCH('Financing assumptions onshore'!$H42,'Covenants onshore'!$C$43:$C$87,0))</f>
        <v>#DIV/0!</v>
      </c>
      <c r="AA44" s="261" t="e">
        <f ca="1">INDEX('Covenants onshore'!R$43:R$87,MATCH('Financing assumptions onshore'!$H42,'Covenants onshore'!$C$43:$C$87,0))</f>
        <v>#DIV/0!</v>
      </c>
      <c r="AB44" s="261" t="e">
        <f ca="1">INDEX('Covenants onshore'!S$43:S$87,MATCH('Financing assumptions onshore'!$H42,'Covenants onshore'!$C$43:$C$87,0))</f>
        <v>#DIV/0!</v>
      </c>
      <c r="AC44" s="261" t="e">
        <f ca="1">INDEX('Covenants onshore'!T$43:T$87,MATCH('Financing assumptions onshore'!$H42,'Covenants onshore'!$C$43:$C$87,0))</f>
        <v>#DIV/0!</v>
      </c>
      <c r="AD44" s="261" t="e">
        <f ca="1">INDEX('Covenants onshore'!U$43:U$87,MATCH('Financing assumptions onshore'!$H42,'Covenants onshore'!$C$43:$C$87,0))</f>
        <v>#DIV/0!</v>
      </c>
      <c r="AE44" s="261" t="e">
        <f ca="1">INDEX('Covenants onshore'!V$43:V$87,MATCH('Financing assumptions onshore'!$H42,'Covenants onshore'!$C$43:$C$87,0))</f>
        <v>#DIV/0!</v>
      </c>
      <c r="AF44" s="261" t="e">
        <f ca="1">INDEX('Covenants onshore'!W$43:W$87,MATCH('Financing assumptions onshore'!$H42,'Covenants onshore'!$C$43:$C$87,0))</f>
        <v>#DIV/0!</v>
      </c>
      <c r="AG44" s="261" t="e">
        <f ca="1">INDEX('Covenants onshore'!X$43:X$87,MATCH('Financing assumptions onshore'!$H42,'Covenants onshore'!$C$43:$C$87,0))</f>
        <v>#DIV/0!</v>
      </c>
      <c r="AH44" s="261" t="e">
        <f ca="1">INDEX('Covenants onshore'!Y$43:Y$87,MATCH('Financing assumptions onshore'!$H42,'Covenants onshore'!$C$43:$C$87,0))</f>
        <v>#DIV/0!</v>
      </c>
      <c r="AI44" s="261" t="e">
        <f ca="1">INDEX('Covenants onshore'!Z$43:Z$87,MATCH('Financing assumptions onshore'!$H42,'Covenants onshore'!$C$43:$C$87,0))</f>
        <v>#DIV/0!</v>
      </c>
      <c r="AJ44" s="261" t="e">
        <f ca="1">INDEX('Covenants onshore'!AA$43:AA$87,MATCH('Financing assumptions onshore'!$H42,'Covenants onshore'!$C$43:$C$87,0))</f>
        <v>#DIV/0!</v>
      </c>
      <c r="AK44" s="261" t="e">
        <f ca="1">INDEX('Covenants onshore'!AB$43:AB$87,MATCH('Financing assumptions onshore'!$H42,'Covenants onshore'!$C$43:$C$87,0))</f>
        <v>#N/A</v>
      </c>
      <c r="AL44" s="261" t="e">
        <f ca="1">INDEX('Covenants onshore'!AC$43:AC$87,MATCH('Financing assumptions onshore'!$H42,'Covenants onshore'!$C$43:$C$87,0))</f>
        <v>#N/A</v>
      </c>
      <c r="AM44" s="261" t="e">
        <f ca="1">INDEX('Covenants onshore'!AD$43:AD$87,MATCH('Financing assumptions onshore'!$H42,'Covenants onshore'!$C$43:$C$87,0))</f>
        <v>#N/A</v>
      </c>
      <c r="AN44" s="261" t="e">
        <f ca="1">INDEX('Covenants onshore'!AE$43:AE$87,MATCH('Financing assumptions onshore'!$H42,'Covenants onshore'!$C$43:$C$87,0))</f>
        <v>#N/A</v>
      </c>
      <c r="AO44" s="261" t="e">
        <f ca="1">INDEX('Covenants onshore'!AF$43:AF$87,MATCH('Financing assumptions onshore'!$H42,'Covenants onshore'!$C$43:$C$87,0))</f>
        <v>#N/A</v>
      </c>
    </row>
    <row r="45" spans="3:41">
      <c r="C45" s="58" t="s">
        <v>903</v>
      </c>
      <c r="D45" s="22"/>
      <c r="E45" s="22"/>
      <c r="F45" s="276">
        <v>425</v>
      </c>
      <c r="H45" s="69" t="str">
        <f>CONCATENATE(I46,"x&lt;x&lt;=",I45,"x")</f>
        <v>2.99x&lt;x&lt;=3x</v>
      </c>
      <c r="I45" s="278">
        <v>3</v>
      </c>
      <c r="J45" s="279">
        <v>250</v>
      </c>
      <c r="L45" s="282" t="s">
        <v>803</v>
      </c>
      <c r="M45" s="183">
        <f>IFERROR(INDEX($J43:$J47,MATCH(L44,$I43:$I47,-1)),$F45)/10000+$G43*M$11</f>
        <v>5.6600000000000004E-2</v>
      </c>
      <c r="N45" s="183">
        <f t="shared" ref="N45:AO45" si="9">IFERROR(INDEX($J43:$J47,MATCH(M44,$I43:$I47,-1)),$F45)/10000+$G43*N$11</f>
        <v>5.6600000000000004E-2</v>
      </c>
      <c r="O45" s="183">
        <f t="shared" si="9"/>
        <v>5.6600000000000004E-2</v>
      </c>
      <c r="P45" s="183">
        <f t="shared" si="9"/>
        <v>5.6600000000000004E-2</v>
      </c>
      <c r="Q45" s="183">
        <f t="shared" ca="1" si="9"/>
        <v>5.6600000000000004E-2</v>
      </c>
      <c r="R45" s="183">
        <f t="shared" ca="1" si="9"/>
        <v>5.6600000000000004E-2</v>
      </c>
      <c r="S45" s="183">
        <f t="shared" ca="1" si="9"/>
        <v>5.6600000000000004E-2</v>
      </c>
      <c r="T45" s="183">
        <f t="shared" ca="1" si="9"/>
        <v>5.6600000000000004E-2</v>
      </c>
      <c r="U45" s="183">
        <f t="shared" ca="1" si="9"/>
        <v>5.6600000000000004E-2</v>
      </c>
      <c r="V45" s="183">
        <f t="shared" ca="1" si="9"/>
        <v>5.6600000000000004E-2</v>
      </c>
      <c r="W45" s="183">
        <f t="shared" ca="1" si="9"/>
        <v>5.6600000000000004E-2</v>
      </c>
      <c r="X45" s="183">
        <f t="shared" ca="1" si="9"/>
        <v>5.6600000000000004E-2</v>
      </c>
      <c r="Y45" s="183">
        <f t="shared" ca="1" si="9"/>
        <v>5.6600000000000004E-2</v>
      </c>
      <c r="Z45" s="183">
        <f t="shared" ca="1" si="9"/>
        <v>5.6600000000000004E-2</v>
      </c>
      <c r="AA45" s="183">
        <f t="shared" ca="1" si="9"/>
        <v>5.6600000000000004E-2</v>
      </c>
      <c r="AB45" s="183">
        <f t="shared" ca="1" si="9"/>
        <v>5.6600000000000004E-2</v>
      </c>
      <c r="AC45" s="183">
        <f t="shared" ca="1" si="9"/>
        <v>5.6600000000000004E-2</v>
      </c>
      <c r="AD45" s="183">
        <f t="shared" ca="1" si="9"/>
        <v>5.6600000000000004E-2</v>
      </c>
      <c r="AE45" s="183">
        <f t="shared" ca="1" si="9"/>
        <v>5.6600000000000004E-2</v>
      </c>
      <c r="AF45" s="183">
        <f t="shared" ca="1" si="9"/>
        <v>5.6600000000000004E-2</v>
      </c>
      <c r="AG45" s="183">
        <f t="shared" ca="1" si="9"/>
        <v>5.6600000000000004E-2</v>
      </c>
      <c r="AH45" s="183">
        <f t="shared" ca="1" si="9"/>
        <v>5.6600000000000004E-2</v>
      </c>
      <c r="AI45" s="183">
        <f t="shared" ca="1" si="9"/>
        <v>5.6600000000000004E-2</v>
      </c>
      <c r="AJ45" s="183">
        <f t="shared" ca="1" si="9"/>
        <v>5.6600000000000004E-2</v>
      </c>
      <c r="AK45" s="183">
        <f t="shared" ca="1" si="9"/>
        <v>5.6600000000000004E-2</v>
      </c>
      <c r="AL45" s="183">
        <f t="shared" ca="1" si="9"/>
        <v>5.6600000000000004E-2</v>
      </c>
      <c r="AM45" s="183">
        <f t="shared" ca="1" si="9"/>
        <v>5.6600000000000004E-2</v>
      </c>
      <c r="AN45" s="183">
        <f t="shared" ca="1" si="9"/>
        <v>5.6600000000000004E-2</v>
      </c>
      <c r="AO45" s="183">
        <f t="shared" ca="1" si="9"/>
        <v>5.6600000000000004E-2</v>
      </c>
    </row>
    <row r="46" spans="3:41">
      <c r="C46" s="58" t="s">
        <v>740</v>
      </c>
      <c r="D46" s="22"/>
      <c r="E46" s="22"/>
      <c r="F46" s="276">
        <v>200</v>
      </c>
      <c r="H46" s="69" t="str">
        <f>CONCATENATE(I47,"x&lt;x&lt;=",I46,"x")</f>
        <v>2.98x&lt;x&lt;=2.99x</v>
      </c>
      <c r="I46" s="278">
        <v>2.99</v>
      </c>
      <c r="J46" s="279">
        <v>250</v>
      </c>
      <c r="L46" s="60"/>
      <c r="M46" s="60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</row>
    <row r="47" spans="3:41">
      <c r="C47" s="12" t="s">
        <v>701</v>
      </c>
      <c r="F47" s="269">
        <f>F42+SUM(M42:AO42)</f>
        <v>0</v>
      </c>
      <c r="H47" s="73" t="str">
        <f>CONCATENATE("&lt;",I47,"x")</f>
        <v>&lt;2.98x</v>
      </c>
      <c r="I47" s="280">
        <v>2.98</v>
      </c>
      <c r="J47" s="281">
        <v>250</v>
      </c>
      <c r="L47" s="60"/>
      <c r="M47" s="60"/>
      <c r="O47" s="74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</row>
    <row r="48" spans="3:41">
      <c r="C48" s="12"/>
      <c r="F48" s="72"/>
      <c r="L48" s="60"/>
      <c r="M48" s="60"/>
      <c r="O48" s="74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  <c r="AK48" s="71"/>
      <c r="AL48" s="71"/>
      <c r="AM48" s="71"/>
      <c r="AN48" s="71"/>
      <c r="AO48" s="71"/>
    </row>
    <row r="49" spans="3:41">
      <c r="C49" s="222" t="s">
        <v>1017</v>
      </c>
      <c r="D49" s="209"/>
      <c r="E49" s="209"/>
      <c r="F49" s="178"/>
      <c r="G49" s="178"/>
      <c r="H49" s="178"/>
      <c r="I49" s="178"/>
      <c r="J49" s="178"/>
      <c r="L49" s="222" t="s">
        <v>1018</v>
      </c>
      <c r="M49" s="222"/>
      <c r="N49" s="222"/>
      <c r="O49" s="222"/>
      <c r="P49" s="222"/>
      <c r="Q49" s="222"/>
      <c r="R49" s="222"/>
      <c r="S49" s="222"/>
      <c r="T49" s="222"/>
      <c r="U49" s="222"/>
      <c r="V49" s="222"/>
      <c r="W49" s="222"/>
      <c r="X49" s="222"/>
      <c r="Y49" s="222"/>
      <c r="Z49" s="222"/>
      <c r="AA49" s="222"/>
      <c r="AB49" s="222"/>
      <c r="AC49" s="222"/>
      <c r="AD49" s="222"/>
      <c r="AE49" s="222"/>
      <c r="AF49" s="222"/>
      <c r="AG49" s="222"/>
      <c r="AH49" s="222"/>
      <c r="AI49" s="222"/>
      <c r="AJ49" s="222"/>
      <c r="AK49" s="222"/>
      <c r="AL49" s="222"/>
      <c r="AM49" s="222"/>
      <c r="AN49" s="222"/>
      <c r="AO49" s="222"/>
    </row>
    <row r="50" spans="3:41" s="35" customFormat="1">
      <c r="C50" s="219" t="s">
        <v>26</v>
      </c>
      <c r="D50" s="214"/>
      <c r="E50" s="214"/>
      <c r="F50" s="219">
        <f>+F51/$F$10</f>
        <v>0</v>
      </c>
      <c r="H50" s="61" t="s">
        <v>798</v>
      </c>
      <c r="I50" s="62"/>
      <c r="J50" s="63"/>
      <c r="L50" s="76"/>
      <c r="M50" s="76"/>
      <c r="O50" s="77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</row>
    <row r="51" spans="3:41" s="35" customFormat="1">
      <c r="C51" s="60" t="s">
        <v>27</v>
      </c>
      <c r="D51" s="22"/>
      <c r="E51" s="22"/>
      <c r="F51" s="197">
        <v>0</v>
      </c>
      <c r="H51" s="65" t="s">
        <v>860</v>
      </c>
      <c r="I51" s="66"/>
      <c r="J51" s="67" t="s">
        <v>30</v>
      </c>
      <c r="L51" s="282" t="s">
        <v>802</v>
      </c>
      <c r="M51" s="261" t="str">
        <f>INDEX('Covenants onshore'!D$43:D$87,MATCH('Financing assumptions onshore'!$H51,'Covenants onshore'!$C$43:$C$87,0))</f>
        <v>na</v>
      </c>
      <c r="N51" s="261" t="str">
        <f>INDEX('Covenants onshore'!E$43:E$87,MATCH('Financing assumptions onshore'!$H51,'Covenants onshore'!$C$43:$C$87,0))</f>
        <v>na</v>
      </c>
      <c r="O51" s="261" t="str">
        <f>INDEX('Covenants onshore'!F$43:F$87,MATCH('Financing assumptions onshore'!$H51,'Covenants onshore'!$C$43:$C$87,0))</f>
        <v>na</v>
      </c>
      <c r="P51" s="261" t="e">
        <f ca="1">INDEX('Covenants onshore'!G$43:G$87,MATCH('Financing assumptions onshore'!$H51,'Covenants onshore'!$C$43:$C$87,0))</f>
        <v>#DIV/0!</v>
      </c>
      <c r="Q51" s="261" t="e">
        <f ca="1">INDEX('Covenants onshore'!H$43:H$87,MATCH('Financing assumptions onshore'!$H51,'Covenants onshore'!$C$43:$C$87,0))</f>
        <v>#DIV/0!</v>
      </c>
      <c r="R51" s="261" t="e">
        <f ca="1">INDEX('Covenants onshore'!I$43:I$87,MATCH('Financing assumptions onshore'!$H51,'Covenants onshore'!$C$43:$C$87,0))</f>
        <v>#DIV/0!</v>
      </c>
      <c r="S51" s="261" t="e">
        <f ca="1">INDEX('Covenants onshore'!J$43:J$87,MATCH('Financing assumptions onshore'!$H51,'Covenants onshore'!$C$43:$C$87,0))</f>
        <v>#DIV/0!</v>
      </c>
      <c r="T51" s="261" t="e">
        <f ca="1">INDEX('Covenants onshore'!K$43:K$87,MATCH('Financing assumptions onshore'!$H51,'Covenants onshore'!$C$43:$C$87,0))</f>
        <v>#DIV/0!</v>
      </c>
      <c r="U51" s="261" t="e">
        <f ca="1">INDEX('Covenants onshore'!L$43:L$87,MATCH('Financing assumptions onshore'!$H51,'Covenants onshore'!$C$43:$C$87,0))</f>
        <v>#DIV/0!</v>
      </c>
      <c r="V51" s="261" t="e">
        <f ca="1">INDEX('Covenants onshore'!M$43:M$87,MATCH('Financing assumptions onshore'!$H51,'Covenants onshore'!$C$43:$C$87,0))</f>
        <v>#DIV/0!</v>
      </c>
      <c r="W51" s="261" t="e">
        <f ca="1">INDEX('Covenants onshore'!N$43:N$87,MATCH('Financing assumptions onshore'!$H51,'Covenants onshore'!$C$43:$C$87,0))</f>
        <v>#DIV/0!</v>
      </c>
      <c r="X51" s="261" t="e">
        <f ca="1">INDEX('Covenants onshore'!O$43:O$87,MATCH('Financing assumptions onshore'!$H51,'Covenants onshore'!$C$43:$C$87,0))</f>
        <v>#DIV/0!</v>
      </c>
      <c r="Y51" s="261" t="e">
        <f ca="1">INDEX('Covenants onshore'!P$43:P$87,MATCH('Financing assumptions onshore'!$H51,'Covenants onshore'!$C$43:$C$87,0))</f>
        <v>#DIV/0!</v>
      </c>
      <c r="Z51" s="261" t="e">
        <f ca="1">INDEX('Covenants onshore'!Q$43:Q$87,MATCH('Financing assumptions onshore'!$H51,'Covenants onshore'!$C$43:$C$87,0))</f>
        <v>#DIV/0!</v>
      </c>
      <c r="AA51" s="261" t="e">
        <f ca="1">INDEX('Covenants onshore'!R$43:R$87,MATCH('Financing assumptions onshore'!$H51,'Covenants onshore'!$C$43:$C$87,0))</f>
        <v>#DIV/0!</v>
      </c>
      <c r="AB51" s="261" t="e">
        <f ca="1">INDEX('Covenants onshore'!S$43:S$87,MATCH('Financing assumptions onshore'!$H51,'Covenants onshore'!$C$43:$C$87,0))</f>
        <v>#DIV/0!</v>
      </c>
      <c r="AC51" s="261" t="e">
        <f ca="1">INDEX('Covenants onshore'!T$43:T$87,MATCH('Financing assumptions onshore'!$H51,'Covenants onshore'!$C$43:$C$87,0))</f>
        <v>#DIV/0!</v>
      </c>
      <c r="AD51" s="261" t="e">
        <f ca="1">INDEX('Covenants onshore'!U$43:U$87,MATCH('Financing assumptions onshore'!$H51,'Covenants onshore'!$C$43:$C$87,0))</f>
        <v>#DIV/0!</v>
      </c>
      <c r="AE51" s="261" t="e">
        <f ca="1">INDEX('Covenants onshore'!V$43:V$87,MATCH('Financing assumptions onshore'!$H51,'Covenants onshore'!$C$43:$C$87,0))</f>
        <v>#DIV/0!</v>
      </c>
      <c r="AF51" s="261" t="e">
        <f ca="1">INDEX('Covenants onshore'!W$43:W$87,MATCH('Financing assumptions onshore'!$H51,'Covenants onshore'!$C$43:$C$87,0))</f>
        <v>#DIV/0!</v>
      </c>
      <c r="AG51" s="261" t="e">
        <f ca="1">INDEX('Covenants onshore'!X$43:X$87,MATCH('Financing assumptions onshore'!$H51,'Covenants onshore'!$C$43:$C$87,0))</f>
        <v>#DIV/0!</v>
      </c>
      <c r="AH51" s="261" t="e">
        <f ca="1">INDEX('Covenants onshore'!Y$43:Y$87,MATCH('Financing assumptions onshore'!$H51,'Covenants onshore'!$C$43:$C$87,0))</f>
        <v>#DIV/0!</v>
      </c>
      <c r="AI51" s="261" t="e">
        <f ca="1">INDEX('Covenants onshore'!Z$43:Z$87,MATCH('Financing assumptions onshore'!$H51,'Covenants onshore'!$C$43:$C$87,0))</f>
        <v>#DIV/0!</v>
      </c>
      <c r="AJ51" s="261" t="e">
        <f ca="1">INDEX('Covenants onshore'!AA$43:AA$87,MATCH('Financing assumptions onshore'!$H51,'Covenants onshore'!$C$43:$C$87,0))</f>
        <v>#DIV/0!</v>
      </c>
      <c r="AK51" s="261" t="e">
        <f ca="1">INDEX('Covenants onshore'!AB$43:AB$87,MATCH('Financing assumptions onshore'!$H51,'Covenants onshore'!$C$43:$C$87,0))</f>
        <v>#N/A</v>
      </c>
      <c r="AL51" s="261" t="e">
        <f ca="1">INDEX('Covenants onshore'!AC$43:AC$87,MATCH('Financing assumptions onshore'!$H51,'Covenants onshore'!$C$43:$C$87,0))</f>
        <v>#N/A</v>
      </c>
      <c r="AM51" s="261" t="e">
        <f ca="1">INDEX('Covenants onshore'!AD$43:AD$87,MATCH('Financing assumptions onshore'!$H51,'Covenants onshore'!$C$43:$C$87,0))</f>
        <v>#N/A</v>
      </c>
      <c r="AN51" s="261" t="e">
        <f ca="1">INDEX('Covenants onshore'!AE$43:AE$87,MATCH('Financing assumptions onshore'!$H51,'Covenants onshore'!$C$43:$C$87,0))</f>
        <v>#N/A</v>
      </c>
      <c r="AO51" s="261" t="e">
        <f ca="1">INDEX('Covenants onshore'!AF$43:AF$87,MATCH('Financing assumptions onshore'!$H51,'Covenants onshore'!$C$43:$C$87,0))</f>
        <v>#N/A</v>
      </c>
    </row>
    <row r="52" spans="3:41" s="35" customFormat="1">
      <c r="C52" s="58" t="s">
        <v>903</v>
      </c>
      <c r="D52" s="22"/>
      <c r="E52" s="22"/>
      <c r="F52" s="276">
        <v>380</v>
      </c>
      <c r="H52" s="69" t="str">
        <f>CONCATENATE("&gt;",I53,"x")</f>
        <v>&gt;4x</v>
      </c>
      <c r="I52" s="278">
        <v>99999</v>
      </c>
      <c r="J52" s="279">
        <v>275</v>
      </c>
      <c r="L52" s="282" t="s">
        <v>803</v>
      </c>
      <c r="M52" s="183">
        <f>IFERROR(INDEX($J52:$J56,MATCH(L51,$I52:$I56,-1)),$F52)/10000+M$11</f>
        <v>5.21E-2</v>
      </c>
      <c r="N52" s="183">
        <f t="shared" ref="N52:AO52" si="10">IFERROR(INDEX($J52:$J56,MATCH(M51,$I52:$I56,-1)),$F52)/10000+N$11</f>
        <v>5.21E-2</v>
      </c>
      <c r="O52" s="183">
        <f t="shared" si="10"/>
        <v>5.21E-2</v>
      </c>
      <c r="P52" s="183">
        <f t="shared" si="10"/>
        <v>5.21E-2</v>
      </c>
      <c r="Q52" s="183">
        <f t="shared" ca="1" si="10"/>
        <v>5.21E-2</v>
      </c>
      <c r="R52" s="183">
        <f t="shared" ca="1" si="10"/>
        <v>5.21E-2</v>
      </c>
      <c r="S52" s="183">
        <f t="shared" ca="1" si="10"/>
        <v>5.21E-2</v>
      </c>
      <c r="T52" s="183">
        <f t="shared" ca="1" si="10"/>
        <v>5.21E-2</v>
      </c>
      <c r="U52" s="183">
        <f t="shared" ca="1" si="10"/>
        <v>5.21E-2</v>
      </c>
      <c r="V52" s="183">
        <f t="shared" ca="1" si="10"/>
        <v>5.21E-2</v>
      </c>
      <c r="W52" s="183">
        <f t="shared" ca="1" si="10"/>
        <v>5.21E-2</v>
      </c>
      <c r="X52" s="183">
        <f t="shared" ca="1" si="10"/>
        <v>5.21E-2</v>
      </c>
      <c r="Y52" s="183">
        <f t="shared" ca="1" si="10"/>
        <v>5.21E-2</v>
      </c>
      <c r="Z52" s="183">
        <f t="shared" ca="1" si="10"/>
        <v>5.21E-2</v>
      </c>
      <c r="AA52" s="183">
        <f t="shared" ca="1" si="10"/>
        <v>5.21E-2</v>
      </c>
      <c r="AB52" s="183">
        <f t="shared" ca="1" si="10"/>
        <v>5.21E-2</v>
      </c>
      <c r="AC52" s="183">
        <f t="shared" ca="1" si="10"/>
        <v>5.21E-2</v>
      </c>
      <c r="AD52" s="183">
        <f t="shared" ca="1" si="10"/>
        <v>5.21E-2</v>
      </c>
      <c r="AE52" s="183">
        <f t="shared" ca="1" si="10"/>
        <v>5.21E-2</v>
      </c>
      <c r="AF52" s="183">
        <f t="shared" ca="1" si="10"/>
        <v>5.21E-2</v>
      </c>
      <c r="AG52" s="183">
        <f t="shared" ca="1" si="10"/>
        <v>5.21E-2</v>
      </c>
      <c r="AH52" s="183">
        <f t="shared" ca="1" si="10"/>
        <v>5.21E-2</v>
      </c>
      <c r="AI52" s="183">
        <f t="shared" ca="1" si="10"/>
        <v>5.21E-2</v>
      </c>
      <c r="AJ52" s="183">
        <f t="shared" ca="1" si="10"/>
        <v>5.21E-2</v>
      </c>
      <c r="AK52" s="183">
        <f t="shared" ca="1" si="10"/>
        <v>5.21E-2</v>
      </c>
      <c r="AL52" s="183">
        <f t="shared" ca="1" si="10"/>
        <v>5.21E-2</v>
      </c>
      <c r="AM52" s="183">
        <f t="shared" ca="1" si="10"/>
        <v>5.21E-2</v>
      </c>
      <c r="AN52" s="183">
        <f t="shared" ca="1" si="10"/>
        <v>5.21E-2</v>
      </c>
      <c r="AO52" s="183">
        <f t="shared" ca="1" si="10"/>
        <v>5.21E-2</v>
      </c>
    </row>
    <row r="53" spans="3:41" s="35" customFormat="1">
      <c r="C53" s="58" t="s">
        <v>757</v>
      </c>
      <c r="D53" s="22"/>
      <c r="E53" s="22"/>
      <c r="F53" s="276">
        <v>50</v>
      </c>
      <c r="H53" s="69" t="str">
        <f>CONCATENATE(I54,"x&lt;x&lt;=",I53,"x")</f>
        <v>3x&lt;x&lt;=4x</v>
      </c>
      <c r="I53" s="278">
        <v>4</v>
      </c>
      <c r="J53" s="279">
        <v>250</v>
      </c>
      <c r="L53" s="76"/>
      <c r="M53" s="76"/>
      <c r="O53" s="77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</row>
    <row r="54" spans="3:41" s="35" customFormat="1">
      <c r="C54" s="58" t="s">
        <v>858</v>
      </c>
      <c r="D54" s="22"/>
      <c r="E54" s="22"/>
      <c r="F54" s="197">
        <v>0</v>
      </c>
      <c r="H54" s="69" t="str">
        <f>CONCATENATE(I55,"x&lt;x&lt;=",I54,"x")</f>
        <v>2.99x&lt;x&lt;=3x</v>
      </c>
      <c r="I54" s="278">
        <v>3</v>
      </c>
      <c r="J54" s="279">
        <v>250</v>
      </c>
      <c r="L54" s="60"/>
      <c r="M54" s="60"/>
      <c r="O54" s="77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</row>
    <row r="55" spans="3:41" s="35" customFormat="1">
      <c r="C55" s="58"/>
      <c r="D55" s="22"/>
      <c r="E55" s="22"/>
      <c r="F55" s="87"/>
      <c r="H55" s="69" t="str">
        <f>CONCATENATE(I56,"x&lt;x&lt;=",I55,"x")</f>
        <v>2.98x&lt;x&lt;=2.99x</v>
      </c>
      <c r="I55" s="278">
        <v>2.99</v>
      </c>
      <c r="J55" s="279">
        <v>250</v>
      </c>
      <c r="L55" s="60"/>
      <c r="M55" s="60"/>
      <c r="O55" s="77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</row>
    <row r="56" spans="3:41">
      <c r="C56" s="12"/>
      <c r="F56" s="72"/>
      <c r="H56" s="73" t="str">
        <f>CONCATENATE("&lt;",I56,"x")</f>
        <v>&lt;2.98x</v>
      </c>
      <c r="I56" s="280">
        <v>2.98</v>
      </c>
      <c r="J56" s="281">
        <v>250</v>
      </c>
      <c r="L56" s="60"/>
      <c r="M56" s="60"/>
      <c r="O56" s="74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  <c r="AA56" s="71"/>
      <c r="AB56" s="71"/>
      <c r="AC56" s="71"/>
      <c r="AD56" s="71"/>
      <c r="AE56" s="71"/>
      <c r="AF56" s="71"/>
      <c r="AG56" s="71"/>
      <c r="AH56" s="71"/>
      <c r="AI56" s="71"/>
      <c r="AJ56" s="71"/>
      <c r="AK56" s="71"/>
      <c r="AL56" s="71"/>
      <c r="AM56" s="71"/>
      <c r="AN56" s="71"/>
    </row>
    <row r="57" spans="3:41">
      <c r="C57" s="12"/>
      <c r="F57" s="72"/>
      <c r="H57" s="22"/>
      <c r="I57" s="70"/>
      <c r="J57" s="79"/>
      <c r="L57" s="76"/>
      <c r="M57" s="76"/>
      <c r="O57" s="74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  <c r="AA57" s="71"/>
      <c r="AB57" s="71"/>
      <c r="AC57" s="71"/>
      <c r="AD57" s="71"/>
      <c r="AE57" s="71"/>
      <c r="AF57" s="71"/>
      <c r="AG57" s="71"/>
      <c r="AH57" s="71"/>
      <c r="AI57" s="71"/>
      <c r="AJ57" s="71"/>
      <c r="AK57" s="71"/>
      <c r="AL57" s="71"/>
      <c r="AM57" s="71"/>
      <c r="AN57" s="71"/>
    </row>
    <row r="58" spans="3:41">
      <c r="C58" s="222" t="s">
        <v>755</v>
      </c>
      <c r="D58" s="209"/>
      <c r="E58" s="209"/>
      <c r="F58" s="178"/>
      <c r="G58" s="178"/>
      <c r="H58" s="178"/>
      <c r="I58" s="178"/>
      <c r="J58" s="178"/>
      <c r="L58" s="76"/>
      <c r="M58" s="76"/>
      <c r="O58" s="74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  <c r="AA58" s="71"/>
      <c r="AB58" s="71"/>
      <c r="AC58" s="71"/>
      <c r="AD58" s="71"/>
      <c r="AE58" s="71"/>
      <c r="AF58" s="71"/>
      <c r="AG58" s="71"/>
      <c r="AH58" s="71"/>
      <c r="AI58" s="71"/>
      <c r="AJ58" s="71"/>
      <c r="AK58" s="71"/>
      <c r="AL58" s="71"/>
      <c r="AM58" s="71"/>
      <c r="AN58" s="71"/>
    </row>
    <row r="59" spans="3:41" s="35" customFormat="1">
      <c r="C59" s="219" t="s">
        <v>759</v>
      </c>
      <c r="D59" s="22"/>
      <c r="E59" s="22"/>
      <c r="F59" s="197" t="b">
        <v>1</v>
      </c>
      <c r="L59" s="76"/>
      <c r="M59" s="76"/>
      <c r="O59" s="77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</row>
    <row r="60" spans="3:41" s="35" customFormat="1">
      <c r="C60" s="219" t="s">
        <v>760</v>
      </c>
      <c r="D60" s="22"/>
      <c r="E60" s="22"/>
      <c r="F60" s="274">
        <v>0.15</v>
      </c>
      <c r="L60" s="80"/>
      <c r="M60" s="80"/>
      <c r="O60" s="77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</row>
    <row r="61" spans="3:41">
      <c r="C61" s="12"/>
      <c r="F61" s="72"/>
      <c r="K61" s="35"/>
      <c r="L61" s="35"/>
      <c r="M61" s="35"/>
      <c r="N61" s="35"/>
      <c r="O61" s="77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</row>
    <row r="62" spans="3:41">
      <c r="C62" s="222" t="s">
        <v>1020</v>
      </c>
      <c r="D62" s="222"/>
      <c r="E62" s="222"/>
      <c r="F62" s="222"/>
      <c r="G62" s="222"/>
      <c r="H62" s="222"/>
      <c r="I62" s="222"/>
      <c r="J62" s="222"/>
      <c r="K62" s="222"/>
      <c r="L62" s="222"/>
      <c r="M62" s="222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</row>
    <row r="63" spans="3:41">
      <c r="C63" s="35" t="s">
        <v>904</v>
      </c>
      <c r="F63" s="197" t="b">
        <v>1</v>
      </c>
      <c r="H63" s="61" t="s">
        <v>905</v>
      </c>
      <c r="I63" s="62"/>
      <c r="J63" s="63"/>
      <c r="K63" s="35"/>
      <c r="L63" s="792" t="s">
        <v>906</v>
      </c>
      <c r="M63" s="793"/>
      <c r="N63" s="81"/>
      <c r="O63" s="35"/>
      <c r="P63" s="82"/>
      <c r="Q63" s="82"/>
      <c r="R63" s="82"/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2"/>
      <c r="AK63" s="82"/>
      <c r="AL63" s="82"/>
      <c r="AM63" s="82"/>
      <c r="AN63" s="82"/>
    </row>
    <row r="64" spans="3:41">
      <c r="C64" s="35" t="s">
        <v>907</v>
      </c>
      <c r="F64" s="197" t="b">
        <v>0</v>
      </c>
      <c r="H64" s="65" t="s">
        <v>861</v>
      </c>
      <c r="I64" s="66"/>
      <c r="J64" s="67" t="s">
        <v>908</v>
      </c>
      <c r="K64" s="35"/>
      <c r="L64" s="83" t="s">
        <v>909</v>
      </c>
      <c r="M64" s="321">
        <v>1</v>
      </c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</row>
    <row r="65" spans="3:40">
      <c r="C65" s="6" t="s">
        <v>910</v>
      </c>
      <c r="F65" s="283">
        <v>43555</v>
      </c>
      <c r="H65" s="69" t="str">
        <f>CONCATENATE("&gt;",I66,"x")</f>
        <v>&gt;2x</v>
      </c>
      <c r="I65" s="278">
        <v>99999</v>
      </c>
      <c r="J65" s="321">
        <v>0.75</v>
      </c>
      <c r="K65" s="35"/>
      <c r="L65" s="84" t="s">
        <v>911</v>
      </c>
      <c r="M65" s="321">
        <v>0</v>
      </c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</row>
    <row r="66" spans="3:40">
      <c r="C66" s="6" t="s">
        <v>912</v>
      </c>
      <c r="F66" s="197">
        <v>4</v>
      </c>
      <c r="H66" s="69" t="str">
        <f>CONCATENATE(I67,"x&lt;x&lt;=",I66,"x")</f>
        <v>1.01x&lt;x&lt;=2x</v>
      </c>
      <c r="I66" s="278">
        <v>2</v>
      </c>
      <c r="J66" s="321">
        <v>0.5</v>
      </c>
      <c r="K66" s="35"/>
      <c r="L66" s="84" t="s">
        <v>913</v>
      </c>
      <c r="M66" s="321">
        <v>0</v>
      </c>
      <c r="N66" s="3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  <c r="AG66" s="85"/>
      <c r="AH66" s="85"/>
      <c r="AI66" s="85"/>
      <c r="AJ66" s="85"/>
      <c r="AK66" s="85"/>
      <c r="AL66" s="85"/>
      <c r="AM66" s="85"/>
      <c r="AN66" s="85"/>
    </row>
    <row r="67" spans="3:40">
      <c r="C67" s="6" t="s">
        <v>815</v>
      </c>
      <c r="F67" s="197">
        <v>20000</v>
      </c>
      <c r="H67" s="69" t="str">
        <f>CONCATENATE(I68,"x&lt;x&lt;=",I67,"x")</f>
        <v>1x&lt;x&lt;=1.01x</v>
      </c>
      <c r="I67" s="278">
        <v>1.01</v>
      </c>
      <c r="J67" s="321">
        <v>0.25</v>
      </c>
      <c r="K67" s="35"/>
      <c r="L67" s="86" t="s">
        <v>915</v>
      </c>
      <c r="M67" s="322">
        <v>0</v>
      </c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</row>
    <row r="68" spans="3:40" ht="14.4">
      <c r="F68" s="87"/>
      <c r="H68" s="73" t="str">
        <f>CONCATENATE("&lt;",I68,"x")</f>
        <v>&lt;1x</v>
      </c>
      <c r="I68" s="280">
        <v>1</v>
      </c>
      <c r="J68" s="322">
        <v>0</v>
      </c>
      <c r="K68" s="38"/>
      <c r="L68" s="35"/>
      <c r="M68" s="35"/>
      <c r="N68" s="35"/>
      <c r="O68" s="35"/>
      <c r="P68" s="38"/>
      <c r="Q68" s="38"/>
      <c r="R68" s="38"/>
      <c r="S68" s="38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</row>
    <row r="69" spans="3:40">
      <c r="F69" s="87"/>
      <c r="K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</row>
    <row r="70" spans="3:40">
      <c r="C70" s="222" t="s">
        <v>916</v>
      </c>
      <c r="D70" s="209"/>
      <c r="E70" s="209"/>
      <c r="F70" s="178"/>
      <c r="G70" s="178"/>
      <c r="H70" s="178"/>
      <c r="I70" s="178"/>
      <c r="J70" s="178"/>
    </row>
    <row r="71" spans="3:40">
      <c r="C71" s="35" t="s">
        <v>917</v>
      </c>
      <c r="F71" s="274">
        <v>0.9</v>
      </c>
      <c r="G71" s="52" t="s">
        <v>1503</v>
      </c>
      <c r="H71" s="795" t="s">
        <v>1748</v>
      </c>
      <c r="I71" s="795"/>
      <c r="J71" s="795"/>
    </row>
    <row r="72" spans="3:40" ht="14.4">
      <c r="C72" s="35" t="s">
        <v>1021</v>
      </c>
      <c r="E72" s="8"/>
      <c r="F72" s="35"/>
      <c r="G72" s="88"/>
    </row>
    <row r="73" spans="3:40" ht="14.4">
      <c r="C73" s="218" t="s">
        <v>1477</v>
      </c>
      <c r="F73" s="197" t="b">
        <v>0</v>
      </c>
      <c r="G73" s="1"/>
    </row>
    <row r="74" spans="3:40" ht="14.4">
      <c r="F74" s="1"/>
      <c r="G74" s="1"/>
    </row>
    <row r="75" spans="3:40" ht="14.4">
      <c r="F75" s="1"/>
      <c r="G75" s="1"/>
    </row>
    <row r="76" spans="3:40" ht="14.4">
      <c r="F76" s="1"/>
      <c r="G76" s="1"/>
    </row>
    <row r="77" spans="3:40" ht="14.4">
      <c r="F77" s="1"/>
      <c r="G77" s="1"/>
    </row>
    <row r="78" spans="3:40" ht="14.4">
      <c r="F78" s="1"/>
      <c r="G78" s="1"/>
    </row>
    <row r="79" spans="3:40" ht="14.4">
      <c r="F79" s="1"/>
      <c r="G79" s="1"/>
    </row>
  </sheetData>
  <mergeCells count="2">
    <mergeCell ref="L63:M63"/>
    <mergeCell ref="H71:J71"/>
  </mergeCells>
  <phoneticPr fontId="52" type="noConversion"/>
  <conditionalFormatting sqref="F20 F56:F58 F61 G40:J40 G58:J58 F49:J49 F29 F38:F40 F47:F48">
    <cfRule type="cellIs" dxfId="40" priority="1" operator="notEqual">
      <formula>0</formula>
    </cfRule>
  </conditionalFormatting>
  <dataValidations count="3">
    <dataValidation type="list" allowBlank="1" showInputMessage="1" showErrorMessage="1" sqref="H15 H64 H51 H42 H33 H24">
      <formula1>dropdown_ratio</formula1>
    </dataValidation>
    <dataValidation type="list" allowBlank="1" showInputMessage="1" showErrorMessage="1" sqref="F63:F64 F73 F59">
      <formula1>"TRUE,FALSE"</formula1>
    </dataValidation>
    <dataValidation type="list" allowBlank="1" showInputMessage="1" showErrorMessage="1" sqref="F16 F43 F34 F25">
      <formula1>"Fixed,Variable"</formula1>
    </dataValidation>
  </dataValidations>
  <printOptions headings="1"/>
  <pageMargins left="0.7" right="0.7" top="0.75" bottom="0.75" header="0.3" footer="0.3"/>
  <pageSetup paperSize="9" scale="34" fitToHeight="0" orientation="landscape" r:id="rId1"/>
  <headerFooter>
    <oddHeader>&amp;L&amp;"-,粗體"CUB projection&amp;R&amp;"-,粗體"CONFIDENTIAL</oddHeader>
    <oddFooter>&amp;L&amp;A&amp;RPage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5585" r:id="rId4" name="Drop Down 1">
              <controlPr defaultSize="0" autoLine="0" autoPict="0">
                <anchor moveWithCells="1">
                  <from>
                    <xdr:col>1</xdr:col>
                    <xdr:colOff>73152</xdr:colOff>
                    <xdr:row>1</xdr:row>
                    <xdr:rowOff>173736</xdr:rowOff>
                  </from>
                  <to>
                    <xdr:col>3</xdr:col>
                    <xdr:colOff>438912</xdr:colOff>
                    <xdr:row>3</xdr:row>
                    <xdr:rowOff>36576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'Cash sweep &amp; dividend onshore'!C48:C49</xm:f>
          </x14:formula1>
          <xm:sqref>H71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C1:AC95"/>
  <sheetViews>
    <sheetView view="pageBreakPreview" topLeftCell="A15" zoomScale="85" zoomScaleNormal="90" zoomScaleSheetLayoutView="85" workbookViewId="0">
      <selection activeCell="K33" sqref="K33"/>
    </sheetView>
  </sheetViews>
  <sheetFormatPr defaultColWidth="9.140625" defaultRowHeight="14.4" outlineLevelRow="2" outlineLevelCol="1"/>
  <cols>
    <col min="1" max="2" width="3.42578125" style="1" customWidth="1"/>
    <col min="3" max="3" width="9.140625" style="1"/>
    <col min="4" max="4" width="38" style="1" customWidth="1"/>
    <col min="5" max="8" width="15" style="1" customWidth="1"/>
    <col min="9" max="9" width="13.42578125" style="1" customWidth="1"/>
    <col min="10" max="10" width="15.140625" style="1" hidden="1" customWidth="1" outlineLevel="1"/>
    <col min="11" max="11" width="15.140625" style="1" customWidth="1" collapsed="1"/>
    <col min="12" max="15" width="15.140625" style="1" customWidth="1"/>
    <col min="16" max="17" width="13.42578125" style="1" customWidth="1"/>
    <col min="18" max="20" width="10.42578125" style="1" hidden="1" customWidth="1" outlineLevel="1"/>
    <col min="21" max="21" width="11.5703125" style="1" hidden="1" customWidth="1" outlineLevel="1"/>
    <col min="22" max="22" width="10.42578125" style="1" hidden="1" customWidth="1" outlineLevel="1"/>
    <col min="23" max="23" width="10.42578125" style="1" customWidth="1" collapsed="1"/>
    <col min="24" max="24" width="10.42578125" style="1" customWidth="1"/>
    <col min="25" max="25" width="11.5703125" style="1" customWidth="1"/>
    <col min="26" max="28" width="10.42578125" style="1" customWidth="1"/>
    <col min="29" max="29" width="11.5703125" style="1" customWidth="1"/>
    <col min="30" max="16384" width="9.140625" style="1"/>
  </cols>
  <sheetData>
    <row r="1" spans="3:29" s="18" customFormat="1" ht="14.6" hidden="1" customHeight="1" outlineLevel="1">
      <c r="C1" s="24" t="s">
        <v>870</v>
      </c>
      <c r="D1" s="24">
        <f>'Control Panel'!B12</f>
        <v>2019</v>
      </c>
      <c r="E1" s="24"/>
      <c r="F1" s="18" t="s">
        <v>689</v>
      </c>
      <c r="G1" s="5">
        <f>'Control Panel'!B9+1</f>
        <v>43466</v>
      </c>
      <c r="I1" s="18" t="s">
        <v>691</v>
      </c>
      <c r="J1" s="5">
        <f>'Control Panel'!B9</f>
        <v>43465</v>
      </c>
      <c r="L1" s="18" t="s">
        <v>705</v>
      </c>
      <c r="M1" s="18">
        <f>'Control Panel'!B13-'Control Panel'!B12+1</f>
        <v>6</v>
      </c>
    </row>
    <row r="2" spans="3:29" s="18" customFormat="1" ht="14.6" hidden="1" customHeight="1" outlineLevel="1">
      <c r="C2" s="24" t="s">
        <v>871</v>
      </c>
      <c r="D2" s="24">
        <f>'Financial summary'!E5</f>
        <v>1</v>
      </c>
      <c r="E2" s="24" t="e">
        <f>INDEX(#REF!,D2)</f>
        <v>#REF!</v>
      </c>
      <c r="I2" s="18" t="s">
        <v>693</v>
      </c>
      <c r="J2" s="27">
        <f>'Control Panel'!B5</f>
        <v>5</v>
      </c>
      <c r="L2" s="18" t="s">
        <v>1555</v>
      </c>
      <c r="M2" s="18">
        <f>stub_quarter+1</f>
        <v>5</v>
      </c>
    </row>
    <row r="3" spans="3:29" ht="14.6" hidden="1" customHeight="1" outlineLevel="1">
      <c r="C3" s="215"/>
    </row>
    <row r="4" spans="3:29" ht="14.6" hidden="1" customHeight="1" outlineLevel="1">
      <c r="C4" s="1" t="s">
        <v>692</v>
      </c>
      <c r="E4" s="1">
        <f>'BS onshore'!E4</f>
        <v>1</v>
      </c>
      <c r="F4" s="1">
        <f>'BS onshore'!F4</f>
        <v>2</v>
      </c>
      <c r="G4" s="1">
        <f>'BS onshore'!G4</f>
        <v>3</v>
      </c>
      <c r="H4" s="1">
        <f>'BS onshore'!H4</f>
        <v>4</v>
      </c>
      <c r="I4" s="1">
        <f>'BS onshore'!I4</f>
        <v>5</v>
      </c>
      <c r="J4" s="1">
        <f>'BS onshore'!J4</f>
        <v>6</v>
      </c>
      <c r="K4" s="1">
        <f>'BS onshore'!K4</f>
        <v>7</v>
      </c>
      <c r="L4" s="1">
        <f>'BS onshore'!L4</f>
        <v>8</v>
      </c>
      <c r="M4" s="1">
        <f>'BS onshore'!M4</f>
        <v>9</v>
      </c>
      <c r="N4" s="1">
        <f>'BS onshore'!N4</f>
        <v>10</v>
      </c>
      <c r="O4" s="1">
        <f>'BS onshore'!O4</f>
        <v>11</v>
      </c>
      <c r="P4" s="1">
        <f>'BS onshore'!P4</f>
        <v>12</v>
      </c>
      <c r="Q4" s="1">
        <f>'BS onshore'!Q4</f>
        <v>13</v>
      </c>
      <c r="R4" s="1">
        <f>'BS onshore'!R4</f>
        <v>14</v>
      </c>
      <c r="S4" s="1">
        <f>'BS onshore'!S4</f>
        <v>15</v>
      </c>
      <c r="T4" s="1">
        <f>'BS onshore'!T4</f>
        <v>16</v>
      </c>
      <c r="U4" s="1">
        <f>'BS onshore'!U4</f>
        <v>17</v>
      </c>
    </row>
    <row r="5" spans="3:29" ht="14.6" hidden="1" customHeight="1" outlineLevel="1">
      <c r="C5" s="1" t="s">
        <v>719</v>
      </c>
      <c r="E5" s="29">
        <f>'BS onshore'!E5</f>
        <v>42004</v>
      </c>
      <c r="F5" s="29">
        <f>'BS onshore'!F5</f>
        <v>42369</v>
      </c>
      <c r="G5" s="29">
        <f>'BS onshore'!G5</f>
        <v>42735</v>
      </c>
      <c r="H5" s="29">
        <f>'BS onshore'!H5</f>
        <v>43100</v>
      </c>
      <c r="I5" s="29">
        <f>'BS onshore'!I5</f>
        <v>43465</v>
      </c>
      <c r="J5" s="29">
        <f>'BS onshore'!J5</f>
        <v>43466</v>
      </c>
      <c r="K5" s="29">
        <f>'BS onshore'!K5</f>
        <v>43830</v>
      </c>
      <c r="L5" s="29">
        <f>'BS onshore'!L5</f>
        <v>44196</v>
      </c>
      <c r="M5" s="29">
        <f>'BS onshore'!M5</f>
        <v>44561</v>
      </c>
      <c r="N5" s="29">
        <f>'BS onshore'!N5</f>
        <v>44926</v>
      </c>
      <c r="O5" s="29">
        <f>'BS onshore'!O5</f>
        <v>45291</v>
      </c>
      <c r="P5" s="29">
        <f>'BS onshore'!P5</f>
        <v>45657</v>
      </c>
      <c r="Q5" s="29">
        <f>'BS onshore'!Q5</f>
        <v>0</v>
      </c>
      <c r="R5" s="29">
        <f>'BS onshore'!R5</f>
        <v>0</v>
      </c>
      <c r="S5" s="29">
        <f>'BS onshore'!S5</f>
        <v>0</v>
      </c>
      <c r="T5" s="29">
        <f>'BS onshore'!T5</f>
        <v>0</v>
      </c>
      <c r="U5" s="29">
        <f>'BS onshore'!U5</f>
        <v>0</v>
      </c>
      <c r="V5" s="29"/>
      <c r="W5" s="29"/>
      <c r="X5" s="29"/>
      <c r="Y5" s="29"/>
      <c r="Z5" s="29"/>
      <c r="AA5" s="29"/>
      <c r="AB5" s="29"/>
      <c r="AC5" s="29"/>
    </row>
    <row r="6" spans="3:29" ht="14.6" hidden="1" customHeight="1" outlineLevel="1">
      <c r="C6" s="1" t="s">
        <v>686</v>
      </c>
      <c r="E6" s="1" t="b">
        <f>'BS onshore'!E6</f>
        <v>1</v>
      </c>
      <c r="F6" s="1" t="b">
        <f>'BS onshore'!F6</f>
        <v>1</v>
      </c>
      <c r="G6" s="29" t="b">
        <f>'BS onshore'!G6</f>
        <v>1</v>
      </c>
      <c r="H6" s="29" t="b">
        <f>'BS onshore'!H6</f>
        <v>1</v>
      </c>
      <c r="I6" s="29" t="b">
        <f>'BS onshore'!I6</f>
        <v>1</v>
      </c>
      <c r="J6" s="29" t="b">
        <f>'BS onshore'!J6</f>
        <v>0</v>
      </c>
      <c r="K6" s="29" t="b">
        <f>'BS onshore'!K6</f>
        <v>0</v>
      </c>
      <c r="L6" s="29" t="b">
        <f>'BS onshore'!L6</f>
        <v>0</v>
      </c>
      <c r="M6" s="29" t="b">
        <f>'BS onshore'!M6</f>
        <v>0</v>
      </c>
      <c r="N6" s="29" t="b">
        <f>'BS onshore'!N6</f>
        <v>0</v>
      </c>
      <c r="O6" s="29" t="b">
        <f>'BS onshore'!O6</f>
        <v>0</v>
      </c>
      <c r="P6" s="29" t="b">
        <f>'BS onshore'!P6</f>
        <v>0</v>
      </c>
      <c r="Q6" s="29" t="b">
        <f>'BS onshore'!Q6</f>
        <v>0</v>
      </c>
      <c r="R6" s="29" t="b">
        <f>'BS onshore'!R6</f>
        <v>0</v>
      </c>
      <c r="S6" s="29" t="b">
        <f>'BS onshore'!S6</f>
        <v>0</v>
      </c>
      <c r="T6" s="29" t="b">
        <f>'BS onshore'!T6</f>
        <v>0</v>
      </c>
      <c r="U6" s="29" t="b">
        <f>'BS onshore'!U6</f>
        <v>0</v>
      </c>
      <c r="V6" s="29"/>
      <c r="W6" s="29"/>
      <c r="X6" s="29"/>
      <c r="Y6" s="29"/>
      <c r="Z6" s="29"/>
      <c r="AA6" s="29"/>
      <c r="AB6" s="29"/>
      <c r="AC6" s="29"/>
    </row>
    <row r="7" spans="3:29" ht="14.6" hidden="1" customHeight="1" outlineLevel="1">
      <c r="C7" s="1" t="s">
        <v>687</v>
      </c>
      <c r="E7" s="1" t="b">
        <f>'BS onshore'!E7</f>
        <v>0</v>
      </c>
      <c r="F7" s="1" t="b">
        <f>'BS onshore'!F7</f>
        <v>0</v>
      </c>
      <c r="G7" s="29" t="b">
        <f>'BS onshore'!G7</f>
        <v>0</v>
      </c>
      <c r="H7" s="29" t="b">
        <f>'BS onshore'!H7</f>
        <v>0</v>
      </c>
      <c r="I7" s="29" t="b">
        <f>'BS onshore'!I7</f>
        <v>0</v>
      </c>
      <c r="J7" s="29" t="b">
        <f>'BS onshore'!J7</f>
        <v>0</v>
      </c>
      <c r="K7" s="29" t="b">
        <f>'BS onshore'!K7</f>
        <v>0</v>
      </c>
      <c r="L7" s="29" t="b">
        <f>'BS onshore'!L7</f>
        <v>0</v>
      </c>
      <c r="M7" s="29" t="b">
        <f>'BS onshore'!M7</f>
        <v>0</v>
      </c>
      <c r="N7" s="29" t="b">
        <f>'BS onshore'!N7</f>
        <v>0</v>
      </c>
      <c r="O7" s="29" t="b">
        <f>'BS onshore'!O7</f>
        <v>0</v>
      </c>
      <c r="P7" s="29" t="b">
        <f>'BS onshore'!P7</f>
        <v>0</v>
      </c>
      <c r="Q7" s="29" t="b">
        <f>'BS onshore'!Q7</f>
        <v>0</v>
      </c>
      <c r="R7" s="29" t="b">
        <f>'BS onshore'!R7</f>
        <v>0</v>
      </c>
      <c r="S7" s="29" t="b">
        <f>'BS onshore'!S7</f>
        <v>0</v>
      </c>
      <c r="T7" s="29" t="b">
        <f>'BS onshore'!T7</f>
        <v>0</v>
      </c>
      <c r="U7" s="29" t="b">
        <f>'BS onshore'!U7</f>
        <v>0</v>
      </c>
      <c r="V7" s="29"/>
      <c r="W7" s="29"/>
      <c r="X7" s="29"/>
      <c r="Y7" s="29"/>
      <c r="Z7" s="29"/>
      <c r="AA7" s="29"/>
      <c r="AB7" s="29"/>
      <c r="AC7" s="29"/>
    </row>
    <row r="8" spans="3:29" ht="14.6" hidden="1" customHeight="1" outlineLevel="1">
      <c r="C8" s="1" t="s">
        <v>688</v>
      </c>
      <c r="E8" s="1" t="b">
        <f>'BS onshore'!E8</f>
        <v>0</v>
      </c>
      <c r="F8" s="1" t="b">
        <f>'BS onshore'!F8</f>
        <v>0</v>
      </c>
      <c r="G8" s="30" t="b">
        <f>'BS onshore'!G8</f>
        <v>0</v>
      </c>
      <c r="H8" s="30" t="b">
        <f>'BS onshore'!H8</f>
        <v>0</v>
      </c>
      <c r="I8" s="30" t="b">
        <f>'BS onshore'!I8</f>
        <v>0</v>
      </c>
      <c r="J8" s="30" t="b">
        <f>'BS onshore'!J8</f>
        <v>1</v>
      </c>
      <c r="K8" s="30" t="b">
        <f>'BS onshore'!K8</f>
        <v>0</v>
      </c>
      <c r="L8" s="30" t="b">
        <f>'BS onshore'!L8</f>
        <v>0</v>
      </c>
      <c r="M8" s="30" t="b">
        <f>'BS onshore'!M8</f>
        <v>0</v>
      </c>
      <c r="N8" s="30" t="b">
        <f>'BS onshore'!N8</f>
        <v>0</v>
      </c>
      <c r="O8" s="30" t="b">
        <f>'BS onshore'!O8</f>
        <v>0</v>
      </c>
      <c r="P8" s="30" t="b">
        <f>'BS onshore'!P8</f>
        <v>0</v>
      </c>
      <c r="Q8" s="30" t="b">
        <f>'BS onshore'!Q8</f>
        <v>0</v>
      </c>
      <c r="R8" s="30" t="b">
        <f>'BS onshore'!R8</f>
        <v>0</v>
      </c>
      <c r="S8" s="30" t="b">
        <f>'BS onshore'!S8</f>
        <v>0</v>
      </c>
      <c r="T8" s="30" t="b">
        <f>'BS onshore'!T8</f>
        <v>0</v>
      </c>
      <c r="U8" s="30" t="b">
        <f>'BS onshore'!U8</f>
        <v>0</v>
      </c>
      <c r="V8" s="30"/>
      <c r="W8" s="30"/>
      <c r="X8" s="30"/>
      <c r="Y8" s="30"/>
      <c r="Z8" s="30"/>
      <c r="AA8" s="30"/>
      <c r="AB8" s="30"/>
      <c r="AC8" s="30"/>
    </row>
    <row r="9" spans="3:29" ht="14.6" hidden="1" customHeight="1" outlineLevel="1">
      <c r="C9" s="1" t="s">
        <v>694</v>
      </c>
      <c r="E9" s="1" t="b">
        <f>'BS onshore'!E9</f>
        <v>0</v>
      </c>
      <c r="F9" s="1" t="b">
        <f>'BS onshore'!F9</f>
        <v>0</v>
      </c>
      <c r="G9" s="30" t="b">
        <f>'BS onshore'!G9</f>
        <v>0</v>
      </c>
      <c r="H9" s="30" t="b">
        <f>'BS onshore'!H9</f>
        <v>0</v>
      </c>
      <c r="I9" s="30" t="b">
        <f>'BS onshore'!I9</f>
        <v>0</v>
      </c>
      <c r="J9" s="30" t="b">
        <f>'BS onshore'!J9</f>
        <v>0</v>
      </c>
      <c r="K9" s="30" t="b">
        <f>'BS onshore'!K9</f>
        <v>1</v>
      </c>
      <c r="L9" s="30" t="b">
        <f>'BS onshore'!L9</f>
        <v>1</v>
      </c>
      <c r="M9" s="30" t="b">
        <f>'BS onshore'!M9</f>
        <v>1</v>
      </c>
      <c r="N9" s="30" t="b">
        <f>'BS onshore'!N9</f>
        <v>1</v>
      </c>
      <c r="O9" s="30" t="b">
        <f>'BS onshore'!O9</f>
        <v>1</v>
      </c>
      <c r="P9" s="30" t="b">
        <f>'BS onshore'!P9</f>
        <v>1</v>
      </c>
      <c r="Q9" s="30" t="b">
        <f>'BS onshore'!Q9</f>
        <v>0</v>
      </c>
      <c r="R9" s="30" t="b">
        <f>'BS onshore'!R9</f>
        <v>0</v>
      </c>
      <c r="S9" s="30" t="b">
        <f>'BS onshore'!S9</f>
        <v>0</v>
      </c>
      <c r="T9" s="30" t="b">
        <f>'BS onshore'!T9</f>
        <v>0</v>
      </c>
      <c r="U9" s="30" t="b">
        <f>'BS onshore'!U9</f>
        <v>0</v>
      </c>
      <c r="V9" s="30"/>
      <c r="W9" s="30"/>
      <c r="X9" s="30"/>
      <c r="Y9" s="30"/>
      <c r="Z9" s="30"/>
      <c r="AA9" s="30"/>
      <c r="AB9" s="30"/>
      <c r="AC9" s="30"/>
    </row>
    <row r="10" spans="3:29" ht="14.6" hidden="1" customHeight="1" outlineLevel="1">
      <c r="E10" s="110">
        <f>'BS onshore'!E10</f>
        <v>2014</v>
      </c>
      <c r="F10" s="110">
        <f>'BS onshore'!F10</f>
        <v>2015</v>
      </c>
      <c r="G10" s="110">
        <f>'BS onshore'!G10</f>
        <v>2016</v>
      </c>
      <c r="H10" s="110">
        <f>'BS onshore'!H10</f>
        <v>2017</v>
      </c>
      <c r="I10" s="110">
        <f>'BS onshore'!I10</f>
        <v>2018</v>
      </c>
      <c r="J10" s="110">
        <f>'BS onshore'!J10</f>
        <v>2019</v>
      </c>
      <c r="K10" s="110">
        <f>'BS onshore'!K10</f>
        <v>2019</v>
      </c>
      <c r="L10" s="110">
        <f>'BS onshore'!L10</f>
        <v>2020</v>
      </c>
      <c r="M10" s="110">
        <f>'BS onshore'!M10</f>
        <v>2021</v>
      </c>
      <c r="N10" s="110">
        <f>'BS onshore'!N10</f>
        <v>2022</v>
      </c>
      <c r="O10" s="110">
        <f>'BS onshore'!O10</f>
        <v>2023</v>
      </c>
      <c r="P10" s="110">
        <f>'BS onshore'!P10</f>
        <v>2024</v>
      </c>
      <c r="Q10" s="110">
        <f>'BS onshore'!Q10</f>
        <v>1900</v>
      </c>
      <c r="R10" s="110">
        <f>'BS onshore'!R10</f>
        <v>1900</v>
      </c>
      <c r="S10" s="110">
        <f>'BS onshore'!S10</f>
        <v>1900</v>
      </c>
      <c r="T10" s="110">
        <f>'BS onshore'!T10</f>
        <v>1900</v>
      </c>
      <c r="U10" s="110">
        <f>'BS onshore'!U10</f>
        <v>1900</v>
      </c>
      <c r="V10" s="110"/>
      <c r="W10" s="110"/>
      <c r="X10" s="110"/>
      <c r="Y10" s="110"/>
      <c r="Z10" s="110"/>
      <c r="AA10" s="110"/>
      <c r="AB10" s="110"/>
      <c r="AC10" s="110"/>
    </row>
    <row r="11" spans="3:29" ht="14.6" hidden="1" customHeight="1" collapsed="1"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3:29" ht="14.6" hidden="1" customHeight="1"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3:29" ht="14.6" hidden="1" customHeight="1"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3:29" ht="14.6" hidden="1" customHeight="1"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3:29" ht="16.600000000000001">
      <c r="C15" s="223" t="str">
        <f>CONCATENATE("Project ",project_name," - Income Statement")</f>
        <v>Project  - Income Statement</v>
      </c>
      <c r="D15" s="224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</row>
    <row r="16" spans="3:29">
      <c r="C16" s="194" t="str">
        <f>CONCATENATE("In ",model_curr," thousand unless otherwise stated")</f>
        <v>In USD thousand unless otherwise stated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</row>
    <row r="17" spans="3:21">
      <c r="C17" s="209"/>
      <c r="D17" s="209"/>
      <c r="E17" s="178" t="str">
        <f>CONCATENATE(YEAR(E5),LEFT(E19,1))</f>
        <v>2014A</v>
      </c>
      <c r="F17" s="178" t="str">
        <f t="shared" ref="F17:U17" si="0">CONCATENATE(YEAR(F5),LEFT(F19,1))</f>
        <v>2015A</v>
      </c>
      <c r="G17" s="178" t="str">
        <f t="shared" si="0"/>
        <v>2016A</v>
      </c>
      <c r="H17" s="178" t="str">
        <f t="shared" si="0"/>
        <v>2017A</v>
      </c>
      <c r="I17" s="178" t="str">
        <f t="shared" si="0"/>
        <v>2018A</v>
      </c>
      <c r="J17" s="178" t="str">
        <f t="shared" si="0"/>
        <v>2019C</v>
      </c>
      <c r="K17" s="178" t="str">
        <f t="shared" si="0"/>
        <v>2019F</v>
      </c>
      <c r="L17" s="178" t="str">
        <f t="shared" si="0"/>
        <v>2020F</v>
      </c>
      <c r="M17" s="178" t="str">
        <f t="shared" si="0"/>
        <v>2021F</v>
      </c>
      <c r="N17" s="178" t="str">
        <f t="shared" si="0"/>
        <v>2022F</v>
      </c>
      <c r="O17" s="178" t="str">
        <f t="shared" si="0"/>
        <v>2023F</v>
      </c>
      <c r="P17" s="178" t="str">
        <f t="shared" si="0"/>
        <v>2024F</v>
      </c>
      <c r="Q17" s="178" t="e">
        <f t="shared" si="0"/>
        <v>#N/A</v>
      </c>
      <c r="R17" s="178" t="e">
        <f t="shared" si="0"/>
        <v>#N/A</v>
      </c>
      <c r="S17" s="178" t="e">
        <f t="shared" si="0"/>
        <v>#N/A</v>
      </c>
      <c r="T17" s="178" t="e">
        <f t="shared" si="0"/>
        <v>#N/A</v>
      </c>
      <c r="U17" s="178" t="e">
        <f t="shared" si="0"/>
        <v>#N/A</v>
      </c>
    </row>
    <row r="18" spans="3:21">
      <c r="C18" s="198"/>
      <c r="D18" s="198"/>
      <c r="E18" s="198">
        <f>E5</f>
        <v>42004</v>
      </c>
      <c r="F18" s="198">
        <f t="shared" ref="F18:U18" si="1">F5</f>
        <v>42369</v>
      </c>
      <c r="G18" s="198">
        <f t="shared" si="1"/>
        <v>42735</v>
      </c>
      <c r="H18" s="198">
        <f t="shared" si="1"/>
        <v>43100</v>
      </c>
      <c r="I18" s="198">
        <f t="shared" si="1"/>
        <v>43465</v>
      </c>
      <c r="J18" s="198">
        <f t="shared" si="1"/>
        <v>43466</v>
      </c>
      <c r="K18" s="198">
        <f t="shared" si="1"/>
        <v>43830</v>
      </c>
      <c r="L18" s="198">
        <f t="shared" si="1"/>
        <v>44196</v>
      </c>
      <c r="M18" s="198">
        <f t="shared" si="1"/>
        <v>44561</v>
      </c>
      <c r="N18" s="198">
        <f t="shared" si="1"/>
        <v>44926</v>
      </c>
      <c r="O18" s="198">
        <f t="shared" si="1"/>
        <v>45291</v>
      </c>
      <c r="P18" s="198">
        <f t="shared" si="1"/>
        <v>45657</v>
      </c>
      <c r="Q18" s="198">
        <f t="shared" si="1"/>
        <v>0</v>
      </c>
      <c r="R18" s="198">
        <f t="shared" si="1"/>
        <v>0</v>
      </c>
      <c r="S18" s="198">
        <f t="shared" si="1"/>
        <v>0</v>
      </c>
      <c r="T18" s="198">
        <f t="shared" si="1"/>
        <v>0</v>
      </c>
      <c r="U18" s="198">
        <f t="shared" si="1"/>
        <v>0</v>
      </c>
    </row>
    <row r="19" spans="3:21" hidden="1" outlineLevel="1">
      <c r="C19" s="209"/>
      <c r="D19" s="209"/>
      <c r="E19" s="178" t="str">
        <f>INDEX($E$11:$E$14,MATCH(TRUE,E6:E9,0))</f>
        <v>Actual</v>
      </c>
      <c r="F19" s="178" t="str">
        <f t="shared" ref="F19:U19" si="2">INDEX($E$11:$E$14,MATCH(TRUE,F6:F9,0))</f>
        <v>Actual</v>
      </c>
      <c r="G19" s="178" t="str">
        <f t="shared" si="2"/>
        <v>Actual</v>
      </c>
      <c r="H19" s="178" t="str">
        <f t="shared" si="2"/>
        <v>Actual</v>
      </c>
      <c r="I19" s="178" t="str">
        <f t="shared" si="2"/>
        <v>Actual</v>
      </c>
      <c r="J19" s="178" t="str">
        <f t="shared" si="2"/>
        <v>Combination</v>
      </c>
      <c r="K19" s="178" t="str">
        <f t="shared" si="2"/>
        <v>Forecast</v>
      </c>
      <c r="L19" s="178" t="str">
        <f t="shared" si="2"/>
        <v>Forecast</v>
      </c>
      <c r="M19" s="178" t="str">
        <f t="shared" si="2"/>
        <v>Forecast</v>
      </c>
      <c r="N19" s="178" t="str">
        <f t="shared" si="2"/>
        <v>Forecast</v>
      </c>
      <c r="O19" s="178" t="str">
        <f t="shared" si="2"/>
        <v>Forecast</v>
      </c>
      <c r="P19" s="178" t="str">
        <f t="shared" si="2"/>
        <v>Forecast</v>
      </c>
      <c r="Q19" s="178" t="e">
        <f t="shared" si="2"/>
        <v>#N/A</v>
      </c>
      <c r="R19" s="178" t="e">
        <f t="shared" si="2"/>
        <v>#N/A</v>
      </c>
      <c r="S19" s="178" t="e">
        <f t="shared" si="2"/>
        <v>#N/A</v>
      </c>
      <c r="T19" s="178" t="e">
        <f t="shared" si="2"/>
        <v>#N/A</v>
      </c>
      <c r="U19" s="178" t="e">
        <f t="shared" si="2"/>
        <v>#N/A</v>
      </c>
    </row>
    <row r="20" spans="3:21" collapsed="1">
      <c r="C20" s="220" t="s">
        <v>873</v>
      </c>
      <c r="D20" s="220"/>
      <c r="E20" s="220">
        <f>OR(E$6,E$7)*Currency_conversion_BU1+IFERROR(INDEX('Control Panel'!$G4:$Z4,MATCH('IS onshore'!E$5,'Control Panel'!$G$3:$Z$3,0)),0)+E8*D20</f>
        <v>1</v>
      </c>
      <c r="F20" s="220">
        <f>OR(F$6,F$7)*Currency_conversion_BU1+IFERROR(INDEX('Control Panel'!$G4:$Z4,MATCH('IS onshore'!F$5,'Control Panel'!$G$3:$Z$3,0)),0)+F8*E20</f>
        <v>1</v>
      </c>
      <c r="G20" s="220">
        <f>OR(G$6,G$7)*Currency_conversion_BU1+IFERROR(INDEX('Control Panel'!$G4:$Z4,MATCH('IS onshore'!G$5,'Control Panel'!$G$3:$Z$3,0)),0)+G8*F20</f>
        <v>1</v>
      </c>
      <c r="H20" s="220">
        <f>OR(H$6,H$7)*Currency_conversion_BU1+IFERROR(INDEX('Control Panel'!$G4:$Z4,MATCH('IS onshore'!H$5,'Control Panel'!$G$3:$Z$3,0)),0)+H8*G20</f>
        <v>1</v>
      </c>
      <c r="I20" s="220">
        <f>OR(I$6,I$7)*Currency_conversion_BU1+IFERROR(INDEX('Control Panel'!$G4:$Z4,MATCH('IS onshore'!I$5,'Control Panel'!$G$3:$Z$3,0)),0)+I8*H20</f>
        <v>1</v>
      </c>
      <c r="J20" s="220">
        <f>OR(J$6,J$7)*Currency_conversion_BU1+IFERROR(INDEX('Control Panel'!$G4:$Z4,MATCH('IS onshore'!J$5,'Control Panel'!$G$3:$Z$3,0)),0)+J8*I20</f>
        <v>1</v>
      </c>
      <c r="K20" s="220">
        <f>OR(K$6,K$7)*Currency_conversion_BU1+IFERROR(INDEX('Control Panel'!$G4:$Z4,MATCH('IS onshore'!K$5,'Control Panel'!$G$3:$Z$3,0)),0)+K8*J20</f>
        <v>1</v>
      </c>
      <c r="L20" s="220">
        <f>OR(L$6,L$7)*Currency_conversion_BU1+IFERROR(INDEX('Control Panel'!$G4:$Z4,MATCH('IS onshore'!L$5,'Control Panel'!$G$3:$Z$3,0)),0)+L8*K20</f>
        <v>1</v>
      </c>
      <c r="M20" s="220">
        <f>OR(M$6,M$7)*Currency_conversion_BU1+IFERROR(INDEX('Control Panel'!$G4:$Z4,MATCH('IS onshore'!M$5,'Control Panel'!$G$3:$Z$3,0)),0)+M8*L20</f>
        <v>1</v>
      </c>
      <c r="N20" s="220">
        <f>OR(N$6,N$7)*Currency_conversion_BU1+IFERROR(INDEX('Control Panel'!$G4:$Z4,MATCH('IS onshore'!N$5,'Control Panel'!$G$3:$Z$3,0)),0)+N8*M20</f>
        <v>1</v>
      </c>
      <c r="O20" s="220">
        <f>OR(O$6,O$7)*Currency_conversion_BU1+IFERROR(INDEX('Control Panel'!$G4:$Z4,MATCH('IS onshore'!O$5,'Control Panel'!$G$3:$Z$3,0)),0)+O8*N20</f>
        <v>1</v>
      </c>
      <c r="P20" s="220">
        <f>OR(P$6,P$7)*Currency_conversion_BU1+IFERROR(INDEX('Control Panel'!$G4:$Z4,MATCH('IS onshore'!P$5,'Control Panel'!$G$3:$Z$3,0)),0)+P8*O20</f>
        <v>1</v>
      </c>
      <c r="Q20" s="220">
        <f>OR(Q$6,Q$7)*Currency_conversion_BU1+IFERROR(INDEX('Control Panel'!$G4:$Z4,MATCH('IS onshore'!Q$5,'Control Panel'!$G$3:$Z$3,0)),0)+Q8*P20</f>
        <v>0</v>
      </c>
      <c r="R20" s="220">
        <f>OR(R$6,R$7)*Currency_conversion_BU1+IFERROR(INDEX('Control Panel'!$G4:$Z4,MATCH('IS onshore'!R$5,'Control Panel'!$G$3:$Z$3,0)),0)+R8*Q20</f>
        <v>0</v>
      </c>
      <c r="S20" s="220">
        <f>OR(S$6,S$7)*Currency_conversion_BU1+IFERROR(INDEX('Control Panel'!$G4:$Z4,MATCH('IS onshore'!S$5,'Control Panel'!$G$3:$Z$3,0)),0)+S8*R20</f>
        <v>0</v>
      </c>
      <c r="T20" s="220">
        <f>OR(T$6,T$7)*Currency_conversion_BU1+IFERROR(INDEX('Control Panel'!$G4:$Z4,MATCH('IS onshore'!T$5,'Control Panel'!$G$3:$Z$3,0)),0)+T8*S20</f>
        <v>0</v>
      </c>
      <c r="U20" s="220">
        <f>OR(U$6,U$7)*Currency_conversion_BU1+IFERROR(INDEX('Control Panel'!$G4:$Z4,MATCH('IS onshore'!U$5,'Control Panel'!$G$3:$Z$3,0)),0)+U8*T20</f>
        <v>0</v>
      </c>
    </row>
    <row r="21" spans="3:21">
      <c r="C21" s="220" t="s">
        <v>874</v>
      </c>
      <c r="D21" s="220"/>
      <c r="E21" s="220">
        <f>OR(E$6,E$7)*Currency_conversion_rate_BU2+IFERROR(INDEX('Control Panel'!$G5:$Z5,MATCH('IS onshore'!E$5,'Control Panel'!$G$3:$Z$3,0)),0)+E8*D21</f>
        <v>1</v>
      </c>
      <c r="F21" s="220">
        <f>OR(F$6,F$7)*Currency_conversion_rate_BU2+IFERROR(INDEX('Control Panel'!$G5:$Z5,MATCH('IS onshore'!F$5,'Control Panel'!$G$3:$Z$3,0)),0)+F8*E21</f>
        <v>1</v>
      </c>
      <c r="G21" s="220">
        <f>OR(G$6,G$7)*Currency_conversion_rate_BU2+IFERROR(INDEX('Control Panel'!$G5:$Z5,MATCH('IS onshore'!G$5,'Control Panel'!$G$3:$Z$3,0)),0)+G8*F21</f>
        <v>1</v>
      </c>
      <c r="H21" s="220">
        <f>OR(H$6,H$7)*Currency_conversion_rate_BU2+IFERROR(INDEX('Control Panel'!$G5:$Z5,MATCH('IS onshore'!H$5,'Control Panel'!$G$3:$Z$3,0)),0)+H8*G21</f>
        <v>1</v>
      </c>
      <c r="I21" s="220">
        <f>OR(I$6,I$7)*Currency_conversion_rate_BU2+IFERROR(INDEX('Control Panel'!$G5:$Z5,MATCH('IS onshore'!I$5,'Control Panel'!$G$3:$Z$3,0)),0)+I8*H21</f>
        <v>1</v>
      </c>
      <c r="J21" s="220">
        <f>OR(J$6,J$7)*Currency_conversion_rate_BU2+IFERROR(INDEX('Control Panel'!$G5:$Z5,MATCH('IS onshore'!J$5,'Control Panel'!$G$3:$Z$3,0)),0)+J8*I21</f>
        <v>1</v>
      </c>
      <c r="K21" s="220">
        <f>OR(K$6,K$7)*Currency_conversion_rate_BU2+IFERROR(INDEX('Control Panel'!$G5:$Z5,MATCH('IS onshore'!K$5,'Control Panel'!$G$3:$Z$3,0)),0)+K8*J21</f>
        <v>1</v>
      </c>
      <c r="L21" s="220">
        <f>OR(L$6,L$7)*Currency_conversion_rate_BU2+IFERROR(INDEX('Control Panel'!$G5:$Z5,MATCH('IS onshore'!L$5,'Control Panel'!$G$3:$Z$3,0)),0)+L8*K21</f>
        <v>1</v>
      </c>
      <c r="M21" s="220">
        <f>OR(M$6,M$7)*Currency_conversion_rate_BU2+IFERROR(INDEX('Control Panel'!$G5:$Z5,MATCH('IS onshore'!M$5,'Control Panel'!$G$3:$Z$3,0)),0)+M8*L21</f>
        <v>1</v>
      </c>
      <c r="N21" s="220">
        <f>OR(N$6,N$7)*Currency_conversion_rate_BU2+IFERROR(INDEX('Control Panel'!$G5:$Z5,MATCH('IS onshore'!N$5,'Control Panel'!$G$3:$Z$3,0)),0)+N8*M21</f>
        <v>1</v>
      </c>
      <c r="O21" s="220">
        <f>OR(O$6,O$7)*Currency_conversion_rate_BU2+IFERROR(INDEX('Control Panel'!$G5:$Z5,MATCH('IS onshore'!O$5,'Control Panel'!$G$3:$Z$3,0)),0)+O8*N21</f>
        <v>1</v>
      </c>
      <c r="P21" s="220">
        <f>OR(P$6,P$7)*Currency_conversion_rate_BU2+IFERROR(INDEX('Control Panel'!$G5:$Z5,MATCH('IS onshore'!P$5,'Control Panel'!$G$3:$Z$3,0)),0)+P8*O21</f>
        <v>1</v>
      </c>
      <c r="Q21" s="220">
        <f>OR(Q$6,Q$7)*Currency_conversion_rate_BU2+IFERROR(INDEX('Control Panel'!$G5:$Z5,MATCH('IS onshore'!Q$5,'Control Panel'!$G$3:$Z$3,0)),0)+Q8*P21</f>
        <v>0</v>
      </c>
      <c r="R21" s="220">
        <f>OR(R$6,R$7)*Currency_conversion_rate_BU2+IFERROR(INDEX('Control Panel'!$G5:$Z5,MATCH('IS onshore'!R$5,'Control Panel'!$G$3:$Z$3,0)),0)+R8*Q21</f>
        <v>0</v>
      </c>
      <c r="S21" s="220">
        <f>OR(S$6,S$7)*Currency_conversion_rate_BU2+IFERROR(INDEX('Control Panel'!$G5:$Z5,MATCH('IS onshore'!S$5,'Control Panel'!$G$3:$Z$3,0)),0)+S8*R21</f>
        <v>0</v>
      </c>
      <c r="T21" s="220">
        <f>OR(T$6,T$7)*Currency_conversion_rate_BU2+IFERROR(INDEX('Control Panel'!$G5:$Z5,MATCH('IS onshore'!T$5,'Control Panel'!$G$3:$Z$3,0)),0)+T8*S21</f>
        <v>0</v>
      </c>
      <c r="U21" s="220">
        <f>OR(U$6,U$7)*Currency_conversion_rate_BU2+IFERROR(INDEX('Control Panel'!$G5:$Z5,MATCH('IS onshore'!U$5,'Control Panel'!$G$3:$Z$3,0)),0)+U8*T21</f>
        <v>0</v>
      </c>
    </row>
    <row r="22" spans="3:21">
      <c r="C22" s="220" t="s">
        <v>875</v>
      </c>
      <c r="D22" s="220"/>
      <c r="E22" s="220">
        <f>OR(E$6,E$7)*Currency_conversion_rate_other+IFERROR(INDEX('Control Panel'!$G6:$Z6,MATCH('IS onshore'!E$5,'Control Panel'!$G$3:$Z$3,0)),0)+E8*D22</f>
        <v>1</v>
      </c>
      <c r="F22" s="220">
        <f>OR(F$6,F$7)*Currency_conversion_rate_other+IFERROR(INDEX('Control Panel'!$G6:$Z6,MATCH('IS onshore'!F$5,'Control Panel'!$G$3:$Z$3,0)),0)+F8*E22</f>
        <v>1</v>
      </c>
      <c r="G22" s="220">
        <f>OR(G$6,G$7)*Currency_conversion_rate_other+IFERROR(INDEX('Control Panel'!$G6:$Z6,MATCH('IS onshore'!G$5,'Control Panel'!$G$3:$Z$3,0)),0)+G8*F22</f>
        <v>1</v>
      </c>
      <c r="H22" s="220">
        <f>OR(H$6,H$7)*Currency_conversion_rate_other+IFERROR(INDEX('Control Panel'!$G6:$Z6,MATCH('IS onshore'!H$5,'Control Panel'!$G$3:$Z$3,0)),0)+H8*G22</f>
        <v>1</v>
      </c>
      <c r="I22" s="220">
        <f>OR(I$6,I$7)*Currency_conversion_rate_other+IFERROR(INDEX('Control Panel'!$G6:$Z6,MATCH('IS onshore'!I$5,'Control Panel'!$G$3:$Z$3,0)),0)+I8*H22</f>
        <v>1</v>
      </c>
      <c r="J22" s="220">
        <f>OR(J$6,J$7)*Currency_conversion_rate_other+IFERROR(INDEX('Control Panel'!$G6:$Z6,MATCH('IS onshore'!J$5,'Control Panel'!$G$3:$Z$3,0)),0)+J8*I22</f>
        <v>1</v>
      </c>
      <c r="K22" s="220">
        <f>OR(K$6,K$7)*Currency_conversion_rate_other+IFERROR(INDEX('Control Panel'!$G6:$Z6,MATCH('IS onshore'!K$5,'Control Panel'!$G$3:$Z$3,0)),0)+K8*J22</f>
        <v>1</v>
      </c>
      <c r="L22" s="220">
        <f>OR(L$6,L$7)*Currency_conversion_rate_other+IFERROR(INDEX('Control Panel'!$G6:$Z6,MATCH('IS onshore'!L$5,'Control Panel'!$G$3:$Z$3,0)),0)+L8*K22</f>
        <v>1</v>
      </c>
      <c r="M22" s="220">
        <f>OR(M$6,M$7)*Currency_conversion_rate_other+IFERROR(INDEX('Control Panel'!$G6:$Z6,MATCH('IS onshore'!M$5,'Control Panel'!$G$3:$Z$3,0)),0)+M8*L22</f>
        <v>1</v>
      </c>
      <c r="N22" s="220">
        <f>OR(N$6,N$7)*Currency_conversion_rate_other+IFERROR(INDEX('Control Panel'!$G6:$Z6,MATCH('IS onshore'!N$5,'Control Panel'!$G$3:$Z$3,0)),0)+N8*M22</f>
        <v>1</v>
      </c>
      <c r="O22" s="220">
        <f>OR(O$6,O$7)*Currency_conversion_rate_other+IFERROR(INDEX('Control Panel'!$G6:$Z6,MATCH('IS onshore'!O$5,'Control Panel'!$G$3:$Z$3,0)),0)+O8*N22</f>
        <v>1</v>
      </c>
      <c r="P22" s="220">
        <f>OR(P$6,P$7)*Currency_conversion_rate_other+IFERROR(INDEX('Control Panel'!$G6:$Z6,MATCH('IS onshore'!P$5,'Control Panel'!$G$3:$Z$3,0)),0)+P8*O22</f>
        <v>1</v>
      </c>
      <c r="Q22" s="220">
        <f>OR(Q$6,Q$7)*Currency_conversion_rate_other+IFERROR(INDEX('Control Panel'!$G6:$Z6,MATCH('IS onshore'!Q$5,'Control Panel'!$G$3:$Z$3,0)),0)+Q8*P22</f>
        <v>0</v>
      </c>
      <c r="R22" s="220">
        <f>OR(R$6,R$7)*Currency_conversion_rate_other+IFERROR(INDEX('Control Panel'!$G6:$Z6,MATCH('IS onshore'!R$5,'Control Panel'!$G$3:$Z$3,0)),0)+R8*Q22</f>
        <v>0</v>
      </c>
      <c r="S22" s="220">
        <f>OR(S$6,S$7)*Currency_conversion_rate_other+IFERROR(INDEX('Control Panel'!$G6:$Z6,MATCH('IS onshore'!S$5,'Control Panel'!$G$3:$Z$3,0)),0)+S8*R22</f>
        <v>0</v>
      </c>
      <c r="T22" s="220">
        <f>OR(T$6,T$7)*Currency_conversion_rate_other+IFERROR(INDEX('Control Panel'!$G6:$Z6,MATCH('IS onshore'!T$5,'Control Panel'!$G$3:$Z$3,0)),0)+T8*S22</f>
        <v>0</v>
      </c>
      <c r="U22" s="220">
        <f>OR(U$6,U$7)*Currency_conversion_rate_other+IFERROR(INDEX('Control Panel'!$G6:$Z6,MATCH('IS onshore'!U$5,'Control Panel'!$G$3:$Z$3,0)),0)+U8*T22</f>
        <v>0</v>
      </c>
    </row>
    <row r="24" spans="3:21">
      <c r="C24" s="222" t="str">
        <f>CONCATENATE("Income Statement"," (",model_curr,")")</f>
        <v>Income Statement (USD)</v>
      </c>
      <c r="D24" s="209"/>
      <c r="E24" s="178" t="str">
        <f>E17</f>
        <v>2014A</v>
      </c>
      <c r="F24" s="178" t="str">
        <f t="shared" ref="F24:U24" si="3">F17</f>
        <v>2015A</v>
      </c>
      <c r="G24" s="178" t="str">
        <f t="shared" si="3"/>
        <v>2016A</v>
      </c>
      <c r="H24" s="178" t="str">
        <f t="shared" si="3"/>
        <v>2017A</v>
      </c>
      <c r="I24" s="178" t="str">
        <f t="shared" si="3"/>
        <v>2018A</v>
      </c>
      <c r="J24" s="178" t="str">
        <f t="shared" si="3"/>
        <v>2019C</v>
      </c>
      <c r="K24" s="178" t="str">
        <f t="shared" si="3"/>
        <v>2019F</v>
      </c>
      <c r="L24" s="178" t="str">
        <f t="shared" si="3"/>
        <v>2020F</v>
      </c>
      <c r="M24" s="178" t="str">
        <f t="shared" si="3"/>
        <v>2021F</v>
      </c>
      <c r="N24" s="178" t="str">
        <f t="shared" si="3"/>
        <v>2022F</v>
      </c>
      <c r="O24" s="178" t="str">
        <f t="shared" si="3"/>
        <v>2023F</v>
      </c>
      <c r="P24" s="178" t="str">
        <f t="shared" si="3"/>
        <v>2024F</v>
      </c>
      <c r="Q24" s="178" t="e">
        <f t="shared" si="3"/>
        <v>#N/A</v>
      </c>
      <c r="R24" s="178" t="e">
        <f t="shared" si="3"/>
        <v>#N/A</v>
      </c>
      <c r="S24" s="178" t="e">
        <f t="shared" si="3"/>
        <v>#N/A</v>
      </c>
      <c r="T24" s="178" t="e">
        <f t="shared" si="3"/>
        <v>#N/A</v>
      </c>
      <c r="U24" s="178" t="e">
        <f t="shared" si="3"/>
        <v>#N/A</v>
      </c>
    </row>
    <row r="25" spans="3:21" hidden="1">
      <c r="C25" s="109"/>
      <c r="D25" s="109"/>
      <c r="E25" s="109"/>
      <c r="F25" s="109"/>
      <c r="G25" s="216"/>
      <c r="H25" s="216"/>
      <c r="I25" s="216"/>
      <c r="J25" s="216"/>
      <c r="K25" s="216"/>
      <c r="L25" s="109"/>
      <c r="M25" s="109"/>
      <c r="N25" s="109"/>
      <c r="O25" s="109"/>
      <c r="P25" s="109"/>
      <c r="Q25" s="109"/>
      <c r="R25" s="109"/>
      <c r="S25" s="109"/>
      <c r="T25" s="109"/>
      <c r="U25" s="109"/>
    </row>
    <row r="26" spans="3:21">
      <c r="C26" s="180" t="s">
        <v>1</v>
      </c>
      <c r="D26" s="180"/>
      <c r="E26" s="227">
        <f>E28</f>
        <v>0</v>
      </c>
      <c r="F26" s="227">
        <f t="shared" ref="F26:U26" si="4">F28</f>
        <v>0</v>
      </c>
      <c r="G26" s="227">
        <f t="shared" si="4"/>
        <v>0</v>
      </c>
      <c r="H26" s="227">
        <f t="shared" si="4"/>
        <v>0</v>
      </c>
      <c r="I26" s="227">
        <f t="shared" si="4"/>
        <v>0</v>
      </c>
      <c r="J26" s="227">
        <f t="shared" si="4"/>
        <v>0</v>
      </c>
      <c r="K26" s="227">
        <f>K28</f>
        <v>0</v>
      </c>
      <c r="L26" s="227">
        <f t="shared" si="4"/>
        <v>0</v>
      </c>
      <c r="M26" s="227">
        <f t="shared" si="4"/>
        <v>0</v>
      </c>
      <c r="N26" s="227">
        <f t="shared" si="4"/>
        <v>0</v>
      </c>
      <c r="O26" s="227">
        <f t="shared" si="4"/>
        <v>0</v>
      </c>
      <c r="P26" s="227">
        <f t="shared" si="4"/>
        <v>0</v>
      </c>
      <c r="Q26" s="227">
        <f t="shared" si="4"/>
        <v>0</v>
      </c>
      <c r="R26" s="227">
        <f t="shared" si="4"/>
        <v>0</v>
      </c>
      <c r="S26" s="227">
        <f t="shared" si="4"/>
        <v>0</v>
      </c>
      <c r="T26" s="227">
        <f t="shared" si="4"/>
        <v>0</v>
      </c>
      <c r="U26" s="227">
        <f t="shared" si="4"/>
        <v>0</v>
      </c>
    </row>
    <row r="27" spans="3:21">
      <c r="C27" s="183"/>
      <c r="D27" s="221" t="s">
        <v>876</v>
      </c>
      <c r="E27" s="185" t="str">
        <f>IFERROR(E26/INDEX(26:26,MATCH(DATE(YEAR(E$18)-1,MONTH(E$18),DAY(E$18)),$18:$18,0))-1,"n.a.")</f>
        <v>n.a.</v>
      </c>
      <c r="F27" s="185" t="str">
        <f>IFERROR(F26/INDEX(26:26,MATCH(DATE(YEAR(F$18)-1,MONTH(F$18),DAY(F$18)),$18:$18,0))-1,"n.a.")</f>
        <v>n.a.</v>
      </c>
      <c r="G27" s="185" t="str">
        <f t="shared" ref="G27:U27" si="5">IFERROR(G26/INDEX(26:26,MATCH(DATE(YEAR(G$18)-1,MONTH(G$18),DAY(G$18)),$18:$18,0))-1,"n.a.")</f>
        <v>n.a.</v>
      </c>
      <c r="H27" s="185" t="str">
        <f t="shared" si="5"/>
        <v>n.a.</v>
      </c>
      <c r="I27" s="185" t="str">
        <f t="shared" si="5"/>
        <v>n.a.</v>
      </c>
      <c r="J27" s="185" t="str">
        <f t="shared" si="5"/>
        <v>n.a.</v>
      </c>
      <c r="K27" s="185" t="str">
        <f t="shared" si="5"/>
        <v>n.a.</v>
      </c>
      <c r="L27" s="185" t="str">
        <f t="shared" si="5"/>
        <v>n.a.</v>
      </c>
      <c r="M27" s="185" t="str">
        <f t="shared" si="5"/>
        <v>n.a.</v>
      </c>
      <c r="N27" s="185" t="str">
        <f t="shared" si="5"/>
        <v>n.a.</v>
      </c>
      <c r="O27" s="185" t="str">
        <f t="shared" si="5"/>
        <v>n.a.</v>
      </c>
      <c r="P27" s="185" t="str">
        <f t="shared" si="5"/>
        <v>n.a.</v>
      </c>
      <c r="Q27" s="185" t="str">
        <f t="shared" si="5"/>
        <v>n.a.</v>
      </c>
      <c r="R27" s="185" t="str">
        <f t="shared" si="5"/>
        <v>n.a.</v>
      </c>
      <c r="S27" s="185" t="str">
        <f t="shared" si="5"/>
        <v>n.a.</v>
      </c>
      <c r="T27" s="185" t="str">
        <f t="shared" si="5"/>
        <v>n.a.</v>
      </c>
      <c r="U27" s="185" t="str">
        <f t="shared" si="5"/>
        <v>n.a.</v>
      </c>
    </row>
    <row r="28" spans="3:21" outlineLevel="1">
      <c r="C28" s="225"/>
      <c r="D28" s="361" t="str">
        <f>BU2_name</f>
        <v>Onshore</v>
      </c>
      <c r="E28" s="228">
        <f>(IFERROR(INDEX('Scenarios onshore'!18:18,MATCH('IS onshore'!E$5,'Scenarios onshore'!4:4,0)),0)*E20)</f>
        <v>0</v>
      </c>
      <c r="F28" s="228">
        <f>(IFERROR(INDEX('Scenarios onshore'!18:18,MATCH('IS onshore'!F$5,'Scenarios onshore'!4:4,0)),0)*F20)</f>
        <v>0</v>
      </c>
      <c r="G28" s="228">
        <f>(IFERROR(INDEX('Scenarios onshore'!18:18,MATCH('IS onshore'!G$5,'Scenarios onshore'!4:4,0)),0)*G20)</f>
        <v>0</v>
      </c>
      <c r="H28" s="228">
        <f>(IFERROR(INDEX('Scenarios onshore'!18:18,MATCH('IS onshore'!H$5,'Scenarios onshore'!4:4,0)),0)*H20)</f>
        <v>0</v>
      </c>
      <c r="I28" s="228">
        <f>(IFERROR(INDEX('Scenarios onshore'!18:18,MATCH('IS onshore'!I$5,'Scenarios onshore'!4:4,0)),0)*I20)</f>
        <v>0</v>
      </c>
      <c r="J28" s="228">
        <f>(IFERROR(INDEX('Scenarios onshore'!18:18,MATCH('IS onshore'!J$5,'Scenarios onshore'!4:4,0)),0)*J20)</f>
        <v>0</v>
      </c>
      <c r="K28" s="228">
        <f>(IFERROR(INDEX('Scenarios onshore'!18:18,MATCH('IS onshore'!K$5,'Scenarios onshore'!4:4,0)),0)*K20)</f>
        <v>0</v>
      </c>
      <c r="L28" s="228">
        <f>(IFERROR(INDEX('Scenarios onshore'!18:18,MATCH('IS onshore'!L$5,'Scenarios onshore'!4:4,0)),0)*L20)</f>
        <v>0</v>
      </c>
      <c r="M28" s="228">
        <f>(IFERROR(INDEX('Scenarios onshore'!18:18,MATCH('IS onshore'!M$5,'Scenarios onshore'!4:4,0)),0)*M20)</f>
        <v>0</v>
      </c>
      <c r="N28" s="228">
        <f>(IFERROR(INDEX('Scenarios onshore'!18:18,MATCH('IS onshore'!N$5,'Scenarios onshore'!4:4,0)),0)*N20)</f>
        <v>0</v>
      </c>
      <c r="O28" s="228">
        <f>(IFERROR(INDEX('Scenarios onshore'!18:18,MATCH('IS onshore'!O$5,'Scenarios onshore'!4:4,0)),0)*O20)</f>
        <v>0</v>
      </c>
      <c r="P28" s="228">
        <f>(IFERROR(INDEX('Scenarios onshore'!18:18,MATCH('IS onshore'!P$5,'Scenarios onshore'!4:4,0)),0)*P20)</f>
        <v>0</v>
      </c>
      <c r="Q28" s="228">
        <f>(IFERROR(INDEX('Scenarios onshore'!18:18,MATCH('IS onshore'!Q$5,'Scenarios onshore'!4:4,0)),0)*Q20)</f>
        <v>0</v>
      </c>
      <c r="R28" s="228">
        <f>(IFERROR(INDEX('Scenarios onshore'!18:18,MATCH('IS onshore'!R$5,'Scenarios onshore'!4:4,0)),0)*R20)</f>
        <v>0</v>
      </c>
      <c r="S28" s="228">
        <f>(IFERROR(INDEX('Scenarios onshore'!18:18,MATCH('IS onshore'!S$5,'Scenarios onshore'!4:4,0)),0)*S20)</f>
        <v>0</v>
      </c>
      <c r="T28" s="228">
        <f>(IFERROR(INDEX('Scenarios onshore'!18:18,MATCH('IS onshore'!T$5,'Scenarios onshore'!4:4,0)),0)*T20)</f>
        <v>0</v>
      </c>
      <c r="U28" s="228">
        <f>(IFERROR(INDEX('Scenarios onshore'!18:18,MATCH('IS onshore'!U$5,'Scenarios onshore'!4:4,0)),0)*U20)</f>
        <v>0</v>
      </c>
    </row>
    <row r="29" spans="3:21" outlineLevel="1">
      <c r="C29" s="183"/>
      <c r="D29" s="221" t="s">
        <v>876</v>
      </c>
      <c r="E29" s="185" t="str">
        <f>IFERROR(E28/INDEX(28:28,MATCH(DATE(YEAR(E$18)-1,MONTH(E$18),DAY(E$18)),$18:$18,0))-1,"n.a.")</f>
        <v>n.a.</v>
      </c>
      <c r="F29" s="185" t="str">
        <f>IFERROR(F28/INDEX(28:28,MATCH(DATE(YEAR(F$18)-1,MONTH(F$18),DAY(F$18)),$18:$18,0))-1,"n.a.")</f>
        <v>n.a.</v>
      </c>
      <c r="G29" s="185" t="str">
        <f t="shared" ref="G29:U29" si="6">IFERROR(G28/INDEX(28:28,MATCH(DATE(YEAR(G$18)-1,MONTH(G$18),DAY(G$18)),$18:$18,0))-1,"n.a.")</f>
        <v>n.a.</v>
      </c>
      <c r="H29" s="185" t="str">
        <f t="shared" si="6"/>
        <v>n.a.</v>
      </c>
      <c r="I29" s="185" t="str">
        <f t="shared" si="6"/>
        <v>n.a.</v>
      </c>
      <c r="J29" s="185" t="str">
        <f t="shared" si="6"/>
        <v>n.a.</v>
      </c>
      <c r="K29" s="185" t="str">
        <f t="shared" si="6"/>
        <v>n.a.</v>
      </c>
      <c r="L29" s="185" t="str">
        <f t="shared" si="6"/>
        <v>n.a.</v>
      </c>
      <c r="M29" s="185" t="str">
        <f t="shared" si="6"/>
        <v>n.a.</v>
      </c>
      <c r="N29" s="185" t="str">
        <f t="shared" si="6"/>
        <v>n.a.</v>
      </c>
      <c r="O29" s="185" t="str">
        <f t="shared" si="6"/>
        <v>n.a.</v>
      </c>
      <c r="P29" s="185" t="str">
        <f t="shared" si="6"/>
        <v>n.a.</v>
      </c>
      <c r="Q29" s="185" t="str">
        <f t="shared" si="6"/>
        <v>n.a.</v>
      </c>
      <c r="R29" s="185" t="str">
        <f t="shared" si="6"/>
        <v>n.a.</v>
      </c>
      <c r="S29" s="185" t="str">
        <f t="shared" si="6"/>
        <v>n.a.</v>
      </c>
      <c r="T29" s="185" t="str">
        <f t="shared" si="6"/>
        <v>n.a.</v>
      </c>
      <c r="U29" s="185" t="str">
        <f t="shared" si="6"/>
        <v>n.a.</v>
      </c>
    </row>
    <row r="30" spans="3:21" outlineLevel="1" collapsed="1">
      <c r="C30" s="109"/>
      <c r="D30" s="363"/>
      <c r="E30" s="230"/>
      <c r="F30" s="230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</row>
    <row r="31" spans="3:21">
      <c r="C31" s="199" t="s">
        <v>1006</v>
      </c>
      <c r="D31" s="364"/>
      <c r="E31" s="259">
        <f>+E33</f>
        <v>0</v>
      </c>
      <c r="F31" s="259">
        <f t="shared" ref="F31:U31" si="7">+F33</f>
        <v>0</v>
      </c>
      <c r="G31" s="259">
        <f t="shared" si="7"/>
        <v>0</v>
      </c>
      <c r="H31" s="259">
        <f t="shared" si="7"/>
        <v>0</v>
      </c>
      <c r="I31" s="259">
        <f t="shared" si="7"/>
        <v>0</v>
      </c>
      <c r="J31" s="259">
        <f t="shared" si="7"/>
        <v>0</v>
      </c>
      <c r="K31" s="259">
        <f>+K33</f>
        <v>0</v>
      </c>
      <c r="L31" s="259">
        <f t="shared" si="7"/>
        <v>0</v>
      </c>
      <c r="M31" s="259">
        <f t="shared" si="7"/>
        <v>0</v>
      </c>
      <c r="N31" s="259">
        <f t="shared" si="7"/>
        <v>0</v>
      </c>
      <c r="O31" s="259">
        <f t="shared" si="7"/>
        <v>0</v>
      </c>
      <c r="P31" s="259">
        <f t="shared" si="7"/>
        <v>0</v>
      </c>
      <c r="Q31" s="259">
        <f t="shared" si="7"/>
        <v>0</v>
      </c>
      <c r="R31" s="259">
        <f t="shared" si="7"/>
        <v>0</v>
      </c>
      <c r="S31" s="259">
        <f t="shared" si="7"/>
        <v>0</v>
      </c>
      <c r="T31" s="259">
        <f t="shared" si="7"/>
        <v>0</v>
      </c>
      <c r="U31" s="259">
        <f t="shared" si="7"/>
        <v>0</v>
      </c>
    </row>
    <row r="32" spans="3:21">
      <c r="C32" s="183"/>
      <c r="D32" s="221" t="s">
        <v>882</v>
      </c>
      <c r="E32" s="185" t="e">
        <f t="shared" ref="E32:U32" si="8">E31/E26</f>
        <v>#DIV/0!</v>
      </c>
      <c r="F32" s="185" t="e">
        <f t="shared" si="8"/>
        <v>#DIV/0!</v>
      </c>
      <c r="G32" s="185" t="e">
        <f t="shared" si="8"/>
        <v>#DIV/0!</v>
      </c>
      <c r="H32" s="185" t="e">
        <f t="shared" si="8"/>
        <v>#DIV/0!</v>
      </c>
      <c r="I32" s="185" t="e">
        <f t="shared" si="8"/>
        <v>#DIV/0!</v>
      </c>
      <c r="J32" s="185" t="e">
        <f t="shared" si="8"/>
        <v>#DIV/0!</v>
      </c>
      <c r="K32" s="185" t="e">
        <f t="shared" si="8"/>
        <v>#DIV/0!</v>
      </c>
      <c r="L32" s="185" t="e">
        <f t="shared" si="8"/>
        <v>#DIV/0!</v>
      </c>
      <c r="M32" s="185" t="e">
        <f t="shared" si="8"/>
        <v>#DIV/0!</v>
      </c>
      <c r="N32" s="185" t="e">
        <f t="shared" si="8"/>
        <v>#DIV/0!</v>
      </c>
      <c r="O32" s="185" t="e">
        <f t="shared" si="8"/>
        <v>#DIV/0!</v>
      </c>
      <c r="P32" s="185" t="e">
        <f t="shared" si="8"/>
        <v>#DIV/0!</v>
      </c>
      <c r="Q32" s="185" t="e">
        <f t="shared" si="8"/>
        <v>#DIV/0!</v>
      </c>
      <c r="R32" s="185" t="e">
        <f t="shared" si="8"/>
        <v>#DIV/0!</v>
      </c>
      <c r="S32" s="185" t="e">
        <f t="shared" si="8"/>
        <v>#DIV/0!</v>
      </c>
      <c r="T32" s="185" t="e">
        <f t="shared" si="8"/>
        <v>#DIV/0!</v>
      </c>
      <c r="U32" s="185" t="e">
        <f t="shared" si="8"/>
        <v>#DIV/0!</v>
      </c>
    </row>
    <row r="33" spans="3:21" outlineLevel="1">
      <c r="C33" s="225"/>
      <c r="D33" s="361" t="str">
        <f>D28</f>
        <v>Onshore</v>
      </c>
      <c r="E33" s="228">
        <f>(E28-IFERROR(INDEX('Scenarios onshore'!42:42,MATCH('IS onshore'!E$5,'Scenarios onshore'!4:4,0)),0)*E20)</f>
        <v>0</v>
      </c>
      <c r="F33" s="228">
        <f>(F28-IFERROR(INDEX('Scenarios onshore'!42:42,MATCH('IS onshore'!F$5,'Scenarios onshore'!4:4,0)),0)*F20)</f>
        <v>0</v>
      </c>
      <c r="G33" s="228">
        <f>(G28-IFERROR(INDEX('Scenarios onshore'!42:42,MATCH('IS onshore'!G$5,'Scenarios onshore'!4:4,0)),0)*G20)</f>
        <v>0</v>
      </c>
      <c r="H33" s="228">
        <f>(H28-IFERROR(INDEX('Scenarios onshore'!42:42,MATCH('IS onshore'!H$5,'Scenarios onshore'!4:4,0)),0)*H20)</f>
        <v>0</v>
      </c>
      <c r="I33" s="228">
        <f>(I28-IFERROR(INDEX('Scenarios onshore'!42:42,MATCH('IS onshore'!I$5,'Scenarios onshore'!4:4,0)),0)*I20)</f>
        <v>0</v>
      </c>
      <c r="J33" s="228">
        <f>(J28-IFERROR(INDEX('Scenarios onshore'!42:42,MATCH('IS onshore'!J$5,'Scenarios onshore'!4:4,0)),0)*J20)</f>
        <v>0</v>
      </c>
      <c r="K33" s="228">
        <f>(K28-IFERROR(INDEX('Scenarios onshore'!42:42,MATCH('IS onshore'!K$5,'Scenarios onshore'!4:4,0)),0)*K20)</f>
        <v>0</v>
      </c>
      <c r="L33" s="228">
        <f>(L28-IFERROR(INDEX('Scenarios onshore'!42:42,MATCH('IS onshore'!L$5,'Scenarios onshore'!4:4,0)),0)*L20)</f>
        <v>0</v>
      </c>
      <c r="M33" s="228">
        <f>(M28-IFERROR(INDEX('Scenarios onshore'!42:42,MATCH('IS onshore'!M$5,'Scenarios onshore'!4:4,0)),0)*M20)</f>
        <v>0</v>
      </c>
      <c r="N33" s="228">
        <f>(N28-IFERROR(INDEX('Scenarios onshore'!42:42,MATCH('IS onshore'!N$5,'Scenarios onshore'!4:4,0)),0)*N20)</f>
        <v>0</v>
      </c>
      <c r="O33" s="228">
        <f>(O28-IFERROR(INDEX('Scenarios onshore'!42:42,MATCH('IS onshore'!O$5,'Scenarios onshore'!4:4,0)),0)*O20)</f>
        <v>0</v>
      </c>
      <c r="P33" s="228">
        <f>(P28-IFERROR(INDEX('Scenarios onshore'!42:42,MATCH('IS onshore'!P$5,'Scenarios onshore'!4:4,0)),0)*P20)</f>
        <v>0</v>
      </c>
      <c r="Q33" s="228">
        <f>(Q28-IFERROR(INDEX('Scenarios onshore'!42:42,MATCH('IS onshore'!Q$5,'Scenarios onshore'!4:4,0)),0)*Q20)</f>
        <v>0</v>
      </c>
      <c r="R33" s="228">
        <f>(R28-IFERROR(INDEX('Scenarios onshore'!42:42,MATCH('IS onshore'!R$5,'Scenarios onshore'!4:4,0)),0)*R20)</f>
        <v>0</v>
      </c>
      <c r="S33" s="228">
        <f>(S28-IFERROR(INDEX('Scenarios onshore'!42:42,MATCH('IS onshore'!S$5,'Scenarios onshore'!4:4,0)),0)*S20)</f>
        <v>0</v>
      </c>
      <c r="T33" s="228">
        <f>(T28-IFERROR(INDEX('Scenarios onshore'!42:42,MATCH('IS onshore'!T$5,'Scenarios onshore'!4:4,0)),0)*T20)</f>
        <v>0</v>
      </c>
      <c r="U33" s="228">
        <f>(U28-IFERROR(INDEX('Scenarios onshore'!42:42,MATCH('IS onshore'!U$5,'Scenarios onshore'!4:4,0)),0)*U20)</f>
        <v>0</v>
      </c>
    </row>
    <row r="34" spans="3:21" outlineLevel="1" collapsed="1">
      <c r="C34" s="109"/>
      <c r="D34" s="365"/>
      <c r="E34" s="231"/>
      <c r="F34" s="231"/>
      <c r="G34" s="231"/>
      <c r="H34" s="231"/>
      <c r="I34" s="231"/>
      <c r="J34" s="231"/>
      <c r="K34" s="232"/>
      <c r="L34" s="231"/>
      <c r="M34" s="231"/>
      <c r="N34" s="231"/>
      <c r="O34" s="231"/>
      <c r="P34" s="231"/>
      <c r="Q34" s="231"/>
      <c r="R34" s="231"/>
      <c r="S34" s="231"/>
      <c r="T34" s="231"/>
      <c r="U34" s="231"/>
    </row>
    <row r="35" spans="3:21">
      <c r="C35" s="180" t="s">
        <v>1007</v>
      </c>
      <c r="D35" s="366"/>
      <c r="E35" s="227">
        <f>+E37</f>
        <v>0</v>
      </c>
      <c r="F35" s="227">
        <f t="shared" ref="F35:U35" si="9">+F37</f>
        <v>0</v>
      </c>
      <c r="G35" s="227">
        <f t="shared" si="9"/>
        <v>0</v>
      </c>
      <c r="H35" s="227">
        <f t="shared" si="9"/>
        <v>0</v>
      </c>
      <c r="I35" s="227">
        <f t="shared" si="9"/>
        <v>0</v>
      </c>
      <c r="J35" s="227">
        <f t="shared" si="9"/>
        <v>0</v>
      </c>
      <c r="K35" s="227">
        <f t="shared" si="9"/>
        <v>0</v>
      </c>
      <c r="L35" s="227">
        <f t="shared" si="9"/>
        <v>0</v>
      </c>
      <c r="M35" s="227">
        <f t="shared" si="9"/>
        <v>0</v>
      </c>
      <c r="N35" s="227">
        <f t="shared" si="9"/>
        <v>0</v>
      </c>
      <c r="O35" s="227">
        <f t="shared" si="9"/>
        <v>0</v>
      </c>
      <c r="P35" s="227">
        <f t="shared" si="9"/>
        <v>0</v>
      </c>
      <c r="Q35" s="227">
        <f t="shared" si="9"/>
        <v>0</v>
      </c>
      <c r="R35" s="227">
        <f t="shared" si="9"/>
        <v>0</v>
      </c>
      <c r="S35" s="227">
        <f t="shared" si="9"/>
        <v>0</v>
      </c>
      <c r="T35" s="227">
        <f t="shared" si="9"/>
        <v>0</v>
      </c>
      <c r="U35" s="227">
        <f t="shared" si="9"/>
        <v>0</v>
      </c>
    </row>
    <row r="36" spans="3:21">
      <c r="C36" s="183"/>
      <c r="D36" s="221" t="s">
        <v>877</v>
      </c>
      <c r="E36" s="185" t="e">
        <f>-E35/E$26</f>
        <v>#DIV/0!</v>
      </c>
      <c r="F36" s="185" t="e">
        <f t="shared" ref="F36:U36" si="10">-F35/F$26</f>
        <v>#DIV/0!</v>
      </c>
      <c r="G36" s="185" t="e">
        <f t="shared" si="10"/>
        <v>#DIV/0!</v>
      </c>
      <c r="H36" s="185" t="e">
        <f t="shared" si="10"/>
        <v>#DIV/0!</v>
      </c>
      <c r="I36" s="185" t="e">
        <f t="shared" si="10"/>
        <v>#DIV/0!</v>
      </c>
      <c r="J36" s="185" t="e">
        <f t="shared" si="10"/>
        <v>#DIV/0!</v>
      </c>
      <c r="K36" s="185" t="e">
        <f t="shared" si="10"/>
        <v>#DIV/0!</v>
      </c>
      <c r="L36" s="185" t="e">
        <f t="shared" si="10"/>
        <v>#DIV/0!</v>
      </c>
      <c r="M36" s="185" t="e">
        <f t="shared" si="10"/>
        <v>#DIV/0!</v>
      </c>
      <c r="N36" s="185" t="e">
        <f t="shared" si="10"/>
        <v>#DIV/0!</v>
      </c>
      <c r="O36" s="185" t="e">
        <f t="shared" si="10"/>
        <v>#DIV/0!</v>
      </c>
      <c r="P36" s="185" t="e">
        <f t="shared" si="10"/>
        <v>#DIV/0!</v>
      </c>
      <c r="Q36" s="185" t="e">
        <f t="shared" si="10"/>
        <v>#DIV/0!</v>
      </c>
      <c r="R36" s="185" t="e">
        <f t="shared" si="10"/>
        <v>#DIV/0!</v>
      </c>
      <c r="S36" s="185" t="e">
        <f t="shared" si="10"/>
        <v>#DIV/0!</v>
      </c>
      <c r="T36" s="185" t="e">
        <f t="shared" si="10"/>
        <v>#DIV/0!</v>
      </c>
      <c r="U36" s="185" t="e">
        <f t="shared" si="10"/>
        <v>#DIV/0!</v>
      </c>
    </row>
    <row r="37" spans="3:21" outlineLevel="1">
      <c r="C37" s="225"/>
      <c r="D37" s="361" t="str">
        <f>D33</f>
        <v>Onshore</v>
      </c>
      <c r="E37" s="228">
        <f>-(IFERROR(INDEX('Scenarios onshore'!50:50,MATCH('IS onshore'!E$5,'Scenarios onshore'!$4:$4,0)),0)*E20)</f>
        <v>0</v>
      </c>
      <c r="F37" s="228">
        <f>-(IFERROR(INDEX('Scenarios onshore'!50:50,MATCH('IS onshore'!F$5,'Scenarios onshore'!$4:$4,0)),0)*F20)</f>
        <v>0</v>
      </c>
      <c r="G37" s="228">
        <f>-(IFERROR(INDEX('Scenarios onshore'!50:50,MATCH('IS onshore'!G$5,'Scenarios onshore'!$4:$4,0)),0)*G20)</f>
        <v>0</v>
      </c>
      <c r="H37" s="228">
        <f>-(IFERROR(INDEX('Scenarios onshore'!50:50,MATCH('IS onshore'!H$5,'Scenarios onshore'!$4:$4,0)),0)*H20)</f>
        <v>0</v>
      </c>
      <c r="I37" s="228">
        <f>-(IFERROR(INDEX('Scenarios onshore'!50:50,MATCH('IS onshore'!I$5,'Scenarios onshore'!$4:$4,0)),0)*I20)</f>
        <v>0</v>
      </c>
      <c r="J37" s="228">
        <f>-(IFERROR(INDEX('Scenarios onshore'!50:50,MATCH('IS onshore'!J$5,'Scenarios onshore'!$4:$4,0)),0)*J20)</f>
        <v>0</v>
      </c>
      <c r="K37" s="228">
        <f>-(IFERROR(INDEX('Scenarios onshore'!50:50,MATCH('IS onshore'!K$5,'Scenarios onshore'!$4:$4,0)),0)*K20)</f>
        <v>0</v>
      </c>
      <c r="L37" s="228">
        <f>-(IFERROR(INDEX('Scenarios onshore'!50:50,MATCH('IS onshore'!L$5,'Scenarios onshore'!$4:$4,0)),0)*L20)</f>
        <v>0</v>
      </c>
      <c r="M37" s="228">
        <f>-(IFERROR(INDEX('Scenarios onshore'!50:50,MATCH('IS onshore'!M$5,'Scenarios onshore'!$4:$4,0)),0)*M20)</f>
        <v>0</v>
      </c>
      <c r="N37" s="228">
        <f>-(IFERROR(INDEX('Scenarios onshore'!50:50,MATCH('IS onshore'!N$5,'Scenarios onshore'!$4:$4,0)),0)*N20)</f>
        <v>0</v>
      </c>
      <c r="O37" s="228">
        <f>-(IFERROR(INDEX('Scenarios onshore'!50:50,MATCH('IS onshore'!O$5,'Scenarios onshore'!$4:$4,0)),0)*O20)</f>
        <v>0</v>
      </c>
      <c r="P37" s="228">
        <f>-(IFERROR(INDEX('Scenarios onshore'!50:50,MATCH('IS onshore'!P$5,'Scenarios onshore'!$4:$4,0)),0)*P20)</f>
        <v>0</v>
      </c>
      <c r="Q37" s="228">
        <f>-(IFERROR(INDEX('Scenarios onshore'!50:50,MATCH('IS onshore'!Q$5,'Scenarios onshore'!$4:$4,0)),0)*Q20)</f>
        <v>0</v>
      </c>
      <c r="R37" s="228">
        <f>-(IFERROR(INDEX('Scenarios onshore'!50:50,MATCH('IS onshore'!R$5,'Scenarios onshore'!$4:$4,0)),0)*R20)</f>
        <v>0</v>
      </c>
      <c r="S37" s="228">
        <f>-(IFERROR(INDEX('Scenarios onshore'!50:50,MATCH('IS onshore'!S$5,'Scenarios onshore'!$4:$4,0)),0)*S20)</f>
        <v>0</v>
      </c>
      <c r="T37" s="228">
        <f>-(IFERROR(INDEX('Scenarios onshore'!50:50,MATCH('IS onshore'!T$5,'Scenarios onshore'!$4:$4,0)),0)*T20)</f>
        <v>0</v>
      </c>
      <c r="U37" s="228">
        <f>-(IFERROR(INDEX('Scenarios onshore'!50:50,MATCH('IS onshore'!U$5,'Scenarios onshore'!$4:$4,0)),0)*U20)</f>
        <v>0</v>
      </c>
    </row>
    <row r="38" spans="3:21" outlineLevel="1" collapsed="1">
      <c r="C38" s="109"/>
      <c r="D38" s="363"/>
      <c r="E38" s="230"/>
      <c r="F38" s="230"/>
      <c r="G38" s="36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</row>
    <row r="39" spans="3:21" outlineLevel="1" collapsed="1">
      <c r="C39" s="180" t="s">
        <v>878</v>
      </c>
      <c r="D39" s="366"/>
      <c r="E39" s="227">
        <f>+E41</f>
        <v>0</v>
      </c>
      <c r="F39" s="227">
        <f t="shared" ref="F39:U39" si="11">+F41</f>
        <v>0</v>
      </c>
      <c r="G39" s="227">
        <f t="shared" si="11"/>
        <v>0</v>
      </c>
      <c r="H39" s="227">
        <f t="shared" si="11"/>
        <v>0</v>
      </c>
      <c r="I39" s="227">
        <f t="shared" si="11"/>
        <v>0</v>
      </c>
      <c r="J39" s="227">
        <f t="shared" si="11"/>
        <v>0</v>
      </c>
      <c r="K39" s="227">
        <f t="shared" si="11"/>
        <v>0</v>
      </c>
      <c r="L39" s="227">
        <f t="shared" si="11"/>
        <v>0</v>
      </c>
      <c r="M39" s="227">
        <f t="shared" si="11"/>
        <v>0</v>
      </c>
      <c r="N39" s="227">
        <f t="shared" si="11"/>
        <v>0</v>
      </c>
      <c r="O39" s="227">
        <f t="shared" si="11"/>
        <v>0</v>
      </c>
      <c r="P39" s="227">
        <f t="shared" si="11"/>
        <v>0</v>
      </c>
      <c r="Q39" s="227">
        <f t="shared" si="11"/>
        <v>0</v>
      </c>
      <c r="R39" s="227">
        <f t="shared" si="11"/>
        <v>0</v>
      </c>
      <c r="S39" s="227">
        <f t="shared" si="11"/>
        <v>0</v>
      </c>
      <c r="T39" s="227">
        <f t="shared" si="11"/>
        <v>0</v>
      </c>
      <c r="U39" s="227">
        <f t="shared" si="11"/>
        <v>0</v>
      </c>
    </row>
    <row r="40" spans="3:21" outlineLevel="1">
      <c r="C40" s="183"/>
      <c r="D40" s="221" t="s">
        <v>877</v>
      </c>
      <c r="E40" s="185" t="e">
        <f>-E39/E$26</f>
        <v>#DIV/0!</v>
      </c>
      <c r="F40" s="185" t="e">
        <f t="shared" ref="F40:U40" si="12">-F39/F$26</f>
        <v>#DIV/0!</v>
      </c>
      <c r="G40" s="185" t="e">
        <f t="shared" si="12"/>
        <v>#DIV/0!</v>
      </c>
      <c r="H40" s="185" t="e">
        <f t="shared" si="12"/>
        <v>#DIV/0!</v>
      </c>
      <c r="I40" s="185" t="e">
        <f t="shared" si="12"/>
        <v>#DIV/0!</v>
      </c>
      <c r="J40" s="185" t="e">
        <f t="shared" si="12"/>
        <v>#DIV/0!</v>
      </c>
      <c r="K40" s="185" t="e">
        <f t="shared" si="12"/>
        <v>#DIV/0!</v>
      </c>
      <c r="L40" s="185" t="e">
        <f t="shared" si="12"/>
        <v>#DIV/0!</v>
      </c>
      <c r="M40" s="185" t="e">
        <f t="shared" si="12"/>
        <v>#DIV/0!</v>
      </c>
      <c r="N40" s="185" t="e">
        <f t="shared" si="12"/>
        <v>#DIV/0!</v>
      </c>
      <c r="O40" s="185" t="e">
        <f t="shared" si="12"/>
        <v>#DIV/0!</v>
      </c>
      <c r="P40" s="185" t="e">
        <f t="shared" si="12"/>
        <v>#DIV/0!</v>
      </c>
      <c r="Q40" s="185" t="e">
        <f t="shared" si="12"/>
        <v>#DIV/0!</v>
      </c>
      <c r="R40" s="185" t="e">
        <f t="shared" si="12"/>
        <v>#DIV/0!</v>
      </c>
      <c r="S40" s="185" t="e">
        <f t="shared" si="12"/>
        <v>#DIV/0!</v>
      </c>
      <c r="T40" s="185" t="e">
        <f t="shared" si="12"/>
        <v>#DIV/0!</v>
      </c>
      <c r="U40" s="185" t="e">
        <f t="shared" si="12"/>
        <v>#DIV/0!</v>
      </c>
    </row>
    <row r="41" spans="3:21" outlineLevel="2">
      <c r="C41" s="225"/>
      <c r="D41" s="361" t="str">
        <f>D37</f>
        <v>Onshore</v>
      </c>
      <c r="E41" s="228">
        <f>-(IFERROR(INDEX('Scenarios onshore'!58:58,MATCH('IS onshore'!E$5,'Scenarios onshore'!$4:$4,0)),0)*E20)</f>
        <v>0</v>
      </c>
      <c r="F41" s="228">
        <f>-(IFERROR(INDEX('Scenarios onshore'!58:58,MATCH('IS onshore'!F$5,'Scenarios onshore'!$4:$4,0)),0)*F20)</f>
        <v>0</v>
      </c>
      <c r="G41" s="228">
        <f>-(IFERROR(INDEX('Scenarios onshore'!58:58,MATCH('IS onshore'!G$5,'Scenarios onshore'!$4:$4,0)),0)*G20)</f>
        <v>0</v>
      </c>
      <c r="H41" s="228">
        <f>-(IFERROR(INDEX('Scenarios onshore'!58:58,MATCH('IS onshore'!H$5,'Scenarios onshore'!$4:$4,0)),0)*H20)</f>
        <v>0</v>
      </c>
      <c r="I41" s="228">
        <f>-(IFERROR(INDEX('Scenarios onshore'!58:58,MATCH('IS onshore'!I$5,'Scenarios onshore'!$4:$4,0)),0)*I20)</f>
        <v>0</v>
      </c>
      <c r="J41" s="228">
        <f>-(IFERROR(INDEX('Scenarios onshore'!58:58,MATCH('IS onshore'!J$5,'Scenarios onshore'!$4:$4,0)),0)*J20)</f>
        <v>0</v>
      </c>
      <c r="K41" s="228">
        <f>-(IFERROR(INDEX('Scenarios onshore'!58:58,MATCH('IS onshore'!K$5,'Scenarios onshore'!$4:$4,0)),0)*K20)</f>
        <v>0</v>
      </c>
      <c r="L41" s="228">
        <f>-(IFERROR(INDEX('Scenarios onshore'!58:58,MATCH('IS onshore'!L$5,'Scenarios onshore'!$4:$4,0)),0)*L20)</f>
        <v>0</v>
      </c>
      <c r="M41" s="228">
        <f>-(IFERROR(INDEX('Scenarios onshore'!58:58,MATCH('IS onshore'!M$5,'Scenarios onshore'!$4:$4,0)),0)*M20)</f>
        <v>0</v>
      </c>
      <c r="N41" s="228">
        <f>-(IFERROR(INDEX('Scenarios onshore'!58:58,MATCH('IS onshore'!N$5,'Scenarios onshore'!$4:$4,0)),0)*N20)</f>
        <v>0</v>
      </c>
      <c r="O41" s="228">
        <f>-(IFERROR(INDEX('Scenarios onshore'!58:58,MATCH('IS onshore'!O$5,'Scenarios onshore'!$4:$4,0)),0)*O20)</f>
        <v>0</v>
      </c>
      <c r="P41" s="228">
        <f>-(IFERROR(INDEX('Scenarios onshore'!58:58,MATCH('IS onshore'!P$5,'Scenarios onshore'!$4:$4,0)),0)*P20)</f>
        <v>0</v>
      </c>
      <c r="Q41" s="228">
        <f>-(IFERROR(INDEX('Scenarios onshore'!58:58,MATCH('IS onshore'!Q$5,'Scenarios onshore'!$4:$4,0)),0)*Q20)</f>
        <v>0</v>
      </c>
      <c r="R41" s="228">
        <f>-(IFERROR(INDEX('Scenarios onshore'!58:58,MATCH('IS onshore'!R$5,'Scenarios onshore'!$4:$4,0)),0)*R20)</f>
        <v>0</v>
      </c>
      <c r="S41" s="228">
        <f>-(IFERROR(INDEX('Scenarios onshore'!58:58,MATCH('IS onshore'!S$5,'Scenarios onshore'!$4:$4,0)),0)*S20)</f>
        <v>0</v>
      </c>
      <c r="T41" s="228">
        <f>-(IFERROR(INDEX('Scenarios onshore'!58:58,MATCH('IS onshore'!T$5,'Scenarios onshore'!$4:$4,0)),0)*T20)</f>
        <v>0</v>
      </c>
      <c r="U41" s="228">
        <f>-(IFERROR(INDEX('Scenarios onshore'!58:58,MATCH('IS onshore'!U$5,'Scenarios onshore'!$4:$4,0)),0)*U20)</f>
        <v>0</v>
      </c>
    </row>
    <row r="42" spans="3:21" outlineLevel="2">
      <c r="C42" s="183"/>
      <c r="D42" s="221" t="s">
        <v>877</v>
      </c>
      <c r="E42" s="185" t="e">
        <f>-E41/E$28</f>
        <v>#DIV/0!</v>
      </c>
      <c r="F42" s="185" t="e">
        <f t="shared" ref="F42:U42" si="13">-F41/F$28</f>
        <v>#DIV/0!</v>
      </c>
      <c r="G42" s="185" t="e">
        <f t="shared" si="13"/>
        <v>#DIV/0!</v>
      </c>
      <c r="H42" s="185" t="e">
        <f t="shared" si="13"/>
        <v>#DIV/0!</v>
      </c>
      <c r="I42" s="185" t="e">
        <f t="shared" si="13"/>
        <v>#DIV/0!</v>
      </c>
      <c r="J42" s="185" t="e">
        <f t="shared" si="13"/>
        <v>#DIV/0!</v>
      </c>
      <c r="K42" s="185" t="e">
        <f t="shared" si="13"/>
        <v>#DIV/0!</v>
      </c>
      <c r="L42" s="185" t="e">
        <f t="shared" si="13"/>
        <v>#DIV/0!</v>
      </c>
      <c r="M42" s="185" t="e">
        <f t="shared" si="13"/>
        <v>#DIV/0!</v>
      </c>
      <c r="N42" s="185" t="e">
        <f t="shared" si="13"/>
        <v>#DIV/0!</v>
      </c>
      <c r="O42" s="185" t="e">
        <f t="shared" si="13"/>
        <v>#DIV/0!</v>
      </c>
      <c r="P42" s="185" t="e">
        <f t="shared" si="13"/>
        <v>#DIV/0!</v>
      </c>
      <c r="Q42" s="185" t="e">
        <f t="shared" si="13"/>
        <v>#DIV/0!</v>
      </c>
      <c r="R42" s="185" t="e">
        <f t="shared" si="13"/>
        <v>#DIV/0!</v>
      </c>
      <c r="S42" s="185" t="e">
        <f t="shared" si="13"/>
        <v>#DIV/0!</v>
      </c>
      <c r="T42" s="185" t="e">
        <f t="shared" si="13"/>
        <v>#DIV/0!</v>
      </c>
      <c r="U42" s="185" t="e">
        <f t="shared" si="13"/>
        <v>#DIV/0!</v>
      </c>
    </row>
    <row r="43" spans="3:21" outlineLevel="2" collapsed="1">
      <c r="C43" s="109"/>
      <c r="D43" s="363"/>
      <c r="E43" s="230"/>
      <c r="F43" s="230"/>
      <c r="G43" s="36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</row>
    <row r="44" spans="3:21" outlineLevel="1">
      <c r="C44" s="180" t="s">
        <v>879</v>
      </c>
      <c r="D44" s="366"/>
      <c r="E44" s="227">
        <f>+E46</f>
        <v>0</v>
      </c>
      <c r="F44" s="227">
        <f t="shared" ref="F44:U44" si="14">+F46</f>
        <v>0</v>
      </c>
      <c r="G44" s="227">
        <f t="shared" si="14"/>
        <v>0</v>
      </c>
      <c r="H44" s="227">
        <f t="shared" si="14"/>
        <v>0</v>
      </c>
      <c r="I44" s="227">
        <f t="shared" si="14"/>
        <v>0</v>
      </c>
      <c r="J44" s="227">
        <f t="shared" si="14"/>
        <v>0</v>
      </c>
      <c r="K44" s="227">
        <f t="shared" si="14"/>
        <v>0</v>
      </c>
      <c r="L44" s="227">
        <f t="shared" si="14"/>
        <v>0</v>
      </c>
      <c r="M44" s="227">
        <f t="shared" si="14"/>
        <v>0</v>
      </c>
      <c r="N44" s="227">
        <f t="shared" si="14"/>
        <v>0</v>
      </c>
      <c r="O44" s="227">
        <f t="shared" si="14"/>
        <v>0</v>
      </c>
      <c r="P44" s="227">
        <f t="shared" si="14"/>
        <v>0</v>
      </c>
      <c r="Q44" s="227">
        <f t="shared" si="14"/>
        <v>0</v>
      </c>
      <c r="R44" s="227">
        <f t="shared" si="14"/>
        <v>0</v>
      </c>
      <c r="S44" s="227">
        <f t="shared" si="14"/>
        <v>0</v>
      </c>
      <c r="T44" s="227">
        <f t="shared" si="14"/>
        <v>0</v>
      </c>
      <c r="U44" s="227">
        <f t="shared" si="14"/>
        <v>0</v>
      </c>
    </row>
    <row r="45" spans="3:21" outlineLevel="1">
      <c r="C45" s="183"/>
      <c r="D45" s="221" t="s">
        <v>877</v>
      </c>
      <c r="E45" s="185" t="e">
        <f>-E44/E$26</f>
        <v>#DIV/0!</v>
      </c>
      <c r="F45" s="185" t="e">
        <f t="shared" ref="F45:U45" si="15">-F44/F$26</f>
        <v>#DIV/0!</v>
      </c>
      <c r="G45" s="185" t="e">
        <f t="shared" si="15"/>
        <v>#DIV/0!</v>
      </c>
      <c r="H45" s="185" t="e">
        <f t="shared" si="15"/>
        <v>#DIV/0!</v>
      </c>
      <c r="I45" s="185" t="e">
        <f t="shared" si="15"/>
        <v>#DIV/0!</v>
      </c>
      <c r="J45" s="185" t="e">
        <f t="shared" si="15"/>
        <v>#DIV/0!</v>
      </c>
      <c r="K45" s="185" t="e">
        <f t="shared" si="15"/>
        <v>#DIV/0!</v>
      </c>
      <c r="L45" s="185" t="e">
        <f t="shared" si="15"/>
        <v>#DIV/0!</v>
      </c>
      <c r="M45" s="185" t="e">
        <f t="shared" si="15"/>
        <v>#DIV/0!</v>
      </c>
      <c r="N45" s="185" t="e">
        <f t="shared" si="15"/>
        <v>#DIV/0!</v>
      </c>
      <c r="O45" s="185" t="e">
        <f t="shared" si="15"/>
        <v>#DIV/0!</v>
      </c>
      <c r="P45" s="185" t="e">
        <f t="shared" si="15"/>
        <v>#DIV/0!</v>
      </c>
      <c r="Q45" s="185" t="e">
        <f t="shared" si="15"/>
        <v>#DIV/0!</v>
      </c>
      <c r="R45" s="185" t="e">
        <f t="shared" si="15"/>
        <v>#DIV/0!</v>
      </c>
      <c r="S45" s="185" t="e">
        <f t="shared" si="15"/>
        <v>#DIV/0!</v>
      </c>
      <c r="T45" s="185" t="e">
        <f t="shared" si="15"/>
        <v>#DIV/0!</v>
      </c>
      <c r="U45" s="185" t="e">
        <f t="shared" si="15"/>
        <v>#DIV/0!</v>
      </c>
    </row>
    <row r="46" spans="3:21" outlineLevel="1">
      <c r="C46" s="225"/>
      <c r="D46" s="361" t="str">
        <f>D41</f>
        <v>Onshore</v>
      </c>
      <c r="E46" s="228">
        <f>-(IFERROR(INDEX('Scenarios onshore'!66:66,MATCH('IS onshore'!E$5,'Scenarios onshore'!$4:$4,0)),0)*E20)</f>
        <v>0</v>
      </c>
      <c r="F46" s="228">
        <f>-(IFERROR(INDEX('Scenarios onshore'!66:66,MATCH('IS onshore'!F$5,'Scenarios onshore'!$4:$4,0)),0)*F20)</f>
        <v>0</v>
      </c>
      <c r="G46" s="228">
        <f>-(IFERROR(INDEX('Scenarios onshore'!66:66,MATCH('IS onshore'!G$5,'Scenarios onshore'!$4:$4,0)),0)*G20)</f>
        <v>0</v>
      </c>
      <c r="H46" s="228">
        <f>-(IFERROR(INDEX('Scenarios onshore'!66:66,MATCH('IS onshore'!H$5,'Scenarios onshore'!$4:$4,0)),0)*H20)</f>
        <v>0</v>
      </c>
      <c r="I46" s="228">
        <f>-(IFERROR(INDEX('Scenarios onshore'!66:66,MATCH('IS onshore'!I$5,'Scenarios onshore'!$4:$4,0)),0)*I20)</f>
        <v>0</v>
      </c>
      <c r="J46" s="228">
        <f>-(IFERROR(INDEX('Scenarios onshore'!66:66,MATCH('IS onshore'!J$5,'Scenarios onshore'!$4:$4,0)),0)*J20)</f>
        <v>0</v>
      </c>
      <c r="K46" s="228">
        <f>-(IFERROR(INDEX('Scenarios onshore'!66:66,MATCH('IS onshore'!K$5,'Scenarios onshore'!$4:$4,0)),0)*K20)</f>
        <v>0</v>
      </c>
      <c r="L46" s="228">
        <f>-(IFERROR(INDEX('Scenarios onshore'!66:66,MATCH('IS onshore'!L$5,'Scenarios onshore'!$4:$4,0)),0)*L20)</f>
        <v>0</v>
      </c>
      <c r="M46" s="228">
        <f>-(IFERROR(INDEX('Scenarios onshore'!66:66,MATCH('IS onshore'!M$5,'Scenarios onshore'!$4:$4,0)),0)*M20)</f>
        <v>0</v>
      </c>
      <c r="N46" s="228">
        <f>-(IFERROR(INDEX('Scenarios onshore'!66:66,MATCH('IS onshore'!N$5,'Scenarios onshore'!$4:$4,0)),0)*N20)</f>
        <v>0</v>
      </c>
      <c r="O46" s="228">
        <f>-(IFERROR(INDEX('Scenarios onshore'!66:66,MATCH('IS onshore'!O$5,'Scenarios onshore'!$4:$4,0)),0)*O20)</f>
        <v>0</v>
      </c>
      <c r="P46" s="228">
        <f>-(IFERROR(INDEX('Scenarios onshore'!66:66,MATCH('IS onshore'!P$5,'Scenarios onshore'!$4:$4,0)),0)*P20)</f>
        <v>0</v>
      </c>
      <c r="Q46" s="228">
        <f>-(IFERROR(INDEX('Scenarios onshore'!66:66,MATCH('IS onshore'!Q$5,'Scenarios onshore'!$4:$4,0)),0)*Q20)</f>
        <v>0</v>
      </c>
      <c r="R46" s="228">
        <f>-(IFERROR(INDEX('Scenarios onshore'!66:66,MATCH('IS onshore'!R$5,'Scenarios onshore'!$4:$4,0)),0)*R20)</f>
        <v>0</v>
      </c>
      <c r="S46" s="228">
        <f>-(IFERROR(INDEX('Scenarios onshore'!66:66,MATCH('IS onshore'!S$5,'Scenarios onshore'!$4:$4,0)),0)*S20)</f>
        <v>0</v>
      </c>
      <c r="T46" s="228">
        <f>-(IFERROR(INDEX('Scenarios onshore'!66:66,MATCH('IS onshore'!T$5,'Scenarios onshore'!$4:$4,0)),0)*T20)</f>
        <v>0</v>
      </c>
      <c r="U46" s="228">
        <f>-(IFERROR(INDEX('Scenarios onshore'!66:66,MATCH('IS onshore'!U$5,'Scenarios onshore'!$4:$4,0)),0)*U20)</f>
        <v>0</v>
      </c>
    </row>
    <row r="47" spans="3:21" outlineLevel="1">
      <c r="C47" s="183"/>
      <c r="D47" s="221" t="s">
        <v>877</v>
      </c>
      <c r="E47" s="185" t="e">
        <f>-E46/E$28</f>
        <v>#DIV/0!</v>
      </c>
      <c r="F47" s="185" t="e">
        <f t="shared" ref="F47:U47" si="16">-F46/F$28</f>
        <v>#DIV/0!</v>
      </c>
      <c r="G47" s="185" t="e">
        <f t="shared" si="16"/>
        <v>#DIV/0!</v>
      </c>
      <c r="H47" s="185" t="e">
        <f t="shared" si="16"/>
        <v>#DIV/0!</v>
      </c>
      <c r="I47" s="185" t="e">
        <f t="shared" si="16"/>
        <v>#DIV/0!</v>
      </c>
      <c r="J47" s="185" t="e">
        <f t="shared" si="16"/>
        <v>#DIV/0!</v>
      </c>
      <c r="K47" s="185" t="e">
        <f t="shared" si="16"/>
        <v>#DIV/0!</v>
      </c>
      <c r="L47" s="185" t="e">
        <f t="shared" si="16"/>
        <v>#DIV/0!</v>
      </c>
      <c r="M47" s="185" t="e">
        <f t="shared" si="16"/>
        <v>#DIV/0!</v>
      </c>
      <c r="N47" s="185" t="e">
        <f t="shared" si="16"/>
        <v>#DIV/0!</v>
      </c>
      <c r="O47" s="185" t="e">
        <f t="shared" si="16"/>
        <v>#DIV/0!</v>
      </c>
      <c r="P47" s="185" t="e">
        <f t="shared" si="16"/>
        <v>#DIV/0!</v>
      </c>
      <c r="Q47" s="185" t="e">
        <f t="shared" si="16"/>
        <v>#DIV/0!</v>
      </c>
      <c r="R47" s="185" t="e">
        <f t="shared" si="16"/>
        <v>#DIV/0!</v>
      </c>
      <c r="S47" s="185" t="e">
        <f t="shared" si="16"/>
        <v>#DIV/0!</v>
      </c>
      <c r="T47" s="185" t="e">
        <f t="shared" si="16"/>
        <v>#DIV/0!</v>
      </c>
      <c r="U47" s="185" t="e">
        <f t="shared" si="16"/>
        <v>#DIV/0!</v>
      </c>
    </row>
    <row r="48" spans="3:21" outlineLevel="1" collapsed="1">
      <c r="C48" s="109"/>
      <c r="D48" s="363"/>
      <c r="E48" s="230"/>
      <c r="F48" s="230"/>
      <c r="G48" s="36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</row>
    <row r="49" spans="3:21">
      <c r="C49" s="180" t="s">
        <v>880</v>
      </c>
      <c r="D49" s="366"/>
      <c r="E49" s="227">
        <f>+E51</f>
        <v>0</v>
      </c>
      <c r="F49" s="227">
        <f t="shared" ref="F49:U49" si="17">+F51</f>
        <v>0</v>
      </c>
      <c r="G49" s="227">
        <f t="shared" si="17"/>
        <v>0</v>
      </c>
      <c r="H49" s="227">
        <f t="shared" si="17"/>
        <v>0</v>
      </c>
      <c r="I49" s="227">
        <f t="shared" si="17"/>
        <v>0</v>
      </c>
      <c r="J49" s="227">
        <f t="shared" si="17"/>
        <v>0</v>
      </c>
      <c r="K49" s="227">
        <f t="shared" si="17"/>
        <v>0</v>
      </c>
      <c r="L49" s="227">
        <f t="shared" si="17"/>
        <v>0</v>
      </c>
      <c r="M49" s="227">
        <f t="shared" si="17"/>
        <v>0</v>
      </c>
      <c r="N49" s="227">
        <f t="shared" si="17"/>
        <v>0</v>
      </c>
      <c r="O49" s="227">
        <f t="shared" si="17"/>
        <v>0</v>
      </c>
      <c r="P49" s="227">
        <f t="shared" si="17"/>
        <v>0</v>
      </c>
      <c r="Q49" s="227">
        <f t="shared" si="17"/>
        <v>0</v>
      </c>
      <c r="R49" s="227">
        <f t="shared" si="17"/>
        <v>0</v>
      </c>
      <c r="S49" s="227">
        <f t="shared" si="17"/>
        <v>0</v>
      </c>
      <c r="T49" s="227">
        <f t="shared" si="17"/>
        <v>0</v>
      </c>
      <c r="U49" s="227">
        <f t="shared" si="17"/>
        <v>0</v>
      </c>
    </row>
    <row r="50" spans="3:21">
      <c r="C50" s="183"/>
      <c r="D50" s="221" t="s">
        <v>877</v>
      </c>
      <c r="E50" s="185" t="e">
        <f>-E49/E$26</f>
        <v>#DIV/0!</v>
      </c>
      <c r="F50" s="185" t="e">
        <f t="shared" ref="F50:U50" si="18">-F49/F$26</f>
        <v>#DIV/0!</v>
      </c>
      <c r="G50" s="185" t="e">
        <f t="shared" si="18"/>
        <v>#DIV/0!</v>
      </c>
      <c r="H50" s="185" t="e">
        <f t="shared" si="18"/>
        <v>#DIV/0!</v>
      </c>
      <c r="I50" s="185" t="e">
        <f t="shared" si="18"/>
        <v>#DIV/0!</v>
      </c>
      <c r="J50" s="185" t="e">
        <f t="shared" si="18"/>
        <v>#DIV/0!</v>
      </c>
      <c r="K50" s="185" t="e">
        <f t="shared" si="18"/>
        <v>#DIV/0!</v>
      </c>
      <c r="L50" s="185" t="e">
        <f t="shared" si="18"/>
        <v>#DIV/0!</v>
      </c>
      <c r="M50" s="185" t="e">
        <f t="shared" si="18"/>
        <v>#DIV/0!</v>
      </c>
      <c r="N50" s="185" t="e">
        <f t="shared" si="18"/>
        <v>#DIV/0!</v>
      </c>
      <c r="O50" s="185" t="e">
        <f t="shared" si="18"/>
        <v>#DIV/0!</v>
      </c>
      <c r="P50" s="185" t="e">
        <f t="shared" si="18"/>
        <v>#DIV/0!</v>
      </c>
      <c r="Q50" s="185" t="e">
        <f t="shared" si="18"/>
        <v>#DIV/0!</v>
      </c>
      <c r="R50" s="185" t="e">
        <f t="shared" si="18"/>
        <v>#DIV/0!</v>
      </c>
      <c r="S50" s="185" t="e">
        <f t="shared" si="18"/>
        <v>#DIV/0!</v>
      </c>
      <c r="T50" s="185" t="e">
        <f t="shared" si="18"/>
        <v>#DIV/0!</v>
      </c>
      <c r="U50" s="185" t="e">
        <f t="shared" si="18"/>
        <v>#DIV/0!</v>
      </c>
    </row>
    <row r="51" spans="3:21" outlineLevel="1">
      <c r="C51" s="225"/>
      <c r="D51" s="361" t="str">
        <f>D46</f>
        <v>Onshore</v>
      </c>
      <c r="E51" s="228">
        <f>(IFERROR(INDEX('Scenarios onshore'!74:74,MATCH('IS onshore'!E$5,'Scenarios onshore'!$4:$4,0)),0)*E20)</f>
        <v>0</v>
      </c>
      <c r="F51" s="228">
        <f>(IFERROR(INDEX('Scenarios onshore'!74:74,MATCH('IS onshore'!F$5,'Scenarios onshore'!$4:$4,0)),0)*F20)</f>
        <v>0</v>
      </c>
      <c r="G51" s="228">
        <f>(IFERROR(INDEX('Scenarios onshore'!74:74,MATCH('IS onshore'!G$5,'Scenarios onshore'!$4:$4,0)),0)*G20)</f>
        <v>0</v>
      </c>
      <c r="H51" s="228">
        <f>(IFERROR(INDEX('Scenarios onshore'!74:74,MATCH('IS onshore'!H$5,'Scenarios onshore'!$4:$4,0)),0)*H20)</f>
        <v>0</v>
      </c>
      <c r="I51" s="228">
        <f>(IFERROR(INDEX('Scenarios onshore'!74:74,MATCH('IS onshore'!I$5,'Scenarios onshore'!$4:$4,0)),0)*I20)</f>
        <v>0</v>
      </c>
      <c r="J51" s="228">
        <f>(IFERROR(INDEX('Scenarios onshore'!74:74,MATCH('IS onshore'!J$5,'Scenarios onshore'!$4:$4,0)),0)*J20)</f>
        <v>0</v>
      </c>
      <c r="K51" s="228">
        <f>(IFERROR(INDEX('Scenarios onshore'!74:74,MATCH('IS onshore'!K$5,'Scenarios onshore'!$4:$4,0)),0)*K20)</f>
        <v>0</v>
      </c>
      <c r="L51" s="228">
        <f>(IFERROR(INDEX('Scenarios onshore'!74:74,MATCH('IS onshore'!L$5,'Scenarios onshore'!$4:$4,0)),0)*L20)</f>
        <v>0</v>
      </c>
      <c r="M51" s="228">
        <f>(IFERROR(INDEX('Scenarios onshore'!74:74,MATCH('IS onshore'!M$5,'Scenarios onshore'!$4:$4,0)),0)*M20)</f>
        <v>0</v>
      </c>
      <c r="N51" s="228">
        <f>(IFERROR(INDEX('Scenarios onshore'!74:74,MATCH('IS onshore'!N$5,'Scenarios onshore'!$4:$4,0)),0)*N20)</f>
        <v>0</v>
      </c>
      <c r="O51" s="228">
        <f>(IFERROR(INDEX('Scenarios onshore'!74:74,MATCH('IS onshore'!O$5,'Scenarios onshore'!$4:$4,0)),0)*O20)</f>
        <v>0</v>
      </c>
      <c r="P51" s="228">
        <f>(IFERROR(INDEX('Scenarios onshore'!74:74,MATCH('IS onshore'!P$5,'Scenarios onshore'!$4:$4,0)),0)*P20)</f>
        <v>0</v>
      </c>
      <c r="Q51" s="228">
        <f>(IFERROR(INDEX('Scenarios onshore'!74:74,MATCH('IS onshore'!Q$5,'Scenarios onshore'!$4:$4,0)),0)*Q20)</f>
        <v>0</v>
      </c>
      <c r="R51" s="228">
        <f>(IFERROR(INDEX('Scenarios onshore'!74:74,MATCH('IS onshore'!R$5,'Scenarios onshore'!$4:$4,0)),0)*R20)</f>
        <v>0</v>
      </c>
      <c r="S51" s="228">
        <f>(IFERROR(INDEX('Scenarios onshore'!74:74,MATCH('IS onshore'!S$5,'Scenarios onshore'!$4:$4,0)),0)*S20)</f>
        <v>0</v>
      </c>
      <c r="T51" s="228">
        <f>(IFERROR(INDEX('Scenarios onshore'!74:74,MATCH('IS onshore'!T$5,'Scenarios onshore'!$4:$4,0)),0)*T20)</f>
        <v>0</v>
      </c>
      <c r="U51" s="228">
        <f>(IFERROR(INDEX('Scenarios onshore'!74:74,MATCH('IS onshore'!U$5,'Scenarios onshore'!$4:$4,0)),0)*U20)</f>
        <v>0</v>
      </c>
    </row>
    <row r="52" spans="3:21" outlineLevel="1">
      <c r="C52" s="183"/>
      <c r="D52" s="221" t="s">
        <v>877</v>
      </c>
      <c r="E52" s="185" t="e">
        <f>-E51/E$28</f>
        <v>#DIV/0!</v>
      </c>
      <c r="F52" s="185" t="e">
        <f t="shared" ref="F52:U52" si="19">-F51/F$28</f>
        <v>#DIV/0!</v>
      </c>
      <c r="G52" s="185" t="e">
        <f t="shared" si="19"/>
        <v>#DIV/0!</v>
      </c>
      <c r="H52" s="185" t="e">
        <f t="shared" si="19"/>
        <v>#DIV/0!</v>
      </c>
      <c r="I52" s="185" t="e">
        <f t="shared" si="19"/>
        <v>#DIV/0!</v>
      </c>
      <c r="J52" s="185" t="e">
        <f t="shared" si="19"/>
        <v>#DIV/0!</v>
      </c>
      <c r="K52" s="185" t="e">
        <f t="shared" si="19"/>
        <v>#DIV/0!</v>
      </c>
      <c r="L52" s="185" t="e">
        <f t="shared" si="19"/>
        <v>#DIV/0!</v>
      </c>
      <c r="M52" s="185" t="e">
        <f t="shared" si="19"/>
        <v>#DIV/0!</v>
      </c>
      <c r="N52" s="185" t="e">
        <f t="shared" si="19"/>
        <v>#DIV/0!</v>
      </c>
      <c r="O52" s="185" t="e">
        <f t="shared" si="19"/>
        <v>#DIV/0!</v>
      </c>
      <c r="P52" s="185" t="e">
        <f t="shared" si="19"/>
        <v>#DIV/0!</v>
      </c>
      <c r="Q52" s="185" t="e">
        <f t="shared" si="19"/>
        <v>#DIV/0!</v>
      </c>
      <c r="R52" s="185" t="e">
        <f t="shared" si="19"/>
        <v>#DIV/0!</v>
      </c>
      <c r="S52" s="185" t="e">
        <f t="shared" si="19"/>
        <v>#DIV/0!</v>
      </c>
      <c r="T52" s="185" t="e">
        <f t="shared" si="19"/>
        <v>#DIV/0!</v>
      </c>
      <c r="U52" s="185" t="e">
        <f t="shared" si="19"/>
        <v>#DIV/0!</v>
      </c>
    </row>
    <row r="53" spans="3:21" outlineLevel="1" collapsed="1">
      <c r="C53" s="109"/>
      <c r="D53" s="363"/>
      <c r="E53" s="230"/>
      <c r="F53" s="230"/>
      <c r="G53" s="36"/>
      <c r="H53" s="233"/>
      <c r="I53" s="233"/>
      <c r="J53" s="233"/>
      <c r="K53" s="233"/>
      <c r="L53" s="233"/>
      <c r="M53" s="233"/>
      <c r="N53" s="233"/>
      <c r="O53" s="233"/>
      <c r="P53" s="233"/>
      <c r="Q53" s="233"/>
      <c r="R53" s="233"/>
      <c r="S53" s="233"/>
      <c r="T53" s="233"/>
      <c r="U53" s="233"/>
    </row>
    <row r="54" spans="3:21">
      <c r="C54" s="180" t="s">
        <v>881</v>
      </c>
      <c r="D54" s="366"/>
      <c r="E54" s="227">
        <f t="shared" ref="E54:U54" si="20">-depr_inc*E63</f>
        <v>0</v>
      </c>
      <c r="F54" s="227">
        <f t="shared" si="20"/>
        <v>0</v>
      </c>
      <c r="G54" s="227">
        <f t="shared" si="20"/>
        <v>0</v>
      </c>
      <c r="H54" s="227">
        <f t="shared" si="20"/>
        <v>0</v>
      </c>
      <c r="I54" s="227">
        <f t="shared" si="20"/>
        <v>0</v>
      </c>
      <c r="J54" s="227">
        <f t="shared" si="20"/>
        <v>0</v>
      </c>
      <c r="K54" s="227">
        <f t="shared" si="20"/>
        <v>0</v>
      </c>
      <c r="L54" s="227">
        <f t="shared" si="20"/>
        <v>0</v>
      </c>
      <c r="M54" s="227">
        <f t="shared" si="20"/>
        <v>0</v>
      </c>
      <c r="N54" s="227">
        <f t="shared" si="20"/>
        <v>0</v>
      </c>
      <c r="O54" s="227">
        <f t="shared" si="20"/>
        <v>0</v>
      </c>
      <c r="P54" s="227">
        <f t="shared" si="20"/>
        <v>0</v>
      </c>
      <c r="Q54" s="227">
        <f t="shared" si="20"/>
        <v>0</v>
      </c>
      <c r="R54" s="227">
        <f t="shared" si="20"/>
        <v>0</v>
      </c>
      <c r="S54" s="227">
        <f t="shared" si="20"/>
        <v>0</v>
      </c>
      <c r="T54" s="227">
        <f t="shared" si="20"/>
        <v>0</v>
      </c>
      <c r="U54" s="227">
        <f t="shared" si="20"/>
        <v>0</v>
      </c>
    </row>
    <row r="55" spans="3:21" hidden="1" outlineLevel="1">
      <c r="C55" s="226"/>
      <c r="D55" s="361" t="str">
        <f>BU1_name</f>
        <v>Offshore</v>
      </c>
      <c r="E55" s="228">
        <f t="shared" ref="E55:Q55" si="21">-E65*depr_inc</f>
        <v>0</v>
      </c>
      <c r="F55" s="228">
        <f t="shared" si="21"/>
        <v>0</v>
      </c>
      <c r="G55" s="228">
        <f t="shared" si="21"/>
        <v>0</v>
      </c>
      <c r="H55" s="228">
        <f t="shared" si="21"/>
        <v>0</v>
      </c>
      <c r="I55" s="228">
        <f t="shared" si="21"/>
        <v>0</v>
      </c>
      <c r="J55" s="228">
        <f t="shared" si="21"/>
        <v>0</v>
      </c>
      <c r="K55" s="228">
        <f t="shared" si="21"/>
        <v>0</v>
      </c>
      <c r="L55" s="228">
        <f t="shared" si="21"/>
        <v>0</v>
      </c>
      <c r="M55" s="228">
        <f t="shared" si="21"/>
        <v>0</v>
      </c>
      <c r="N55" s="228">
        <f t="shared" si="21"/>
        <v>0</v>
      </c>
      <c r="O55" s="228">
        <f t="shared" si="21"/>
        <v>0</v>
      </c>
      <c r="P55" s="228">
        <f t="shared" si="21"/>
        <v>0</v>
      </c>
      <c r="Q55" s="228">
        <f t="shared" si="21"/>
        <v>0</v>
      </c>
      <c r="R55" s="228">
        <f t="shared" ref="R55:U55" si="22">-R65</f>
        <v>0</v>
      </c>
      <c r="S55" s="228">
        <f t="shared" si="22"/>
        <v>0</v>
      </c>
      <c r="T55" s="228">
        <f t="shared" si="22"/>
        <v>0</v>
      </c>
      <c r="U55" s="228">
        <f t="shared" si="22"/>
        <v>0</v>
      </c>
    </row>
    <row r="56" spans="3:21" hidden="1" outlineLevel="1" collapsed="1">
      <c r="C56" s="225"/>
      <c r="D56" s="361"/>
      <c r="E56" s="234"/>
      <c r="F56" s="234"/>
      <c r="G56" s="235"/>
      <c r="H56" s="236"/>
      <c r="I56" s="236"/>
      <c r="J56" s="236"/>
      <c r="K56" s="236"/>
      <c r="L56" s="236"/>
      <c r="M56" s="236"/>
      <c r="N56" s="236"/>
      <c r="O56" s="236"/>
      <c r="P56" s="236"/>
      <c r="Q56" s="236"/>
      <c r="R56" s="236"/>
      <c r="S56" s="236"/>
      <c r="T56" s="236"/>
      <c r="U56" s="236"/>
    </row>
    <row r="57" spans="3:21" collapsed="1">
      <c r="C57" s="199" t="s">
        <v>868</v>
      </c>
      <c r="D57" s="364"/>
      <c r="E57" s="259">
        <f t="shared" ref="E57:U57" si="23">+E31+E35+E39+E44+E49+E54</f>
        <v>0</v>
      </c>
      <c r="F57" s="259">
        <f t="shared" si="23"/>
        <v>0</v>
      </c>
      <c r="G57" s="259">
        <f t="shared" si="23"/>
        <v>0</v>
      </c>
      <c r="H57" s="259">
        <f t="shared" si="23"/>
        <v>0</v>
      </c>
      <c r="I57" s="259">
        <f t="shared" si="23"/>
        <v>0</v>
      </c>
      <c r="J57" s="259">
        <f t="shared" si="23"/>
        <v>0</v>
      </c>
      <c r="K57" s="259">
        <f t="shared" si="23"/>
        <v>0</v>
      </c>
      <c r="L57" s="259">
        <f t="shared" si="23"/>
        <v>0</v>
      </c>
      <c r="M57" s="259">
        <f t="shared" si="23"/>
        <v>0</v>
      </c>
      <c r="N57" s="259">
        <f t="shared" si="23"/>
        <v>0</v>
      </c>
      <c r="O57" s="259">
        <f t="shared" si="23"/>
        <v>0</v>
      </c>
      <c r="P57" s="259">
        <f t="shared" si="23"/>
        <v>0</v>
      </c>
      <c r="Q57" s="259">
        <f t="shared" si="23"/>
        <v>0</v>
      </c>
      <c r="R57" s="259">
        <f t="shared" si="23"/>
        <v>0</v>
      </c>
      <c r="S57" s="259">
        <f t="shared" si="23"/>
        <v>0</v>
      </c>
      <c r="T57" s="259">
        <f t="shared" si="23"/>
        <v>0</v>
      </c>
      <c r="U57" s="259">
        <f t="shared" si="23"/>
        <v>0</v>
      </c>
    </row>
    <row r="58" spans="3:21">
      <c r="C58" s="183"/>
      <c r="D58" s="221" t="s">
        <v>876</v>
      </c>
      <c r="E58" s="185" t="str">
        <f t="shared" ref="E58:U58" si="24">IFERROR(E57/INDEX(57:57,MATCH(DATE(YEAR(E$18)-1,MONTH(E$18),DAY(E$18)),$18:$18,0))-1,"n.a.")</f>
        <v>n.a.</v>
      </c>
      <c r="F58" s="185" t="str">
        <f t="shared" si="24"/>
        <v>n.a.</v>
      </c>
      <c r="G58" s="185" t="str">
        <f t="shared" si="24"/>
        <v>n.a.</v>
      </c>
      <c r="H58" s="185" t="str">
        <f t="shared" si="24"/>
        <v>n.a.</v>
      </c>
      <c r="I58" s="185" t="str">
        <f t="shared" si="24"/>
        <v>n.a.</v>
      </c>
      <c r="J58" s="185" t="str">
        <f t="shared" si="24"/>
        <v>n.a.</v>
      </c>
      <c r="K58" s="185" t="str">
        <f t="shared" si="24"/>
        <v>n.a.</v>
      </c>
      <c r="L58" s="185" t="str">
        <f t="shared" si="24"/>
        <v>n.a.</v>
      </c>
      <c r="M58" s="185" t="str">
        <f t="shared" si="24"/>
        <v>n.a.</v>
      </c>
      <c r="N58" s="185" t="str">
        <f t="shared" si="24"/>
        <v>n.a.</v>
      </c>
      <c r="O58" s="185" t="str">
        <f t="shared" si="24"/>
        <v>n.a.</v>
      </c>
      <c r="P58" s="185" t="str">
        <f t="shared" si="24"/>
        <v>n.a.</v>
      </c>
      <c r="Q58" s="185" t="str">
        <f t="shared" si="24"/>
        <v>n.a.</v>
      </c>
      <c r="R58" s="185" t="str">
        <f t="shared" si="24"/>
        <v>n.a.</v>
      </c>
      <c r="S58" s="185" t="str">
        <f t="shared" si="24"/>
        <v>n.a.</v>
      </c>
      <c r="T58" s="185" t="str">
        <f t="shared" si="24"/>
        <v>n.a.</v>
      </c>
      <c r="U58" s="185" t="str">
        <f t="shared" si="24"/>
        <v>n.a.</v>
      </c>
    </row>
    <row r="59" spans="3:21">
      <c r="C59" s="183"/>
      <c r="D59" s="221" t="s">
        <v>882</v>
      </c>
      <c r="E59" s="185" t="e">
        <f t="shared" ref="E59:U59" si="25">E57/E$26</f>
        <v>#DIV/0!</v>
      </c>
      <c r="F59" s="185" t="e">
        <f t="shared" si="25"/>
        <v>#DIV/0!</v>
      </c>
      <c r="G59" s="185" t="e">
        <f t="shared" si="25"/>
        <v>#DIV/0!</v>
      </c>
      <c r="H59" s="185" t="e">
        <f t="shared" si="25"/>
        <v>#DIV/0!</v>
      </c>
      <c r="I59" s="185" t="e">
        <f t="shared" si="25"/>
        <v>#DIV/0!</v>
      </c>
      <c r="J59" s="185" t="e">
        <f t="shared" si="25"/>
        <v>#DIV/0!</v>
      </c>
      <c r="K59" s="185" t="e">
        <f t="shared" si="25"/>
        <v>#DIV/0!</v>
      </c>
      <c r="L59" s="185" t="e">
        <f t="shared" si="25"/>
        <v>#DIV/0!</v>
      </c>
      <c r="M59" s="185" t="e">
        <f t="shared" si="25"/>
        <v>#DIV/0!</v>
      </c>
      <c r="N59" s="185" t="e">
        <f t="shared" si="25"/>
        <v>#DIV/0!</v>
      </c>
      <c r="O59" s="185" t="e">
        <f t="shared" si="25"/>
        <v>#DIV/0!</v>
      </c>
      <c r="P59" s="185" t="e">
        <f t="shared" si="25"/>
        <v>#DIV/0!</v>
      </c>
      <c r="Q59" s="185" t="e">
        <f t="shared" si="25"/>
        <v>#DIV/0!</v>
      </c>
      <c r="R59" s="185" t="e">
        <f t="shared" si="25"/>
        <v>#DIV/0!</v>
      </c>
      <c r="S59" s="185" t="e">
        <f t="shared" si="25"/>
        <v>#DIV/0!</v>
      </c>
      <c r="T59" s="185" t="e">
        <f t="shared" si="25"/>
        <v>#DIV/0!</v>
      </c>
      <c r="U59" s="185" t="e">
        <f t="shared" si="25"/>
        <v>#DIV/0!</v>
      </c>
    </row>
    <row r="60" spans="3:21" hidden="1" outlineLevel="1">
      <c r="C60" s="225"/>
      <c r="D60" s="361" t="str">
        <f>D51</f>
        <v>Onshore</v>
      </c>
      <c r="E60" s="228">
        <f t="shared" ref="E60:U60" si="26">E33+E37+E41+E46+E51+E55</f>
        <v>0</v>
      </c>
      <c r="F60" s="228">
        <f t="shared" si="26"/>
        <v>0</v>
      </c>
      <c r="G60" s="228">
        <f t="shared" si="26"/>
        <v>0</v>
      </c>
      <c r="H60" s="228">
        <f t="shared" si="26"/>
        <v>0</v>
      </c>
      <c r="I60" s="228">
        <f t="shared" si="26"/>
        <v>0</v>
      </c>
      <c r="J60" s="228">
        <f t="shared" si="26"/>
        <v>0</v>
      </c>
      <c r="K60" s="228">
        <f t="shared" si="26"/>
        <v>0</v>
      </c>
      <c r="L60" s="228">
        <f t="shared" si="26"/>
        <v>0</v>
      </c>
      <c r="M60" s="228">
        <f t="shared" si="26"/>
        <v>0</v>
      </c>
      <c r="N60" s="228">
        <f t="shared" si="26"/>
        <v>0</v>
      </c>
      <c r="O60" s="228">
        <f t="shared" si="26"/>
        <v>0</v>
      </c>
      <c r="P60" s="228">
        <f t="shared" si="26"/>
        <v>0</v>
      </c>
      <c r="Q60" s="228">
        <f t="shared" si="26"/>
        <v>0</v>
      </c>
      <c r="R60" s="228">
        <f t="shared" si="26"/>
        <v>0</v>
      </c>
      <c r="S60" s="228">
        <f t="shared" si="26"/>
        <v>0</v>
      </c>
      <c r="T60" s="228">
        <f t="shared" si="26"/>
        <v>0</v>
      </c>
      <c r="U60" s="228">
        <f t="shared" si="26"/>
        <v>0</v>
      </c>
    </row>
    <row r="61" spans="3:21" hidden="1" outlineLevel="1">
      <c r="C61" s="183"/>
      <c r="D61" s="221" t="str">
        <f>D52</f>
        <v>As % of Revenue</v>
      </c>
      <c r="E61" s="185" t="e">
        <f>E60/E$28</f>
        <v>#DIV/0!</v>
      </c>
      <c r="F61" s="185" t="e">
        <f t="shared" ref="F61:U61" si="27">F60/F$28</f>
        <v>#DIV/0!</v>
      </c>
      <c r="G61" s="185" t="e">
        <f t="shared" si="27"/>
        <v>#DIV/0!</v>
      </c>
      <c r="H61" s="185" t="e">
        <f t="shared" si="27"/>
        <v>#DIV/0!</v>
      </c>
      <c r="I61" s="185" t="e">
        <f t="shared" si="27"/>
        <v>#DIV/0!</v>
      </c>
      <c r="J61" s="185" t="e">
        <f t="shared" si="27"/>
        <v>#DIV/0!</v>
      </c>
      <c r="K61" s="185" t="e">
        <f t="shared" si="27"/>
        <v>#DIV/0!</v>
      </c>
      <c r="L61" s="185" t="e">
        <f t="shared" si="27"/>
        <v>#DIV/0!</v>
      </c>
      <c r="M61" s="185" t="e">
        <f t="shared" si="27"/>
        <v>#DIV/0!</v>
      </c>
      <c r="N61" s="185" t="e">
        <f t="shared" si="27"/>
        <v>#DIV/0!</v>
      </c>
      <c r="O61" s="185" t="e">
        <f t="shared" si="27"/>
        <v>#DIV/0!</v>
      </c>
      <c r="P61" s="185" t="e">
        <f t="shared" si="27"/>
        <v>#DIV/0!</v>
      </c>
      <c r="Q61" s="185" t="e">
        <f t="shared" si="27"/>
        <v>#DIV/0!</v>
      </c>
      <c r="R61" s="185" t="e">
        <f t="shared" si="27"/>
        <v>#DIV/0!</v>
      </c>
      <c r="S61" s="185" t="e">
        <f t="shared" si="27"/>
        <v>#DIV/0!</v>
      </c>
      <c r="T61" s="185" t="e">
        <f t="shared" si="27"/>
        <v>#DIV/0!</v>
      </c>
      <c r="U61" s="185" t="e">
        <f t="shared" si="27"/>
        <v>#DIV/0!</v>
      </c>
    </row>
    <row r="62" spans="3:21" hidden="1" outlineLevel="1" collapsed="1">
      <c r="C62" s="11"/>
      <c r="D62" s="367"/>
      <c r="E62" s="237"/>
      <c r="F62" s="237"/>
      <c r="G62" s="237"/>
      <c r="H62" s="237"/>
      <c r="I62" s="237"/>
      <c r="J62" s="237"/>
      <c r="K62" s="238"/>
      <c r="L62" s="237"/>
      <c r="M62" s="237"/>
      <c r="N62" s="237"/>
      <c r="O62" s="237"/>
      <c r="P62" s="237"/>
      <c r="Q62" s="237"/>
      <c r="R62" s="237"/>
      <c r="S62" s="237"/>
      <c r="T62" s="237"/>
      <c r="U62" s="237"/>
    </row>
    <row r="63" spans="3:21" collapsed="1">
      <c r="C63" s="180" t="s">
        <v>883</v>
      </c>
      <c r="D63" s="366"/>
      <c r="E63" s="227">
        <f>E65</f>
        <v>0</v>
      </c>
      <c r="F63" s="227">
        <f t="shared" ref="F63:U63" si="28">F65</f>
        <v>0</v>
      </c>
      <c r="G63" s="227">
        <f t="shared" si="28"/>
        <v>0</v>
      </c>
      <c r="H63" s="227">
        <f t="shared" si="28"/>
        <v>0</v>
      </c>
      <c r="I63" s="227">
        <f t="shared" si="28"/>
        <v>0</v>
      </c>
      <c r="J63" s="227">
        <f t="shared" si="28"/>
        <v>0</v>
      </c>
      <c r="K63" s="227">
        <f t="shared" si="28"/>
        <v>0</v>
      </c>
      <c r="L63" s="227">
        <f t="shared" si="28"/>
        <v>0</v>
      </c>
      <c r="M63" s="227">
        <f t="shared" si="28"/>
        <v>0</v>
      </c>
      <c r="N63" s="227">
        <f t="shared" si="28"/>
        <v>0</v>
      </c>
      <c r="O63" s="227">
        <f t="shared" si="28"/>
        <v>0</v>
      </c>
      <c r="P63" s="227">
        <f t="shared" si="28"/>
        <v>0</v>
      </c>
      <c r="Q63" s="227">
        <f t="shared" si="28"/>
        <v>0</v>
      </c>
      <c r="R63" s="227">
        <f t="shared" si="28"/>
        <v>0</v>
      </c>
      <c r="S63" s="227">
        <f t="shared" si="28"/>
        <v>0</v>
      </c>
      <c r="T63" s="227">
        <f t="shared" si="28"/>
        <v>0</v>
      </c>
      <c r="U63" s="227">
        <f t="shared" si="28"/>
        <v>0</v>
      </c>
    </row>
    <row r="64" spans="3:21">
      <c r="C64" s="183"/>
      <c r="D64" s="221" t="s">
        <v>876</v>
      </c>
      <c r="E64" s="185" t="str">
        <f t="shared" ref="E64:U64" si="29">IFERROR(E63/INDEX(63:63,MATCH(DATE(YEAR(E$18)-1,MONTH(E$18),DAY(E$18)),$18:$18,0))-1,"n.a.")</f>
        <v>n.a.</v>
      </c>
      <c r="F64" s="185" t="str">
        <f t="shared" si="29"/>
        <v>n.a.</v>
      </c>
      <c r="G64" s="185" t="str">
        <f t="shared" si="29"/>
        <v>n.a.</v>
      </c>
      <c r="H64" s="185" t="str">
        <f t="shared" si="29"/>
        <v>n.a.</v>
      </c>
      <c r="I64" s="185" t="str">
        <f t="shared" si="29"/>
        <v>n.a.</v>
      </c>
      <c r="J64" s="185" t="str">
        <f t="shared" si="29"/>
        <v>n.a.</v>
      </c>
      <c r="K64" s="185" t="str">
        <f t="shared" si="29"/>
        <v>n.a.</v>
      </c>
      <c r="L64" s="185" t="str">
        <f t="shared" si="29"/>
        <v>n.a.</v>
      </c>
      <c r="M64" s="185" t="str">
        <f t="shared" si="29"/>
        <v>n.a.</v>
      </c>
      <c r="N64" s="185" t="str">
        <f t="shared" si="29"/>
        <v>n.a.</v>
      </c>
      <c r="O64" s="185" t="str">
        <f t="shared" si="29"/>
        <v>n.a.</v>
      </c>
      <c r="P64" s="185" t="str">
        <f t="shared" si="29"/>
        <v>n.a.</v>
      </c>
      <c r="Q64" s="185" t="str">
        <f t="shared" si="29"/>
        <v>n.a.</v>
      </c>
      <c r="R64" s="185" t="str">
        <f t="shared" si="29"/>
        <v>n.a.</v>
      </c>
      <c r="S64" s="185" t="str">
        <f t="shared" si="29"/>
        <v>n.a.</v>
      </c>
      <c r="T64" s="185" t="str">
        <f t="shared" si="29"/>
        <v>n.a.</v>
      </c>
      <c r="U64" s="185" t="str">
        <f t="shared" si="29"/>
        <v>n.a.</v>
      </c>
    </row>
    <row r="65" spans="3:21" outlineLevel="1">
      <c r="C65" s="225"/>
      <c r="D65" s="361" t="str">
        <f>D$46</f>
        <v>Onshore</v>
      </c>
      <c r="E65" s="228">
        <f>-(IFERROR(INDEX('Scenarios onshore'!121:121,MATCH('IS onshore'!E$5,'Scenarios onshore'!$4:$4,0)),0))*E20-(IFERROR(INDEX('Scenarios onshore'!98:98,MATCH('IS onshore'!E$5,'Scenarios onshore'!$4:$4,0)),0)*E20)</f>
        <v>0</v>
      </c>
      <c r="F65" s="228">
        <f>-(IFERROR(INDEX('Scenarios onshore'!121:121,MATCH('IS onshore'!F$5,'Scenarios onshore'!$4:$4,0)),0))*F20-(IFERROR(INDEX('Scenarios onshore'!98:98,MATCH('IS onshore'!F$5,'Scenarios onshore'!$4:$4,0)),0)*F20)</f>
        <v>0</v>
      </c>
      <c r="G65" s="228">
        <f>-(IFERROR(INDEX('Scenarios onshore'!121:121,MATCH('IS onshore'!G$5,'Scenarios onshore'!$4:$4,0)),0))*G20-(IFERROR(INDEX('Scenarios onshore'!98:98,MATCH('IS onshore'!G$5,'Scenarios onshore'!$4:$4,0)),0)*G20)</f>
        <v>0</v>
      </c>
      <c r="H65" s="228">
        <f>-(IFERROR(INDEX('Scenarios onshore'!121:121,MATCH('IS onshore'!H$5,'Scenarios onshore'!$4:$4,0)),0))*H20-(IFERROR(INDEX('Scenarios onshore'!98:98,MATCH('IS onshore'!H$5,'Scenarios onshore'!$4:$4,0)),0)*H20)</f>
        <v>0</v>
      </c>
      <c r="I65" s="228">
        <f>-(IFERROR(INDEX('Scenarios onshore'!121:121,MATCH('IS onshore'!I$5,'Scenarios onshore'!$4:$4,0)),0))*I20-(IFERROR(INDEX('Scenarios onshore'!98:98,MATCH('IS onshore'!I$5,'Scenarios onshore'!$4:$4,0)),0)*I20)</f>
        <v>0</v>
      </c>
      <c r="J65" s="228">
        <f>-(IFERROR(INDEX('Scenarios onshore'!121:121,MATCH('IS onshore'!J$5,'Scenarios onshore'!$4:$4,0)),0))*J20-(IFERROR(INDEX('Scenarios onshore'!98:98,MATCH('IS onshore'!J$5,'Scenarios onshore'!$4:$4,0)),0)*J20)</f>
        <v>0</v>
      </c>
      <c r="K65" s="228">
        <f>-(IFERROR(INDEX('Scenarios onshore'!121:121,MATCH('IS onshore'!K$5,'Scenarios onshore'!$4:$4,0)),0))*K20-(IFERROR(INDEX('Scenarios onshore'!98:98,MATCH('IS onshore'!K$5,'Scenarios onshore'!$4:$4,0)),0)*K20)</f>
        <v>0</v>
      </c>
      <c r="L65" s="228">
        <f>-(IFERROR(INDEX('Scenarios onshore'!121:121,MATCH('IS onshore'!L$5,'Scenarios onshore'!$4:$4,0)),0))*L20-(IFERROR(INDEX('Scenarios onshore'!98:98,MATCH('IS onshore'!L$5,'Scenarios onshore'!$4:$4,0)),0)*L20)</f>
        <v>0</v>
      </c>
      <c r="M65" s="228">
        <f>-(IFERROR(INDEX('Scenarios onshore'!121:121,MATCH('IS onshore'!M$5,'Scenarios onshore'!$4:$4,0)),0))*M20-(IFERROR(INDEX('Scenarios onshore'!98:98,MATCH('IS onshore'!M$5,'Scenarios onshore'!$4:$4,0)),0)*M20)</f>
        <v>0</v>
      </c>
      <c r="N65" s="228">
        <f>-(IFERROR(INDEX('Scenarios onshore'!121:121,MATCH('IS onshore'!N$5,'Scenarios onshore'!$4:$4,0)),0))*N20-(IFERROR(INDEX('Scenarios onshore'!98:98,MATCH('IS onshore'!N$5,'Scenarios onshore'!$4:$4,0)),0)*N20)</f>
        <v>0</v>
      </c>
      <c r="O65" s="228">
        <f>-(IFERROR(INDEX('Scenarios onshore'!121:121,MATCH('IS onshore'!O$5,'Scenarios onshore'!$4:$4,0)),0))*O20-(IFERROR(INDEX('Scenarios onshore'!98:98,MATCH('IS onshore'!O$5,'Scenarios onshore'!$4:$4,0)),0)*O20)</f>
        <v>0</v>
      </c>
      <c r="P65" s="228">
        <f>-(IFERROR(INDEX('Scenarios onshore'!121:121,MATCH('IS onshore'!P$5,'Scenarios onshore'!$4:$4,0)),0))*P20-(IFERROR(INDEX('Scenarios onshore'!98:98,MATCH('IS onshore'!P$5,'Scenarios onshore'!$4:$4,0)),0)*P20)</f>
        <v>0</v>
      </c>
      <c r="Q65" s="228">
        <f>-(IFERROR(INDEX('Scenarios onshore'!121:121,MATCH('IS onshore'!Q$5,'Scenarios onshore'!$4:$4,0)),0))*Q20-(IFERROR(INDEX('Scenarios onshore'!98:98,MATCH('IS onshore'!Q$5,'Scenarios onshore'!$4:$4,0)),0)*Q20)</f>
        <v>0</v>
      </c>
      <c r="R65" s="228">
        <f>-(IFERROR(INDEX('Scenarios onshore'!121:121,MATCH('IS onshore'!R$5,'Scenarios onshore'!$4:$4,0)),0))*R20-(IFERROR(INDEX('Scenarios onshore'!98:98,MATCH('IS onshore'!R$5,'Scenarios onshore'!$4:$4,0)),0)*R20)</f>
        <v>0</v>
      </c>
      <c r="S65" s="228">
        <f>-(IFERROR(INDEX('Scenarios onshore'!121:121,MATCH('IS onshore'!S$5,'Scenarios onshore'!$4:$4,0)),0))*S20-(IFERROR(INDEX('Scenarios onshore'!98:98,MATCH('IS onshore'!S$5,'Scenarios onshore'!$4:$4,0)),0)*S20)</f>
        <v>0</v>
      </c>
      <c r="T65" s="228">
        <f>-(IFERROR(INDEX('Scenarios onshore'!121:121,MATCH('IS onshore'!T$5,'Scenarios onshore'!$4:$4,0)),0))*T20-(IFERROR(INDEX('Scenarios onshore'!98:98,MATCH('IS onshore'!T$5,'Scenarios onshore'!$4:$4,0)),0)*T20)</f>
        <v>0</v>
      </c>
      <c r="U65" s="228">
        <f>-(IFERROR(INDEX('Scenarios onshore'!121:121,MATCH('IS onshore'!U$5,'Scenarios onshore'!$4:$4,0)),0))*U20-(IFERROR(INDEX('Scenarios onshore'!98:98,MATCH('IS onshore'!U$5,'Scenarios onshore'!$4:$4,0)),0)*U20)</f>
        <v>0</v>
      </c>
    </row>
    <row r="66" spans="3:21" outlineLevel="1">
      <c r="C66" s="183"/>
      <c r="D66" s="221" t="s">
        <v>876</v>
      </c>
      <c r="E66" s="185" t="str">
        <f t="shared" ref="E66:U66" si="30">IFERROR(E65/INDEX(65:65,MATCH(DATE(YEAR(E$18)-1,MONTH(E$18),DAY(E$18)),$18:$18,0))-1,"n.a.")</f>
        <v>n.a.</v>
      </c>
      <c r="F66" s="185" t="str">
        <f t="shared" si="30"/>
        <v>n.a.</v>
      </c>
      <c r="G66" s="185" t="str">
        <f t="shared" si="30"/>
        <v>n.a.</v>
      </c>
      <c r="H66" s="185" t="str">
        <f t="shared" si="30"/>
        <v>n.a.</v>
      </c>
      <c r="I66" s="185" t="str">
        <f t="shared" si="30"/>
        <v>n.a.</v>
      </c>
      <c r="J66" s="185" t="str">
        <f t="shared" si="30"/>
        <v>n.a.</v>
      </c>
      <c r="K66" s="185" t="str">
        <f t="shared" si="30"/>
        <v>n.a.</v>
      </c>
      <c r="L66" s="185" t="str">
        <f t="shared" si="30"/>
        <v>n.a.</v>
      </c>
      <c r="M66" s="185" t="str">
        <f t="shared" si="30"/>
        <v>n.a.</v>
      </c>
      <c r="N66" s="185" t="str">
        <f t="shared" si="30"/>
        <v>n.a.</v>
      </c>
      <c r="O66" s="185" t="str">
        <f t="shared" si="30"/>
        <v>n.a.</v>
      </c>
      <c r="P66" s="185" t="str">
        <f t="shared" si="30"/>
        <v>n.a.</v>
      </c>
      <c r="Q66" s="185" t="str">
        <f t="shared" si="30"/>
        <v>n.a.</v>
      </c>
      <c r="R66" s="185" t="str">
        <f t="shared" si="30"/>
        <v>n.a.</v>
      </c>
      <c r="S66" s="185" t="str">
        <f t="shared" si="30"/>
        <v>n.a.</v>
      </c>
      <c r="T66" s="185" t="str">
        <f t="shared" si="30"/>
        <v>n.a.</v>
      </c>
      <c r="U66" s="185" t="str">
        <f t="shared" si="30"/>
        <v>n.a.</v>
      </c>
    </row>
    <row r="67" spans="3:21" s="38" customFormat="1" outlineLevel="1" collapsed="1">
      <c r="C67" s="218"/>
      <c r="D67" s="368"/>
      <c r="E67" s="237"/>
      <c r="F67" s="239"/>
      <c r="G67" s="239"/>
      <c r="H67" s="239"/>
      <c r="I67" s="239"/>
      <c r="J67" s="239"/>
      <c r="K67" s="239"/>
      <c r="L67" s="239"/>
      <c r="M67" s="239"/>
      <c r="N67" s="239"/>
      <c r="O67" s="239"/>
      <c r="P67" s="239"/>
      <c r="Q67" s="239"/>
      <c r="R67" s="239"/>
      <c r="S67" s="239"/>
      <c r="T67" s="239"/>
      <c r="U67" s="239"/>
    </row>
    <row r="68" spans="3:21">
      <c r="C68" s="180" t="s">
        <v>884</v>
      </c>
      <c r="D68" s="366"/>
      <c r="E68" s="227">
        <f>E70</f>
        <v>0</v>
      </c>
      <c r="F68" s="227">
        <f t="shared" ref="F68:U68" si="31">F70</f>
        <v>0</v>
      </c>
      <c r="G68" s="227">
        <f t="shared" si="31"/>
        <v>0</v>
      </c>
      <c r="H68" s="227">
        <f t="shared" si="31"/>
        <v>0</v>
      </c>
      <c r="I68" s="227">
        <f t="shared" si="31"/>
        <v>0</v>
      </c>
      <c r="J68" s="227">
        <f t="shared" si="31"/>
        <v>0</v>
      </c>
      <c r="K68" s="227">
        <f t="shared" si="31"/>
        <v>0</v>
      </c>
      <c r="L68" s="227">
        <f t="shared" si="31"/>
        <v>0</v>
      </c>
      <c r="M68" s="227">
        <f t="shared" si="31"/>
        <v>0</v>
      </c>
      <c r="N68" s="227">
        <f t="shared" si="31"/>
        <v>0</v>
      </c>
      <c r="O68" s="227">
        <f t="shared" si="31"/>
        <v>0</v>
      </c>
      <c r="P68" s="227">
        <f t="shared" si="31"/>
        <v>0</v>
      </c>
      <c r="Q68" s="227">
        <f t="shared" si="31"/>
        <v>0</v>
      </c>
      <c r="R68" s="227">
        <f t="shared" si="31"/>
        <v>0</v>
      </c>
      <c r="S68" s="227">
        <f t="shared" si="31"/>
        <v>0</v>
      </c>
      <c r="T68" s="227">
        <f t="shared" si="31"/>
        <v>0</v>
      </c>
      <c r="U68" s="227">
        <f t="shared" si="31"/>
        <v>0</v>
      </c>
    </row>
    <row r="69" spans="3:21">
      <c r="C69" s="183"/>
      <c r="D69" s="221" t="s">
        <v>876</v>
      </c>
      <c r="E69" s="185" t="str">
        <f t="shared" ref="E69:U69" si="32">IFERROR(E68/INDEX(68:68,MATCH(DATE(YEAR(E$18)-1,MONTH(E$18),DAY(E$18)),$18:$18,0))-1,"n.a.")</f>
        <v>n.a.</v>
      </c>
      <c r="F69" s="185" t="str">
        <f t="shared" si="32"/>
        <v>n.a.</v>
      </c>
      <c r="G69" s="185" t="str">
        <f t="shared" si="32"/>
        <v>n.a.</v>
      </c>
      <c r="H69" s="185" t="str">
        <f t="shared" si="32"/>
        <v>n.a.</v>
      </c>
      <c r="I69" s="185" t="str">
        <f t="shared" si="32"/>
        <v>n.a.</v>
      </c>
      <c r="J69" s="185" t="str">
        <f t="shared" si="32"/>
        <v>n.a.</v>
      </c>
      <c r="K69" s="185" t="str">
        <f t="shared" si="32"/>
        <v>n.a.</v>
      </c>
      <c r="L69" s="185" t="str">
        <f t="shared" si="32"/>
        <v>n.a.</v>
      </c>
      <c r="M69" s="185" t="str">
        <f t="shared" si="32"/>
        <v>n.a.</v>
      </c>
      <c r="N69" s="185" t="str">
        <f t="shared" si="32"/>
        <v>n.a.</v>
      </c>
      <c r="O69" s="185" t="str">
        <f t="shared" si="32"/>
        <v>n.a.</v>
      </c>
      <c r="P69" s="185" t="str">
        <f t="shared" si="32"/>
        <v>n.a.</v>
      </c>
      <c r="Q69" s="185" t="str">
        <f t="shared" si="32"/>
        <v>n.a.</v>
      </c>
      <c r="R69" s="185" t="str">
        <f t="shared" si="32"/>
        <v>n.a.</v>
      </c>
      <c r="S69" s="185" t="str">
        <f t="shared" si="32"/>
        <v>n.a.</v>
      </c>
      <c r="T69" s="185" t="str">
        <f t="shared" si="32"/>
        <v>n.a.</v>
      </c>
      <c r="U69" s="185" t="str">
        <f t="shared" si="32"/>
        <v>n.a.</v>
      </c>
    </row>
    <row r="70" spans="3:21" hidden="1" outlineLevel="1">
      <c r="C70" s="225"/>
      <c r="D70" s="361" t="str">
        <f>D$46</f>
        <v>Onshore</v>
      </c>
      <c r="E70" s="228">
        <f>(IFERROR(INDEX('Scenarios onshore'!141:141,MATCH('IS onshore'!E$5,'Scenarios onshore'!$4:$4,0)),0))*E20+(IFERROR(INDEX('Scenarios onshore'!142:142,MATCH('IS onshore'!E$5,'Scenarios onshore'!$4:$4,0)),0)*E20)+(IFERROR(INDEX('Scenarios onshore'!145:145,MATCH('IS onshore'!E$5,'Scenarios onshore'!$4:$4,0)),0))*E20</f>
        <v>0</v>
      </c>
      <c r="F70" s="228">
        <f>(IFERROR(INDEX('Scenarios onshore'!141:141,MATCH('IS onshore'!F$5,'Scenarios onshore'!$4:$4,0)),0))*F20+(IFERROR(INDEX('Scenarios onshore'!142:142,MATCH('IS onshore'!F$5,'Scenarios onshore'!$4:$4,0)),0)*F20)+(IFERROR(INDEX('Scenarios onshore'!145:145,MATCH('IS onshore'!F$5,'Scenarios onshore'!$4:$4,0)),0))*F20</f>
        <v>0</v>
      </c>
      <c r="G70" s="228">
        <f>(IFERROR(INDEX('Scenarios onshore'!141:141,MATCH('IS onshore'!G$5,'Scenarios onshore'!$4:$4,0)),0))*G20+(IFERROR(INDEX('Scenarios onshore'!142:142,MATCH('IS onshore'!G$5,'Scenarios onshore'!$4:$4,0)),0)*G20)+(IFERROR(INDEX('Scenarios onshore'!145:145,MATCH('IS onshore'!G$5,'Scenarios onshore'!$4:$4,0)),0))*G20</f>
        <v>0</v>
      </c>
      <c r="H70" s="228">
        <f>(IFERROR(INDEX('Scenarios onshore'!141:141,MATCH('IS onshore'!H$5,'Scenarios onshore'!$4:$4,0)),0))*H20+(IFERROR(INDEX('Scenarios onshore'!142:142,MATCH('IS onshore'!H$5,'Scenarios onshore'!$4:$4,0)),0)*H20)+(IFERROR(INDEX('Scenarios onshore'!145:145,MATCH('IS onshore'!H$5,'Scenarios onshore'!$4:$4,0)),0))*H20</f>
        <v>0</v>
      </c>
      <c r="I70" s="228">
        <f>(IFERROR(INDEX('Scenarios onshore'!141:141,MATCH('IS onshore'!I$5,'Scenarios onshore'!$4:$4,0)),0))*I20+(IFERROR(INDEX('Scenarios onshore'!142:142,MATCH('IS onshore'!I$5,'Scenarios onshore'!$4:$4,0)),0)*I20)+(IFERROR(INDEX('Scenarios onshore'!145:145,MATCH('IS onshore'!I$5,'Scenarios onshore'!$4:$4,0)),0))*I20</f>
        <v>0</v>
      </c>
      <c r="J70" s="228">
        <f>(IFERROR(INDEX('Scenarios onshore'!141:141,MATCH('IS onshore'!J$5,'Scenarios onshore'!$4:$4,0)),0))*J20+(IFERROR(INDEX('Scenarios onshore'!142:142,MATCH('IS onshore'!J$5,'Scenarios onshore'!$4:$4,0)),0)*J20)+(IFERROR(INDEX('Scenarios onshore'!145:145,MATCH('IS onshore'!J$5,'Scenarios onshore'!$4:$4,0)),0))*J20</f>
        <v>0</v>
      </c>
      <c r="K70" s="228">
        <f>(IFERROR(INDEX('Scenarios onshore'!141:141,MATCH('IS onshore'!K$5,'Scenarios onshore'!$4:$4,0)),0))*K20+(IFERROR(INDEX('Scenarios onshore'!142:142,MATCH('IS onshore'!K$5,'Scenarios onshore'!$4:$4,0)),0)*K20)+(IFERROR(INDEX('Scenarios onshore'!145:145,MATCH('IS onshore'!K$5,'Scenarios onshore'!$4:$4,0)),0))*K20</f>
        <v>0</v>
      </c>
      <c r="L70" s="228">
        <f>(IFERROR(INDEX('Scenarios onshore'!141:141,MATCH('IS onshore'!L$5,'Scenarios onshore'!$4:$4,0)),0))*L20+(IFERROR(INDEX('Scenarios onshore'!142:142,MATCH('IS onshore'!L$5,'Scenarios onshore'!$4:$4,0)),0)*L20)+(IFERROR(INDEX('Scenarios onshore'!145:145,MATCH('IS onshore'!L$5,'Scenarios onshore'!$4:$4,0)),0))*L20</f>
        <v>0</v>
      </c>
      <c r="M70" s="228">
        <f>(IFERROR(INDEX('Scenarios onshore'!141:141,MATCH('IS onshore'!M$5,'Scenarios onshore'!$4:$4,0)),0))*M20+(IFERROR(INDEX('Scenarios onshore'!142:142,MATCH('IS onshore'!M$5,'Scenarios onshore'!$4:$4,0)),0)*M20)+(IFERROR(INDEX('Scenarios onshore'!145:145,MATCH('IS onshore'!M$5,'Scenarios onshore'!$4:$4,0)),0))*M20</f>
        <v>0</v>
      </c>
      <c r="N70" s="228">
        <f>(IFERROR(INDEX('Scenarios onshore'!141:141,MATCH('IS onshore'!N$5,'Scenarios onshore'!$4:$4,0)),0))*N20+(IFERROR(INDEX('Scenarios onshore'!142:142,MATCH('IS onshore'!N$5,'Scenarios onshore'!$4:$4,0)),0)*N20)+(IFERROR(INDEX('Scenarios onshore'!145:145,MATCH('IS onshore'!N$5,'Scenarios onshore'!$4:$4,0)),0))*N20</f>
        <v>0</v>
      </c>
      <c r="O70" s="228">
        <f>(IFERROR(INDEX('Scenarios onshore'!141:141,MATCH('IS onshore'!O$5,'Scenarios onshore'!$4:$4,0)),0))*O20+(IFERROR(INDEX('Scenarios onshore'!142:142,MATCH('IS onshore'!O$5,'Scenarios onshore'!$4:$4,0)),0)*O20)+(IFERROR(INDEX('Scenarios onshore'!145:145,MATCH('IS onshore'!O$5,'Scenarios onshore'!$4:$4,0)),0))*O20</f>
        <v>0</v>
      </c>
      <c r="P70" s="228">
        <f>(IFERROR(INDEX('Scenarios onshore'!141:141,MATCH('IS onshore'!P$5,'Scenarios onshore'!$4:$4,0)),0))*P20+(IFERROR(INDEX('Scenarios onshore'!142:142,MATCH('IS onshore'!P$5,'Scenarios onshore'!$4:$4,0)),0)*P20)+(IFERROR(INDEX('Scenarios onshore'!145:145,MATCH('IS onshore'!P$5,'Scenarios onshore'!$4:$4,0)),0))*P20</f>
        <v>0</v>
      </c>
      <c r="Q70" s="228">
        <f>(IFERROR(INDEX('Scenarios onshore'!141:141,MATCH('IS onshore'!Q$5,'Scenarios onshore'!$4:$4,0)),0))*Q20+(IFERROR(INDEX('Scenarios onshore'!142:142,MATCH('IS onshore'!Q$5,'Scenarios onshore'!$4:$4,0)),0)*Q20)+(IFERROR(INDEX('Scenarios onshore'!145:145,MATCH('IS onshore'!Q$5,'Scenarios onshore'!$4:$4,0)),0))*Q20</f>
        <v>0</v>
      </c>
      <c r="R70" s="228">
        <f>(IFERROR(INDEX('Scenarios onshore'!141:141,MATCH('IS onshore'!R$5,'Scenarios onshore'!$4:$4,0)),0))*R20+(IFERROR(INDEX('Scenarios onshore'!142:142,MATCH('IS onshore'!R$5,'Scenarios onshore'!$4:$4,0)),0)*R20)+(IFERROR(INDEX('Scenarios onshore'!145:145,MATCH('IS onshore'!R$5,'Scenarios onshore'!$4:$4,0)),0))*R20</f>
        <v>0</v>
      </c>
      <c r="S70" s="228">
        <f>(IFERROR(INDEX('Scenarios onshore'!141:141,MATCH('IS onshore'!S$5,'Scenarios onshore'!$4:$4,0)),0))*S20+(IFERROR(INDEX('Scenarios onshore'!142:142,MATCH('IS onshore'!S$5,'Scenarios onshore'!$4:$4,0)),0)*S20)+(IFERROR(INDEX('Scenarios onshore'!145:145,MATCH('IS onshore'!S$5,'Scenarios onshore'!$4:$4,0)),0))*S20</f>
        <v>0</v>
      </c>
      <c r="T70" s="228">
        <f>(IFERROR(INDEX('Scenarios onshore'!141:141,MATCH('IS onshore'!T$5,'Scenarios onshore'!$4:$4,0)),0))*T20+(IFERROR(INDEX('Scenarios onshore'!142:142,MATCH('IS onshore'!T$5,'Scenarios onshore'!$4:$4,0)),0)*T20)+(IFERROR(INDEX('Scenarios onshore'!145:145,MATCH('IS onshore'!T$5,'Scenarios onshore'!$4:$4,0)),0))*T20</f>
        <v>0</v>
      </c>
      <c r="U70" s="228">
        <f>(IFERROR(INDEX('Scenarios onshore'!141:141,MATCH('IS onshore'!U$5,'Scenarios onshore'!$4:$4,0)),0))*U20+(IFERROR(INDEX('Scenarios onshore'!142:142,MATCH('IS onshore'!U$5,'Scenarios onshore'!$4:$4,0)),0)*U20)+(IFERROR(INDEX('Scenarios onshore'!145:145,MATCH('IS onshore'!U$5,'Scenarios onshore'!$4:$4,0)),0))*U20</f>
        <v>0</v>
      </c>
    </row>
    <row r="71" spans="3:21" hidden="1" outlineLevel="1">
      <c r="C71" s="183"/>
      <c r="D71" s="221" t="s">
        <v>876</v>
      </c>
      <c r="E71" s="185" t="str">
        <f t="shared" ref="E71:U71" si="33">IFERROR(E70/INDEX(70:70,MATCH(DATE(YEAR(E$18)-1,MONTH(E$18),DAY(E$18)),$18:$18,0))-1,"n.a.")</f>
        <v>n.a.</v>
      </c>
      <c r="F71" s="185" t="str">
        <f t="shared" si="33"/>
        <v>n.a.</v>
      </c>
      <c r="G71" s="185" t="str">
        <f t="shared" si="33"/>
        <v>n.a.</v>
      </c>
      <c r="H71" s="185" t="str">
        <f t="shared" si="33"/>
        <v>n.a.</v>
      </c>
      <c r="I71" s="185" t="str">
        <f t="shared" si="33"/>
        <v>n.a.</v>
      </c>
      <c r="J71" s="185" t="str">
        <f t="shared" si="33"/>
        <v>n.a.</v>
      </c>
      <c r="K71" s="185" t="str">
        <f t="shared" si="33"/>
        <v>n.a.</v>
      </c>
      <c r="L71" s="185" t="str">
        <f t="shared" si="33"/>
        <v>n.a.</v>
      </c>
      <c r="M71" s="185" t="str">
        <f t="shared" si="33"/>
        <v>n.a.</v>
      </c>
      <c r="N71" s="185" t="str">
        <f t="shared" si="33"/>
        <v>n.a.</v>
      </c>
      <c r="O71" s="185" t="str">
        <f t="shared" si="33"/>
        <v>n.a.</v>
      </c>
      <c r="P71" s="185" t="str">
        <f t="shared" si="33"/>
        <v>n.a.</v>
      </c>
      <c r="Q71" s="185" t="str">
        <f t="shared" si="33"/>
        <v>n.a.</v>
      </c>
      <c r="R71" s="185" t="str">
        <f t="shared" si="33"/>
        <v>n.a.</v>
      </c>
      <c r="S71" s="185" t="str">
        <f t="shared" si="33"/>
        <v>n.a.</v>
      </c>
      <c r="T71" s="185" t="str">
        <f t="shared" si="33"/>
        <v>n.a.</v>
      </c>
      <c r="U71" s="185" t="str">
        <f t="shared" si="33"/>
        <v>n.a.</v>
      </c>
    </row>
    <row r="72" spans="3:21" hidden="1" outlineLevel="1">
      <c r="C72" s="109"/>
      <c r="D72" s="363"/>
      <c r="E72" s="230"/>
      <c r="F72" s="230"/>
      <c r="G72" s="240"/>
      <c r="H72" s="240"/>
      <c r="I72" s="240"/>
      <c r="J72" s="240"/>
      <c r="K72" s="232"/>
      <c r="L72" s="241"/>
      <c r="M72" s="241"/>
      <c r="N72" s="241"/>
      <c r="O72" s="241"/>
      <c r="P72" s="241"/>
      <c r="Q72" s="241"/>
      <c r="R72" s="241"/>
      <c r="S72" s="241"/>
      <c r="T72" s="241"/>
      <c r="U72" s="241"/>
    </row>
    <row r="73" spans="3:21" collapsed="1">
      <c r="C73" s="199" t="s">
        <v>3</v>
      </c>
      <c r="D73" s="364"/>
      <c r="E73" s="259">
        <f t="shared" ref="E73:U73" si="34">E57+E63+E68</f>
        <v>0</v>
      </c>
      <c r="F73" s="259">
        <f t="shared" si="34"/>
        <v>0</v>
      </c>
      <c r="G73" s="259">
        <f t="shared" si="34"/>
        <v>0</v>
      </c>
      <c r="H73" s="259">
        <f t="shared" si="34"/>
        <v>0</v>
      </c>
      <c r="I73" s="259">
        <f t="shared" si="34"/>
        <v>0</v>
      </c>
      <c r="J73" s="259">
        <f t="shared" si="34"/>
        <v>0</v>
      </c>
      <c r="K73" s="259">
        <f t="shared" si="34"/>
        <v>0</v>
      </c>
      <c r="L73" s="259">
        <f t="shared" si="34"/>
        <v>0</v>
      </c>
      <c r="M73" s="259">
        <f t="shared" si="34"/>
        <v>0</v>
      </c>
      <c r="N73" s="259">
        <f t="shared" si="34"/>
        <v>0</v>
      </c>
      <c r="O73" s="259">
        <f t="shared" si="34"/>
        <v>0</v>
      </c>
      <c r="P73" s="259">
        <f t="shared" si="34"/>
        <v>0</v>
      </c>
      <c r="Q73" s="259">
        <f t="shared" si="34"/>
        <v>0</v>
      </c>
      <c r="R73" s="259">
        <f t="shared" si="34"/>
        <v>0</v>
      </c>
      <c r="S73" s="259">
        <f t="shared" si="34"/>
        <v>0</v>
      </c>
      <c r="T73" s="259">
        <f t="shared" si="34"/>
        <v>0</v>
      </c>
      <c r="U73" s="259">
        <f t="shared" si="34"/>
        <v>0</v>
      </c>
    </row>
    <row r="74" spans="3:21">
      <c r="C74" s="183"/>
      <c r="D74" s="221" t="s">
        <v>876</v>
      </c>
      <c r="E74" s="185" t="str">
        <f t="shared" ref="E74:U74" si="35">IFERROR(E73/INDEX(73:73,MATCH(DATE(YEAR(E$18)-1,MONTH(E$18),DAY(E$18)),$18:$18,0))-1,"n.a.")</f>
        <v>n.a.</v>
      </c>
      <c r="F74" s="185" t="str">
        <f t="shared" si="35"/>
        <v>n.a.</v>
      </c>
      <c r="G74" s="185" t="str">
        <f t="shared" si="35"/>
        <v>n.a.</v>
      </c>
      <c r="H74" s="185" t="str">
        <f t="shared" si="35"/>
        <v>n.a.</v>
      </c>
      <c r="I74" s="185" t="str">
        <f t="shared" si="35"/>
        <v>n.a.</v>
      </c>
      <c r="J74" s="185" t="str">
        <f t="shared" si="35"/>
        <v>n.a.</v>
      </c>
      <c r="K74" s="185" t="str">
        <f t="shared" si="35"/>
        <v>n.a.</v>
      </c>
      <c r="L74" s="185" t="str">
        <f t="shared" si="35"/>
        <v>n.a.</v>
      </c>
      <c r="M74" s="185" t="str">
        <f t="shared" si="35"/>
        <v>n.a.</v>
      </c>
      <c r="N74" s="185" t="str">
        <f t="shared" si="35"/>
        <v>n.a.</v>
      </c>
      <c r="O74" s="185" t="str">
        <f t="shared" si="35"/>
        <v>n.a.</v>
      </c>
      <c r="P74" s="185" t="str">
        <f t="shared" si="35"/>
        <v>n.a.</v>
      </c>
      <c r="Q74" s="185" t="str">
        <f t="shared" si="35"/>
        <v>n.a.</v>
      </c>
      <c r="R74" s="185" t="str">
        <f t="shared" si="35"/>
        <v>n.a.</v>
      </c>
      <c r="S74" s="185" t="str">
        <f t="shared" si="35"/>
        <v>n.a.</v>
      </c>
      <c r="T74" s="185" t="str">
        <f t="shared" si="35"/>
        <v>n.a.</v>
      </c>
      <c r="U74" s="185" t="str">
        <f t="shared" si="35"/>
        <v>n.a.</v>
      </c>
    </row>
    <row r="75" spans="3:21">
      <c r="C75" s="183"/>
      <c r="D75" s="221" t="s">
        <v>882</v>
      </c>
      <c r="E75" s="185" t="e">
        <f t="shared" ref="E75:U75" si="36">E73/E$26</f>
        <v>#DIV/0!</v>
      </c>
      <c r="F75" s="185" t="e">
        <f t="shared" si="36"/>
        <v>#DIV/0!</v>
      </c>
      <c r="G75" s="185" t="e">
        <f t="shared" si="36"/>
        <v>#DIV/0!</v>
      </c>
      <c r="H75" s="185" t="e">
        <f t="shared" si="36"/>
        <v>#DIV/0!</v>
      </c>
      <c r="I75" s="185" t="e">
        <f t="shared" si="36"/>
        <v>#DIV/0!</v>
      </c>
      <c r="J75" s="185" t="e">
        <f t="shared" si="36"/>
        <v>#DIV/0!</v>
      </c>
      <c r="K75" s="185" t="e">
        <f t="shared" si="36"/>
        <v>#DIV/0!</v>
      </c>
      <c r="L75" s="185" t="e">
        <f t="shared" si="36"/>
        <v>#DIV/0!</v>
      </c>
      <c r="M75" s="185" t="e">
        <f t="shared" si="36"/>
        <v>#DIV/0!</v>
      </c>
      <c r="N75" s="185" t="e">
        <f t="shared" si="36"/>
        <v>#DIV/0!</v>
      </c>
      <c r="O75" s="185" t="e">
        <f t="shared" si="36"/>
        <v>#DIV/0!</v>
      </c>
      <c r="P75" s="185" t="e">
        <f t="shared" si="36"/>
        <v>#DIV/0!</v>
      </c>
      <c r="Q75" s="185" t="e">
        <f t="shared" si="36"/>
        <v>#DIV/0!</v>
      </c>
      <c r="R75" s="185" t="e">
        <f t="shared" si="36"/>
        <v>#DIV/0!</v>
      </c>
      <c r="S75" s="185" t="e">
        <f t="shared" si="36"/>
        <v>#DIV/0!</v>
      </c>
      <c r="T75" s="185" t="e">
        <f t="shared" si="36"/>
        <v>#DIV/0!</v>
      </c>
      <c r="U75" s="185" t="e">
        <f t="shared" si="36"/>
        <v>#DIV/0!</v>
      </c>
    </row>
    <row r="76" spans="3:21" ht="14.4" hidden="1" customHeight="1" outlineLevel="1">
      <c r="C76" s="11"/>
      <c r="D76" s="367"/>
      <c r="E76" s="36"/>
      <c r="F76" s="36"/>
      <c r="G76" s="36"/>
      <c r="H76" s="36"/>
      <c r="I76" s="36"/>
      <c r="J76" s="36"/>
      <c r="K76" s="242"/>
      <c r="L76" s="242"/>
      <c r="M76" s="242"/>
      <c r="N76" s="242"/>
      <c r="O76" s="242"/>
      <c r="P76" s="242"/>
      <c r="Q76" s="242"/>
      <c r="R76" s="242"/>
      <c r="S76" s="242"/>
      <c r="T76" s="242"/>
      <c r="U76" s="242"/>
    </row>
    <row r="77" spans="3:21" collapsed="1">
      <c r="C77" s="180" t="s">
        <v>885</v>
      </c>
      <c r="D77" s="366"/>
      <c r="E77" s="227">
        <f>IFERROR(OR(E$6,E$7)*'Historical BU2'!D28,0)*E20+IFERROR(OR(E$6,E$7)*'Historical BU2'!D29,0)*E20+E9*SUMIF('Financial Quarterly onshore'!7:7,'IS onshore'!E10,'Financial Quarterly onshore'!99:99)</f>
        <v>0</v>
      </c>
      <c r="F77" s="227">
        <f>IFERROR(OR(F$6,F$7)*'Historical BU2'!E28,0)*F20+IFERROR(OR(F$6,F$7)*'Historical BU2'!E29,0)*F20+F9*SUMIF('Financial Quarterly onshore'!7:7,'IS onshore'!F10,'Financial Quarterly onshore'!99:99)</f>
        <v>0</v>
      </c>
      <c r="G77" s="227">
        <f>IFERROR(OR(G$6,G$7)*'Historical BU2'!F28,0)*G20+IFERROR(OR(G$6,G$7)*'Historical BU2'!F29,0)*G20+G9*SUMIF('Financial Quarterly onshore'!7:7,'IS onshore'!G10,'Financial Quarterly onshore'!99:99)</f>
        <v>0</v>
      </c>
      <c r="H77" s="227">
        <f>IFERROR(OR(H$6,H$7)*'Historical BU2'!G28,0)*H20+IFERROR(OR(H$6,H$7)*'Historical BU2'!G29,0)*H20+H9*SUMIF('Financial Quarterly onshore'!7:7,'IS onshore'!H10,'Financial Quarterly onshore'!99:99)</f>
        <v>0</v>
      </c>
      <c r="I77" s="227">
        <f>IFERROR(OR(I$6,I$7)*'Historical BU2'!H28,0)*I20+IFERROR(OR(I$6,I$7)*'Historical BU2'!H29,0)*I20+I9*SUMIF('Financial Quarterly onshore'!7:7,'IS onshore'!I10,'Financial Quarterly onshore'!99:99)</f>
        <v>0</v>
      </c>
      <c r="J77" s="227">
        <f ca="1">IFERROR(OR(J$6,J$7)*'Historical BU2'!I28,0)*J20+IFERROR(OR(J$6,J$7)*'Historical BU2'!I29,0)*J20+J9*SUMIF('Financial Quarterly onshore'!7:7,'IS onshore'!J10,'Financial Quarterly onshore'!99:99)</f>
        <v>0</v>
      </c>
      <c r="K77" s="227">
        <f ca="1">IFERROR(OR(K$6,K$7)*'Historical BU2'!J28,0)*K20+IFERROR(OR(K$6,K$7)*'Historical BU2'!J29,0)*K20+K9*SUMIF('Financial Quarterly onshore'!7:7,'IS onshore'!K10,'Financial Quarterly onshore'!99:99)</f>
        <v>0</v>
      </c>
      <c r="L77" s="227">
        <f ca="1">IFERROR(OR(L$6,L$7)*'Historical BU2'!K28,0)*L20+IFERROR(OR(L$6,L$7)*'Historical BU2'!K29,0)*L20+L9*SUMIF('Financial Quarterly onshore'!7:7,'IS onshore'!L10,'Financial Quarterly onshore'!99:99)</f>
        <v>0</v>
      </c>
      <c r="M77" s="227">
        <f ca="1">IFERROR(OR(M$6,M$7)*'Historical BU2'!L28,0)*M20+IFERROR(OR(M$6,M$7)*'Historical BU2'!L29,0)*M20+M9*SUMIF('Financial Quarterly onshore'!7:7,'IS onshore'!M10,'Financial Quarterly onshore'!99:99)</f>
        <v>0</v>
      </c>
      <c r="N77" s="227">
        <f ca="1">IFERROR(OR(N$6,N$7)*'Historical BU2'!M28,0)*N20+IFERROR(OR(N$6,N$7)*'Historical BU2'!M29,0)*N20+N9*SUMIF('Financial Quarterly onshore'!7:7,'IS onshore'!N10,'Financial Quarterly onshore'!99:99)</f>
        <v>0</v>
      </c>
      <c r="O77" s="227">
        <f ca="1">IFERROR(OR(O$6,O$7)*'Historical BU2'!N28,0)*O20+IFERROR(OR(O$6,O$7)*'Historical BU2'!N29,0)*O20+O9*SUMIF('Financial Quarterly onshore'!7:7,'IS onshore'!O10,'Financial Quarterly onshore'!99:99)</f>
        <v>0</v>
      </c>
      <c r="P77" s="227">
        <f ca="1">IFERROR(OR(P$6,P$7)*'Historical BU2'!O28,0)*P20+IFERROR(OR(P$6,P$7)*'Historical BU2'!O29,0)*P20+P9*SUMIF('Financial Quarterly onshore'!7:7,'IS onshore'!P10,'Financial Quarterly onshore'!99:99)</f>
        <v>0</v>
      </c>
      <c r="Q77" s="227">
        <f>IFERROR(OR(Q$6,Q$7)*'Historical BU1'!P28,0)*Q20+IFERROR(OR(Q$6,Q$7)*'Historical BU1'!P29,0)*Q20+Q9*SUMIF('Financial Quarterly onshore'!7:7,'IS onshore'!Q10,'Financial Quarterly onshore'!99:99)</f>
        <v>0</v>
      </c>
      <c r="R77" s="227">
        <f>IFERROR(OR(R$6,R$7)*'Historical BU1'!Q28,0)*R20+IFERROR(OR(R$6,R$7)*'Historical BU1'!Q29,0)*R20+R9*SUMIF('Financial Quarterly onshore'!7:7,'IS onshore'!R10,'Financial Quarterly onshore'!99:99)</f>
        <v>0</v>
      </c>
      <c r="S77" s="227">
        <f>IFERROR(OR(S$6,S$7)*'Historical BU1'!R28,0)*S20+IFERROR(OR(S$6,S$7)*'Historical BU1'!R29,0)*S20+S9*SUMIF('Financial Quarterly onshore'!7:7,'IS onshore'!S10,'Financial Quarterly onshore'!99:99)</f>
        <v>0</v>
      </c>
      <c r="T77" s="227">
        <f>IFERROR(OR(T$6,T$7)*'Historical BU1'!S28,0)*T20+IFERROR(OR(T$6,T$7)*'Historical BU1'!S29,0)*T20+T9*SUMIF('Financial Quarterly onshore'!7:7,'IS onshore'!T10,'Financial Quarterly onshore'!99:99)</f>
        <v>0</v>
      </c>
      <c r="U77" s="227">
        <f>IFERROR(OR(U$6,U$7)*'Historical BU1'!T28,0)*U20+IFERROR(OR(U$6,U$7)*'Historical BU1'!T29,0)*U20+U9*SUMIF('Financial Quarterly onshore'!7:7,'IS onshore'!U10,'Financial Quarterly onshore'!99:99)</f>
        <v>0</v>
      </c>
    </row>
    <row r="78" spans="3:21" ht="14.4" hidden="1" customHeight="1" outlineLevel="1">
      <c r="C78" s="218"/>
      <c r="D78" s="365"/>
      <c r="E78" s="243"/>
      <c r="F78" s="243"/>
      <c r="G78" s="243"/>
      <c r="H78" s="243"/>
      <c r="I78" s="243"/>
      <c r="J78" s="243"/>
      <c r="K78" s="243"/>
      <c r="L78" s="243"/>
      <c r="M78" s="243"/>
      <c r="N78" s="243"/>
      <c r="O78" s="243"/>
      <c r="P78" s="243"/>
      <c r="Q78" s="243"/>
      <c r="R78" s="243"/>
      <c r="S78" s="243"/>
      <c r="T78" s="243"/>
      <c r="U78" s="243"/>
    </row>
    <row r="79" spans="3:21" collapsed="1">
      <c r="C79" s="199" t="s">
        <v>886</v>
      </c>
      <c r="D79" s="364"/>
      <c r="E79" s="259">
        <f>E73+E77</f>
        <v>0</v>
      </c>
      <c r="F79" s="259">
        <f t="shared" ref="F79:U79" si="37">F73+F77</f>
        <v>0</v>
      </c>
      <c r="G79" s="259">
        <f t="shared" si="37"/>
        <v>0</v>
      </c>
      <c r="H79" s="259">
        <f t="shared" si="37"/>
        <v>0</v>
      </c>
      <c r="I79" s="259">
        <f t="shared" si="37"/>
        <v>0</v>
      </c>
      <c r="J79" s="259">
        <f t="shared" ca="1" si="37"/>
        <v>0</v>
      </c>
      <c r="K79" s="259">
        <f t="shared" ca="1" si="37"/>
        <v>0</v>
      </c>
      <c r="L79" s="259">
        <f t="shared" ca="1" si="37"/>
        <v>0</v>
      </c>
      <c r="M79" s="259">
        <f t="shared" ca="1" si="37"/>
        <v>0</v>
      </c>
      <c r="N79" s="259">
        <f t="shared" ca="1" si="37"/>
        <v>0</v>
      </c>
      <c r="O79" s="259">
        <f t="shared" ca="1" si="37"/>
        <v>0</v>
      </c>
      <c r="P79" s="259">
        <f t="shared" ca="1" si="37"/>
        <v>0</v>
      </c>
      <c r="Q79" s="259">
        <f t="shared" si="37"/>
        <v>0</v>
      </c>
      <c r="R79" s="259">
        <f t="shared" si="37"/>
        <v>0</v>
      </c>
      <c r="S79" s="259">
        <f t="shared" si="37"/>
        <v>0</v>
      </c>
      <c r="T79" s="259">
        <f t="shared" si="37"/>
        <v>0</v>
      </c>
      <c r="U79" s="259">
        <f t="shared" si="37"/>
        <v>0</v>
      </c>
    </row>
    <row r="80" spans="3:21">
      <c r="C80" s="183"/>
      <c r="D80" s="221" t="s">
        <v>876</v>
      </c>
      <c r="E80" s="185" t="str">
        <f t="shared" ref="E80:U80" si="38">IFERROR(E79/INDEX(79:79,MATCH(DATE(YEAR(E$18)-1,MONTH(E$18),DAY(E$18)),$18:$18,0))-1,"n.a.")</f>
        <v>n.a.</v>
      </c>
      <c r="F80" s="185" t="str">
        <f t="shared" si="38"/>
        <v>n.a.</v>
      </c>
      <c r="G80" s="185" t="str">
        <f t="shared" si="38"/>
        <v>n.a.</v>
      </c>
      <c r="H80" s="185" t="str">
        <f t="shared" si="38"/>
        <v>n.a.</v>
      </c>
      <c r="I80" s="185" t="str">
        <f t="shared" si="38"/>
        <v>n.a.</v>
      </c>
      <c r="J80" s="185" t="str">
        <f t="shared" ca="1" si="38"/>
        <v>n.a.</v>
      </c>
      <c r="K80" s="185" t="str">
        <f t="shared" ca="1" si="38"/>
        <v>n.a.</v>
      </c>
      <c r="L80" s="185" t="str">
        <f t="shared" ca="1" si="38"/>
        <v>n.a.</v>
      </c>
      <c r="M80" s="185" t="str">
        <f t="shared" ca="1" si="38"/>
        <v>n.a.</v>
      </c>
      <c r="N80" s="185" t="str">
        <f t="shared" ca="1" si="38"/>
        <v>n.a.</v>
      </c>
      <c r="O80" s="185" t="str">
        <f t="shared" ca="1" si="38"/>
        <v>n.a.</v>
      </c>
      <c r="P80" s="185" t="str">
        <f t="shared" ca="1" si="38"/>
        <v>n.a.</v>
      </c>
      <c r="Q80" s="185" t="str">
        <f t="shared" si="38"/>
        <v>n.a.</v>
      </c>
      <c r="R80" s="185" t="str">
        <f t="shared" si="38"/>
        <v>n.a.</v>
      </c>
      <c r="S80" s="185" t="str">
        <f t="shared" si="38"/>
        <v>n.a.</v>
      </c>
      <c r="T80" s="185" t="str">
        <f t="shared" si="38"/>
        <v>n.a.</v>
      </c>
      <c r="U80" s="185" t="str">
        <f t="shared" si="38"/>
        <v>n.a.</v>
      </c>
    </row>
    <row r="81" spans="3:21">
      <c r="C81" s="183"/>
      <c r="D81" s="221" t="s">
        <v>882</v>
      </c>
      <c r="E81" s="185" t="e">
        <f t="shared" ref="E81:U81" si="39">E79/E$26</f>
        <v>#DIV/0!</v>
      </c>
      <c r="F81" s="185" t="e">
        <f t="shared" si="39"/>
        <v>#DIV/0!</v>
      </c>
      <c r="G81" s="185" t="e">
        <f t="shared" si="39"/>
        <v>#DIV/0!</v>
      </c>
      <c r="H81" s="185" t="e">
        <f t="shared" si="39"/>
        <v>#DIV/0!</v>
      </c>
      <c r="I81" s="185" t="e">
        <f t="shared" si="39"/>
        <v>#DIV/0!</v>
      </c>
      <c r="J81" s="185" t="e">
        <f t="shared" ca="1" si="39"/>
        <v>#DIV/0!</v>
      </c>
      <c r="K81" s="185" t="e">
        <f t="shared" ca="1" si="39"/>
        <v>#DIV/0!</v>
      </c>
      <c r="L81" s="185" t="e">
        <f t="shared" ca="1" si="39"/>
        <v>#DIV/0!</v>
      </c>
      <c r="M81" s="185" t="e">
        <f t="shared" ca="1" si="39"/>
        <v>#DIV/0!</v>
      </c>
      <c r="N81" s="185" t="e">
        <f t="shared" ca="1" si="39"/>
        <v>#DIV/0!</v>
      </c>
      <c r="O81" s="185" t="e">
        <f t="shared" ca="1" si="39"/>
        <v>#DIV/0!</v>
      </c>
      <c r="P81" s="185" t="e">
        <f t="shared" ca="1" si="39"/>
        <v>#DIV/0!</v>
      </c>
      <c r="Q81" s="185" t="e">
        <f t="shared" si="39"/>
        <v>#DIV/0!</v>
      </c>
      <c r="R81" s="185" t="e">
        <f t="shared" si="39"/>
        <v>#DIV/0!</v>
      </c>
      <c r="S81" s="185" t="e">
        <f t="shared" si="39"/>
        <v>#DIV/0!</v>
      </c>
      <c r="T81" s="185" t="e">
        <f t="shared" si="39"/>
        <v>#DIV/0!</v>
      </c>
      <c r="U81" s="185" t="e">
        <f t="shared" si="39"/>
        <v>#DIV/0!</v>
      </c>
    </row>
    <row r="82" spans="3:21" s="38" customFormat="1" hidden="1" outlineLevel="1">
      <c r="C82" s="33"/>
      <c r="D82" s="368"/>
      <c r="E82" s="238"/>
      <c r="F82" s="238"/>
      <c r="G82" s="238"/>
      <c r="H82" s="238"/>
      <c r="I82" s="238"/>
      <c r="J82" s="238"/>
      <c r="K82" s="238"/>
      <c r="L82" s="244"/>
      <c r="M82" s="244"/>
      <c r="N82" s="244"/>
      <c r="O82" s="244"/>
      <c r="P82" s="244"/>
      <c r="Q82" s="244"/>
      <c r="R82" s="244"/>
      <c r="S82" s="244"/>
      <c r="T82" s="244"/>
      <c r="U82" s="244"/>
    </row>
    <row r="83" spans="3:21" collapsed="1">
      <c r="C83" s="180" t="s">
        <v>887</v>
      </c>
      <c r="D83" s="366"/>
      <c r="E83" s="227">
        <f t="shared" ref="E83:U83" si="40">SUM(E85:E86)</f>
        <v>0</v>
      </c>
      <c r="F83" s="227">
        <f t="shared" si="40"/>
        <v>0</v>
      </c>
      <c r="G83" s="227">
        <f t="shared" si="40"/>
        <v>0</v>
      </c>
      <c r="H83" s="227">
        <f t="shared" si="40"/>
        <v>0</v>
      </c>
      <c r="I83" s="227">
        <f t="shared" si="40"/>
        <v>0</v>
      </c>
      <c r="J83" s="227">
        <f t="shared" ca="1" si="40"/>
        <v>0</v>
      </c>
      <c r="K83" s="227">
        <f t="shared" ca="1" si="40"/>
        <v>0</v>
      </c>
      <c r="L83" s="227">
        <f t="shared" ca="1" si="40"/>
        <v>0</v>
      </c>
      <c r="M83" s="227">
        <f t="shared" ca="1" si="40"/>
        <v>0</v>
      </c>
      <c r="N83" s="227">
        <f t="shared" ca="1" si="40"/>
        <v>0</v>
      </c>
      <c r="O83" s="227">
        <f t="shared" ca="1" si="40"/>
        <v>0</v>
      </c>
      <c r="P83" s="227">
        <f t="shared" ca="1" si="40"/>
        <v>0</v>
      </c>
      <c r="Q83" s="227">
        <f t="shared" si="40"/>
        <v>0</v>
      </c>
      <c r="R83" s="227">
        <f t="shared" si="40"/>
        <v>0</v>
      </c>
      <c r="S83" s="227">
        <f t="shared" si="40"/>
        <v>0</v>
      </c>
      <c r="T83" s="227">
        <f t="shared" si="40"/>
        <v>0</v>
      </c>
      <c r="U83" s="227">
        <f t="shared" si="40"/>
        <v>0</v>
      </c>
    </row>
    <row r="84" spans="3:21">
      <c r="C84" s="183"/>
      <c r="D84" s="221" t="s">
        <v>888</v>
      </c>
      <c r="E84" s="185" t="e">
        <f t="shared" ref="E84:F84" si="41">-E83/E79</f>
        <v>#DIV/0!</v>
      </c>
      <c r="F84" s="185" t="e">
        <f t="shared" si="41"/>
        <v>#DIV/0!</v>
      </c>
      <c r="G84" s="185" t="e">
        <f>-G83/G79</f>
        <v>#DIV/0!</v>
      </c>
      <c r="H84" s="185" t="e">
        <f>-H83/H79</f>
        <v>#DIV/0!</v>
      </c>
      <c r="I84" s="185" t="e">
        <f>-I83/I79</f>
        <v>#DIV/0!</v>
      </c>
      <c r="J84" s="185" t="e">
        <f ca="1">-J83/J79</f>
        <v>#DIV/0!</v>
      </c>
      <c r="K84" s="185" t="e">
        <f ca="1">-K83/K79</f>
        <v>#DIV/0!</v>
      </c>
      <c r="L84" s="185" t="e">
        <f t="shared" ref="L84:U84" ca="1" si="42">-L83/L79</f>
        <v>#DIV/0!</v>
      </c>
      <c r="M84" s="185" t="e">
        <f t="shared" ca="1" si="42"/>
        <v>#DIV/0!</v>
      </c>
      <c r="N84" s="185" t="e">
        <f t="shared" ca="1" si="42"/>
        <v>#DIV/0!</v>
      </c>
      <c r="O84" s="185" t="e">
        <f t="shared" ca="1" si="42"/>
        <v>#DIV/0!</v>
      </c>
      <c r="P84" s="185" t="e">
        <f t="shared" ca="1" si="42"/>
        <v>#DIV/0!</v>
      </c>
      <c r="Q84" s="185" t="e">
        <f t="shared" si="42"/>
        <v>#DIV/0!</v>
      </c>
      <c r="R84" s="185" t="e">
        <f t="shared" si="42"/>
        <v>#DIV/0!</v>
      </c>
      <c r="S84" s="185" t="e">
        <f t="shared" si="42"/>
        <v>#DIV/0!</v>
      </c>
      <c r="T84" s="185" t="e">
        <f t="shared" si="42"/>
        <v>#DIV/0!</v>
      </c>
      <c r="U84" s="185" t="e">
        <f t="shared" si="42"/>
        <v>#DIV/0!</v>
      </c>
    </row>
    <row r="85" spans="3:21" s="186" customFormat="1" hidden="1" outlineLevel="1">
      <c r="D85" s="361" t="str">
        <f>BU2_name</f>
        <v>Onshore</v>
      </c>
      <c r="E85" s="245">
        <f>(IFERROR(INDEX('Scenarios onshore'!155:155,MATCH('IS onshore'!E18,'Scenarios onshore'!4:4,0)),0)*E20)</f>
        <v>0</v>
      </c>
      <c r="F85" s="245">
        <f>(IFERROR(INDEX('Scenarios onshore'!155:155,MATCH('IS onshore'!F18,'Scenarios onshore'!4:4,0)),0)*F20)</f>
        <v>0</v>
      </c>
      <c r="G85" s="245">
        <f>(IFERROR(INDEX('Scenarios onshore'!155:155,MATCH('IS onshore'!G18,'Scenarios onshore'!4:4,0)),0)*G20)</f>
        <v>0</v>
      </c>
      <c r="H85" s="245">
        <f>(IFERROR(INDEX('Scenarios onshore'!155:155,MATCH('IS onshore'!H18,'Scenarios onshore'!4:4,0)),0)*H20)</f>
        <v>0</v>
      </c>
      <c r="I85" s="245">
        <f>(IFERROR(INDEX('Scenarios onshore'!155:155,MATCH('IS onshore'!I18,'Scenarios onshore'!4:4,0)),0)*I20)</f>
        <v>0</v>
      </c>
      <c r="J85" s="245">
        <f>(IFERROR(INDEX('Scenarios onshore'!155:155,MATCH('IS onshore'!J18,'Scenarios onshore'!4:4,0)),0)*J20)</f>
        <v>0</v>
      </c>
      <c r="K85" s="245">
        <f>(IFERROR(INDEX('Scenarios onshore'!155:155,MATCH('IS onshore'!K18,'Scenarios onshore'!4:4,0)),0)*K20)</f>
        <v>0</v>
      </c>
      <c r="L85" s="245">
        <f>(IFERROR(INDEX('Scenarios onshore'!155:155,MATCH('IS onshore'!L18,'Scenarios onshore'!4:4,0)),0)*L20)</f>
        <v>0</v>
      </c>
      <c r="M85" s="245">
        <f>(IFERROR(INDEX('Scenarios onshore'!155:155,MATCH('IS onshore'!M18,'Scenarios onshore'!4:4,0)),0)*M20)</f>
        <v>0</v>
      </c>
      <c r="N85" s="245">
        <f>(IFERROR(INDEX('Scenarios onshore'!155:155,MATCH('IS onshore'!N18,'Scenarios onshore'!4:4,0)),0)*N20)</f>
        <v>0</v>
      </c>
      <c r="O85" s="245">
        <f>(IFERROR(INDEX('Scenarios onshore'!155:155,MATCH('IS onshore'!O18,'Scenarios onshore'!4:4,0)),0)*O20)</f>
        <v>0</v>
      </c>
      <c r="P85" s="245">
        <f>(IFERROR(INDEX('Scenarios onshore'!155:155,MATCH('IS onshore'!P18,'Scenarios onshore'!4:4,0)),0)*P20)</f>
        <v>0</v>
      </c>
      <c r="Q85" s="245">
        <f>(IFERROR(INDEX('Scenarios onshore'!155:155,MATCH('IS onshore'!Q18,'Scenarios onshore'!4:4,0)),0)*Q20)</f>
        <v>0</v>
      </c>
      <c r="R85" s="245">
        <f>(IFERROR(INDEX('Scenarios onshore'!155:155,MATCH('IS onshore'!R18,'Scenarios onshore'!4:4,0)),0)*R20)</f>
        <v>0</v>
      </c>
      <c r="S85" s="245">
        <f>(IFERROR(INDEX('Scenarios onshore'!155:155,MATCH('IS onshore'!S18,'Scenarios onshore'!4:4,0)),0)*S20)</f>
        <v>0</v>
      </c>
      <c r="T85" s="245">
        <f>(IFERROR(INDEX('Scenarios onshore'!155:155,MATCH('IS onshore'!T18,'Scenarios onshore'!4:4,0)),0)*T20)</f>
        <v>0</v>
      </c>
      <c r="U85" s="245">
        <f>(IFERROR(INDEX('Scenarios onshore'!155:155,MATCH('IS onshore'!U18,'Scenarios onshore'!4:4,0)),0)*U20)</f>
        <v>0</v>
      </c>
    </row>
    <row r="86" spans="3:21" s="186" customFormat="1" hidden="1" outlineLevel="1">
      <c r="D86" s="361" t="s">
        <v>889</v>
      </c>
      <c r="E86" s="245">
        <f>E9*SUMIF('Financial Quarterly onshore'!7:7,'IS onshore'!E10,'Financial Quarterly onshore'!91:91)</f>
        <v>0</v>
      </c>
      <c r="F86" s="245">
        <f>F9*SUMIF('Financial Quarterly onshore'!7:7,'IS onshore'!F10,'Financial Quarterly onshore'!91:91)</f>
        <v>0</v>
      </c>
      <c r="G86" s="245">
        <f>G9*SUMIF('Financial Quarterly onshore'!7:7,'IS onshore'!G10,'Financial Quarterly onshore'!91:91)</f>
        <v>0</v>
      </c>
      <c r="H86" s="245">
        <f>H9*SUMIF('Financial Quarterly onshore'!7:7,'IS onshore'!H10,'Financial Quarterly onshore'!91:91)</f>
        <v>0</v>
      </c>
      <c r="I86" s="245">
        <f>I9*SUMIF('Financial Quarterly onshore'!7:7,'IS onshore'!I10,'Financial Quarterly onshore'!91:91)</f>
        <v>0</v>
      </c>
      <c r="J86" s="245">
        <f ca="1">J9*SUMIF('Financial Quarterly onshore'!7:7,'IS onshore'!J10,'Financial Quarterly onshore'!91:91)</f>
        <v>0</v>
      </c>
      <c r="K86" s="245">
        <f ca="1">K9*SUMIF('Financial Quarterly onshore'!7:7,'IS onshore'!K10,'Financial Quarterly onshore'!91:91)</f>
        <v>0</v>
      </c>
      <c r="L86" s="247">
        <f ca="1">L9*SUMIF('Financial Quarterly onshore'!7:7,'IS onshore'!L10,'Financial Quarterly onshore'!91:91)</f>
        <v>0</v>
      </c>
      <c r="M86" s="247">
        <f ca="1">M9*SUMIF('Financial Quarterly onshore'!7:7,'IS onshore'!M10,'Financial Quarterly onshore'!91:91)</f>
        <v>0</v>
      </c>
      <c r="N86" s="247">
        <f ca="1">N9*SUMIF('Financial Quarterly onshore'!7:7,'IS onshore'!N10,'Financial Quarterly onshore'!91:91)</f>
        <v>0</v>
      </c>
      <c r="O86" s="247">
        <f ca="1">O9*SUMIF('Financial Quarterly onshore'!7:7,'IS onshore'!O10,'Financial Quarterly onshore'!91:91)</f>
        <v>0</v>
      </c>
      <c r="P86" s="247">
        <f ca="1">P9*SUMIF('Financial Quarterly onshore'!7:7,'IS onshore'!P10,'Financial Quarterly onshore'!91:91)</f>
        <v>0</v>
      </c>
      <c r="Q86" s="247">
        <f>Q9*SUMIF('Financial Quarterly onshore'!7:7,'IS onshore'!Q10,'Financial Quarterly onshore'!91:91)</f>
        <v>0</v>
      </c>
      <c r="R86" s="247">
        <f>R9*SUMIF('Financial Quarterly onshore'!7:7,'IS onshore'!R10,'Financial Quarterly onshore'!91:91)</f>
        <v>0</v>
      </c>
      <c r="S86" s="247">
        <f>S9*SUMIF('Financial Quarterly onshore'!7:7,'IS onshore'!S10,'Financial Quarterly onshore'!91:91)</f>
        <v>0</v>
      </c>
      <c r="T86" s="247">
        <f>T9*SUMIF('Financial Quarterly onshore'!7:7,'IS onshore'!T10,'Financial Quarterly onshore'!91:91)</f>
        <v>0</v>
      </c>
      <c r="U86" s="247">
        <f>U9*SUMIF('Financial Quarterly onshore'!7:7,'IS onshore'!U10,'Financial Quarterly onshore'!91:91)</f>
        <v>0</v>
      </c>
    </row>
    <row r="87" spans="3:21" s="38" customFormat="1" hidden="1" outlineLevel="1">
      <c r="D87" s="365"/>
      <c r="E87" s="248"/>
      <c r="F87" s="248"/>
      <c r="G87" s="248"/>
      <c r="H87" s="248"/>
      <c r="I87" s="248"/>
      <c r="J87" s="248"/>
      <c r="K87" s="249"/>
      <c r="L87" s="250"/>
      <c r="M87" s="250"/>
      <c r="N87" s="250"/>
      <c r="O87" s="250"/>
      <c r="P87" s="250"/>
      <c r="Q87" s="250"/>
      <c r="R87" s="250"/>
      <c r="S87" s="250"/>
      <c r="T87" s="250"/>
      <c r="U87" s="250"/>
    </row>
    <row r="88" spans="3:21" hidden="1" outlineLevel="1">
      <c r="C88" s="217" t="s">
        <v>21</v>
      </c>
      <c r="D88" s="363"/>
      <c r="E88" s="252">
        <v>0</v>
      </c>
      <c r="F88" s="252">
        <v>0</v>
      </c>
      <c r="G88" s="252">
        <v>0</v>
      </c>
      <c r="H88" s="252">
        <v>0</v>
      </c>
      <c r="I88" s="252">
        <v>0</v>
      </c>
      <c r="J88" s="252">
        <v>0</v>
      </c>
      <c r="K88" s="252">
        <f>L88-I88</f>
        <v>0</v>
      </c>
      <c r="L88" s="252">
        <v>0</v>
      </c>
      <c r="M88" s="252">
        <v>0</v>
      </c>
      <c r="N88" s="252">
        <v>0</v>
      </c>
      <c r="O88" s="252">
        <v>0</v>
      </c>
      <c r="P88" s="252">
        <v>0</v>
      </c>
      <c r="Q88" s="252">
        <v>0</v>
      </c>
      <c r="R88" s="252">
        <v>0</v>
      </c>
      <c r="S88" s="252">
        <v>0</v>
      </c>
      <c r="T88" s="252">
        <v>0</v>
      </c>
      <c r="U88" s="252">
        <v>0</v>
      </c>
    </row>
    <row r="89" spans="3:21" hidden="1" outlineLevel="1">
      <c r="C89" s="109"/>
      <c r="D89" s="363"/>
      <c r="E89" s="230"/>
      <c r="F89" s="230"/>
      <c r="G89" s="240"/>
      <c r="H89" s="240"/>
      <c r="I89" s="240"/>
      <c r="J89" s="240"/>
      <c r="K89" s="253"/>
      <c r="L89" s="230"/>
      <c r="M89" s="230"/>
      <c r="N89" s="230"/>
      <c r="O89" s="230"/>
      <c r="P89" s="230"/>
      <c r="Q89" s="230"/>
      <c r="R89" s="230"/>
      <c r="S89" s="230"/>
      <c r="T89" s="230"/>
      <c r="U89" s="230"/>
    </row>
    <row r="90" spans="3:21" collapsed="1">
      <c r="C90" s="195" t="s">
        <v>1008</v>
      </c>
      <c r="D90" s="369"/>
      <c r="E90" s="260">
        <f t="shared" ref="E90:U90" si="43">E79+E83+E88</f>
        <v>0</v>
      </c>
      <c r="F90" s="260">
        <f t="shared" si="43"/>
        <v>0</v>
      </c>
      <c r="G90" s="260">
        <f t="shared" si="43"/>
        <v>0</v>
      </c>
      <c r="H90" s="260">
        <f t="shared" si="43"/>
        <v>0</v>
      </c>
      <c r="I90" s="260">
        <f t="shared" si="43"/>
        <v>0</v>
      </c>
      <c r="J90" s="260">
        <f t="shared" ca="1" si="43"/>
        <v>0</v>
      </c>
      <c r="K90" s="260">
        <f t="shared" ca="1" si="43"/>
        <v>0</v>
      </c>
      <c r="L90" s="260">
        <f t="shared" ca="1" si="43"/>
        <v>0</v>
      </c>
      <c r="M90" s="260">
        <f t="shared" ca="1" si="43"/>
        <v>0</v>
      </c>
      <c r="N90" s="260">
        <f t="shared" ca="1" si="43"/>
        <v>0</v>
      </c>
      <c r="O90" s="260">
        <f t="shared" ca="1" si="43"/>
        <v>0</v>
      </c>
      <c r="P90" s="260">
        <f t="shared" ca="1" si="43"/>
        <v>0</v>
      </c>
      <c r="Q90" s="260">
        <f t="shared" si="43"/>
        <v>0</v>
      </c>
      <c r="R90" s="260">
        <f t="shared" si="43"/>
        <v>0</v>
      </c>
      <c r="S90" s="260">
        <f t="shared" si="43"/>
        <v>0</v>
      </c>
      <c r="T90" s="260">
        <f t="shared" si="43"/>
        <v>0</v>
      </c>
      <c r="U90" s="260">
        <f t="shared" si="43"/>
        <v>0</v>
      </c>
    </row>
    <row r="91" spans="3:21">
      <c r="C91" s="183"/>
      <c r="D91" s="221" t="s">
        <v>876</v>
      </c>
      <c r="E91" s="185" t="str">
        <f t="shared" ref="E91:U91" si="44">IFERROR(E90/INDEX(90:90,MATCH(DATE(YEAR(E$18)-1,MONTH(E$18),DAY(E$18)),$18:$18,0))-1,"n.a.")</f>
        <v>n.a.</v>
      </c>
      <c r="F91" s="185" t="str">
        <f t="shared" si="44"/>
        <v>n.a.</v>
      </c>
      <c r="G91" s="185" t="str">
        <f t="shared" si="44"/>
        <v>n.a.</v>
      </c>
      <c r="H91" s="185" t="str">
        <f t="shared" si="44"/>
        <v>n.a.</v>
      </c>
      <c r="I91" s="185" t="str">
        <f t="shared" si="44"/>
        <v>n.a.</v>
      </c>
      <c r="J91" s="185" t="str">
        <f t="shared" ca="1" si="44"/>
        <v>n.a.</v>
      </c>
      <c r="K91" s="185" t="str">
        <f t="shared" ca="1" si="44"/>
        <v>n.a.</v>
      </c>
      <c r="L91" s="185" t="str">
        <f t="shared" ca="1" si="44"/>
        <v>n.a.</v>
      </c>
      <c r="M91" s="185" t="str">
        <f t="shared" ca="1" si="44"/>
        <v>n.a.</v>
      </c>
      <c r="N91" s="185" t="str">
        <f t="shared" ca="1" si="44"/>
        <v>n.a.</v>
      </c>
      <c r="O91" s="185" t="str">
        <f t="shared" ca="1" si="44"/>
        <v>n.a.</v>
      </c>
      <c r="P91" s="185" t="str">
        <f t="shared" ca="1" si="44"/>
        <v>n.a.</v>
      </c>
      <c r="Q91" s="185" t="str">
        <f t="shared" si="44"/>
        <v>n.a.</v>
      </c>
      <c r="R91" s="185" t="str">
        <f t="shared" si="44"/>
        <v>n.a.</v>
      </c>
      <c r="S91" s="185" t="str">
        <f t="shared" si="44"/>
        <v>n.a.</v>
      </c>
      <c r="T91" s="185" t="str">
        <f t="shared" si="44"/>
        <v>n.a.</v>
      </c>
      <c r="U91" s="185" t="str">
        <f t="shared" si="44"/>
        <v>n.a.</v>
      </c>
    </row>
    <row r="92" spans="3:21">
      <c r="C92" s="183"/>
      <c r="D92" s="221" t="s">
        <v>882</v>
      </c>
      <c r="E92" s="185" t="e">
        <f t="shared" ref="E92:U92" si="45">E90/E$26</f>
        <v>#DIV/0!</v>
      </c>
      <c r="F92" s="185" t="e">
        <f t="shared" si="45"/>
        <v>#DIV/0!</v>
      </c>
      <c r="G92" s="185" t="e">
        <f t="shared" si="45"/>
        <v>#DIV/0!</v>
      </c>
      <c r="H92" s="185" t="e">
        <f t="shared" si="45"/>
        <v>#DIV/0!</v>
      </c>
      <c r="I92" s="185" t="e">
        <f t="shared" si="45"/>
        <v>#DIV/0!</v>
      </c>
      <c r="J92" s="185" t="e">
        <f t="shared" ca="1" si="45"/>
        <v>#DIV/0!</v>
      </c>
      <c r="K92" s="185" t="e">
        <f t="shared" ca="1" si="45"/>
        <v>#DIV/0!</v>
      </c>
      <c r="L92" s="185" t="e">
        <f t="shared" ca="1" si="45"/>
        <v>#DIV/0!</v>
      </c>
      <c r="M92" s="185" t="e">
        <f t="shared" ca="1" si="45"/>
        <v>#DIV/0!</v>
      </c>
      <c r="N92" s="185" t="e">
        <f t="shared" ca="1" si="45"/>
        <v>#DIV/0!</v>
      </c>
      <c r="O92" s="185" t="e">
        <f t="shared" ca="1" si="45"/>
        <v>#DIV/0!</v>
      </c>
      <c r="P92" s="185" t="e">
        <f t="shared" ca="1" si="45"/>
        <v>#DIV/0!</v>
      </c>
      <c r="Q92" s="185" t="e">
        <f t="shared" si="45"/>
        <v>#DIV/0!</v>
      </c>
      <c r="R92" s="185" t="e">
        <f t="shared" si="45"/>
        <v>#DIV/0!</v>
      </c>
      <c r="S92" s="185" t="e">
        <f t="shared" si="45"/>
        <v>#DIV/0!</v>
      </c>
      <c r="T92" s="185" t="e">
        <f t="shared" si="45"/>
        <v>#DIV/0!</v>
      </c>
      <c r="U92" s="185" t="e">
        <f t="shared" si="45"/>
        <v>#DIV/0!</v>
      </c>
    </row>
    <row r="93" spans="3:21" hidden="1" outlineLevel="1">
      <c r="C93" s="109"/>
      <c r="D93" s="367"/>
      <c r="E93" s="36"/>
      <c r="F93" s="36"/>
      <c r="G93" s="36"/>
      <c r="H93" s="36"/>
      <c r="I93" s="36"/>
      <c r="J93" s="36"/>
      <c r="K93" s="242"/>
      <c r="L93" s="242"/>
      <c r="M93" s="242"/>
      <c r="N93" s="242"/>
      <c r="O93" s="242"/>
      <c r="P93" s="242"/>
      <c r="Q93" s="242"/>
      <c r="R93" s="242"/>
      <c r="S93" s="242"/>
      <c r="T93" s="242"/>
      <c r="U93" s="242"/>
    </row>
    <row r="94" spans="3:21" collapsed="1">
      <c r="C94" s="195" t="s">
        <v>1063</v>
      </c>
      <c r="D94" s="369"/>
      <c r="E94" s="260"/>
      <c r="F94" s="260">
        <f ca="1">-F9*SUMIF('Financial Quarterly onshore'!7:7,'IS onshore'!F10,'Financial Quarterly onshore'!94:94)+-OR(F6,F7)*('BS onshore'!F126-'BS onshore'!E126-'IS onshore'!F90)</f>
        <v>0</v>
      </c>
      <c r="G94" s="260">
        <f ca="1">-G9*SUMIF('Financial Quarterly onshore'!7:7,'IS onshore'!G10,'Financial Quarterly onshore'!94:94)+-OR(G6,G7)*('BS onshore'!G126-'BS onshore'!F126-'IS onshore'!G90)</f>
        <v>0</v>
      </c>
      <c r="H94" s="260">
        <f ca="1">-H9*SUMIF('Financial Quarterly onshore'!7:7,'IS onshore'!H10,'Financial Quarterly onshore'!94:94)+-OR(H6,H7)*('BS onshore'!H126-'BS onshore'!G126-'IS onshore'!H90)</f>
        <v>0</v>
      </c>
      <c r="I94" s="260">
        <f ca="1">-I9*SUMIF('Financial Quarterly onshore'!7:7,'IS onshore'!I10,'Financial Quarterly onshore'!94:94)+-OR(I6,I7)*('BS onshore'!I126-'BS onshore'!H126-'IS onshore'!I90)</f>
        <v>0</v>
      </c>
      <c r="J94" s="260">
        <f ca="1">-J9*SUMIF('Financial Quarterly onshore'!7:7,'IS onshore'!J10,'Financial Quarterly onshore'!94:94)+-OR(J6,J7)*('BS onshore'!J126-'BS onshore'!I126-'IS onshore'!J90)</f>
        <v>0</v>
      </c>
      <c r="K94" s="260">
        <f ca="1">-K9*SUMIF('Financial Quarterly onshore'!7:7,'IS onshore'!K10,'Financial Quarterly onshore'!94:94)+-OR(K6,K7)*('BS onshore'!K126-'BS onshore'!J126-'IS onshore'!K90)</f>
        <v>0</v>
      </c>
      <c r="L94" s="260">
        <f ca="1">-L9*SUMIF('Financial Quarterly onshore'!7:7,'IS onshore'!L10,'Financial Quarterly onshore'!94:94)+-OR(L6,L7)*('BS onshore'!L126-'BS onshore'!K126-'IS onshore'!L90)</f>
        <v>0</v>
      </c>
      <c r="M94" s="260">
        <f ca="1">-M9*SUMIF('Financial Quarterly onshore'!7:7,'IS onshore'!M10,'Financial Quarterly onshore'!94:94)+-OR(M6,M7)*('BS onshore'!M126-'BS onshore'!L126-'IS onshore'!M90)</f>
        <v>0</v>
      </c>
      <c r="N94" s="260">
        <f ca="1">-N9*SUMIF('Financial Quarterly onshore'!7:7,'IS onshore'!N10,'Financial Quarterly onshore'!94:94)+-OR(N6,N7)*('BS onshore'!N126-'BS onshore'!M126-'IS onshore'!N90)</f>
        <v>0</v>
      </c>
      <c r="O94" s="260">
        <f ca="1">-O9*SUMIF('Financial Quarterly onshore'!7:7,'IS onshore'!O10,'Financial Quarterly onshore'!94:94)+-OR(O6,O7)*('BS onshore'!O126-'BS onshore'!N126-'IS onshore'!O90)</f>
        <v>0</v>
      </c>
      <c r="P94" s="260">
        <f ca="1">-P9*SUMIF('Financial Quarterly onshore'!7:7,'IS onshore'!P10,'Financial Quarterly onshore'!94:94)+-OR(P6,P7)*('BS onshore'!P126-'BS onshore'!O126-'IS onshore'!P90)</f>
        <v>0</v>
      </c>
      <c r="Q94" s="260">
        <f ca="1">-Q9*SUMIF('Financial Quarterly onshore'!7:7,'IS onshore'!Q10,'Financial Quarterly onshore'!94:94)+-OR(Q6,Q7)*('BS onshore'!Q126-'BS onshore'!P126-'IS onshore'!Q90)</f>
        <v>0</v>
      </c>
      <c r="R94" s="260">
        <f ca="1">-R9*SUMIF('Financial Quarterly onshore'!7:7,'IS onshore'!R10,'Financial Quarterly onshore'!94:94)+-OR(R6,R7)*('BS onshore'!R126-'BS onshore'!Q126-'IS onshore'!R90)</f>
        <v>0</v>
      </c>
      <c r="S94" s="260">
        <f>-S9*SUMIF('Financial Quarterly onshore'!7:7,'IS onshore'!S10,'Financial Quarterly onshore'!94:94)+-OR(S6,S7)*('BS onshore'!S126-'BS onshore'!R126-'IS onshore'!S90)</f>
        <v>0</v>
      </c>
      <c r="T94" s="260">
        <f>-T9*SUMIF('Financial Quarterly onshore'!7:7,'IS onshore'!T10,'Financial Quarterly onshore'!94:94)+-OR(T6,T7)*('BS onshore'!T126-'BS onshore'!S126-'IS onshore'!T90)</f>
        <v>0</v>
      </c>
      <c r="U94" s="260">
        <f>-U9*SUMIF('Financial Quarterly onshore'!7:7,'IS onshore'!U10,'Financial Quarterly onshore'!94:94)+-OR(U6,U7)*('BS onshore'!U126-'BS onshore'!T126-'IS onshore'!U90)</f>
        <v>0</v>
      </c>
    </row>
    <row r="95" spans="3:21">
      <c r="C95" s="183"/>
      <c r="D95" s="221" t="s">
        <v>890</v>
      </c>
      <c r="E95" s="185" t="e">
        <f t="shared" ref="E95:K95" si="46">E94/E90</f>
        <v>#DIV/0!</v>
      </c>
      <c r="F95" s="185" t="e">
        <f t="shared" ca="1" si="46"/>
        <v>#DIV/0!</v>
      </c>
      <c r="G95" s="185" t="e">
        <f t="shared" ca="1" si="46"/>
        <v>#DIV/0!</v>
      </c>
      <c r="H95" s="185" t="e">
        <f t="shared" ca="1" si="46"/>
        <v>#DIV/0!</v>
      </c>
      <c r="I95" s="185" t="e">
        <f t="shared" ca="1" si="46"/>
        <v>#DIV/0!</v>
      </c>
      <c r="J95" s="185" t="e">
        <f t="shared" ca="1" si="46"/>
        <v>#DIV/0!</v>
      </c>
      <c r="K95" s="185" t="e">
        <f t="shared" ca="1" si="46"/>
        <v>#DIV/0!</v>
      </c>
      <c r="L95" s="185" t="e">
        <f ca="1">L94/L90</f>
        <v>#DIV/0!</v>
      </c>
      <c r="M95" s="185" t="e">
        <f t="shared" ref="M95:U95" ca="1" si="47">M94/M90</f>
        <v>#DIV/0!</v>
      </c>
      <c r="N95" s="185" t="e">
        <f t="shared" ca="1" si="47"/>
        <v>#DIV/0!</v>
      </c>
      <c r="O95" s="185" t="e">
        <f t="shared" ca="1" si="47"/>
        <v>#DIV/0!</v>
      </c>
      <c r="P95" s="185" t="e">
        <f t="shared" ca="1" si="47"/>
        <v>#DIV/0!</v>
      </c>
      <c r="Q95" s="185" t="e">
        <f t="shared" ca="1" si="47"/>
        <v>#DIV/0!</v>
      </c>
      <c r="R95" s="185" t="e">
        <f t="shared" ca="1" si="47"/>
        <v>#DIV/0!</v>
      </c>
      <c r="S95" s="185" t="e">
        <f t="shared" si="47"/>
        <v>#DIV/0!</v>
      </c>
      <c r="T95" s="185" t="e">
        <f t="shared" si="47"/>
        <v>#DIV/0!</v>
      </c>
      <c r="U95" s="185" t="e">
        <f t="shared" si="47"/>
        <v>#DIV/0!</v>
      </c>
    </row>
  </sheetData>
  <phoneticPr fontId="52" type="noConversion"/>
  <conditionalFormatting sqref="E5:AC9">
    <cfRule type="cellIs" dxfId="39" priority="1" operator="equal">
      <formula>TRUE</formula>
    </cfRule>
  </conditionalFormatting>
  <pageMargins left="0.7" right="0.7" top="0.75" bottom="0.75" header="0.3" footer="0.3"/>
  <pageSetup paperSize="9" scale="42" orientation="portrait" r:id="rId1"/>
  <colBreaks count="1" manualBreakCount="1">
    <brk id="17" max="1048575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6609" r:id="rId4" name="Drop Down 1">
              <controlPr defaultSize="0" autoLine="0" autoPict="0">
                <anchor moveWithCells="1">
                  <from>
                    <xdr:col>4</xdr:col>
                    <xdr:colOff>73152</xdr:colOff>
                    <xdr:row>0</xdr:row>
                    <xdr:rowOff>173736</xdr:rowOff>
                  </from>
                  <to>
                    <xdr:col>5</xdr:col>
                    <xdr:colOff>411480</xdr:colOff>
                    <xdr:row>15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AD143"/>
  <sheetViews>
    <sheetView view="pageBreakPreview" topLeftCell="A37" zoomScale="85" zoomScaleNormal="90" zoomScaleSheetLayoutView="85" workbookViewId="0">
      <selection activeCell="I78" sqref="I78"/>
    </sheetView>
  </sheetViews>
  <sheetFormatPr defaultColWidth="9.140625" defaultRowHeight="13" outlineLevelRow="1" outlineLevelCol="1"/>
  <cols>
    <col min="1" max="1" width="1.7109375" style="32" customWidth="1"/>
    <col min="2" max="2" width="2.5703125" style="32" customWidth="1"/>
    <col min="3" max="3" width="4.85546875" style="32" customWidth="1"/>
    <col min="4" max="4" width="27.42578125" style="32" customWidth="1"/>
    <col min="5" max="5" width="15.28515625" style="32" customWidth="1"/>
    <col min="6" max="6" width="14" style="32" customWidth="1"/>
    <col min="7" max="8" width="15.5703125" style="32" customWidth="1"/>
    <col min="9" max="9" width="15" style="32" customWidth="1"/>
    <col min="10" max="10" width="17.85546875" style="32" customWidth="1"/>
    <col min="11" max="11" width="21" style="32" customWidth="1"/>
    <col min="12" max="15" width="15.85546875" style="32" customWidth="1"/>
    <col min="16" max="16" width="14" style="32" customWidth="1"/>
    <col min="17" max="17" width="13.42578125" style="32" customWidth="1"/>
    <col min="18" max="18" width="10.42578125" style="32" hidden="1" customWidth="1" outlineLevel="1"/>
    <col min="19" max="19" width="11.5703125" style="32" hidden="1" customWidth="1" outlineLevel="1"/>
    <col min="20" max="22" width="10.42578125" style="32" hidden="1" customWidth="1" outlineLevel="1"/>
    <col min="23" max="23" width="23.5703125" style="32" hidden="1" customWidth="1" outlineLevel="1"/>
    <col min="24" max="24" width="10.42578125" style="32" hidden="1" customWidth="1" outlineLevel="1"/>
    <col min="25" max="25" width="12.5703125" style="32" hidden="1" customWidth="1" outlineLevel="1"/>
    <col min="26" max="26" width="10.42578125" style="32" hidden="1" customWidth="1" outlineLevel="1"/>
    <col min="27" max="27" width="11.5703125" style="32" hidden="1" customWidth="1" outlineLevel="1"/>
    <col min="28" max="28" width="18.85546875" style="32" hidden="1" customWidth="1" outlineLevel="1"/>
    <col min="29" max="29" width="9.5703125" style="32" hidden="1" customWidth="1" outlineLevel="1"/>
    <col min="30" max="30" width="9.140625" style="32" collapsed="1"/>
    <col min="31" max="16384" width="9.140625" style="32"/>
  </cols>
  <sheetData>
    <row r="1" spans="3:29" s="18" customFormat="1" ht="14.6" hidden="1" customHeight="1" outlineLevel="1">
      <c r="C1" s="24" t="s">
        <v>870</v>
      </c>
      <c r="D1" s="24">
        <f>'Control Panel'!B12</f>
        <v>2019</v>
      </c>
      <c r="E1" s="18" t="s">
        <v>689</v>
      </c>
      <c r="F1" s="5">
        <f>'Control Panel'!B11</f>
        <v>43466</v>
      </c>
      <c r="H1" s="18" t="s">
        <v>691</v>
      </c>
      <c r="I1" s="5">
        <f>'Control Panel'!B9</f>
        <v>43465</v>
      </c>
      <c r="K1" s="18" t="s">
        <v>705</v>
      </c>
      <c r="L1" s="18">
        <f>'Control Panel'!B13-'Control Panel'!B12+1</f>
        <v>6</v>
      </c>
    </row>
    <row r="2" spans="3:29" s="18" customFormat="1" ht="14.6" hidden="1" customHeight="1" outlineLevel="1">
      <c r="C2" s="24" t="s">
        <v>871</v>
      </c>
      <c r="D2" s="24">
        <f>'Financial summary'!E5</f>
        <v>1</v>
      </c>
      <c r="H2" s="18" t="s">
        <v>693</v>
      </c>
      <c r="I2" s="27">
        <f>'Control Panel'!B5</f>
        <v>5</v>
      </c>
      <c r="K2" s="18" t="s">
        <v>1555</v>
      </c>
      <c r="L2" s="18">
        <f>stub_quarter+1</f>
        <v>5</v>
      </c>
    </row>
    <row r="3" spans="3:29" s="1" customFormat="1" ht="14.6" hidden="1" customHeight="1" outlineLevel="1"/>
    <row r="4" spans="3:29" s="1" customFormat="1" ht="14.6" hidden="1" customHeight="1" outlineLevel="1">
      <c r="C4" s="1" t="s">
        <v>692</v>
      </c>
      <c r="E4" s="1">
        <v>1</v>
      </c>
      <c r="F4" s="1">
        <f>E4+1</f>
        <v>2</v>
      </c>
      <c r="G4" s="1">
        <f t="shared" ref="G4:AC4" si="0">F4+1</f>
        <v>3</v>
      </c>
      <c r="H4" s="1">
        <f t="shared" si="0"/>
        <v>4</v>
      </c>
      <c r="I4" s="1">
        <f t="shared" si="0"/>
        <v>5</v>
      </c>
      <c r="J4" s="1">
        <f t="shared" si="0"/>
        <v>6</v>
      </c>
      <c r="K4" s="1">
        <f t="shared" si="0"/>
        <v>7</v>
      </c>
      <c r="L4" s="1">
        <f t="shared" si="0"/>
        <v>8</v>
      </c>
      <c r="M4" s="1">
        <f t="shared" si="0"/>
        <v>9</v>
      </c>
      <c r="N4" s="1">
        <f t="shared" si="0"/>
        <v>10</v>
      </c>
      <c r="O4" s="1">
        <f t="shared" si="0"/>
        <v>11</v>
      </c>
      <c r="P4" s="1">
        <f t="shared" si="0"/>
        <v>12</v>
      </c>
      <c r="Q4" s="1">
        <f t="shared" si="0"/>
        <v>13</v>
      </c>
      <c r="R4" s="1">
        <f t="shared" si="0"/>
        <v>14</v>
      </c>
      <c r="S4" s="1">
        <f t="shared" si="0"/>
        <v>15</v>
      </c>
      <c r="T4" s="1">
        <f t="shared" si="0"/>
        <v>16</v>
      </c>
      <c r="U4" s="1">
        <f t="shared" si="0"/>
        <v>17</v>
      </c>
      <c r="V4" s="1">
        <f t="shared" si="0"/>
        <v>18</v>
      </c>
      <c r="W4" s="1">
        <f t="shared" si="0"/>
        <v>19</v>
      </c>
      <c r="X4" s="1">
        <f t="shared" si="0"/>
        <v>20</v>
      </c>
      <c r="Y4" s="1">
        <f t="shared" si="0"/>
        <v>21</v>
      </c>
      <c r="Z4" s="1">
        <f t="shared" si="0"/>
        <v>22</v>
      </c>
      <c r="AA4" s="1">
        <f t="shared" si="0"/>
        <v>23</v>
      </c>
      <c r="AB4" s="1">
        <f t="shared" si="0"/>
        <v>24</v>
      </c>
      <c r="AC4" s="1">
        <f t="shared" si="0"/>
        <v>25</v>
      </c>
    </row>
    <row r="5" spans="3:29" s="1" customFormat="1" ht="14.6" hidden="1" customHeight="1" outlineLevel="1">
      <c r="C5" s="1" t="s">
        <v>719</v>
      </c>
      <c r="E5" s="29">
        <f>DATE('Control Panel'!B4,'Control Panel'!B6,'Control Panel'!B7)</f>
        <v>42004</v>
      </c>
      <c r="F5" s="29">
        <f>F6*EOMONTH(E5,12)+F7*$I$1+F8*$F$1+IF(F9*E8,DATE($D$1,'Control Panel'!$B$6,'Control Panel'!$B$7),F9*EOMONTH(E5,12))</f>
        <v>42369</v>
      </c>
      <c r="G5" s="29">
        <f>G6*EOMONTH(F5,12)+G7*$I$1+G8*$F$1+IF(G9*F8,DATE($D$1,'Control Panel'!$B$6,'Control Panel'!$B$7),G9*EOMONTH(F5,12))</f>
        <v>42735</v>
      </c>
      <c r="H5" s="29">
        <f>H6*EOMONTH(G5,12)+H7*$I$1+H8*$F$1+IF(H9*G8,DATE($D$1,'Control Panel'!$B$6,'Control Panel'!$B$7),H9*EOMONTH(G5,12))</f>
        <v>43100</v>
      </c>
      <c r="I5" s="29">
        <f>I6*EOMONTH(H5,12)+I7*$I$1+I8*$F$1+IF(I9*H8,DATE($D$1,'Control Panel'!$B$6,'Control Panel'!$B$7),I9*EOMONTH(H5,12))</f>
        <v>43465</v>
      </c>
      <c r="J5" s="29">
        <f>J6*EOMONTH(I5,12)+J7*$I$1+J8*$F$1+IF(J9*I8,DATE($D$1,'Control Panel'!$B$6,'Control Panel'!$B$7),J9*EOMONTH(I5,12))</f>
        <v>43466</v>
      </c>
      <c r="K5" s="29">
        <f>K6*EOMONTH(J5,12)+K7*$I$1+K8*$F$1+IF(K9*J8,DATE(YEAR(J5),'Control Panel'!$B$6,'Control Panel'!$B$7),K9*EOMONTH(J5,12))</f>
        <v>43830</v>
      </c>
      <c r="L5" s="29">
        <f>L6*EOMONTH(K5,12)+L7*$I$1+L8*$F$1+IF(L9*K8,DATE(YEAR(K5),'Control Panel'!$B$6,'Control Panel'!$B$7),L9*EOMONTH(K5,12))</f>
        <v>44196</v>
      </c>
      <c r="M5" s="29">
        <f>M6*EOMONTH(L5,12)+M7*$I$1+M8*$F$1+IF(M9*L8,DATE(YEAR(L5),'Control Panel'!$B$6,'Control Panel'!$B$7),M9*EOMONTH(L5,12))</f>
        <v>44561</v>
      </c>
      <c r="N5" s="29">
        <f>N6*EOMONTH(M5,12)+N7*$I$1+N8*$F$1+IF(N9*M8,DATE(YEAR(M5),'Control Panel'!$B$6,'Control Panel'!$B$7),N9*EOMONTH(M5,12))</f>
        <v>44926</v>
      </c>
      <c r="O5" s="29">
        <f>O6*EOMONTH(N5,12)+O7*$I$1+O8*$F$1+IF(O9*N8,DATE(YEAR(N5),'Control Panel'!$B$6,'Control Panel'!$B$7),O9*EOMONTH(N5,12))</f>
        <v>45291</v>
      </c>
      <c r="P5" s="29">
        <f>P6*EOMONTH(O5,12)+P7*$I$1+P8*$F$1+IF(P9*O8,DATE(YEAR(O5),'Control Panel'!$B$6,'Control Panel'!$B$7),P9*EOMONTH(O5,12))</f>
        <v>45657</v>
      </c>
      <c r="Q5" s="29">
        <f>Q6*EOMONTH(P5,12)+Q7*$I$1+Q8*$F$1+IF(Q9*P8,DATE(YEAR(P5),'Control Panel'!$B$6,'Control Panel'!$B$7),Q9*EOMONTH(P5,12))</f>
        <v>0</v>
      </c>
      <c r="R5" s="29">
        <f>R6*EOMONTH(Q5,12)+R7*$I$1+R8*$F$1+IF(R9*Q8,DATE(YEAR(Q5),'Control Panel'!$B$6,'Control Panel'!$B$7),R9*EOMONTH(Q5,12))</f>
        <v>0</v>
      </c>
      <c r="S5" s="29">
        <f>S6*EOMONTH(R5,12)+S7*$I$1+S8*$F$1+IF(S9*R8,DATE(YEAR(R5),'Control Panel'!$B$6,'Control Panel'!$B$7),S9*EOMONTH(R5,12))</f>
        <v>0</v>
      </c>
      <c r="T5" s="29">
        <f>T6*EOMONTH(S5,12)+T7*$I$1+T8*$F$1+IF(T9*S8,DATE(YEAR(S5),'Control Panel'!$B$6,'Control Panel'!$B$7),T9*EOMONTH(S5,12))</f>
        <v>0</v>
      </c>
      <c r="U5" s="29">
        <f>U6*EOMONTH(T5,12)+U7*$I$1+U8*$F$1+IF(U9*T8,DATE(YEAR(T5),'Control Panel'!$B$6,'Control Panel'!$B$7),U9*EOMONTH(T5,12))</f>
        <v>0</v>
      </c>
      <c r="V5" s="29">
        <f>V6*EOMONTH(U5,12)+V7*$I$1+V8*$F$1+IF(V9*U8,DATE(YEAR(U5),'Control Panel'!$B$6,'Control Panel'!$B$7),V9*EOMONTH(U5,12))</f>
        <v>0</v>
      </c>
      <c r="W5" s="29">
        <f>W6*EOMONTH(V5,12)+W7*$I$1+W8*$F$1+IF(W9*V8,DATE(YEAR(V5),'Control Panel'!$B$6,'Control Panel'!$B$7),W9*EOMONTH(V5,12))</f>
        <v>0</v>
      </c>
      <c r="X5" s="29">
        <f>X6*EOMONTH(W5,12)+X7*$I$1+X8*$F$1+IF(X9*W8,DATE(YEAR(W5),'Control Panel'!$B$6,'Control Panel'!$B$7),X9*EOMONTH(W5,12))</f>
        <v>0</v>
      </c>
      <c r="Y5" s="29">
        <f>Y6*EOMONTH(X5,12)+Y7*$I$1+Y8*$F$1+IF(Y9*X8,DATE(YEAR(X5),'Control Panel'!$B$6,'Control Panel'!$B$7),Y9*EOMONTH(X5,12))</f>
        <v>0</v>
      </c>
      <c r="Z5" s="29">
        <f>Z6*EOMONTH(Y5,12)+Z7*$I$1+Z8*$F$1+IF(Z9*Y8,DATE(YEAR(Y5),'Control Panel'!$B$6,'Control Panel'!$B$7),Z9*EOMONTH(Y5,12))</f>
        <v>0</v>
      </c>
      <c r="AA5" s="29">
        <f>AA6*EOMONTH(Z5,12)+AA7*$I$1+AA8*$F$1+IF(AA9*Z8,DATE(YEAR(Z5),'Control Panel'!$B$6,'Control Panel'!$B$7),AA9*EOMONTH(Z5,12))</f>
        <v>0</v>
      </c>
      <c r="AB5" s="29">
        <f>AB6*EOMONTH(AA5,12)+AB7*$I$1+AB8*$F$1+IF(AB9*AA8,DATE(YEAR(AA5),'Control Panel'!$B$6,'Control Panel'!$B$7),AB9*EOMONTH(AA5,12))</f>
        <v>0</v>
      </c>
      <c r="AC5" s="29">
        <f>AC6*EOMONTH(AB5,12)+AC7*$I$1+AC8*$F$1+IF(AC9*AB8,DATE(YEAR(AB5),'Control Panel'!$B$6,'Control Panel'!$B$7),AC9*EOMONTH(AB5,12))</f>
        <v>0</v>
      </c>
    </row>
    <row r="6" spans="3:29" s="1" customFormat="1" ht="14.6" hidden="1" customHeight="1" outlineLevel="1">
      <c r="C6" s="1" t="s">
        <v>686</v>
      </c>
      <c r="E6" s="1" t="b">
        <f t="shared" ref="E6:AC6" si="1">E4&lt;=$I$2</f>
        <v>1</v>
      </c>
      <c r="F6" s="1" t="b">
        <f t="shared" si="1"/>
        <v>1</v>
      </c>
      <c r="G6" s="1" t="b">
        <f t="shared" si="1"/>
        <v>1</v>
      </c>
      <c r="H6" s="1" t="b">
        <f t="shared" si="1"/>
        <v>1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1" t="b">
        <f t="shared" si="1"/>
        <v>0</v>
      </c>
      <c r="S6" s="1" t="b">
        <f t="shared" si="1"/>
        <v>0</v>
      </c>
      <c r="T6" s="1" t="b">
        <f t="shared" si="1"/>
        <v>0</v>
      </c>
      <c r="U6" s="1" t="b">
        <f t="shared" si="1"/>
        <v>0</v>
      </c>
      <c r="V6" s="1" t="b">
        <f t="shared" si="1"/>
        <v>0</v>
      </c>
      <c r="W6" s="1" t="b">
        <f t="shared" si="1"/>
        <v>0</v>
      </c>
      <c r="X6" s="1" t="b">
        <f t="shared" si="1"/>
        <v>0</v>
      </c>
      <c r="Y6" s="1" t="b">
        <f t="shared" si="1"/>
        <v>0</v>
      </c>
      <c r="Z6" s="1" t="b">
        <f t="shared" si="1"/>
        <v>0</v>
      </c>
      <c r="AA6" s="1" t="b">
        <f t="shared" si="1"/>
        <v>0</v>
      </c>
      <c r="AB6" s="1" t="b">
        <f t="shared" si="1"/>
        <v>0</v>
      </c>
      <c r="AC6" s="1" t="b">
        <f t="shared" si="1"/>
        <v>0</v>
      </c>
    </row>
    <row r="7" spans="3:29" s="1" customFormat="1" ht="14.6" hidden="1" customHeight="1" outlineLevel="1">
      <c r="C7" s="1" t="s">
        <v>687</v>
      </c>
      <c r="E7" s="1" t="b">
        <f t="shared" ref="E7:AC7" si="2">(E4=$I$2+1)*stub_switch=1</f>
        <v>0</v>
      </c>
      <c r="F7" s="1" t="b">
        <f t="shared" si="2"/>
        <v>0</v>
      </c>
      <c r="G7" s="1" t="b">
        <f t="shared" si="2"/>
        <v>0</v>
      </c>
      <c r="H7" s="1" t="b">
        <f t="shared" si="2"/>
        <v>0</v>
      </c>
      <c r="I7" s="1" t="b">
        <f t="shared" si="2"/>
        <v>0</v>
      </c>
      <c r="J7" s="1" t="b">
        <f t="shared" si="2"/>
        <v>0</v>
      </c>
      <c r="K7" s="1" t="b">
        <f t="shared" si="2"/>
        <v>0</v>
      </c>
      <c r="L7" s="1" t="b">
        <f t="shared" si="2"/>
        <v>0</v>
      </c>
      <c r="M7" s="1" t="b">
        <f t="shared" si="2"/>
        <v>0</v>
      </c>
      <c r="N7" s="1" t="b">
        <f t="shared" si="2"/>
        <v>0</v>
      </c>
      <c r="O7" s="1" t="b">
        <f t="shared" si="2"/>
        <v>0</v>
      </c>
      <c r="P7" s="1" t="b">
        <f t="shared" si="2"/>
        <v>0</v>
      </c>
      <c r="Q7" s="1" t="b">
        <f t="shared" si="2"/>
        <v>0</v>
      </c>
      <c r="R7" s="1" t="b">
        <f t="shared" si="2"/>
        <v>0</v>
      </c>
      <c r="S7" s="1" t="b">
        <f t="shared" si="2"/>
        <v>0</v>
      </c>
      <c r="T7" s="1" t="b">
        <f t="shared" si="2"/>
        <v>0</v>
      </c>
      <c r="U7" s="1" t="b">
        <f t="shared" si="2"/>
        <v>0</v>
      </c>
      <c r="V7" s="1" t="b">
        <f t="shared" si="2"/>
        <v>0</v>
      </c>
      <c r="W7" s="1" t="b">
        <f t="shared" si="2"/>
        <v>0</v>
      </c>
      <c r="X7" s="1" t="b">
        <f t="shared" si="2"/>
        <v>0</v>
      </c>
      <c r="Y7" s="1" t="b">
        <f t="shared" si="2"/>
        <v>0</v>
      </c>
      <c r="Z7" s="1" t="b">
        <f t="shared" si="2"/>
        <v>0</v>
      </c>
      <c r="AA7" s="1" t="b">
        <f t="shared" si="2"/>
        <v>0</v>
      </c>
      <c r="AB7" s="1" t="b">
        <f t="shared" si="2"/>
        <v>0</v>
      </c>
      <c r="AC7" s="1" t="b">
        <f t="shared" si="2"/>
        <v>0</v>
      </c>
    </row>
    <row r="8" spans="3:29" s="1" customFormat="1" ht="14.6" hidden="1" customHeight="1" outlineLevel="1">
      <c r="C8" s="1" t="s">
        <v>688</v>
      </c>
      <c r="E8" s="1" t="b">
        <f t="shared" ref="E8:AC8" si="3">E4=$I$2+1+1*stub_switch</f>
        <v>0</v>
      </c>
      <c r="F8" s="1" t="b">
        <f t="shared" si="3"/>
        <v>0</v>
      </c>
      <c r="G8" s="1" t="b">
        <f t="shared" si="3"/>
        <v>0</v>
      </c>
      <c r="H8" s="1" t="b">
        <f t="shared" si="3"/>
        <v>0</v>
      </c>
      <c r="I8" s="1" t="b">
        <f t="shared" si="3"/>
        <v>0</v>
      </c>
      <c r="J8" s="1" t="b">
        <f t="shared" si="3"/>
        <v>1</v>
      </c>
      <c r="K8" s="1" t="b">
        <f t="shared" si="3"/>
        <v>0</v>
      </c>
      <c r="L8" s="1" t="b">
        <f t="shared" si="3"/>
        <v>0</v>
      </c>
      <c r="M8" s="1" t="b">
        <f t="shared" si="3"/>
        <v>0</v>
      </c>
      <c r="N8" s="1" t="b">
        <f t="shared" si="3"/>
        <v>0</v>
      </c>
      <c r="O8" s="1" t="b">
        <f t="shared" si="3"/>
        <v>0</v>
      </c>
      <c r="P8" s="1" t="b">
        <f t="shared" si="3"/>
        <v>0</v>
      </c>
      <c r="Q8" s="1" t="b">
        <f t="shared" si="3"/>
        <v>0</v>
      </c>
      <c r="R8" s="1" t="b">
        <f t="shared" si="3"/>
        <v>0</v>
      </c>
      <c r="S8" s="1" t="b">
        <f t="shared" si="3"/>
        <v>0</v>
      </c>
      <c r="T8" s="1" t="b">
        <f t="shared" si="3"/>
        <v>0</v>
      </c>
      <c r="U8" s="1" t="b">
        <f t="shared" si="3"/>
        <v>0</v>
      </c>
      <c r="V8" s="1" t="b">
        <f t="shared" si="3"/>
        <v>0</v>
      </c>
      <c r="W8" s="1" t="b">
        <f t="shared" si="3"/>
        <v>0</v>
      </c>
      <c r="X8" s="1" t="b">
        <f t="shared" si="3"/>
        <v>0</v>
      </c>
      <c r="Y8" s="1" t="b">
        <f t="shared" si="3"/>
        <v>0</v>
      </c>
      <c r="Z8" s="1" t="b">
        <f t="shared" si="3"/>
        <v>0</v>
      </c>
      <c r="AA8" s="1" t="b">
        <f t="shared" si="3"/>
        <v>0</v>
      </c>
      <c r="AB8" s="1" t="b">
        <f t="shared" si="3"/>
        <v>0</v>
      </c>
      <c r="AC8" s="1" t="b">
        <f t="shared" si="3"/>
        <v>0</v>
      </c>
    </row>
    <row r="9" spans="3:29" s="1" customFormat="1" ht="14.6" hidden="1" customHeight="1" outlineLevel="1">
      <c r="C9" s="1" t="s">
        <v>694</v>
      </c>
      <c r="E9" s="1" t="b">
        <f t="shared" ref="E9:AC9" si="4">AND(E4&gt;$I$2+1+1*stub_switch,E4&lt;=$L$1+$I$2+1+1*stub_switch)</f>
        <v>0</v>
      </c>
      <c r="F9" s="1" t="b">
        <f t="shared" si="4"/>
        <v>0</v>
      </c>
      <c r="G9" s="1" t="b">
        <f t="shared" si="4"/>
        <v>0</v>
      </c>
      <c r="H9" s="1" t="b">
        <f t="shared" si="4"/>
        <v>0</v>
      </c>
      <c r="I9" s="1" t="b">
        <f t="shared" si="4"/>
        <v>0</v>
      </c>
      <c r="J9" s="1" t="b">
        <f t="shared" si="4"/>
        <v>0</v>
      </c>
      <c r="K9" s="1" t="b">
        <f t="shared" si="4"/>
        <v>1</v>
      </c>
      <c r="L9" s="1" t="b">
        <f t="shared" si="4"/>
        <v>1</v>
      </c>
      <c r="M9" s="1" t="b">
        <f t="shared" si="4"/>
        <v>1</v>
      </c>
      <c r="N9" s="1" t="b">
        <f t="shared" si="4"/>
        <v>1</v>
      </c>
      <c r="O9" s="1" t="b">
        <f t="shared" si="4"/>
        <v>1</v>
      </c>
      <c r="P9" s="1" t="b">
        <f t="shared" si="4"/>
        <v>1</v>
      </c>
      <c r="Q9" s="1" t="b">
        <f t="shared" si="4"/>
        <v>0</v>
      </c>
      <c r="R9" s="1" t="b">
        <f t="shared" si="4"/>
        <v>0</v>
      </c>
      <c r="S9" s="1" t="b">
        <f t="shared" si="4"/>
        <v>0</v>
      </c>
      <c r="T9" s="1" t="b">
        <f t="shared" si="4"/>
        <v>0</v>
      </c>
      <c r="U9" s="1" t="b">
        <f t="shared" si="4"/>
        <v>0</v>
      </c>
      <c r="V9" s="1" t="b">
        <f t="shared" si="4"/>
        <v>0</v>
      </c>
      <c r="W9" s="1" t="b">
        <f t="shared" si="4"/>
        <v>0</v>
      </c>
      <c r="X9" s="1" t="b">
        <f t="shared" si="4"/>
        <v>0</v>
      </c>
      <c r="Y9" s="1" t="b">
        <f t="shared" si="4"/>
        <v>0</v>
      </c>
      <c r="Z9" s="1" t="b">
        <f t="shared" si="4"/>
        <v>0</v>
      </c>
      <c r="AA9" s="1" t="b">
        <f t="shared" si="4"/>
        <v>0</v>
      </c>
      <c r="AB9" s="1" t="b">
        <f t="shared" si="4"/>
        <v>0</v>
      </c>
      <c r="AC9" s="1" t="b">
        <f t="shared" si="4"/>
        <v>0</v>
      </c>
    </row>
    <row r="10" spans="3:29" s="1" customFormat="1" ht="14.6" hidden="1" customHeight="1" outlineLevel="1">
      <c r="E10" s="110">
        <f>YEAR(E5)</f>
        <v>2014</v>
      </c>
      <c r="F10" s="110">
        <f t="shared" ref="F10:AC10" si="5">YEAR(F5)</f>
        <v>2015</v>
      </c>
      <c r="G10" s="110">
        <f t="shared" si="5"/>
        <v>2016</v>
      </c>
      <c r="H10" s="110">
        <f t="shared" si="5"/>
        <v>2017</v>
      </c>
      <c r="I10" s="110">
        <f t="shared" si="5"/>
        <v>2018</v>
      </c>
      <c r="J10" s="110">
        <f t="shared" si="5"/>
        <v>2019</v>
      </c>
      <c r="K10" s="110">
        <f t="shared" si="5"/>
        <v>2019</v>
      </c>
      <c r="L10" s="110">
        <f t="shared" si="5"/>
        <v>2020</v>
      </c>
      <c r="M10" s="110">
        <f t="shared" si="5"/>
        <v>2021</v>
      </c>
      <c r="N10" s="110">
        <f t="shared" si="5"/>
        <v>2022</v>
      </c>
      <c r="O10" s="110">
        <f t="shared" si="5"/>
        <v>2023</v>
      </c>
      <c r="P10" s="110">
        <f t="shared" si="5"/>
        <v>2024</v>
      </c>
      <c r="Q10" s="110">
        <f t="shared" si="5"/>
        <v>1900</v>
      </c>
      <c r="R10" s="110">
        <f t="shared" si="5"/>
        <v>1900</v>
      </c>
      <c r="S10" s="110">
        <f t="shared" si="5"/>
        <v>1900</v>
      </c>
      <c r="T10" s="110">
        <f t="shared" si="5"/>
        <v>1900</v>
      </c>
      <c r="U10" s="110">
        <f t="shared" si="5"/>
        <v>1900</v>
      </c>
      <c r="V10" s="110">
        <f t="shared" si="5"/>
        <v>1900</v>
      </c>
      <c r="W10" s="110">
        <f t="shared" si="5"/>
        <v>1900</v>
      </c>
      <c r="X10" s="110">
        <f t="shared" si="5"/>
        <v>1900</v>
      </c>
      <c r="Y10" s="110">
        <f t="shared" si="5"/>
        <v>1900</v>
      </c>
      <c r="Z10" s="110">
        <f t="shared" si="5"/>
        <v>1900</v>
      </c>
      <c r="AA10" s="110">
        <f t="shared" si="5"/>
        <v>1900</v>
      </c>
      <c r="AB10" s="110">
        <f t="shared" si="5"/>
        <v>1900</v>
      </c>
      <c r="AC10" s="110">
        <f t="shared" si="5"/>
        <v>1900</v>
      </c>
    </row>
    <row r="11" spans="3:29" s="1" customFormat="1" ht="14.6" customHeight="1" collapsed="1"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</row>
    <row r="12" spans="3:29" s="1" customFormat="1" ht="14.6" customHeight="1"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</row>
    <row r="13" spans="3:29" s="1" customFormat="1" ht="14.6" customHeight="1"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</row>
    <row r="14" spans="3:29" s="1" customFormat="1" ht="14.6" customHeight="1"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</row>
    <row r="15" spans="3:29" ht="16.600000000000001">
      <c r="C15" s="196" t="str">
        <f>CONCATENATE("Project ",project_name," - Balance Sheet")</f>
        <v>Project  - Balance Sheet</v>
      </c>
    </row>
    <row r="16" spans="3:29">
      <c r="C16" s="194" t="str">
        <f>CONCATENATE("In ",model_curr," thousand unless otherwise stated")</f>
        <v>In USD thousand unless otherwise stated</v>
      </c>
    </row>
    <row r="17" spans="1:29" ht="13.7">
      <c r="C17" s="209"/>
      <c r="D17" s="209"/>
      <c r="E17" s="178" t="str">
        <f>CONCATENATE(YEAR(E5),LEFT(E19,1))</f>
        <v>2014A</v>
      </c>
      <c r="F17" s="178" t="str">
        <f t="shared" ref="F17:AC17" si="6">CONCATENATE(YEAR(F5),LEFT(F19,1))</f>
        <v>2015A</v>
      </c>
      <c r="G17" s="178" t="str">
        <f t="shared" si="6"/>
        <v>2016A</v>
      </c>
      <c r="H17" s="178" t="str">
        <f t="shared" si="6"/>
        <v>2017A</v>
      </c>
      <c r="I17" s="178" t="str">
        <f t="shared" si="6"/>
        <v>2018A</v>
      </c>
      <c r="J17" s="178" t="str">
        <f t="shared" si="6"/>
        <v>2019C</v>
      </c>
      <c r="K17" s="178" t="str">
        <f t="shared" si="6"/>
        <v>2019F</v>
      </c>
      <c r="L17" s="178" t="str">
        <f t="shared" si="6"/>
        <v>2020F</v>
      </c>
      <c r="M17" s="178" t="str">
        <f t="shared" si="6"/>
        <v>2021F</v>
      </c>
      <c r="N17" s="178" t="str">
        <f t="shared" si="6"/>
        <v>2022F</v>
      </c>
      <c r="O17" s="178" t="str">
        <f t="shared" si="6"/>
        <v>2023F</v>
      </c>
      <c r="P17" s="178" t="str">
        <f t="shared" si="6"/>
        <v>2024F</v>
      </c>
      <c r="Q17" s="178" t="e">
        <f t="shared" si="6"/>
        <v>#N/A</v>
      </c>
      <c r="R17" s="178" t="e">
        <f t="shared" si="6"/>
        <v>#N/A</v>
      </c>
      <c r="S17" s="178" t="e">
        <f t="shared" si="6"/>
        <v>#N/A</v>
      </c>
      <c r="T17" s="178" t="e">
        <f t="shared" si="6"/>
        <v>#N/A</v>
      </c>
      <c r="U17" s="178" t="e">
        <f t="shared" si="6"/>
        <v>#N/A</v>
      </c>
      <c r="V17" s="178" t="e">
        <f t="shared" si="6"/>
        <v>#N/A</v>
      </c>
      <c r="W17" s="178" t="e">
        <f t="shared" si="6"/>
        <v>#N/A</v>
      </c>
      <c r="X17" s="178" t="e">
        <f t="shared" si="6"/>
        <v>#N/A</v>
      </c>
      <c r="Y17" s="178" t="e">
        <f t="shared" si="6"/>
        <v>#N/A</v>
      </c>
      <c r="Z17" s="178" t="e">
        <f t="shared" si="6"/>
        <v>#N/A</v>
      </c>
      <c r="AA17" s="178" t="e">
        <f t="shared" si="6"/>
        <v>#N/A</v>
      </c>
      <c r="AB17" s="178" t="e">
        <f t="shared" si="6"/>
        <v>#N/A</v>
      </c>
      <c r="AC17" s="178" t="e">
        <f t="shared" si="6"/>
        <v>#N/A</v>
      </c>
    </row>
    <row r="18" spans="1:29" ht="13.7">
      <c r="C18" s="198"/>
      <c r="D18" s="198"/>
      <c r="E18" s="198">
        <f>E5</f>
        <v>42004</v>
      </c>
      <c r="F18" s="198">
        <f t="shared" ref="F18:AC18" si="7">F5</f>
        <v>42369</v>
      </c>
      <c r="G18" s="198">
        <f t="shared" si="7"/>
        <v>42735</v>
      </c>
      <c r="H18" s="198">
        <f t="shared" si="7"/>
        <v>43100</v>
      </c>
      <c r="I18" s="198">
        <f t="shared" si="7"/>
        <v>43465</v>
      </c>
      <c r="J18" s="198">
        <f t="shared" si="7"/>
        <v>43466</v>
      </c>
      <c r="K18" s="198">
        <f t="shared" si="7"/>
        <v>43830</v>
      </c>
      <c r="L18" s="198">
        <f t="shared" si="7"/>
        <v>44196</v>
      </c>
      <c r="M18" s="198">
        <f t="shared" si="7"/>
        <v>44561</v>
      </c>
      <c r="N18" s="198">
        <f t="shared" si="7"/>
        <v>44926</v>
      </c>
      <c r="O18" s="198">
        <f t="shared" si="7"/>
        <v>45291</v>
      </c>
      <c r="P18" s="198">
        <f t="shared" si="7"/>
        <v>45657</v>
      </c>
      <c r="Q18" s="198">
        <f t="shared" si="7"/>
        <v>0</v>
      </c>
      <c r="R18" s="198">
        <f t="shared" si="7"/>
        <v>0</v>
      </c>
      <c r="S18" s="198">
        <f t="shared" si="7"/>
        <v>0</v>
      </c>
      <c r="T18" s="198">
        <f t="shared" si="7"/>
        <v>0</v>
      </c>
      <c r="U18" s="198">
        <f t="shared" si="7"/>
        <v>0</v>
      </c>
      <c r="V18" s="198">
        <f t="shared" si="7"/>
        <v>0</v>
      </c>
      <c r="W18" s="198">
        <f t="shared" si="7"/>
        <v>0</v>
      </c>
      <c r="X18" s="198">
        <f t="shared" si="7"/>
        <v>0</v>
      </c>
      <c r="Y18" s="198">
        <f t="shared" si="7"/>
        <v>0</v>
      </c>
      <c r="Z18" s="198">
        <f t="shared" si="7"/>
        <v>0</v>
      </c>
      <c r="AA18" s="198">
        <f t="shared" si="7"/>
        <v>0</v>
      </c>
      <c r="AB18" s="198">
        <f t="shared" si="7"/>
        <v>0</v>
      </c>
      <c r="AC18" s="198">
        <f t="shared" si="7"/>
        <v>0</v>
      </c>
    </row>
    <row r="19" spans="1:29" ht="13.7">
      <c r="C19" s="209"/>
      <c r="D19" s="209"/>
      <c r="E19" s="178" t="str">
        <f>INDEX($E$11:$E$14,MATCH(TRUE,E6:E9,0))</f>
        <v>Actual</v>
      </c>
      <c r="F19" s="178" t="str">
        <f t="shared" ref="F19:AC19" si="8">INDEX($E$11:$E$14,MATCH(TRUE,F6:F9,0))</f>
        <v>Actual</v>
      </c>
      <c r="G19" s="178" t="str">
        <f t="shared" si="8"/>
        <v>Actual</v>
      </c>
      <c r="H19" s="178" t="str">
        <f t="shared" si="8"/>
        <v>Actual</v>
      </c>
      <c r="I19" s="178" t="str">
        <f t="shared" si="8"/>
        <v>Actual</v>
      </c>
      <c r="J19" s="178" t="str">
        <f t="shared" si="8"/>
        <v>Combination</v>
      </c>
      <c r="K19" s="178" t="str">
        <f t="shared" si="8"/>
        <v>Forecast</v>
      </c>
      <c r="L19" s="178" t="str">
        <f t="shared" si="8"/>
        <v>Forecast</v>
      </c>
      <c r="M19" s="178" t="str">
        <f t="shared" si="8"/>
        <v>Forecast</v>
      </c>
      <c r="N19" s="178" t="str">
        <f t="shared" si="8"/>
        <v>Forecast</v>
      </c>
      <c r="O19" s="178" t="str">
        <f t="shared" si="8"/>
        <v>Forecast</v>
      </c>
      <c r="P19" s="178" t="str">
        <f t="shared" si="8"/>
        <v>Forecast</v>
      </c>
      <c r="Q19" s="178" t="e">
        <f t="shared" si="8"/>
        <v>#N/A</v>
      </c>
      <c r="R19" s="178" t="e">
        <f t="shared" si="8"/>
        <v>#N/A</v>
      </c>
      <c r="S19" s="178" t="e">
        <f t="shared" si="8"/>
        <v>#N/A</v>
      </c>
      <c r="T19" s="178" t="e">
        <f t="shared" si="8"/>
        <v>#N/A</v>
      </c>
      <c r="U19" s="178" t="e">
        <f t="shared" si="8"/>
        <v>#N/A</v>
      </c>
      <c r="V19" s="178" t="e">
        <f t="shared" si="8"/>
        <v>#N/A</v>
      </c>
      <c r="W19" s="178" t="e">
        <f t="shared" si="8"/>
        <v>#N/A</v>
      </c>
      <c r="X19" s="178" t="e">
        <f t="shared" si="8"/>
        <v>#N/A</v>
      </c>
      <c r="Y19" s="178" t="e">
        <f t="shared" si="8"/>
        <v>#N/A</v>
      </c>
      <c r="Z19" s="178" t="e">
        <f t="shared" si="8"/>
        <v>#N/A</v>
      </c>
      <c r="AA19" s="178" t="e">
        <f t="shared" si="8"/>
        <v>#N/A</v>
      </c>
      <c r="AB19" s="178" t="e">
        <f t="shared" si="8"/>
        <v>#N/A</v>
      </c>
      <c r="AC19" s="178" t="e">
        <f t="shared" si="8"/>
        <v>#N/A</v>
      </c>
    </row>
    <row r="20" spans="1:29" ht="13.7"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</row>
    <row r="21" spans="1:29" ht="13.7">
      <c r="B21" s="32" t="s">
        <v>831</v>
      </c>
      <c r="C21" s="222" t="str">
        <f>CONCATENATE("Balance Sheet (",model_curr,")")</f>
        <v>Balance Sheet (USD)</v>
      </c>
      <c r="D21" s="209"/>
      <c r="E21" s="178" t="str">
        <f>E17</f>
        <v>2014A</v>
      </c>
      <c r="F21" s="178" t="str">
        <f t="shared" ref="F21:L21" si="9">F17</f>
        <v>2015A</v>
      </c>
      <c r="G21" s="178" t="str">
        <f t="shared" si="9"/>
        <v>2016A</v>
      </c>
      <c r="H21" s="178" t="str">
        <f t="shared" si="9"/>
        <v>2017A</v>
      </c>
      <c r="I21" s="178" t="str">
        <f t="shared" si="9"/>
        <v>2018A</v>
      </c>
      <c r="J21" s="178" t="str">
        <f t="shared" si="9"/>
        <v>2019C</v>
      </c>
      <c r="K21" s="178" t="str">
        <f t="shared" si="9"/>
        <v>2019F</v>
      </c>
      <c r="L21" s="178" t="str">
        <f t="shared" si="9"/>
        <v>2020F</v>
      </c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</row>
    <row r="22" spans="1:29">
      <c r="G22" s="32" t="s">
        <v>1766</v>
      </c>
    </row>
    <row r="23" spans="1:29" ht="13.7">
      <c r="A23" s="256"/>
      <c r="B23" s="256"/>
      <c r="C23" s="181" t="s">
        <v>4</v>
      </c>
      <c r="D23" s="180"/>
      <c r="E23" s="180">
        <f>+E24+E29+E33+E37+E41+E44+E48</f>
        <v>0</v>
      </c>
      <c r="F23" s="180">
        <f t="shared" ref="F23:Q23" si="10">+F24+F29+F33+F37+F41+F44+F48</f>
        <v>0</v>
      </c>
      <c r="G23" s="180">
        <f t="shared" si="10"/>
        <v>0</v>
      </c>
      <c r="H23" s="180">
        <f t="shared" si="10"/>
        <v>0</v>
      </c>
      <c r="I23" s="180">
        <f t="shared" si="10"/>
        <v>0</v>
      </c>
      <c r="J23" s="180">
        <f t="shared" si="10"/>
        <v>0</v>
      </c>
      <c r="K23" s="180">
        <f t="shared" ca="1" si="10"/>
        <v>0</v>
      </c>
      <c r="L23" s="180">
        <f t="shared" ca="1" si="10"/>
        <v>0</v>
      </c>
      <c r="M23" s="180">
        <f t="shared" ca="1" si="10"/>
        <v>0</v>
      </c>
      <c r="N23" s="180">
        <f t="shared" ca="1" si="10"/>
        <v>0</v>
      </c>
      <c r="O23" s="180">
        <f t="shared" ca="1" si="10"/>
        <v>0</v>
      </c>
      <c r="P23" s="180">
        <f t="shared" ca="1" si="10"/>
        <v>0</v>
      </c>
      <c r="Q23" s="180">
        <f t="shared" si="10"/>
        <v>0</v>
      </c>
      <c r="X23" s="39"/>
      <c r="Y23" s="39"/>
      <c r="Z23" s="40"/>
    </row>
    <row r="24" spans="1:29" ht="13.7">
      <c r="A24" s="256"/>
      <c r="B24" s="256"/>
      <c r="C24" s="254" t="s">
        <v>891</v>
      </c>
      <c r="D24" s="255"/>
      <c r="E24" s="255">
        <f t="shared" ref="E24" si="11">SUM(E25:E28)</f>
        <v>0</v>
      </c>
      <c r="F24" s="255">
        <f t="shared" ref="F24:Q24" si="12">SUM(F25:F28)</f>
        <v>0</v>
      </c>
      <c r="G24" s="255">
        <f t="shared" si="12"/>
        <v>0</v>
      </c>
      <c r="H24" s="255">
        <f t="shared" si="12"/>
        <v>0</v>
      </c>
      <c r="I24" s="255">
        <f t="shared" si="12"/>
        <v>0</v>
      </c>
      <c r="J24" s="255">
        <f t="shared" si="12"/>
        <v>0</v>
      </c>
      <c r="K24" s="255">
        <f t="shared" ca="1" si="12"/>
        <v>0</v>
      </c>
      <c r="L24" s="255">
        <f t="shared" ca="1" si="12"/>
        <v>0</v>
      </c>
      <c r="M24" s="255">
        <f t="shared" ca="1" si="12"/>
        <v>0</v>
      </c>
      <c r="N24" s="255">
        <f t="shared" ca="1" si="12"/>
        <v>0</v>
      </c>
      <c r="O24" s="255">
        <f t="shared" ca="1" si="12"/>
        <v>0</v>
      </c>
      <c r="P24" s="255">
        <f t="shared" ca="1" si="12"/>
        <v>0</v>
      </c>
      <c r="Q24" s="255">
        <f t="shared" si="12"/>
        <v>0</v>
      </c>
      <c r="X24" s="39"/>
      <c r="Y24" s="39"/>
      <c r="Z24" s="40"/>
    </row>
    <row r="25" spans="1:29" ht="13.7" hidden="1" outlineLevel="1">
      <c r="A25" s="256"/>
      <c r="B25" s="256"/>
      <c r="C25" s="254"/>
      <c r="D25" s="340" t="s">
        <v>1466</v>
      </c>
      <c r="E25" s="340">
        <f>IFERROR(E$6*'Historical BU2'!D42,0)*Currency_conversion_BU2-E28</f>
        <v>0</v>
      </c>
      <c r="F25" s="340">
        <f>IFERROR(F$6*'Historical BU2'!E42,0)*Currency_conversion_BU2-F28</f>
        <v>0</v>
      </c>
      <c r="G25" s="340">
        <f>IFERROR(G$6*'Historical BU2'!F42,0)*Currency_conversion_BU2-G28</f>
        <v>0</v>
      </c>
      <c r="H25" s="340">
        <f>IFERROR(H$6*'Historical BU2'!G42,0)*Currency_conversion_BU2-H28</f>
        <v>0</v>
      </c>
      <c r="I25" s="340">
        <f>IFERROR(I$6*'Historical BU2'!H42,0)*Currency_conversion_BU2-I28</f>
        <v>0</v>
      </c>
      <c r="J25" s="340">
        <f>IFERROR(J$6*'Historical BU2'!I42,0)*Currency_conversion_BU2-J28</f>
        <v>0</v>
      </c>
      <c r="K25" s="340">
        <f>IFERROR(K$6*'Historical BU2'!J42,0)*Currency_conversion_BU2-K28</f>
        <v>0</v>
      </c>
      <c r="L25" s="340">
        <f>IFERROR(L$6*'Historical BU2'!K42,0)*Currency_conversion_BU2-L28</f>
        <v>0</v>
      </c>
      <c r="M25" s="340">
        <f>IFERROR(M$6*'Historical BU2'!L42,0)*Currency_conversion_BU2-M28</f>
        <v>0</v>
      </c>
      <c r="N25" s="340">
        <f>IFERROR(N$6*'Historical BU2'!M42,0)*Currency_conversion_BU2-N28</f>
        <v>0</v>
      </c>
      <c r="O25" s="340">
        <f>IFERROR(O$6*'Historical BU2'!N42,0)*Currency_conversion_BU2-O28</f>
        <v>0</v>
      </c>
      <c r="P25" s="340">
        <f>IFERROR(P$6*'Historical BU2'!O42,0)*Currency_conversion_BU2-P28</f>
        <v>0</v>
      </c>
      <c r="Q25" s="340">
        <f>IFERROR(Q$6*'Historical BU2'!P42,0)*Currency_conversion_BU2-Q28</f>
        <v>0</v>
      </c>
      <c r="X25" s="39"/>
      <c r="Y25" s="39"/>
      <c r="Z25" s="40"/>
    </row>
    <row r="26" spans="1:29" ht="13.7" hidden="1" outlineLevel="1">
      <c r="A26" s="256"/>
      <c r="B26" s="256"/>
      <c r="C26" s="254"/>
      <c r="D26" s="340" t="s">
        <v>1095</v>
      </c>
      <c r="E26" s="340">
        <f>IFERROR(E$7*'Acquisition BS adjustments'!$C94,0)+IFERROR(E$8*'Acquisition BS adjustments'!$E94,0)</f>
        <v>0</v>
      </c>
      <c r="F26" s="340">
        <f>IFERROR(F$7*'Acquisition BS adjustments'!$C94,0)+IFERROR(F$8*'Acquisition BS adjustments'!$E94,0)</f>
        <v>0</v>
      </c>
      <c r="G26" s="340">
        <f>IFERROR(G$7*'Acquisition BS adjustments'!$C94,0)+IFERROR(G$8*'Acquisition BS adjustments'!$E94,0)</f>
        <v>0</v>
      </c>
      <c r="H26" s="340">
        <f>IFERROR(H$7*'Acquisition BS adjustments'!$C94,0)+IFERROR(H$8*'Acquisition BS adjustments'!$E94,0)</f>
        <v>0</v>
      </c>
      <c r="I26" s="340">
        <f>IFERROR(I$7*'Acquisition BS adjustments'!$C94,0)+IFERROR(I$8*'Acquisition BS adjustments'!$E94,0)</f>
        <v>0</v>
      </c>
      <c r="J26" s="340">
        <f>IFERROR(J$7*'Acquisition BS adjustments'!$C94,0)+IFERROR(J$8*'Acquisition BS adjustments'!$E94,0)</f>
        <v>0</v>
      </c>
      <c r="K26" s="340">
        <f>IFERROR(K$7*'Acquisition BS adjustments'!$C94,0)+IFERROR(K$8*'Acquisition BS adjustments'!$E94,0)</f>
        <v>0</v>
      </c>
      <c r="L26" s="340">
        <f>IFERROR(L$7*'Acquisition BS adjustments'!$C94,0)+IFERROR(L$8*'Acquisition BS adjustments'!$E94,0)</f>
        <v>0</v>
      </c>
      <c r="M26" s="340">
        <f>IFERROR(M$7*'Acquisition BS adjustments'!$C94,0)+IFERROR(M$8*'Acquisition BS adjustments'!$E94,0)</f>
        <v>0</v>
      </c>
      <c r="N26" s="340">
        <f>IFERROR(N$7*'Acquisition BS adjustments'!$C94,0)+IFERROR(N$8*'Acquisition BS adjustments'!$E94,0)</f>
        <v>0</v>
      </c>
      <c r="O26" s="340">
        <f>IFERROR(O$7*'Acquisition BS adjustments'!$C94,0)+IFERROR(O$8*'Acquisition BS adjustments'!$E94,0)</f>
        <v>0</v>
      </c>
      <c r="P26" s="340">
        <f>IFERROR(P$7*'Acquisition BS adjustments'!$C94,0)+IFERROR(P$8*'Acquisition BS adjustments'!$E94,0)</f>
        <v>0</v>
      </c>
      <c r="Q26" s="340">
        <f>IFERROR(Q$7*'Acquisition BS adjustments'!$C94,0)+IFERROR(Q$8*'Acquisition BS adjustments'!$E94,0)</f>
        <v>0</v>
      </c>
      <c r="X26" s="39"/>
      <c r="Y26" s="39"/>
      <c r="Z26" s="40"/>
    </row>
    <row r="27" spans="1:29" ht="13.7" hidden="1" outlineLevel="1">
      <c r="A27" s="256"/>
      <c r="B27" s="256"/>
      <c r="C27" s="254"/>
      <c r="D27" s="340" t="s">
        <v>1096</v>
      </c>
      <c r="E27" s="340">
        <f>+IFERROR(E9*INDEX('Financial Quarterly onshore'!95:95,MATCH('BS onshore'!E$5,'Financial Quarterly onshore'!4:4,0)),0)</f>
        <v>0</v>
      </c>
      <c r="F27" s="340">
        <f>+IFERROR(F9*INDEX('Financial Quarterly onshore'!95:95,MATCH('BS onshore'!F$5,'Financial Quarterly onshore'!4:4,0)),0)</f>
        <v>0</v>
      </c>
      <c r="G27" s="340">
        <f>+IFERROR(G9*INDEX('Financial Quarterly onshore'!95:95,MATCH('BS onshore'!G$5,'Financial Quarterly onshore'!4:4,0)),0)</f>
        <v>0</v>
      </c>
      <c r="H27" s="340">
        <f>+IFERROR(H9*INDEX('Financial Quarterly onshore'!95:95,MATCH('BS onshore'!H$5,'Financial Quarterly onshore'!4:4,0)),0)</f>
        <v>0</v>
      </c>
      <c r="I27" s="340">
        <f>+IFERROR(I9*INDEX('Financial Quarterly onshore'!95:95,MATCH('BS onshore'!I$5,'Financial Quarterly onshore'!4:4,0)),0)</f>
        <v>0</v>
      </c>
      <c r="J27" s="340">
        <f>+IFERROR(J9*INDEX('Financial Quarterly onshore'!95:95,MATCH('BS onshore'!J$5,'Financial Quarterly onshore'!4:4,0)),0)</f>
        <v>0</v>
      </c>
      <c r="K27" s="340">
        <f ca="1">+IFERROR(K9*INDEX('Financial Quarterly onshore'!95:95,MATCH('BS onshore'!K$5,'Financial Quarterly onshore'!4:4,0)),0)</f>
        <v>0</v>
      </c>
      <c r="L27" s="340">
        <f ca="1">+IFERROR(L9*INDEX('Financial Quarterly onshore'!95:95,MATCH('BS onshore'!L$5,'Financial Quarterly onshore'!4:4,0)),0)</f>
        <v>0</v>
      </c>
      <c r="M27" s="340">
        <f ca="1">+IFERROR(M9*INDEX('Financial Quarterly onshore'!95:95,MATCH('BS onshore'!M$5,'Financial Quarterly onshore'!4:4,0)),0)</f>
        <v>0</v>
      </c>
      <c r="N27" s="340">
        <f ca="1">+IFERROR(N9*INDEX('Financial Quarterly onshore'!95:95,MATCH('BS onshore'!N$5,'Financial Quarterly onshore'!4:4,0)),0)</f>
        <v>0</v>
      </c>
      <c r="O27" s="340">
        <f ca="1">+IFERROR(O9*INDEX('Financial Quarterly onshore'!95:95,MATCH('BS onshore'!O$5,'Financial Quarterly onshore'!4:4,0)),0)</f>
        <v>0</v>
      </c>
      <c r="P27" s="340">
        <f ca="1">+IFERROR(P9*INDEX('Financial Quarterly onshore'!95:95,MATCH('BS onshore'!P$5,'Financial Quarterly onshore'!4:4,0)),0)</f>
        <v>0</v>
      </c>
      <c r="Q27" s="340">
        <f>+IFERROR(Q9*INDEX('Financial Quarterly onshore'!95:95,MATCH('BS onshore'!Q$5,'Financial Quarterly onshore'!4:4,0)),0)</f>
        <v>0</v>
      </c>
      <c r="X27" s="39"/>
      <c r="Y27" s="39"/>
      <c r="Z27" s="40"/>
    </row>
    <row r="28" spans="1:29" s="324" customFormat="1" ht="13.7" hidden="1" outlineLevel="1">
      <c r="A28" s="323"/>
      <c r="B28" s="323"/>
      <c r="D28" s="225" t="s">
        <v>1093</v>
      </c>
      <c r="E28" s="197"/>
      <c r="F28" s="197"/>
      <c r="G28" s="197"/>
      <c r="H28" s="197"/>
      <c r="I28" s="197"/>
      <c r="J28" s="197"/>
      <c r="K28" s="197"/>
      <c r="L28" s="197"/>
      <c r="M28" s="197"/>
      <c r="N28" s="197"/>
      <c r="O28" s="197"/>
      <c r="P28" s="197"/>
      <c r="Q28" s="197"/>
      <c r="X28" s="325"/>
      <c r="Y28" s="325"/>
      <c r="Z28" s="326"/>
    </row>
    <row r="29" spans="1:29" ht="13.7" collapsed="1">
      <c r="A29" s="256"/>
      <c r="B29" s="256"/>
      <c r="C29" s="342" t="s">
        <v>1099</v>
      </c>
      <c r="D29" s="255"/>
      <c r="E29" s="255">
        <f>SUM(E30:E32)</f>
        <v>0</v>
      </c>
      <c r="F29" s="255">
        <f t="shared" ref="F29:Q29" si="13">SUM(F30:F32)</f>
        <v>0</v>
      </c>
      <c r="G29" s="255">
        <f t="shared" si="13"/>
        <v>0</v>
      </c>
      <c r="H29" s="255">
        <f t="shared" si="13"/>
        <v>0</v>
      </c>
      <c r="I29" s="255">
        <f t="shared" si="13"/>
        <v>0</v>
      </c>
      <c r="J29" s="255">
        <f t="shared" si="13"/>
        <v>0</v>
      </c>
      <c r="K29" s="255">
        <f t="shared" si="13"/>
        <v>0</v>
      </c>
      <c r="L29" s="255">
        <f t="shared" si="13"/>
        <v>0</v>
      </c>
      <c r="M29" s="255">
        <f t="shared" si="13"/>
        <v>0</v>
      </c>
      <c r="N29" s="255">
        <f t="shared" si="13"/>
        <v>0</v>
      </c>
      <c r="O29" s="255">
        <f t="shared" si="13"/>
        <v>0</v>
      </c>
      <c r="P29" s="255">
        <f t="shared" si="13"/>
        <v>0</v>
      </c>
      <c r="Q29" s="255">
        <f t="shared" si="13"/>
        <v>0</v>
      </c>
      <c r="X29" s="42"/>
      <c r="Y29" s="42"/>
      <c r="Z29" s="42"/>
    </row>
    <row r="30" spans="1:29" ht="13.7" hidden="1" outlineLevel="1">
      <c r="A30" s="256"/>
      <c r="B30" s="256"/>
      <c r="C30" s="254"/>
      <c r="D30" s="340" t="s">
        <v>1094</v>
      </c>
      <c r="E30" s="341">
        <f>IFERROR(E$6*'Historical BU2'!D43,0)*Currency_conversion_BU2</f>
        <v>0</v>
      </c>
      <c r="F30" s="341">
        <f>IFERROR(F$6*'Historical BU2'!E43,0)*Currency_conversion_BU2</f>
        <v>0</v>
      </c>
      <c r="G30" s="341">
        <f>IFERROR(G$6*'Historical BU2'!F43,0)*Currency_conversion_BU2</f>
        <v>0</v>
      </c>
      <c r="H30" s="341">
        <f>IFERROR(H$6*'Historical BU2'!G43,0)*Currency_conversion_BU2</f>
        <v>0</v>
      </c>
      <c r="I30" s="341">
        <f>IFERROR(I$6*'Historical BU2'!H43,0)*Currency_conversion_BU2</f>
        <v>0</v>
      </c>
      <c r="J30" s="341">
        <f>IFERROR(J$6*'Historical BU2'!I43,0)*Currency_conversion_BU2</f>
        <v>0</v>
      </c>
      <c r="K30" s="341">
        <f>IFERROR(K$6*'Historical BU2'!J43,0)*Currency_conversion_BU2</f>
        <v>0</v>
      </c>
      <c r="L30" s="341">
        <f>IFERROR(L$6*'Historical BU2'!K43,0)*Currency_conversion_BU2</f>
        <v>0</v>
      </c>
      <c r="M30" s="341">
        <f>IFERROR(M$6*'Historical BU2'!L43,0)*Currency_conversion_BU2</f>
        <v>0</v>
      </c>
      <c r="N30" s="341">
        <f>IFERROR(N$6*'Historical BU2'!M43,0)*Currency_conversion_BU2</f>
        <v>0</v>
      </c>
      <c r="O30" s="341">
        <f>IFERROR(O$6*'Historical BU2'!N43,0)*Currency_conversion_BU2</f>
        <v>0</v>
      </c>
      <c r="P30" s="341">
        <f>IFERROR(P$6*'Historical BU2'!O43,0)*Currency_conversion_BU2</f>
        <v>0</v>
      </c>
      <c r="Q30" s="341">
        <f>IFERROR(Q$6*'Historical BU2'!P43,0)*Currency_conversion_BU2</f>
        <v>0</v>
      </c>
      <c r="X30" s="42"/>
      <c r="Y30" s="42"/>
      <c r="Z30" s="42"/>
    </row>
    <row r="31" spans="1:29" ht="13.7" hidden="1" outlineLevel="1">
      <c r="A31" s="256"/>
      <c r="B31" s="256"/>
      <c r="C31" s="254"/>
      <c r="D31" s="340" t="s">
        <v>1095</v>
      </c>
      <c r="E31" s="341">
        <f>+IFERROR(E$7*'Acquisition BS adjustments'!$C95,0)+IFERROR(E$8*'Acquisition BS adjustments'!$E95,0)</f>
        <v>0</v>
      </c>
      <c r="F31" s="341">
        <f>+IFERROR(F$7*'Acquisition BS adjustments'!$C95,0)+IFERROR(F$8*'Acquisition BS adjustments'!$E95,0)</f>
        <v>0</v>
      </c>
      <c r="G31" s="341">
        <f>+IFERROR(G$7*'Acquisition BS adjustments'!$C95,0)+IFERROR(G$8*'Acquisition BS adjustments'!$E95,0)</f>
        <v>0</v>
      </c>
      <c r="H31" s="341">
        <f>+IFERROR(H$7*'Acquisition BS adjustments'!$C95,0)+IFERROR(H$8*'Acquisition BS adjustments'!$E95,0)</f>
        <v>0</v>
      </c>
      <c r="I31" s="341">
        <f>+IFERROR(I$7*'Acquisition BS adjustments'!$C95,0)+IFERROR(I$8*'Acquisition BS adjustments'!$E95,0)</f>
        <v>0</v>
      </c>
      <c r="J31" s="341">
        <f>+IFERROR(J$7*'Acquisition BS adjustments'!$C95,0)+IFERROR(J$8*'Acquisition BS adjustments'!$E95,0)</f>
        <v>0</v>
      </c>
      <c r="K31" s="341">
        <f>+IFERROR(K$7*'Acquisition BS adjustments'!$C95,0)+IFERROR(K$8*'Acquisition BS adjustments'!$E95,0)</f>
        <v>0</v>
      </c>
      <c r="L31" s="341">
        <f>+IFERROR(L$7*'Acquisition BS adjustments'!$C95,0)+IFERROR(L$8*'Acquisition BS adjustments'!$E95,0)</f>
        <v>0</v>
      </c>
      <c r="M31" s="341">
        <f>+IFERROR(M$7*'Acquisition BS adjustments'!$C95,0)+IFERROR(M$8*'Acquisition BS adjustments'!$E95,0)</f>
        <v>0</v>
      </c>
      <c r="N31" s="341">
        <f>+IFERROR(N$7*'Acquisition BS adjustments'!$C95,0)+IFERROR(N$8*'Acquisition BS adjustments'!$E95,0)</f>
        <v>0</v>
      </c>
      <c r="O31" s="341">
        <f>+IFERROR(O$7*'Acquisition BS adjustments'!$C95,0)+IFERROR(O$8*'Acquisition BS adjustments'!$E95,0)</f>
        <v>0</v>
      </c>
      <c r="P31" s="341">
        <f>+IFERROR(P$7*'Acquisition BS adjustments'!$C95,0)+IFERROR(P$8*'Acquisition BS adjustments'!$E95,0)</f>
        <v>0</v>
      </c>
      <c r="Q31" s="341">
        <f>+IFERROR(Q$7*'Acquisition BS adjustments'!$C95,0)+IFERROR(Q$8*'Acquisition BS adjustments'!$E95,0)</f>
        <v>0</v>
      </c>
      <c r="X31" s="42"/>
      <c r="Y31" s="42"/>
      <c r="Z31" s="42"/>
    </row>
    <row r="32" spans="1:29" ht="13.7" hidden="1" outlineLevel="1">
      <c r="A32" s="256"/>
      <c r="B32" s="256"/>
      <c r="C32" s="254"/>
      <c r="D32" s="339" t="s">
        <v>1097</v>
      </c>
      <c r="E32" s="255">
        <f>+IFERROR(E9*D29,0)</f>
        <v>0</v>
      </c>
      <c r="F32" s="255">
        <f t="shared" ref="F32:Q32" si="14">+IFERROR(F9*E29,0)</f>
        <v>0</v>
      </c>
      <c r="G32" s="255">
        <f t="shared" si="14"/>
        <v>0</v>
      </c>
      <c r="H32" s="255">
        <f t="shared" si="14"/>
        <v>0</v>
      </c>
      <c r="I32" s="255">
        <f t="shared" si="14"/>
        <v>0</v>
      </c>
      <c r="J32" s="255">
        <f t="shared" si="14"/>
        <v>0</v>
      </c>
      <c r="K32" s="255">
        <f t="shared" si="14"/>
        <v>0</v>
      </c>
      <c r="L32" s="255">
        <f t="shared" si="14"/>
        <v>0</v>
      </c>
      <c r="M32" s="255">
        <f t="shared" si="14"/>
        <v>0</v>
      </c>
      <c r="N32" s="255">
        <f t="shared" si="14"/>
        <v>0</v>
      </c>
      <c r="O32" s="255">
        <f t="shared" si="14"/>
        <v>0</v>
      </c>
      <c r="P32" s="255">
        <f t="shared" si="14"/>
        <v>0</v>
      </c>
      <c r="Q32" s="255">
        <f t="shared" si="14"/>
        <v>0</v>
      </c>
      <c r="X32" s="42"/>
      <c r="Y32" s="42"/>
      <c r="Z32" s="42"/>
    </row>
    <row r="33" spans="1:26" ht="13.7" collapsed="1">
      <c r="A33" s="256"/>
      <c r="B33" s="256"/>
      <c r="C33" s="254" t="s">
        <v>215</v>
      </c>
      <c r="D33" s="255"/>
      <c r="E33" s="255">
        <f>SUM(E34:E36)</f>
        <v>0</v>
      </c>
      <c r="F33" s="255">
        <f t="shared" ref="F33:Q33" si="15">SUM(F34:F36)</f>
        <v>0</v>
      </c>
      <c r="G33" s="255">
        <f t="shared" si="15"/>
        <v>0</v>
      </c>
      <c r="H33" s="255">
        <f t="shared" si="15"/>
        <v>0</v>
      </c>
      <c r="I33" s="255">
        <f t="shared" si="15"/>
        <v>0</v>
      </c>
      <c r="J33" s="255">
        <f t="shared" si="15"/>
        <v>0</v>
      </c>
      <c r="K33" s="255">
        <f t="shared" si="15"/>
        <v>0</v>
      </c>
      <c r="L33" s="255">
        <f t="shared" si="15"/>
        <v>0</v>
      </c>
      <c r="M33" s="255">
        <f t="shared" si="15"/>
        <v>0</v>
      </c>
      <c r="N33" s="255">
        <f t="shared" si="15"/>
        <v>0</v>
      </c>
      <c r="O33" s="255">
        <f t="shared" si="15"/>
        <v>0</v>
      </c>
      <c r="P33" s="255">
        <f t="shared" si="15"/>
        <v>0</v>
      </c>
      <c r="Q33" s="255">
        <f t="shared" si="15"/>
        <v>0</v>
      </c>
      <c r="X33" s="42"/>
      <c r="Y33" s="42"/>
      <c r="Z33" s="42"/>
    </row>
    <row r="34" spans="1:26" ht="13.7" hidden="1" outlineLevel="1">
      <c r="A34" s="256"/>
      <c r="B34" s="256"/>
      <c r="C34" s="254"/>
      <c r="D34" s="340" t="s">
        <v>1094</v>
      </c>
      <c r="E34" s="341">
        <f>IFERROR(E$6*'Historical BU2'!D44,0)*Currency_conversion_BU2</f>
        <v>0</v>
      </c>
      <c r="F34" s="341">
        <f>IFERROR(F$6*'Historical BU2'!E44,0)*Currency_conversion_BU2</f>
        <v>0</v>
      </c>
      <c r="G34" s="341">
        <f>IFERROR(G$6*'Historical BU2'!F44,0)*Currency_conversion_BU2</f>
        <v>0</v>
      </c>
      <c r="H34" s="341">
        <f>IFERROR(H$6*'Historical BU2'!G44,0)*Currency_conversion_BU2</f>
        <v>0</v>
      </c>
      <c r="I34" s="341">
        <f>IFERROR(I$6*'Historical BU2'!H44,0)*Currency_conversion_BU2</f>
        <v>0</v>
      </c>
      <c r="J34" s="341">
        <f>IFERROR(J$6*'Historical BU2'!I44,0)*Currency_conversion_BU2</f>
        <v>0</v>
      </c>
      <c r="K34" s="341">
        <f>IFERROR(K$6*'Historical BU2'!J44,0)*Currency_conversion_BU2</f>
        <v>0</v>
      </c>
      <c r="L34" s="341">
        <f>IFERROR(L$6*'Historical BU2'!K44,0)*Currency_conversion_BU2</f>
        <v>0</v>
      </c>
      <c r="M34" s="341">
        <f>IFERROR(M$6*'Historical BU2'!L44,0)*Currency_conversion_BU2</f>
        <v>0</v>
      </c>
      <c r="N34" s="341">
        <f>IFERROR(N$6*'Historical BU2'!M44,0)*Currency_conversion_BU2</f>
        <v>0</v>
      </c>
      <c r="O34" s="341">
        <f>IFERROR(O$6*'Historical BU2'!N44,0)*Currency_conversion_BU2</f>
        <v>0</v>
      </c>
      <c r="P34" s="341">
        <f>IFERROR(P$6*'Historical BU2'!O44,0)*Currency_conversion_BU2</f>
        <v>0</v>
      </c>
      <c r="Q34" s="341">
        <f>IFERROR(Q$6*'Historical BU2'!P44,0)*Currency_conversion_BU2</f>
        <v>0</v>
      </c>
      <c r="X34" s="42"/>
      <c r="Y34" s="42"/>
      <c r="Z34" s="42"/>
    </row>
    <row r="35" spans="1:26" ht="13.7" hidden="1" outlineLevel="1">
      <c r="A35" s="256"/>
      <c r="B35" s="256"/>
      <c r="C35" s="254"/>
      <c r="D35" s="340" t="s">
        <v>1095</v>
      </c>
      <c r="E35" s="341">
        <f>+IFERROR(E$7*'Acquisition BS adjustments'!$C96,0)+IFERROR(E$8*'Acquisition BS adjustments'!$E96,0)</f>
        <v>0</v>
      </c>
      <c r="F35" s="341">
        <f>+IFERROR(F$7*'Acquisition BS adjustments'!$C96,0)+IFERROR(F$8*'Acquisition BS adjustments'!$E96,0)</f>
        <v>0</v>
      </c>
      <c r="G35" s="341">
        <f>+IFERROR(G$7*'Acquisition BS adjustments'!$C96,0)+IFERROR(G$8*'Acquisition BS adjustments'!$E96,0)</f>
        <v>0</v>
      </c>
      <c r="H35" s="341">
        <f>+IFERROR(H$7*'Acquisition BS adjustments'!$C96,0)+IFERROR(H$8*'Acquisition BS adjustments'!$E96,0)</f>
        <v>0</v>
      </c>
      <c r="I35" s="341">
        <f>+IFERROR(I$7*'Acquisition BS adjustments'!$C96,0)+IFERROR(I$8*'Acquisition BS adjustments'!$E96,0)</f>
        <v>0</v>
      </c>
      <c r="J35" s="341">
        <f>+IFERROR(J$7*'Acquisition BS adjustments'!$C96,0)+IFERROR(J$8*'Acquisition BS adjustments'!$E96,0)</f>
        <v>0</v>
      </c>
      <c r="K35" s="341">
        <f>+IFERROR(K$7*'Acquisition BS adjustments'!$C96,0)+IFERROR(K$8*'Acquisition BS adjustments'!$E96,0)</f>
        <v>0</v>
      </c>
      <c r="L35" s="341">
        <f>+IFERROR(L$7*'Acquisition BS adjustments'!$C96,0)+IFERROR(L$8*'Acquisition BS adjustments'!$E96,0)</f>
        <v>0</v>
      </c>
      <c r="M35" s="341">
        <f>+IFERROR(M$7*'Acquisition BS adjustments'!$C96,0)+IFERROR(M$8*'Acquisition BS adjustments'!$E96,0)</f>
        <v>0</v>
      </c>
      <c r="N35" s="341">
        <f>+IFERROR(N$7*'Acquisition BS adjustments'!$C96,0)+IFERROR(N$8*'Acquisition BS adjustments'!$E96,0)</f>
        <v>0</v>
      </c>
      <c r="O35" s="341">
        <f>+IFERROR(O$7*'Acquisition BS adjustments'!$C96,0)+IFERROR(O$8*'Acquisition BS adjustments'!$E96,0)</f>
        <v>0</v>
      </c>
      <c r="P35" s="341">
        <f>+IFERROR(P$7*'Acquisition BS adjustments'!$C96,0)+IFERROR(P$8*'Acquisition BS adjustments'!$E96,0)</f>
        <v>0</v>
      </c>
      <c r="Q35" s="341">
        <f>+IFERROR(Q$7*'Acquisition BS adjustments'!$C96,0)+IFERROR(Q$8*'Acquisition BS adjustments'!$E96,0)</f>
        <v>0</v>
      </c>
      <c r="X35" s="42"/>
      <c r="Y35" s="42"/>
      <c r="Z35" s="42"/>
    </row>
    <row r="36" spans="1:26" ht="13.7" hidden="1" outlineLevel="1">
      <c r="A36" s="256"/>
      <c r="B36" s="256"/>
      <c r="C36" s="254"/>
      <c r="D36" s="340" t="s">
        <v>1098</v>
      </c>
      <c r="E36" s="341">
        <f>+IFERROR(E$9*INDEX('Scenarios onshore'!222:222,MATCH('BS onshore'!E$5,'Scenarios onshore'!$4:$4,0)),0)*Currency_conversion_BU2</f>
        <v>0</v>
      </c>
      <c r="F36" s="341">
        <f>+IFERROR(F$9*INDEX('Scenarios onshore'!222:222,MATCH('BS onshore'!F$5,'Scenarios onshore'!$4:$4,0)),0)*Currency_conversion_BU2</f>
        <v>0</v>
      </c>
      <c r="G36" s="341">
        <f>+IFERROR(G$9*INDEX('Scenarios onshore'!222:222,MATCH('BS onshore'!G$5,'Scenarios onshore'!$4:$4,0)),0)*Currency_conversion_BU2</f>
        <v>0</v>
      </c>
      <c r="H36" s="341">
        <f>+IFERROR(H$9*INDEX('Scenarios onshore'!222:222,MATCH('BS onshore'!H$5,'Scenarios onshore'!$4:$4,0)),0)*Currency_conversion_BU2</f>
        <v>0</v>
      </c>
      <c r="I36" s="341">
        <f>+IFERROR(I$9*INDEX('Scenarios onshore'!222:222,MATCH('BS onshore'!I$5,'Scenarios onshore'!$4:$4,0)),0)*Currency_conversion_BU2</f>
        <v>0</v>
      </c>
      <c r="J36" s="341">
        <f>+IFERROR(J$9*INDEX('Scenarios onshore'!222:222,MATCH('BS onshore'!J$5,'Scenarios onshore'!$4:$4,0)),0)*Currency_conversion_BU2</f>
        <v>0</v>
      </c>
      <c r="K36" s="341">
        <f>+IFERROR(K$9*INDEX('Scenarios onshore'!222:222,MATCH('BS onshore'!K$5,'Scenarios onshore'!$4:$4,0)),0)*Currency_conversion_BU2</f>
        <v>0</v>
      </c>
      <c r="L36" s="341">
        <f>+IFERROR(L$9*INDEX('Scenarios onshore'!222:222,MATCH('BS onshore'!L$5,'Scenarios onshore'!$4:$4,0)),0)*Currency_conversion_BU2</f>
        <v>0</v>
      </c>
      <c r="M36" s="341">
        <f>+IFERROR(M$9*INDEX('Scenarios onshore'!222:222,MATCH('BS onshore'!M$5,'Scenarios onshore'!$4:$4,0)),0)*Currency_conversion_BU2</f>
        <v>0</v>
      </c>
      <c r="N36" s="341">
        <f>+IFERROR(N$9*INDEX('Scenarios onshore'!222:222,MATCH('BS onshore'!N$5,'Scenarios onshore'!$4:$4,0)),0)*Currency_conversion_BU2</f>
        <v>0</v>
      </c>
      <c r="O36" s="341">
        <f>+IFERROR(O$9*INDEX('Scenarios onshore'!222:222,MATCH('BS onshore'!O$5,'Scenarios onshore'!$4:$4,0)),0)*Currency_conversion_BU2</f>
        <v>0</v>
      </c>
      <c r="P36" s="341">
        <f>+IFERROR(P$9*INDEX('Scenarios onshore'!222:222,MATCH('BS onshore'!P$5,'Scenarios onshore'!$4:$4,0)),0)*Currency_conversion_BU2</f>
        <v>0</v>
      </c>
      <c r="Q36" s="341">
        <f>+IFERROR(Q$9*INDEX('Scenarios onshore'!222:222,MATCH('BS onshore'!Q$5,'Scenarios onshore'!$4:$4,0)),0)*Currency_conversion_BU2</f>
        <v>0</v>
      </c>
      <c r="X36" s="42"/>
      <c r="Y36" s="42"/>
      <c r="Z36" s="42"/>
    </row>
    <row r="37" spans="1:26" ht="13.7" collapsed="1">
      <c r="A37" s="256"/>
      <c r="B37" s="256"/>
      <c r="C37" s="254" t="s">
        <v>6</v>
      </c>
      <c r="D37" s="255"/>
      <c r="E37" s="255">
        <f>SUM(E38:E40)</f>
        <v>0</v>
      </c>
      <c r="F37" s="255">
        <f t="shared" ref="F37:Q37" si="16">SUM(F38:F40)</f>
        <v>0</v>
      </c>
      <c r="G37" s="255">
        <f t="shared" si="16"/>
        <v>0</v>
      </c>
      <c r="H37" s="255">
        <f t="shared" si="16"/>
        <v>0</v>
      </c>
      <c r="I37" s="255">
        <f t="shared" si="16"/>
        <v>0</v>
      </c>
      <c r="J37" s="255">
        <f t="shared" si="16"/>
        <v>0</v>
      </c>
      <c r="K37" s="255">
        <f t="shared" si="16"/>
        <v>0</v>
      </c>
      <c r="L37" s="255">
        <f t="shared" si="16"/>
        <v>0</v>
      </c>
      <c r="M37" s="255">
        <f t="shared" si="16"/>
        <v>0</v>
      </c>
      <c r="N37" s="255">
        <f t="shared" si="16"/>
        <v>0</v>
      </c>
      <c r="O37" s="255">
        <f t="shared" si="16"/>
        <v>0</v>
      </c>
      <c r="P37" s="255">
        <f t="shared" si="16"/>
        <v>0</v>
      </c>
      <c r="Q37" s="255">
        <f t="shared" si="16"/>
        <v>0</v>
      </c>
      <c r="R37" s="43"/>
      <c r="S37" s="44"/>
      <c r="T37" s="44"/>
      <c r="X37" s="41"/>
      <c r="Y37" s="41"/>
      <c r="Z37" s="40"/>
    </row>
    <row r="38" spans="1:26" ht="13.7" hidden="1" outlineLevel="1">
      <c r="A38" s="256"/>
      <c r="B38" s="256"/>
      <c r="C38" s="254"/>
      <c r="D38" s="340" t="s">
        <v>1094</v>
      </c>
      <c r="E38" s="341">
        <f>IFERROR(E$6*'Historical BU2'!D45,0)*Currency_conversion_BU2</f>
        <v>0</v>
      </c>
      <c r="F38" s="341">
        <f>IFERROR(F$6*'Historical BU2'!E45,0)*Currency_conversion_BU2</f>
        <v>0</v>
      </c>
      <c r="G38" s="341">
        <f>IFERROR(G$6*'Historical BU2'!F45,0)*Currency_conversion_BU2</f>
        <v>0</v>
      </c>
      <c r="H38" s="341">
        <f>IFERROR(H$6*'Historical BU2'!G45,0)*Currency_conversion_BU2</f>
        <v>0</v>
      </c>
      <c r="I38" s="341">
        <f>IFERROR(I$6*'Historical BU2'!H45,0)*Currency_conversion_BU2</f>
        <v>0</v>
      </c>
      <c r="J38" s="341">
        <f>IFERROR(J$6*'Historical BU2'!I45,0)*Currency_conversion_BU2</f>
        <v>0</v>
      </c>
      <c r="K38" s="341">
        <f>IFERROR(K$6*'Historical BU2'!J45,0)*Currency_conversion_BU2</f>
        <v>0</v>
      </c>
      <c r="L38" s="341">
        <f>IFERROR(L$6*'Historical BU2'!K45,0)*Currency_conversion_BU2</f>
        <v>0</v>
      </c>
      <c r="M38" s="341">
        <f>IFERROR(M$6*'Historical BU2'!L45,0)*Currency_conversion_BU2</f>
        <v>0</v>
      </c>
      <c r="N38" s="341">
        <f>IFERROR(N$6*'Historical BU2'!M45,0)*Currency_conversion_BU2</f>
        <v>0</v>
      </c>
      <c r="O38" s="341">
        <f>IFERROR(O$6*'Historical BU2'!N45,0)*Currency_conversion_BU2</f>
        <v>0</v>
      </c>
      <c r="P38" s="341">
        <f>IFERROR(P$6*'Historical BU2'!O45,0)*Currency_conversion_BU2</f>
        <v>0</v>
      </c>
      <c r="Q38" s="341">
        <f>IFERROR(Q$6*'Historical BU2'!P45,0)*Currency_conversion_BU2</f>
        <v>0</v>
      </c>
      <c r="R38" s="43"/>
      <c r="S38" s="44"/>
      <c r="T38" s="44"/>
      <c r="X38" s="41"/>
      <c r="Y38" s="41"/>
      <c r="Z38" s="40"/>
    </row>
    <row r="39" spans="1:26" ht="13.7" hidden="1" outlineLevel="1">
      <c r="A39" s="256"/>
      <c r="B39" s="256"/>
      <c r="C39" s="254"/>
      <c r="D39" s="340" t="s">
        <v>1095</v>
      </c>
      <c r="E39" s="341">
        <f>+IFERROR(E$7*'Acquisition BS adjustments'!$C97,0)+IFERROR(E$8*'Acquisition BS adjustments'!$E97,0)</f>
        <v>0</v>
      </c>
      <c r="F39" s="341">
        <f>+IFERROR(F$7*'Acquisition BS adjustments'!$C97,0)+IFERROR(F$8*'Acquisition BS adjustments'!$E97,0)</f>
        <v>0</v>
      </c>
      <c r="G39" s="341">
        <f>+IFERROR(G$7*'Acquisition BS adjustments'!$C97,0)+IFERROR(G$8*'Acquisition BS adjustments'!$E97,0)</f>
        <v>0</v>
      </c>
      <c r="H39" s="341">
        <f>+IFERROR(H$7*'Acquisition BS adjustments'!$C97,0)+IFERROR(H$8*'Acquisition BS adjustments'!$E97,0)</f>
        <v>0</v>
      </c>
      <c r="I39" s="341">
        <f>+IFERROR(I$7*'Acquisition BS adjustments'!$C97,0)+IFERROR(I$8*'Acquisition BS adjustments'!$E97,0)</f>
        <v>0</v>
      </c>
      <c r="J39" s="341">
        <f>+IFERROR(J$7*'Acquisition BS adjustments'!$C97,0)+IFERROR(J$8*'Acquisition BS adjustments'!$E97,0)</f>
        <v>0</v>
      </c>
      <c r="K39" s="341">
        <f>+IFERROR(K$7*'Acquisition BS adjustments'!$C97,0)+IFERROR(K$8*'Acquisition BS adjustments'!$E97,0)</f>
        <v>0</v>
      </c>
      <c r="L39" s="341">
        <f>+IFERROR(L$7*'Acquisition BS adjustments'!$C97,0)+IFERROR(L$8*'Acquisition BS adjustments'!$E97,0)</f>
        <v>0</v>
      </c>
      <c r="M39" s="341">
        <f>+IFERROR(M$7*'Acquisition BS adjustments'!$C97,0)+IFERROR(M$8*'Acquisition BS adjustments'!$E97,0)</f>
        <v>0</v>
      </c>
      <c r="N39" s="341">
        <f>+IFERROR(N$7*'Acquisition BS adjustments'!$C97,0)+IFERROR(N$8*'Acquisition BS adjustments'!$E97,0)</f>
        <v>0</v>
      </c>
      <c r="O39" s="341">
        <f>+IFERROR(O$7*'Acquisition BS adjustments'!$C97,0)+IFERROR(O$8*'Acquisition BS adjustments'!$E97,0)</f>
        <v>0</v>
      </c>
      <c r="P39" s="341">
        <f>+IFERROR(P$7*'Acquisition BS adjustments'!$C97,0)+IFERROR(P$8*'Acquisition BS adjustments'!$E97,0)</f>
        <v>0</v>
      </c>
      <c r="Q39" s="341">
        <f>+IFERROR(Q$7*'Acquisition BS adjustments'!$C97,0)+IFERROR(Q$8*'Acquisition BS adjustments'!$E97,0)</f>
        <v>0</v>
      </c>
      <c r="R39" s="43"/>
      <c r="S39" s="44"/>
      <c r="T39" s="44"/>
      <c r="X39" s="41"/>
      <c r="Y39" s="41"/>
      <c r="Z39" s="40"/>
    </row>
    <row r="40" spans="1:26" ht="13.7" hidden="1" outlineLevel="1">
      <c r="A40" s="256"/>
      <c r="B40" s="256"/>
      <c r="C40" s="254"/>
      <c r="D40" s="340" t="s">
        <v>1098</v>
      </c>
      <c r="E40" s="341">
        <f>+IFERROR(E$9*INDEX('Scenarios onshore'!224:224,MATCH('BS onshore'!E$5,'Scenarios onshore'!$4:$4,0)),0)*Currency_conversion_BU2</f>
        <v>0</v>
      </c>
      <c r="F40" s="341">
        <f>+IFERROR(F$9*INDEX('Scenarios onshore'!224:224,MATCH('BS onshore'!F$5,'Scenarios onshore'!$4:$4,0)),0)*Currency_conversion_BU2</f>
        <v>0</v>
      </c>
      <c r="G40" s="341">
        <f>+IFERROR(G$9*INDEX('Scenarios onshore'!224:224,MATCH('BS onshore'!G$5,'Scenarios onshore'!$4:$4,0)),0)*Currency_conversion_BU2</f>
        <v>0</v>
      </c>
      <c r="H40" s="341">
        <f>+IFERROR(H$9*INDEX('Scenarios onshore'!224:224,MATCH('BS onshore'!H$5,'Scenarios onshore'!$4:$4,0)),0)*Currency_conversion_BU2</f>
        <v>0</v>
      </c>
      <c r="I40" s="341">
        <f>+IFERROR(I$9*INDEX('Scenarios onshore'!224:224,MATCH('BS onshore'!I$5,'Scenarios onshore'!$4:$4,0)),0)*Currency_conversion_BU2</f>
        <v>0</v>
      </c>
      <c r="J40" s="341">
        <f>+IFERROR(J$9*INDEX('Scenarios onshore'!224:224,MATCH('BS onshore'!J$5,'Scenarios onshore'!$4:$4,0)),0)*Currency_conversion_BU2</f>
        <v>0</v>
      </c>
      <c r="K40" s="341">
        <f>+IFERROR(K$9*INDEX('Scenarios onshore'!224:224,MATCH('BS onshore'!K$5,'Scenarios onshore'!$4:$4,0)),0)*Currency_conversion_BU2</f>
        <v>0</v>
      </c>
      <c r="L40" s="341">
        <f>+IFERROR(L$9*INDEX('Scenarios onshore'!224:224,MATCH('BS onshore'!L$5,'Scenarios onshore'!$4:$4,0)),0)*Currency_conversion_BU2</f>
        <v>0</v>
      </c>
      <c r="M40" s="341">
        <f>+IFERROR(M$9*INDEX('Scenarios onshore'!224:224,MATCH('BS onshore'!M$5,'Scenarios onshore'!$4:$4,0)),0)*Currency_conversion_BU2</f>
        <v>0</v>
      </c>
      <c r="N40" s="341">
        <f>+IFERROR(N$9*INDEX('Scenarios onshore'!224:224,MATCH('BS onshore'!N$5,'Scenarios onshore'!$4:$4,0)),0)*Currency_conversion_BU2</f>
        <v>0</v>
      </c>
      <c r="O40" s="341">
        <f>+IFERROR(O$9*INDEX('Scenarios onshore'!224:224,MATCH('BS onshore'!O$5,'Scenarios onshore'!$4:$4,0)),0)*Currency_conversion_BU2</f>
        <v>0</v>
      </c>
      <c r="P40" s="341">
        <f>+IFERROR(P$9*INDEX('Scenarios onshore'!224:224,MATCH('BS onshore'!P$5,'Scenarios onshore'!$4:$4,0)),0)*Currency_conversion_BU2</f>
        <v>0</v>
      </c>
      <c r="Q40" s="341">
        <f>+IFERROR(Q$9*INDEX('Scenarios onshore'!224:224,MATCH('BS onshore'!Q$5,'Scenarios onshore'!$4:$4,0)),0)*Currency_conversion_BU2</f>
        <v>0</v>
      </c>
      <c r="R40" s="43"/>
      <c r="S40" s="44"/>
      <c r="T40" s="44"/>
      <c r="X40" s="41"/>
      <c r="Y40" s="41"/>
      <c r="Z40" s="40"/>
    </row>
    <row r="41" spans="1:26" ht="13.7" collapsed="1">
      <c r="A41" s="256"/>
      <c r="B41" s="256"/>
      <c r="C41" s="254" t="s">
        <v>582</v>
      </c>
      <c r="D41" s="255"/>
      <c r="E41" s="255">
        <f>SUM(E42:E43)</f>
        <v>0</v>
      </c>
      <c r="F41" s="255">
        <f t="shared" ref="F41:Q41" si="17">SUM(F42:F43)</f>
        <v>0</v>
      </c>
      <c r="G41" s="255">
        <f t="shared" si="17"/>
        <v>0</v>
      </c>
      <c r="H41" s="255">
        <f t="shared" si="17"/>
        <v>0</v>
      </c>
      <c r="I41" s="255">
        <f t="shared" si="17"/>
        <v>0</v>
      </c>
      <c r="J41" s="255">
        <f t="shared" si="17"/>
        <v>0</v>
      </c>
      <c r="K41" s="255">
        <f t="shared" si="17"/>
        <v>0</v>
      </c>
      <c r="L41" s="255">
        <f t="shared" si="17"/>
        <v>0</v>
      </c>
      <c r="M41" s="255">
        <f t="shared" si="17"/>
        <v>0</v>
      </c>
      <c r="N41" s="255">
        <f t="shared" si="17"/>
        <v>0</v>
      </c>
      <c r="O41" s="255">
        <f t="shared" si="17"/>
        <v>0</v>
      </c>
      <c r="P41" s="255">
        <f t="shared" si="17"/>
        <v>0</v>
      </c>
      <c r="Q41" s="255">
        <f t="shared" si="17"/>
        <v>0</v>
      </c>
      <c r="R41" s="44"/>
      <c r="U41" s="41"/>
      <c r="V41" s="41"/>
      <c r="W41" s="40"/>
    </row>
    <row r="42" spans="1:26" ht="13.7" hidden="1" outlineLevel="1">
      <c r="A42" s="256"/>
      <c r="B42" s="256"/>
      <c r="C42" s="254"/>
      <c r="D42" s="340" t="s">
        <v>1094</v>
      </c>
      <c r="E42" s="341">
        <f>IFERROR(E$6*'Historical BU2'!D46,0)*Currency_conversion_BU2</f>
        <v>0</v>
      </c>
      <c r="F42" s="341">
        <f>IFERROR(F$6*'Historical BU2'!E46,0)*Currency_conversion_BU2</f>
        <v>0</v>
      </c>
      <c r="G42" s="341">
        <f>IFERROR(G$6*'Historical BU2'!F46,0)*Currency_conversion_BU2</f>
        <v>0</v>
      </c>
      <c r="H42" s="341">
        <f>IFERROR(H$6*'Historical BU2'!G46,0)*Currency_conversion_BU2</f>
        <v>0</v>
      </c>
      <c r="I42" s="341">
        <f>IFERROR(I$6*'Historical BU2'!H46,0)*Currency_conversion_BU2</f>
        <v>0</v>
      </c>
      <c r="J42" s="341">
        <f>IFERROR(J$6*'Historical BU2'!I46,0)*Currency_conversion_BU2</f>
        <v>0</v>
      </c>
      <c r="K42" s="341">
        <f>IFERROR(K$6*'Historical BU2'!J46,0)*Currency_conversion_BU2</f>
        <v>0</v>
      </c>
      <c r="L42" s="341">
        <f>IFERROR(L$6*'Historical BU2'!K46,0)*Currency_conversion_BU2</f>
        <v>0</v>
      </c>
      <c r="M42" s="341">
        <f>IFERROR(M$6*'Historical BU2'!L46,0)*Currency_conversion_BU2</f>
        <v>0</v>
      </c>
      <c r="N42" s="341">
        <f>IFERROR(N$6*'Historical BU2'!M46,0)*Currency_conversion_BU2</f>
        <v>0</v>
      </c>
      <c r="O42" s="341">
        <f>IFERROR(O$6*'Historical BU2'!N46,0)*Currency_conversion_BU2</f>
        <v>0</v>
      </c>
      <c r="P42" s="341">
        <f>IFERROR(P$6*'Historical BU2'!O46,0)*Currency_conversion_BU2</f>
        <v>0</v>
      </c>
      <c r="Q42" s="341">
        <f>IFERROR(Q$6*'Historical BU2'!P46,0)*Currency_conversion_BU2</f>
        <v>0</v>
      </c>
      <c r="R42" s="44"/>
      <c r="U42" s="41"/>
      <c r="V42" s="41"/>
      <c r="W42" s="40"/>
    </row>
    <row r="43" spans="1:26" ht="13.7" hidden="1" outlineLevel="1">
      <c r="A43" s="256"/>
      <c r="B43" s="256"/>
      <c r="C43" s="254"/>
      <c r="D43" s="340" t="s">
        <v>1095</v>
      </c>
      <c r="E43" s="341">
        <f>+IFERROR(E$7*'Acquisition BS adjustments'!$C98,0)+IFERROR(E$8*'Acquisition BS adjustments'!$E98,0)</f>
        <v>0</v>
      </c>
      <c r="F43" s="341">
        <f>+IFERROR(F$7*'Acquisition BS adjustments'!$C98,0)+IFERROR(F$8*'Acquisition BS adjustments'!$E98,0)</f>
        <v>0</v>
      </c>
      <c r="G43" s="341">
        <f>+IFERROR(G$7*'Acquisition BS adjustments'!$C98,0)+IFERROR(G$8*'Acquisition BS adjustments'!$E98,0)</f>
        <v>0</v>
      </c>
      <c r="H43" s="341">
        <f>+IFERROR(H$7*'Acquisition BS adjustments'!$C98,0)+IFERROR(H$8*'Acquisition BS adjustments'!$E98,0)</f>
        <v>0</v>
      </c>
      <c r="I43" s="341">
        <f>+IFERROR(I$7*'Acquisition BS adjustments'!$C98,0)+IFERROR(I$8*'Acquisition BS adjustments'!$E98,0)</f>
        <v>0</v>
      </c>
      <c r="J43" s="341">
        <f>+IFERROR(J$7*'Acquisition BS adjustments'!$C98,0)+IFERROR(J$8*'Acquisition BS adjustments'!$E98,0)</f>
        <v>0</v>
      </c>
      <c r="K43" s="341">
        <f>+IFERROR(K$7*'Acquisition BS adjustments'!$C98,0)+IFERROR(K$8*'Acquisition BS adjustments'!$E98,0)</f>
        <v>0</v>
      </c>
      <c r="L43" s="341">
        <f>+IFERROR(L$7*'Acquisition BS adjustments'!$C98,0)+IFERROR(L$8*'Acquisition BS adjustments'!$E98,0)</f>
        <v>0</v>
      </c>
      <c r="M43" s="341">
        <f>+IFERROR(M$7*'Acquisition BS adjustments'!$C98,0)+IFERROR(M$8*'Acquisition BS adjustments'!$E98,0)</f>
        <v>0</v>
      </c>
      <c r="N43" s="341">
        <f>+IFERROR(N$7*'Acquisition BS adjustments'!$C98,0)+IFERROR(N$8*'Acquisition BS adjustments'!$E98,0)</f>
        <v>0</v>
      </c>
      <c r="O43" s="341">
        <f>+IFERROR(O$7*'Acquisition BS adjustments'!$C98,0)+IFERROR(O$8*'Acquisition BS adjustments'!$E98,0)</f>
        <v>0</v>
      </c>
      <c r="P43" s="341">
        <f>+IFERROR(P$7*'Acquisition BS adjustments'!$C98,0)+IFERROR(P$8*'Acquisition BS adjustments'!$E98,0)</f>
        <v>0</v>
      </c>
      <c r="Q43" s="341">
        <f>+IFERROR(Q$7*'Acquisition BS adjustments'!$C98,0)+IFERROR(Q$8*'Acquisition BS adjustments'!$E98,0)</f>
        <v>0</v>
      </c>
      <c r="R43" s="44"/>
      <c r="U43" s="41"/>
      <c r="V43" s="41"/>
      <c r="W43" s="40"/>
    </row>
    <row r="44" spans="1:26" ht="13.7" collapsed="1">
      <c r="A44" s="256"/>
      <c r="B44" s="256"/>
      <c r="C44" s="254" t="s">
        <v>216</v>
      </c>
      <c r="D44" s="255"/>
      <c r="E44" s="255">
        <f>SUM(E45:E47)</f>
        <v>0</v>
      </c>
      <c r="F44" s="255">
        <f t="shared" ref="F44:Q44" si="18">SUM(F45:F47)</f>
        <v>0</v>
      </c>
      <c r="G44" s="255">
        <f t="shared" si="18"/>
        <v>0</v>
      </c>
      <c r="H44" s="255">
        <f t="shared" si="18"/>
        <v>0</v>
      </c>
      <c r="I44" s="255">
        <f t="shared" si="18"/>
        <v>0</v>
      </c>
      <c r="J44" s="255">
        <f t="shared" si="18"/>
        <v>0</v>
      </c>
      <c r="K44" s="255">
        <f t="shared" si="18"/>
        <v>0</v>
      </c>
      <c r="L44" s="255">
        <f t="shared" si="18"/>
        <v>0</v>
      </c>
      <c r="M44" s="255">
        <f t="shared" si="18"/>
        <v>0</v>
      </c>
      <c r="N44" s="255">
        <f t="shared" si="18"/>
        <v>0</v>
      </c>
      <c r="O44" s="255">
        <f t="shared" si="18"/>
        <v>0</v>
      </c>
      <c r="P44" s="255">
        <f t="shared" si="18"/>
        <v>0</v>
      </c>
      <c r="Q44" s="255">
        <f t="shared" si="18"/>
        <v>0</v>
      </c>
      <c r="R44" s="44"/>
      <c r="U44" s="45"/>
      <c r="V44" s="45"/>
      <c r="W44" s="40"/>
    </row>
    <row r="45" spans="1:26" ht="13.7" hidden="1" outlineLevel="1">
      <c r="A45" s="256"/>
      <c r="B45" s="256"/>
      <c r="C45" s="254"/>
      <c r="D45" s="340" t="s">
        <v>1094</v>
      </c>
      <c r="E45" s="341">
        <f>IFERROR(E$6*'Historical BU2'!D47,0)*Currency_conversion_BU2</f>
        <v>0</v>
      </c>
      <c r="F45" s="341">
        <f>IFERROR(F$6*'Historical BU2'!E47,0)*Currency_conversion_BU2</f>
        <v>0</v>
      </c>
      <c r="G45" s="341">
        <f>IFERROR(G$6*'Historical BU2'!F47,0)*Currency_conversion_BU2</f>
        <v>0</v>
      </c>
      <c r="H45" s="341">
        <f>IFERROR(H$6*'Historical BU2'!G47,0)*Currency_conversion_BU2</f>
        <v>0</v>
      </c>
      <c r="I45" s="341">
        <f>IFERROR(I$6*'Historical BU2'!H47,0)*Currency_conversion_BU2</f>
        <v>0</v>
      </c>
      <c r="J45" s="341">
        <f>IFERROR(J$6*'Historical BU2'!I47,0)*Currency_conversion_BU2</f>
        <v>0</v>
      </c>
      <c r="K45" s="341">
        <f>IFERROR(K$6*'Historical BU2'!J47,0)*Currency_conversion_BU2</f>
        <v>0</v>
      </c>
      <c r="L45" s="341">
        <f>IFERROR(L$6*'Historical BU2'!K47,0)*Currency_conversion_BU2</f>
        <v>0</v>
      </c>
      <c r="M45" s="341">
        <f>IFERROR(M$6*'Historical BU2'!L47,0)*Currency_conversion_BU2</f>
        <v>0</v>
      </c>
      <c r="N45" s="341">
        <f>IFERROR(N$6*'Historical BU2'!M47,0)*Currency_conversion_BU2</f>
        <v>0</v>
      </c>
      <c r="O45" s="341">
        <f>IFERROR(O$6*'Historical BU2'!N47,0)*Currency_conversion_BU2</f>
        <v>0</v>
      </c>
      <c r="P45" s="341">
        <f>IFERROR(P$6*'Historical BU2'!O47,0)*Currency_conversion_BU2</f>
        <v>0</v>
      </c>
      <c r="Q45" s="341">
        <f>IFERROR(Q$6*'Historical BU2'!P47,0)*Currency_conversion_BU2</f>
        <v>0</v>
      </c>
      <c r="R45" s="43"/>
      <c r="S45" s="44"/>
      <c r="T45" s="44"/>
      <c r="X45" s="41"/>
      <c r="Y45" s="41"/>
      <c r="Z45" s="40"/>
    </row>
    <row r="46" spans="1:26" ht="13.7" hidden="1" outlineLevel="1">
      <c r="A46" s="256"/>
      <c r="B46" s="256"/>
      <c r="C46" s="254"/>
      <c r="D46" s="340" t="s">
        <v>1095</v>
      </c>
      <c r="E46" s="341">
        <f>+IFERROR(E$7*'Acquisition BS adjustments'!$C99,0)+IFERROR(E$8*'Acquisition BS adjustments'!$E99,0)</f>
        <v>0</v>
      </c>
      <c r="F46" s="341">
        <f>+IFERROR(F$7*'Acquisition BS adjustments'!$C99,0)+IFERROR(F$8*'Acquisition BS adjustments'!$E99,0)</f>
        <v>0</v>
      </c>
      <c r="G46" s="341">
        <f>+IFERROR(G$7*'Acquisition BS adjustments'!$C99,0)+IFERROR(G$8*'Acquisition BS adjustments'!$E99,0)</f>
        <v>0</v>
      </c>
      <c r="H46" s="341">
        <f>+IFERROR(H$7*'Acquisition BS adjustments'!$C99,0)+IFERROR(H$8*'Acquisition BS adjustments'!$E99,0)</f>
        <v>0</v>
      </c>
      <c r="I46" s="341">
        <f>+IFERROR(I$7*'Acquisition BS adjustments'!$C99,0)+IFERROR(I$8*'Acquisition BS adjustments'!$E99,0)</f>
        <v>0</v>
      </c>
      <c r="J46" s="341">
        <f>+IFERROR(J$7*'Acquisition BS adjustments'!$C99,0)+IFERROR(J$8*'Acquisition BS adjustments'!$E99,0)</f>
        <v>0</v>
      </c>
      <c r="K46" s="341">
        <f>+IFERROR(K$7*'Acquisition BS adjustments'!$C99,0)+IFERROR(K$8*'Acquisition BS adjustments'!$E99,0)</f>
        <v>0</v>
      </c>
      <c r="L46" s="341">
        <f>+IFERROR(L$7*'Acquisition BS adjustments'!$C99,0)+IFERROR(L$8*'Acquisition BS adjustments'!$E99,0)</f>
        <v>0</v>
      </c>
      <c r="M46" s="341">
        <f>+IFERROR(M$7*'Acquisition BS adjustments'!$C99,0)+IFERROR(M$8*'Acquisition BS adjustments'!$E99,0)</f>
        <v>0</v>
      </c>
      <c r="N46" s="341">
        <f>+IFERROR(N$7*'Acquisition BS adjustments'!$C99,0)+IFERROR(N$8*'Acquisition BS adjustments'!$E99,0)</f>
        <v>0</v>
      </c>
      <c r="O46" s="341">
        <f>+IFERROR(O$7*'Acquisition BS adjustments'!$C99,0)+IFERROR(O$8*'Acquisition BS adjustments'!$E99,0)</f>
        <v>0</v>
      </c>
      <c r="P46" s="341">
        <f>+IFERROR(P$7*'Acquisition BS adjustments'!$C99,0)+IFERROR(P$8*'Acquisition BS adjustments'!$E99,0)</f>
        <v>0</v>
      </c>
      <c r="Q46" s="341">
        <f>+IFERROR(Q$7*'Acquisition BS adjustments'!$C99,0)+IFERROR(Q$8*'Acquisition BS adjustments'!$E99,0)</f>
        <v>0</v>
      </c>
      <c r="R46" s="43"/>
      <c r="S46" s="44"/>
      <c r="T46" s="44"/>
      <c r="X46" s="41"/>
      <c r="Y46" s="41"/>
      <c r="Z46" s="40"/>
    </row>
    <row r="47" spans="1:26" ht="13.7" hidden="1" outlineLevel="1">
      <c r="A47" s="256"/>
      <c r="B47" s="256"/>
      <c r="C47" s="254"/>
      <c r="D47" s="340" t="s">
        <v>1098</v>
      </c>
      <c r="E47" s="341">
        <f>+IFERROR(E$9*INDEX('Scenarios onshore'!225:225,MATCH('BS onshore'!E$5,'Scenarios onshore'!$4:$4,0)),0)*Currency_conversion_BU2</f>
        <v>0</v>
      </c>
      <c r="F47" s="341">
        <f>+IFERROR(F$9*INDEX('Scenarios onshore'!225:225,MATCH('BS onshore'!F$5,'Scenarios onshore'!$4:$4,0)),0)*Currency_conversion_BU2</f>
        <v>0</v>
      </c>
      <c r="G47" s="341">
        <f>+IFERROR(G$9*INDEX('Scenarios onshore'!225:225,MATCH('BS onshore'!G$5,'Scenarios onshore'!$4:$4,0)),0)*Currency_conversion_BU2</f>
        <v>0</v>
      </c>
      <c r="H47" s="341">
        <f>+IFERROR(H$9*INDEX('Scenarios onshore'!225:225,MATCH('BS onshore'!H$5,'Scenarios onshore'!$4:$4,0)),0)*Currency_conversion_BU2</f>
        <v>0</v>
      </c>
      <c r="I47" s="341">
        <f>+IFERROR(I$9*INDEX('Scenarios onshore'!225:225,MATCH('BS onshore'!I$5,'Scenarios onshore'!$4:$4,0)),0)*Currency_conversion_BU2</f>
        <v>0</v>
      </c>
      <c r="J47" s="341">
        <f>+IFERROR(J$9*INDEX('Scenarios onshore'!225:225,MATCH('BS onshore'!J$5,'Scenarios onshore'!$4:$4,0)),0)*Currency_conversion_BU2</f>
        <v>0</v>
      </c>
      <c r="K47" s="341">
        <f>+IFERROR(K$9*INDEX('Scenarios onshore'!225:225,MATCH('BS onshore'!K$5,'Scenarios onshore'!$4:$4,0)),0)*Currency_conversion_BU2</f>
        <v>0</v>
      </c>
      <c r="L47" s="341">
        <f>+IFERROR(L$9*INDEX('Scenarios onshore'!225:225,MATCH('BS onshore'!L$5,'Scenarios onshore'!$4:$4,0)),0)*Currency_conversion_BU2</f>
        <v>0</v>
      </c>
      <c r="M47" s="341">
        <f>+IFERROR(M$9*INDEX('Scenarios onshore'!225:225,MATCH('BS onshore'!M$5,'Scenarios onshore'!$4:$4,0)),0)*Currency_conversion_BU2</f>
        <v>0</v>
      </c>
      <c r="N47" s="341">
        <f>+IFERROR(N$9*INDEX('Scenarios onshore'!225:225,MATCH('BS onshore'!N$5,'Scenarios onshore'!$4:$4,0)),0)*Currency_conversion_BU2</f>
        <v>0</v>
      </c>
      <c r="O47" s="341">
        <f>+IFERROR(O$9*INDEX('Scenarios onshore'!225:225,MATCH('BS onshore'!O$5,'Scenarios onshore'!$4:$4,0)),0)*Currency_conversion_BU2</f>
        <v>0</v>
      </c>
      <c r="P47" s="341">
        <f>+IFERROR(P$9*INDEX('Scenarios onshore'!225:225,MATCH('BS onshore'!P$5,'Scenarios onshore'!$4:$4,0)),0)*Currency_conversion_BU2</f>
        <v>0</v>
      </c>
      <c r="Q47" s="341">
        <f>+IFERROR(Q$9*INDEX('Scenarios onshore'!225:225,MATCH('BS onshore'!Q$5,'Scenarios onshore'!$4:$4,0)),0)*Currency_conversion_BU2</f>
        <v>0</v>
      </c>
      <c r="R47" s="43"/>
      <c r="S47" s="44"/>
      <c r="T47" s="44"/>
      <c r="X47" s="41"/>
      <c r="Y47" s="41"/>
      <c r="Z47" s="40"/>
    </row>
    <row r="48" spans="1:26" ht="13.7" collapsed="1">
      <c r="C48" s="377" t="s">
        <v>1469</v>
      </c>
      <c r="D48" s="255"/>
      <c r="E48" s="255"/>
      <c r="F48" s="255"/>
      <c r="G48" s="255"/>
      <c r="H48" s="255"/>
      <c r="I48" s="255"/>
      <c r="J48" s="255"/>
      <c r="K48" s="255"/>
      <c r="L48" s="255"/>
      <c r="M48" s="255"/>
      <c r="N48" s="255"/>
      <c r="O48" s="255"/>
      <c r="P48" s="255"/>
      <c r="Q48" s="255"/>
      <c r="U48" s="39"/>
      <c r="V48" s="39"/>
      <c r="W48" s="40"/>
    </row>
    <row r="49" spans="1:26" ht="13.7">
      <c r="A49" s="256"/>
      <c r="B49" s="256"/>
      <c r="C49" s="46"/>
      <c r="R49" s="44"/>
      <c r="U49" s="45"/>
      <c r="V49" s="45"/>
      <c r="W49" s="40"/>
    </row>
    <row r="50" spans="1:26" ht="13.7">
      <c r="C50" s="181" t="s">
        <v>8</v>
      </c>
      <c r="D50" s="180"/>
      <c r="E50" s="180">
        <f>+E51+E55+E59+E63+E67</f>
        <v>0</v>
      </c>
      <c r="F50" s="180">
        <f t="shared" ref="F50:Q50" si="19">+F51+F55+F59+F63+F67</f>
        <v>0</v>
      </c>
      <c r="G50" s="180">
        <f t="shared" si="19"/>
        <v>0</v>
      </c>
      <c r="H50" s="180">
        <f t="shared" si="19"/>
        <v>0</v>
      </c>
      <c r="I50" s="180">
        <f t="shared" si="19"/>
        <v>0</v>
      </c>
      <c r="J50" s="180">
        <f t="shared" si="19"/>
        <v>0</v>
      </c>
      <c r="K50" s="180">
        <f t="shared" si="19"/>
        <v>0</v>
      </c>
      <c r="L50" s="180">
        <f t="shared" si="19"/>
        <v>0</v>
      </c>
      <c r="M50" s="180">
        <f t="shared" si="19"/>
        <v>0</v>
      </c>
      <c r="N50" s="180">
        <f t="shared" si="19"/>
        <v>0</v>
      </c>
      <c r="O50" s="180">
        <f t="shared" si="19"/>
        <v>0</v>
      </c>
      <c r="P50" s="180">
        <f t="shared" si="19"/>
        <v>0</v>
      </c>
      <c r="Q50" s="180">
        <f t="shared" si="19"/>
        <v>0</v>
      </c>
      <c r="R50" s="44"/>
      <c r="U50" s="45"/>
      <c r="V50" s="45"/>
      <c r="W50" s="40"/>
    </row>
    <row r="51" spans="1:26" ht="13.7">
      <c r="C51" s="254" t="s">
        <v>218</v>
      </c>
      <c r="D51" s="255"/>
      <c r="E51" s="255">
        <f>SUM(E52:E54)</f>
        <v>0</v>
      </c>
      <c r="F51" s="255">
        <f t="shared" ref="F51:Q51" si="20">SUM(F52:F54)</f>
        <v>0</v>
      </c>
      <c r="G51" s="255">
        <f t="shared" si="20"/>
        <v>0</v>
      </c>
      <c r="H51" s="255">
        <f t="shared" si="20"/>
        <v>0</v>
      </c>
      <c r="I51" s="255">
        <f t="shared" si="20"/>
        <v>0</v>
      </c>
      <c r="J51" s="255">
        <f t="shared" si="20"/>
        <v>0</v>
      </c>
      <c r="K51" s="255">
        <f t="shared" si="20"/>
        <v>0</v>
      </c>
      <c r="L51" s="255">
        <f t="shared" si="20"/>
        <v>0</v>
      </c>
      <c r="M51" s="255">
        <f t="shared" si="20"/>
        <v>0</v>
      </c>
      <c r="N51" s="255">
        <f t="shared" si="20"/>
        <v>0</v>
      </c>
      <c r="O51" s="255">
        <f t="shared" si="20"/>
        <v>0</v>
      </c>
      <c r="P51" s="255">
        <f t="shared" si="20"/>
        <v>0</v>
      </c>
      <c r="Q51" s="255">
        <f t="shared" si="20"/>
        <v>0</v>
      </c>
      <c r="R51" s="44"/>
      <c r="U51" s="45"/>
      <c r="V51" s="45"/>
      <c r="W51" s="40"/>
    </row>
    <row r="52" spans="1:26" ht="13.7" hidden="1" outlineLevel="1">
      <c r="A52" s="256"/>
      <c r="B52" s="256"/>
      <c r="C52" s="254"/>
      <c r="D52" s="340" t="s">
        <v>1094</v>
      </c>
      <c r="E52" s="341">
        <f>IFERROR(E$6*'Historical BU2'!D49,0)*Currency_conversion_BU2</f>
        <v>0</v>
      </c>
      <c r="F52" s="341">
        <f>IFERROR(F$6*'Historical BU2'!E49,0)*Currency_conversion_BU2</f>
        <v>0</v>
      </c>
      <c r="G52" s="341">
        <f>IFERROR(G$6*'Historical BU2'!F49,0)*Currency_conversion_BU2</f>
        <v>0</v>
      </c>
      <c r="H52" s="341">
        <f>IFERROR(H$6*'Historical BU2'!G49,0)*Currency_conversion_BU2</f>
        <v>0</v>
      </c>
      <c r="I52" s="341">
        <f>IFERROR(I$6*'Historical BU2'!H49,0)*Currency_conversion_BU2</f>
        <v>0</v>
      </c>
      <c r="J52" s="341">
        <f>IFERROR(J$6*'Historical BU2'!I49,0)*Currency_conversion_BU2</f>
        <v>0</v>
      </c>
      <c r="K52" s="341">
        <f>IFERROR(K$6*'Historical BU2'!J49,0)*Currency_conversion_BU2</f>
        <v>0</v>
      </c>
      <c r="L52" s="341">
        <f>IFERROR(L$6*'Historical BU2'!K49,0)*Currency_conversion_BU2</f>
        <v>0</v>
      </c>
      <c r="M52" s="341">
        <f>IFERROR(M$6*'Historical BU2'!L49,0)*Currency_conversion_BU2</f>
        <v>0</v>
      </c>
      <c r="N52" s="341">
        <f>IFERROR(N$6*'Historical BU2'!M49,0)*Currency_conversion_BU2</f>
        <v>0</v>
      </c>
      <c r="O52" s="341">
        <f>IFERROR(O$6*'Historical BU2'!N49,0)*Currency_conversion_BU2</f>
        <v>0</v>
      </c>
      <c r="P52" s="341">
        <f>IFERROR(P$6*'Historical BU2'!O49,0)*Currency_conversion_BU2</f>
        <v>0</v>
      </c>
      <c r="Q52" s="341">
        <f>IFERROR(Q$6*'Historical BU2'!P49,0)*Currency_conversion_BU2</f>
        <v>0</v>
      </c>
      <c r="R52" s="43"/>
      <c r="S52" s="44"/>
      <c r="T52" s="44"/>
      <c r="X52" s="41"/>
      <c r="Y52" s="41"/>
      <c r="Z52" s="40"/>
    </row>
    <row r="53" spans="1:26" ht="13.7" hidden="1" outlineLevel="1">
      <c r="A53" s="256"/>
      <c r="B53" s="256"/>
      <c r="C53" s="254"/>
      <c r="D53" s="340" t="s">
        <v>1095</v>
      </c>
      <c r="E53" s="341">
        <f>+IFERROR(E$7*'Acquisition BS adjustments'!$C102,0)+IFERROR(E$8*'Acquisition BS adjustments'!$E102,0)</f>
        <v>0</v>
      </c>
      <c r="F53" s="341">
        <f>+IFERROR(F$7*'Acquisition BS adjustments'!$C102,0)+IFERROR(F$8*'Acquisition BS adjustments'!$E102,0)</f>
        <v>0</v>
      </c>
      <c r="G53" s="341">
        <f>+IFERROR(G$7*'Acquisition BS adjustments'!$C102,0)+IFERROR(G$8*'Acquisition BS adjustments'!$E102,0)</f>
        <v>0</v>
      </c>
      <c r="H53" s="341">
        <f>+IFERROR(H$7*'Acquisition BS adjustments'!$C102,0)+IFERROR(H$8*'Acquisition BS adjustments'!$E102,0)</f>
        <v>0</v>
      </c>
      <c r="I53" s="341">
        <f>+IFERROR(I$7*'Acquisition BS adjustments'!$C102,0)+IFERROR(I$8*'Acquisition BS adjustments'!$E102,0)</f>
        <v>0</v>
      </c>
      <c r="J53" s="341">
        <f>+IFERROR(J$7*'Acquisition BS adjustments'!$C102,0)+IFERROR(J$8*'Acquisition BS adjustments'!$E102,0)</f>
        <v>0</v>
      </c>
      <c r="K53" s="341">
        <f>+IFERROR(K$7*'Acquisition BS adjustments'!$C102,0)+IFERROR(K$8*'Acquisition BS adjustments'!$E102,0)</f>
        <v>0</v>
      </c>
      <c r="L53" s="341">
        <f>+IFERROR(L$7*'Acquisition BS adjustments'!$C102,0)+IFERROR(L$8*'Acquisition BS adjustments'!$E102,0)</f>
        <v>0</v>
      </c>
      <c r="M53" s="341">
        <f>+IFERROR(M$7*'Acquisition BS adjustments'!$C102,0)+IFERROR(M$8*'Acquisition BS adjustments'!$E102,0)</f>
        <v>0</v>
      </c>
      <c r="N53" s="341">
        <f>+IFERROR(N$7*'Acquisition BS adjustments'!$C102,0)+IFERROR(N$8*'Acquisition BS adjustments'!$E102,0)</f>
        <v>0</v>
      </c>
      <c r="O53" s="341">
        <f>+IFERROR(O$7*'Acquisition BS adjustments'!$C102,0)+IFERROR(O$8*'Acquisition BS adjustments'!$E102,0)</f>
        <v>0</v>
      </c>
      <c r="P53" s="341">
        <f>+IFERROR(P$7*'Acquisition BS adjustments'!$C102,0)+IFERROR(P$8*'Acquisition BS adjustments'!$E102,0)</f>
        <v>0</v>
      </c>
      <c r="Q53" s="341">
        <f>+IFERROR(Q$7*'Acquisition BS adjustments'!$C102,0)+IFERROR(Q$8*'Acquisition BS adjustments'!$E102,0)</f>
        <v>0</v>
      </c>
      <c r="R53" s="43"/>
      <c r="S53" s="44"/>
      <c r="T53" s="44"/>
      <c r="X53" s="41"/>
      <c r="Y53" s="41"/>
      <c r="Z53" s="40"/>
    </row>
    <row r="54" spans="1:26" ht="13.7" hidden="1" outlineLevel="1">
      <c r="A54" s="256"/>
      <c r="B54" s="256"/>
      <c r="C54" s="254"/>
      <c r="D54" s="340" t="s">
        <v>1098</v>
      </c>
      <c r="E54" s="341">
        <f>+IFERROR(E$9*INDEX('Scenarios onshore'!214:214,MATCH('BS onshore'!E$5,'Scenarios onshore'!$4:$4,0)),0)*Currency_conversion_BU2</f>
        <v>0</v>
      </c>
      <c r="F54" s="341">
        <f>+IFERROR(F$9*INDEX('Scenarios onshore'!214:214,MATCH('BS onshore'!F$5,'Scenarios onshore'!$4:$4,0)),0)*Currency_conversion_BU2</f>
        <v>0</v>
      </c>
      <c r="G54" s="341">
        <f>+IFERROR(G$9*INDEX('Scenarios onshore'!214:214,MATCH('BS onshore'!G$5,'Scenarios onshore'!$4:$4,0)),0)*Currency_conversion_BU2</f>
        <v>0</v>
      </c>
      <c r="H54" s="341">
        <f>+IFERROR(H$9*INDEX('Scenarios onshore'!214:214,MATCH('BS onshore'!H$5,'Scenarios onshore'!$4:$4,0)),0)*Currency_conversion_BU2</f>
        <v>0</v>
      </c>
      <c r="I54" s="341">
        <f>+IFERROR(I$9*INDEX('Scenarios onshore'!214:214,MATCH('BS onshore'!I$5,'Scenarios onshore'!$4:$4,0)),0)*Currency_conversion_BU2</f>
        <v>0</v>
      </c>
      <c r="J54" s="341">
        <f>+IFERROR(J$9*INDEX('Scenarios onshore'!214:214,MATCH('BS onshore'!J$5,'Scenarios onshore'!$4:$4,0)),0)*Currency_conversion_BU2</f>
        <v>0</v>
      </c>
      <c r="K54" s="341">
        <f>+IFERROR(K$9*INDEX('Scenarios onshore'!214:214,MATCH('BS onshore'!K$5,'Scenarios onshore'!$4:$4,0)),0)*Currency_conversion_BU2</f>
        <v>0</v>
      </c>
      <c r="L54" s="341">
        <f>+IFERROR(L$9*INDEX('Scenarios onshore'!214:214,MATCH('BS onshore'!L$5,'Scenarios onshore'!$4:$4,0)),0)*Currency_conversion_BU2</f>
        <v>0</v>
      </c>
      <c r="M54" s="341">
        <f>+IFERROR(M$9*INDEX('Scenarios onshore'!214:214,MATCH('BS onshore'!M$5,'Scenarios onshore'!$4:$4,0)),0)*Currency_conversion_BU2</f>
        <v>0</v>
      </c>
      <c r="N54" s="341">
        <f>+IFERROR(N$9*INDEX('Scenarios onshore'!214:214,MATCH('BS onshore'!N$5,'Scenarios onshore'!$4:$4,0)),0)*Currency_conversion_BU2</f>
        <v>0</v>
      </c>
      <c r="O54" s="341">
        <f>+IFERROR(O$9*INDEX('Scenarios onshore'!214:214,MATCH('BS onshore'!O$5,'Scenarios onshore'!$4:$4,0)),0)*Currency_conversion_BU2</f>
        <v>0</v>
      </c>
      <c r="P54" s="341">
        <f>+IFERROR(P$9*INDEX('Scenarios onshore'!214:214,MATCH('BS onshore'!P$5,'Scenarios onshore'!$4:$4,0)),0)*Currency_conversion_BU2</f>
        <v>0</v>
      </c>
      <c r="Q54" s="341">
        <f>+IFERROR(Q$9*INDEX('Scenarios onshore'!214:214,MATCH('BS onshore'!Q$5,'Scenarios onshore'!$4:$4,0)),0)*Currency_conversion_BU2</f>
        <v>0</v>
      </c>
      <c r="R54" s="43"/>
      <c r="S54" s="44"/>
      <c r="T54" s="44"/>
      <c r="X54" s="41"/>
      <c r="Y54" s="41"/>
      <c r="Z54" s="40"/>
    </row>
    <row r="55" spans="1:26" ht="13.7" collapsed="1">
      <c r="C55" s="254" t="s">
        <v>219</v>
      </c>
      <c r="D55" s="255"/>
      <c r="E55" s="255">
        <f>SUM(E56:E58)</f>
        <v>0</v>
      </c>
      <c r="F55" s="255">
        <f t="shared" ref="F55:Q55" si="21">SUM(F56:F58)</f>
        <v>0</v>
      </c>
      <c r="G55" s="255">
        <f t="shared" si="21"/>
        <v>0</v>
      </c>
      <c r="H55" s="255">
        <f t="shared" si="21"/>
        <v>0</v>
      </c>
      <c r="I55" s="255">
        <f t="shared" si="21"/>
        <v>0</v>
      </c>
      <c r="J55" s="255">
        <f t="shared" si="21"/>
        <v>0</v>
      </c>
      <c r="K55" s="255">
        <f t="shared" si="21"/>
        <v>0</v>
      </c>
      <c r="L55" s="255">
        <f t="shared" si="21"/>
        <v>0</v>
      </c>
      <c r="M55" s="255">
        <f t="shared" si="21"/>
        <v>0</v>
      </c>
      <c r="N55" s="255">
        <f t="shared" si="21"/>
        <v>0</v>
      </c>
      <c r="O55" s="255">
        <f t="shared" si="21"/>
        <v>0</v>
      </c>
      <c r="P55" s="255">
        <f t="shared" si="21"/>
        <v>0</v>
      </c>
      <c r="Q55" s="255">
        <f t="shared" si="21"/>
        <v>0</v>
      </c>
      <c r="R55" s="47"/>
      <c r="U55" s="45"/>
      <c r="V55" s="45"/>
      <c r="W55" s="40"/>
    </row>
    <row r="56" spans="1:26" ht="13.7" hidden="1" outlineLevel="1">
      <c r="C56" s="254"/>
      <c r="D56" s="340" t="s">
        <v>1094</v>
      </c>
      <c r="E56" s="341">
        <f>IFERROR(E$6*'Historical BU2'!D50,0)*Currency_conversion_BU2</f>
        <v>0</v>
      </c>
      <c r="F56" s="341">
        <f>IFERROR(F$6*'Historical BU2'!E50,0)*Currency_conversion_BU2</f>
        <v>0</v>
      </c>
      <c r="G56" s="341">
        <f>IFERROR(G$6*'Historical BU2'!F50,0)*Currency_conversion_BU2</f>
        <v>0</v>
      </c>
      <c r="H56" s="341">
        <f>IFERROR(H$6*'Historical BU2'!G50,0)*Currency_conversion_BU2</f>
        <v>0</v>
      </c>
      <c r="I56" s="341">
        <f>IFERROR(I$6*'Historical BU2'!H50,0)*Currency_conversion_BU2</f>
        <v>0</v>
      </c>
      <c r="J56" s="341">
        <f>IFERROR(J$6*'Historical BU2'!I50,0)*Currency_conversion_BU2</f>
        <v>0</v>
      </c>
      <c r="K56" s="341">
        <f>IFERROR(K$6*'Historical BU2'!J50,0)*Currency_conversion_BU2</f>
        <v>0</v>
      </c>
      <c r="L56" s="341">
        <f>IFERROR(L$6*'Historical BU2'!K50,0)*Currency_conversion_BU2</f>
        <v>0</v>
      </c>
      <c r="M56" s="341">
        <f>IFERROR(M$6*'Historical BU2'!L50,0)*Currency_conversion_BU2</f>
        <v>0</v>
      </c>
      <c r="N56" s="341">
        <f>IFERROR(N$6*'Historical BU2'!M50,0)*Currency_conversion_BU2</f>
        <v>0</v>
      </c>
      <c r="O56" s="341">
        <f>IFERROR(O$6*'Historical BU2'!N50,0)*Currency_conversion_BU2</f>
        <v>0</v>
      </c>
      <c r="P56" s="341">
        <f>IFERROR(P$6*'Historical BU2'!O50,0)*Currency_conversion_BU2</f>
        <v>0</v>
      </c>
      <c r="Q56" s="341">
        <f>IFERROR(Q$6*'Historical BU2'!P50,0)*Currency_conversion_BU2</f>
        <v>0</v>
      </c>
      <c r="R56" s="47"/>
      <c r="U56" s="45"/>
      <c r="V56" s="45"/>
      <c r="W56" s="40"/>
    </row>
    <row r="57" spans="1:26" ht="13.7" hidden="1" outlineLevel="1">
      <c r="C57" s="254"/>
      <c r="D57" s="340" t="s">
        <v>1095</v>
      </c>
      <c r="E57" s="341">
        <f>+IFERROR(E$7*'Acquisition BS adjustments'!$C103,0)+IFERROR(E$8*'Acquisition BS adjustments'!$E103,0)</f>
        <v>0</v>
      </c>
      <c r="F57" s="341">
        <f>+IFERROR(F$7*'Acquisition BS adjustments'!$C103,0)+IFERROR(F$8*'Acquisition BS adjustments'!$E103,0)</f>
        <v>0</v>
      </c>
      <c r="G57" s="341">
        <f>+IFERROR(G$7*'Acquisition BS adjustments'!$C103,0)+IFERROR(G$8*'Acquisition BS adjustments'!$E103,0)</f>
        <v>0</v>
      </c>
      <c r="H57" s="341">
        <f>+IFERROR(H$7*'Acquisition BS adjustments'!$C103,0)+IFERROR(H$8*'Acquisition BS adjustments'!$E103,0)</f>
        <v>0</v>
      </c>
      <c r="I57" s="341">
        <f>+IFERROR(I$7*'Acquisition BS adjustments'!$C103,0)+IFERROR(I$8*'Acquisition BS adjustments'!$E103,0)</f>
        <v>0</v>
      </c>
      <c r="J57" s="341">
        <f>+IFERROR(J$7*'Acquisition BS adjustments'!$C103,0)+IFERROR(J$8*'Acquisition BS adjustments'!$E103,0)</f>
        <v>0</v>
      </c>
      <c r="K57" s="341">
        <f>+IFERROR(K$7*'Acquisition BS adjustments'!$C103,0)+IFERROR(K$8*'Acquisition BS adjustments'!$E103,0)</f>
        <v>0</v>
      </c>
      <c r="L57" s="341">
        <f>+IFERROR(L$7*'Acquisition BS adjustments'!$C103,0)+IFERROR(L$8*'Acquisition BS adjustments'!$E103,0)</f>
        <v>0</v>
      </c>
      <c r="M57" s="341">
        <f>+IFERROR(M$7*'Acquisition BS adjustments'!$C103,0)+IFERROR(M$8*'Acquisition BS adjustments'!$E103,0)</f>
        <v>0</v>
      </c>
      <c r="N57" s="341">
        <f>+IFERROR(N$7*'Acquisition BS adjustments'!$C103,0)+IFERROR(N$8*'Acquisition BS adjustments'!$E103,0)</f>
        <v>0</v>
      </c>
      <c r="O57" s="341">
        <f>+IFERROR(O$7*'Acquisition BS adjustments'!$C103,0)+IFERROR(O$8*'Acquisition BS adjustments'!$E103,0)</f>
        <v>0</v>
      </c>
      <c r="P57" s="341">
        <f>+IFERROR(P$7*'Acquisition BS adjustments'!$C103,0)+IFERROR(P$8*'Acquisition BS adjustments'!$E103,0)</f>
        <v>0</v>
      </c>
      <c r="Q57" s="341">
        <f>+IFERROR(Q$7*'Acquisition BS adjustments'!$C103,0)+IFERROR(Q$8*'Acquisition BS adjustments'!$E103,0)</f>
        <v>0</v>
      </c>
      <c r="R57" s="47"/>
      <c r="U57" s="45"/>
      <c r="V57" s="45"/>
      <c r="W57" s="40"/>
    </row>
    <row r="58" spans="1:26" ht="13.7" hidden="1" outlineLevel="1">
      <c r="C58" s="254"/>
      <c r="D58" s="339" t="s">
        <v>1097</v>
      </c>
      <c r="E58" s="255">
        <f>+IFERROR(E$9*D55,0)</f>
        <v>0</v>
      </c>
      <c r="F58" s="255">
        <f t="shared" ref="F58:Q58" si="22">+IFERROR(F$9*E55,0)</f>
        <v>0</v>
      </c>
      <c r="G58" s="255">
        <f t="shared" si="22"/>
        <v>0</v>
      </c>
      <c r="H58" s="255">
        <f t="shared" si="22"/>
        <v>0</v>
      </c>
      <c r="I58" s="255">
        <f t="shared" si="22"/>
        <v>0</v>
      </c>
      <c r="J58" s="255">
        <f t="shared" si="22"/>
        <v>0</v>
      </c>
      <c r="K58" s="255">
        <f t="shared" si="22"/>
        <v>0</v>
      </c>
      <c r="L58" s="255">
        <f t="shared" si="22"/>
        <v>0</v>
      </c>
      <c r="M58" s="255">
        <f t="shared" si="22"/>
        <v>0</v>
      </c>
      <c r="N58" s="255">
        <f t="shared" si="22"/>
        <v>0</v>
      </c>
      <c r="O58" s="255">
        <f t="shared" si="22"/>
        <v>0</v>
      </c>
      <c r="P58" s="255">
        <f t="shared" si="22"/>
        <v>0</v>
      </c>
      <c r="Q58" s="255">
        <f t="shared" si="22"/>
        <v>0</v>
      </c>
      <c r="R58" s="47"/>
      <c r="U58" s="45"/>
      <c r="V58" s="45"/>
      <c r="W58" s="40"/>
    </row>
    <row r="59" spans="1:26" ht="13.7" collapsed="1">
      <c r="C59" s="254" t="s">
        <v>220</v>
      </c>
      <c r="D59" s="255"/>
      <c r="E59" s="255">
        <f>SUM(E60:E62)</f>
        <v>0</v>
      </c>
      <c r="F59" s="255">
        <f t="shared" ref="F59:Q59" si="23">SUM(F60:F62)</f>
        <v>0</v>
      </c>
      <c r="G59" s="255">
        <f t="shared" si="23"/>
        <v>0</v>
      </c>
      <c r="H59" s="255">
        <f t="shared" si="23"/>
        <v>0</v>
      </c>
      <c r="I59" s="255">
        <f t="shared" si="23"/>
        <v>0</v>
      </c>
      <c r="J59" s="255">
        <f t="shared" si="23"/>
        <v>0</v>
      </c>
      <c r="K59" s="255">
        <f t="shared" si="23"/>
        <v>0</v>
      </c>
      <c r="L59" s="255">
        <f t="shared" si="23"/>
        <v>0</v>
      </c>
      <c r="M59" s="255">
        <f t="shared" si="23"/>
        <v>0</v>
      </c>
      <c r="N59" s="255">
        <f t="shared" si="23"/>
        <v>0</v>
      </c>
      <c r="O59" s="255">
        <f t="shared" si="23"/>
        <v>0</v>
      </c>
      <c r="P59" s="255">
        <f t="shared" si="23"/>
        <v>0</v>
      </c>
      <c r="Q59" s="255">
        <f t="shared" si="23"/>
        <v>0</v>
      </c>
      <c r="U59" s="41"/>
      <c r="V59" s="41"/>
      <c r="W59" s="40"/>
    </row>
    <row r="60" spans="1:26" ht="13.7" hidden="1" outlineLevel="1">
      <c r="C60" s="254"/>
      <c r="D60" s="340" t="s">
        <v>1094</v>
      </c>
      <c r="E60" s="341">
        <f>IFERROR(E$6*'Historical BU2'!D51,0)*Currency_conversion_BU2</f>
        <v>0</v>
      </c>
      <c r="F60" s="341">
        <f>IFERROR(F$6*'Historical BU2'!E51,0)*Currency_conversion_BU2</f>
        <v>0</v>
      </c>
      <c r="G60" s="341">
        <f>IFERROR(G$6*'Historical BU2'!F51,0)*Currency_conversion_BU2</f>
        <v>0</v>
      </c>
      <c r="H60" s="341">
        <f>IFERROR(H$6*'Historical BU2'!G51,0)*Currency_conversion_BU2</f>
        <v>0</v>
      </c>
      <c r="I60" s="341">
        <f>IFERROR(I$6*'Historical BU2'!H51,0)*Currency_conversion_BU2</f>
        <v>0</v>
      </c>
      <c r="J60" s="341">
        <f>IFERROR(J$6*'Historical BU2'!I51,0)*Currency_conversion_BU2</f>
        <v>0</v>
      </c>
      <c r="K60" s="341">
        <f>IFERROR(K$6*'Historical BU2'!J51,0)*Currency_conversion_BU2</f>
        <v>0</v>
      </c>
      <c r="L60" s="341">
        <f>IFERROR(L$6*'Historical BU2'!K51,0)*Currency_conversion_BU2</f>
        <v>0</v>
      </c>
      <c r="M60" s="341">
        <f>IFERROR(M$6*'Historical BU2'!L51,0)*Currency_conversion_BU2</f>
        <v>0</v>
      </c>
      <c r="N60" s="341">
        <f>IFERROR(N$6*'Historical BU2'!M51,0)*Currency_conversion_BU2</f>
        <v>0</v>
      </c>
      <c r="O60" s="341">
        <f>IFERROR(O$6*'Historical BU2'!N51,0)*Currency_conversion_BU2</f>
        <v>0</v>
      </c>
      <c r="P60" s="341">
        <f>IFERROR(P$6*'Historical BU2'!O51,0)*Currency_conversion_BU2</f>
        <v>0</v>
      </c>
      <c r="Q60" s="341">
        <f>IFERROR(Q$6*'Historical BU2'!P51,0)*Currency_conversion_BU2</f>
        <v>0</v>
      </c>
      <c r="R60" s="47"/>
      <c r="U60" s="45"/>
      <c r="V60" s="45"/>
      <c r="W60" s="40"/>
    </row>
    <row r="61" spans="1:26" ht="13.7" hidden="1" outlineLevel="1">
      <c r="C61" s="254"/>
      <c r="D61" s="340" t="s">
        <v>1095</v>
      </c>
      <c r="E61" s="341">
        <f>+IFERROR(E$7*'Acquisition BS adjustments'!$C104,0)+IFERROR(E$8*'Acquisition BS adjustments'!$E104,0)</f>
        <v>0</v>
      </c>
      <c r="F61" s="341">
        <f>+IFERROR(F$7*'Acquisition BS adjustments'!$C104,0)+IFERROR(F$8*'Acquisition BS adjustments'!$E104,0)</f>
        <v>0</v>
      </c>
      <c r="G61" s="341">
        <f>+IFERROR(G$7*'Acquisition BS adjustments'!$C104,0)+IFERROR(G$8*'Acquisition BS adjustments'!$E104,0)</f>
        <v>0</v>
      </c>
      <c r="H61" s="341">
        <f>+IFERROR(H$7*'Acquisition BS adjustments'!$C104,0)+IFERROR(H$8*'Acquisition BS adjustments'!$E104,0)</f>
        <v>0</v>
      </c>
      <c r="I61" s="341">
        <f>+IFERROR(I$7*'Acquisition BS adjustments'!$C104,0)+IFERROR(I$8*'Acquisition BS adjustments'!$E104,0)</f>
        <v>0</v>
      </c>
      <c r="J61" s="341">
        <f>+IFERROR(J$7*'Acquisition BS adjustments'!$C104,0)+IFERROR(J$8*'Acquisition BS adjustments'!$E104,0)</f>
        <v>0</v>
      </c>
      <c r="K61" s="341">
        <f>+IFERROR(K$7*'Acquisition BS adjustments'!$C104,0)+IFERROR(K$8*'Acquisition BS adjustments'!$E104,0)</f>
        <v>0</v>
      </c>
      <c r="L61" s="341">
        <f>+IFERROR(L$7*'Acquisition BS adjustments'!$C104,0)+IFERROR(L$8*'Acquisition BS adjustments'!$E104,0)</f>
        <v>0</v>
      </c>
      <c r="M61" s="341">
        <f>+IFERROR(M$7*'Acquisition BS adjustments'!$C104,0)+IFERROR(M$8*'Acquisition BS adjustments'!$E104,0)</f>
        <v>0</v>
      </c>
      <c r="N61" s="341">
        <f>+IFERROR(N$7*'Acquisition BS adjustments'!$C104,0)+IFERROR(N$8*'Acquisition BS adjustments'!$E104,0)</f>
        <v>0</v>
      </c>
      <c r="O61" s="341">
        <f>+IFERROR(O$7*'Acquisition BS adjustments'!$C104,0)+IFERROR(O$8*'Acquisition BS adjustments'!$E104,0)</f>
        <v>0</v>
      </c>
      <c r="P61" s="341">
        <f>+IFERROR(P$7*'Acquisition BS adjustments'!$C104,0)+IFERROR(P$8*'Acquisition BS adjustments'!$E104,0)</f>
        <v>0</v>
      </c>
      <c r="Q61" s="341">
        <f>+IFERROR(Q$7*'Acquisition BS adjustments'!$C104,0)+IFERROR(Q$8*'Acquisition BS adjustments'!$E104,0)</f>
        <v>0</v>
      </c>
      <c r="R61" s="47"/>
      <c r="U61" s="45"/>
      <c r="V61" s="45"/>
      <c r="W61" s="40"/>
    </row>
    <row r="62" spans="1:26" ht="13.7" hidden="1" outlineLevel="1">
      <c r="C62" s="254"/>
      <c r="D62" s="339" t="s">
        <v>1097</v>
      </c>
      <c r="E62" s="255">
        <f>+IFERROR(E$9*D59,0)</f>
        <v>0</v>
      </c>
      <c r="F62" s="255">
        <f t="shared" ref="F62:Q62" si="24">+IFERROR(F$9*E59,0)</f>
        <v>0</v>
      </c>
      <c r="G62" s="255">
        <f t="shared" si="24"/>
        <v>0</v>
      </c>
      <c r="H62" s="255">
        <f t="shared" si="24"/>
        <v>0</v>
      </c>
      <c r="I62" s="255">
        <f t="shared" si="24"/>
        <v>0</v>
      </c>
      <c r="J62" s="255">
        <f t="shared" si="24"/>
        <v>0</v>
      </c>
      <c r="K62" s="255">
        <f t="shared" si="24"/>
        <v>0</v>
      </c>
      <c r="L62" s="255">
        <f t="shared" si="24"/>
        <v>0</v>
      </c>
      <c r="M62" s="255">
        <f t="shared" si="24"/>
        <v>0</v>
      </c>
      <c r="N62" s="255">
        <f t="shared" si="24"/>
        <v>0</v>
      </c>
      <c r="O62" s="255">
        <f t="shared" si="24"/>
        <v>0</v>
      </c>
      <c r="P62" s="255">
        <f t="shared" si="24"/>
        <v>0</v>
      </c>
      <c r="Q62" s="255">
        <f t="shared" si="24"/>
        <v>0</v>
      </c>
      <c r="R62" s="47"/>
      <c r="U62" s="45"/>
      <c r="V62" s="45"/>
      <c r="W62" s="40"/>
    </row>
    <row r="63" spans="1:26" ht="13.7" collapsed="1">
      <c r="C63" s="254" t="s">
        <v>221</v>
      </c>
      <c r="D63" s="255"/>
      <c r="E63" s="255">
        <f>SUM(E64:E66)</f>
        <v>0</v>
      </c>
      <c r="F63" s="255">
        <f t="shared" ref="F63:Q63" si="25">SUM(F64:F66)</f>
        <v>0</v>
      </c>
      <c r="G63" s="255">
        <f t="shared" si="25"/>
        <v>0</v>
      </c>
      <c r="H63" s="255">
        <f t="shared" si="25"/>
        <v>0</v>
      </c>
      <c r="I63" s="255">
        <f t="shared" si="25"/>
        <v>0</v>
      </c>
      <c r="J63" s="255">
        <f t="shared" si="25"/>
        <v>0</v>
      </c>
      <c r="K63" s="255">
        <f t="shared" si="25"/>
        <v>0</v>
      </c>
      <c r="L63" s="255">
        <f t="shared" si="25"/>
        <v>0</v>
      </c>
      <c r="M63" s="255">
        <f t="shared" si="25"/>
        <v>0</v>
      </c>
      <c r="N63" s="255">
        <f t="shared" si="25"/>
        <v>0</v>
      </c>
      <c r="O63" s="255">
        <f t="shared" si="25"/>
        <v>0</v>
      </c>
      <c r="P63" s="255">
        <f t="shared" si="25"/>
        <v>0</v>
      </c>
      <c r="Q63" s="255">
        <f t="shared" si="25"/>
        <v>0</v>
      </c>
      <c r="U63" s="40"/>
      <c r="V63" s="40"/>
    </row>
    <row r="64" spans="1:26" ht="13.7" hidden="1" outlineLevel="1">
      <c r="A64" s="256"/>
      <c r="B64" s="256"/>
      <c r="C64" s="254"/>
      <c r="D64" s="340" t="s">
        <v>1094</v>
      </c>
      <c r="E64" s="341">
        <f>IFERROR(E$6*'Historical BU2'!D52,0)*Currency_conversion_BU2</f>
        <v>0</v>
      </c>
      <c r="F64" s="341">
        <f>IFERROR(F$6*'Historical BU2'!E52,0)*Currency_conversion_BU2</f>
        <v>0</v>
      </c>
      <c r="G64" s="341">
        <f>IFERROR(G$6*'Historical BU2'!F52,0)*Currency_conversion_BU2</f>
        <v>0</v>
      </c>
      <c r="H64" s="341">
        <f>IFERROR(H$6*'Historical BU2'!G52,0)*Currency_conversion_BU2</f>
        <v>0</v>
      </c>
      <c r="I64" s="341">
        <f>IFERROR(I$6*'Historical BU2'!H52,0)*Currency_conversion_BU2</f>
        <v>0</v>
      </c>
      <c r="J64" s="341">
        <f>IFERROR(J$6*'Historical BU2'!I52,0)*Currency_conversion_BU2</f>
        <v>0</v>
      </c>
      <c r="K64" s="341">
        <f>IFERROR(K$6*'Historical BU2'!J52,0)*Currency_conversion_BU2</f>
        <v>0</v>
      </c>
      <c r="L64" s="341">
        <f>IFERROR(L$6*'Historical BU2'!K52,0)*Currency_conversion_BU2</f>
        <v>0</v>
      </c>
      <c r="M64" s="341">
        <f>IFERROR(M$6*'Historical BU2'!L52,0)*Currency_conversion_BU2</f>
        <v>0</v>
      </c>
      <c r="N64" s="341">
        <f>IFERROR(N$6*'Historical BU2'!M52,0)*Currency_conversion_BU2</f>
        <v>0</v>
      </c>
      <c r="O64" s="341">
        <f>IFERROR(O$6*'Historical BU2'!N52,0)*Currency_conversion_BU2</f>
        <v>0</v>
      </c>
      <c r="P64" s="341">
        <f>IFERROR(P$6*'Historical BU2'!O52,0)*Currency_conversion_BU2</f>
        <v>0</v>
      </c>
      <c r="Q64" s="341">
        <f>IFERROR(Q$6*'Historical BU2'!P52,0)*Currency_conversion_BU2</f>
        <v>0</v>
      </c>
      <c r="R64" s="43"/>
      <c r="S64" s="44"/>
      <c r="T64" s="44"/>
      <c r="X64" s="41"/>
      <c r="Y64" s="41"/>
      <c r="Z64" s="40"/>
    </row>
    <row r="65" spans="1:26" ht="13.7" hidden="1" outlineLevel="1">
      <c r="A65" s="256"/>
      <c r="B65" s="256"/>
      <c r="C65" s="254"/>
      <c r="D65" s="340" t="s">
        <v>1095</v>
      </c>
      <c r="E65" s="341">
        <f>+IFERROR(E$7*'Acquisition BS adjustments'!$C105,0)+IFERROR(E$8*'Acquisition BS adjustments'!$E105,0)+IFERROR(E$9*('Acquisition BS adjustments'!$D$105),0)</f>
        <v>0</v>
      </c>
      <c r="F65" s="341">
        <f>+IFERROR(F$7*'Acquisition BS adjustments'!$C105,0)+IFERROR(F$8*'Acquisition BS adjustments'!$E105,0)+IFERROR(F$9*('Acquisition BS adjustments'!$D$105),0)</f>
        <v>0</v>
      </c>
      <c r="G65" s="341">
        <f>+IFERROR(G$7*'Acquisition BS adjustments'!$C105,0)+IFERROR(G$8*'Acquisition BS adjustments'!$E105,0)+IFERROR(G$9*('Acquisition BS adjustments'!$D$105),0)</f>
        <v>0</v>
      </c>
      <c r="H65" s="341">
        <f>+IFERROR(H$7*'Acquisition BS adjustments'!$C105,0)+IFERROR(H$8*'Acquisition BS adjustments'!$E105,0)+IFERROR(H$9*('Acquisition BS adjustments'!$D$105),0)</f>
        <v>0</v>
      </c>
      <c r="I65" s="341">
        <f>+IFERROR(I$7*'Acquisition BS adjustments'!$C105,0)+IFERROR(I$8*'Acquisition BS adjustments'!$E105,0)+IFERROR(I$9*('Acquisition BS adjustments'!$D$105),0)</f>
        <v>0</v>
      </c>
      <c r="J65" s="341">
        <f>+IFERROR(J$7*'Acquisition BS adjustments'!$C105,0)+IFERROR(J$8*'Acquisition BS adjustments'!$E105,0)+IFERROR(J$9*('Acquisition BS adjustments'!$D$105),0)</f>
        <v>0</v>
      </c>
      <c r="K65" s="341">
        <f>+IFERROR(K$7*'Acquisition BS adjustments'!$C105,0)+IFERROR(K$8*'Acquisition BS adjustments'!$E105,0)+IFERROR(K$9*('Acquisition BS adjustments'!$D$105),0)</f>
        <v>0</v>
      </c>
      <c r="L65" s="341">
        <f>+IFERROR(L$7*'Acquisition BS adjustments'!$C105,0)+IFERROR(L$8*'Acquisition BS adjustments'!$E105,0)+IFERROR(L$9*('Acquisition BS adjustments'!$D$105),0)</f>
        <v>0</v>
      </c>
      <c r="M65" s="341">
        <f>+IFERROR(M$7*'Acquisition BS adjustments'!$C105,0)+IFERROR(M$8*'Acquisition BS adjustments'!$E105,0)+IFERROR(M$9*('Acquisition BS adjustments'!$D$105),0)</f>
        <v>0</v>
      </c>
      <c r="N65" s="341">
        <f>+IFERROR(N$7*'Acquisition BS adjustments'!$C105,0)+IFERROR(N$8*'Acquisition BS adjustments'!$E105,0)+IFERROR(N$9*('Acquisition BS adjustments'!$D$105),0)</f>
        <v>0</v>
      </c>
      <c r="O65" s="341">
        <f>+IFERROR(O$7*'Acquisition BS adjustments'!$C105,0)+IFERROR(O$8*'Acquisition BS adjustments'!$E105,0)+IFERROR(O$9*('Acquisition BS adjustments'!$D$105),0)</f>
        <v>0</v>
      </c>
      <c r="P65" s="341">
        <f>+IFERROR(P$7*'Acquisition BS adjustments'!$C105,0)+IFERROR(P$8*'Acquisition BS adjustments'!$E105,0)+IFERROR(P$9*('Acquisition BS adjustments'!$D$105),0)</f>
        <v>0</v>
      </c>
      <c r="Q65" s="341">
        <f>+IFERROR(Q$7*'Acquisition BS adjustments'!$C105,0)+IFERROR(Q$8*'Acquisition BS adjustments'!$E105,0)+IFERROR(Q$9*('Acquisition BS adjustments'!$D$105),0)</f>
        <v>0</v>
      </c>
      <c r="R65" s="43"/>
      <c r="S65" s="44"/>
      <c r="T65" s="44"/>
      <c r="X65" s="41"/>
      <c r="Y65" s="41"/>
      <c r="Z65" s="40"/>
    </row>
    <row r="66" spans="1:26" ht="13.7" hidden="1" outlineLevel="1">
      <c r="A66" s="256"/>
      <c r="B66" s="256"/>
      <c r="C66" s="254"/>
      <c r="D66" s="340" t="s">
        <v>1098</v>
      </c>
      <c r="E66" s="341">
        <f>IFERROR(E$9*INDEX('Scenarios onshore'!217:217,MATCH('BS onshore'!E$5,'Scenarios onshore'!4:4,0)),0)*Currency_conversion_BU2</f>
        <v>0</v>
      </c>
      <c r="F66" s="341">
        <f>IFERROR(F$9*INDEX('Scenarios onshore'!217:217,MATCH('BS onshore'!F$5,'Scenarios onshore'!4:4,0)),0)*Currency_conversion_BU2</f>
        <v>0</v>
      </c>
      <c r="G66" s="341">
        <f>IFERROR(G$9*INDEX('Scenarios onshore'!217:217,MATCH('BS onshore'!G$5,'Scenarios onshore'!4:4,0)),0)*Currency_conversion_BU2</f>
        <v>0</v>
      </c>
      <c r="H66" s="341">
        <f>IFERROR(H$9*INDEX('Scenarios onshore'!217:217,MATCH('BS onshore'!H$5,'Scenarios onshore'!4:4,0)),0)*Currency_conversion_BU2</f>
        <v>0</v>
      </c>
      <c r="I66" s="341">
        <f>IFERROR(I$9*INDEX('Scenarios onshore'!217:217,MATCH('BS onshore'!I$5,'Scenarios onshore'!4:4,0)),0)*Currency_conversion_BU2</f>
        <v>0</v>
      </c>
      <c r="J66" s="341">
        <f>IFERROR(J$9*INDEX('Scenarios onshore'!217:217,MATCH('BS onshore'!J$5,'Scenarios onshore'!4:4,0)),0)*Currency_conversion_BU2</f>
        <v>0</v>
      </c>
      <c r="K66" s="341">
        <f>IFERROR(K$9*INDEX('Scenarios onshore'!217:217,MATCH('BS onshore'!K$5,'Scenarios onshore'!4:4,0)),0)*Currency_conversion_BU2</f>
        <v>0</v>
      </c>
      <c r="L66" s="341">
        <f>IFERROR(L$9*INDEX('Scenarios onshore'!217:217,MATCH('BS onshore'!L$5,'Scenarios onshore'!4:4,0)),0)*Currency_conversion_BU2</f>
        <v>0</v>
      </c>
      <c r="M66" s="341">
        <f>IFERROR(M$9*INDEX('Scenarios onshore'!217:217,MATCH('BS onshore'!M$5,'Scenarios onshore'!4:4,0)),0)*Currency_conversion_BU2</f>
        <v>0</v>
      </c>
      <c r="N66" s="341">
        <f>IFERROR(N$9*INDEX('Scenarios onshore'!217:217,MATCH('BS onshore'!N$5,'Scenarios onshore'!4:4,0)),0)*Currency_conversion_BU2</f>
        <v>0</v>
      </c>
      <c r="O66" s="341">
        <f>IFERROR(O$9*INDEX('Scenarios onshore'!217:217,MATCH('BS onshore'!O$5,'Scenarios onshore'!4:4,0)),0)*Currency_conversion_BU2</f>
        <v>0</v>
      </c>
      <c r="P66" s="341">
        <f>IFERROR(P$9*INDEX('Scenarios onshore'!217:217,MATCH('BS onshore'!P$5,'Scenarios onshore'!4:4,0)),0)*Currency_conversion_BU2</f>
        <v>0</v>
      </c>
      <c r="Q66" s="341">
        <f>IFERROR(Q$9*INDEX('Scenarios onshore'!217:217,MATCH('BS onshore'!Q$5,'Scenarios onshore'!4:4,0)),0)*Currency_conversion_BU2</f>
        <v>0</v>
      </c>
      <c r="R66" s="43"/>
      <c r="S66" s="44"/>
      <c r="T66" s="44"/>
      <c r="X66" s="41"/>
      <c r="Y66" s="41"/>
      <c r="Z66" s="40"/>
    </row>
    <row r="67" spans="1:26" ht="13.7" collapsed="1">
      <c r="C67" s="254" t="s">
        <v>222</v>
      </c>
      <c r="D67" s="255"/>
      <c r="E67" s="255">
        <f>SUM(E68:E69)</f>
        <v>0</v>
      </c>
      <c r="F67" s="255">
        <f t="shared" ref="F67:Q67" si="26">SUM(F68:F69)</f>
        <v>0</v>
      </c>
      <c r="G67" s="255">
        <f t="shared" si="26"/>
        <v>0</v>
      </c>
      <c r="H67" s="255">
        <f t="shared" si="26"/>
        <v>0</v>
      </c>
      <c r="I67" s="255">
        <f t="shared" si="26"/>
        <v>0</v>
      </c>
      <c r="J67" s="255">
        <f t="shared" si="26"/>
        <v>0</v>
      </c>
      <c r="K67" s="255">
        <f t="shared" si="26"/>
        <v>0</v>
      </c>
      <c r="L67" s="255">
        <f t="shared" si="26"/>
        <v>0</v>
      </c>
      <c r="M67" s="255">
        <f t="shared" si="26"/>
        <v>0</v>
      </c>
      <c r="N67" s="255">
        <f t="shared" si="26"/>
        <v>0</v>
      </c>
      <c r="O67" s="255">
        <f t="shared" si="26"/>
        <v>0</v>
      </c>
      <c r="P67" s="255">
        <f t="shared" si="26"/>
        <v>0</v>
      </c>
      <c r="Q67" s="255">
        <f t="shared" si="26"/>
        <v>0</v>
      </c>
      <c r="U67" s="39"/>
      <c r="V67" s="39"/>
      <c r="W67" s="40"/>
    </row>
    <row r="68" spans="1:26" ht="13.7" hidden="1" outlineLevel="1">
      <c r="C68" s="254"/>
      <c r="D68" s="340" t="s">
        <v>1094</v>
      </c>
      <c r="E68" s="341">
        <f>IFERROR(E$6*'Historical BU2'!D53,0)*Currency_conversion_BU2</f>
        <v>0</v>
      </c>
      <c r="F68" s="341">
        <f>IFERROR(F$6*'Historical BU2'!E53,0)*Currency_conversion_BU2</f>
        <v>0</v>
      </c>
      <c r="G68" s="341">
        <f>IFERROR(G$6*'Historical BU2'!F53,0)*Currency_conversion_BU2</f>
        <v>0</v>
      </c>
      <c r="H68" s="341">
        <f>IFERROR(H$6*'Historical BU2'!G53,0)*Currency_conversion_BU2</f>
        <v>0</v>
      </c>
      <c r="I68" s="341">
        <f>IFERROR(I$6*'Historical BU2'!H53,0)*Currency_conversion_BU2</f>
        <v>0</v>
      </c>
      <c r="J68" s="341">
        <f>IFERROR(J$6*'Historical BU2'!I53,0)*Currency_conversion_BU2</f>
        <v>0</v>
      </c>
      <c r="K68" s="341">
        <f>IFERROR(K$6*'Historical BU2'!J53,0)*Currency_conversion_BU2</f>
        <v>0</v>
      </c>
      <c r="L68" s="341">
        <f>IFERROR(L$6*'Historical BU2'!K53,0)*Currency_conversion_BU2</f>
        <v>0</v>
      </c>
      <c r="M68" s="341">
        <f>IFERROR(M$6*'Historical BU2'!L53,0)*Currency_conversion_BU2</f>
        <v>0</v>
      </c>
      <c r="N68" s="341">
        <f>IFERROR(N$6*'Historical BU2'!M53,0)*Currency_conversion_BU2</f>
        <v>0</v>
      </c>
      <c r="O68" s="341">
        <f>IFERROR(O$6*'Historical BU2'!N53,0)*Currency_conversion_BU2</f>
        <v>0</v>
      </c>
      <c r="P68" s="341">
        <f>IFERROR(P$6*'Historical BU2'!O53,0)*Currency_conversion_BU2</f>
        <v>0</v>
      </c>
      <c r="Q68" s="341">
        <f>IFERROR(Q$6*'Historical BU2'!P53,0)*Currency_conversion_BU2</f>
        <v>0</v>
      </c>
      <c r="U68" s="39"/>
      <c r="V68" s="39"/>
      <c r="W68" s="40"/>
    </row>
    <row r="69" spans="1:26" ht="13.7" hidden="1" outlineLevel="1">
      <c r="C69" s="254"/>
      <c r="D69" s="340" t="s">
        <v>1095</v>
      </c>
      <c r="E69" s="341">
        <f>+IFERROR(E$7*'Acquisition BS adjustments'!$C106,0)+IFERROR(E$8*'Acquisition BS adjustments'!$E106,0)</f>
        <v>0</v>
      </c>
      <c r="F69" s="341">
        <f>+IFERROR(F$7*'Acquisition BS adjustments'!$C106,0)+IFERROR(F$8*'Acquisition BS adjustments'!$E106,0)</f>
        <v>0</v>
      </c>
      <c r="G69" s="341">
        <f>+IFERROR(G$7*'Acquisition BS adjustments'!$C106,0)+IFERROR(G$8*'Acquisition BS adjustments'!$E106,0)</f>
        <v>0</v>
      </c>
      <c r="H69" s="341">
        <f>+IFERROR(H$7*'Acquisition BS adjustments'!$C106,0)+IFERROR(H$8*'Acquisition BS adjustments'!$E106,0)</f>
        <v>0</v>
      </c>
      <c r="I69" s="341">
        <f>+IFERROR(I$7*'Acquisition BS adjustments'!$C106,0)+IFERROR(I$8*'Acquisition BS adjustments'!$E106,0)</f>
        <v>0</v>
      </c>
      <c r="J69" s="341">
        <f>+IFERROR(J$7*'Acquisition BS adjustments'!$C106,0)+IFERROR(J$8*'Acquisition BS adjustments'!$E106,0)</f>
        <v>0</v>
      </c>
      <c r="K69" s="341">
        <f>+IFERROR(K$7*'Acquisition BS adjustments'!$C106,0)+IFERROR(K$8*'Acquisition BS adjustments'!$E106,0)</f>
        <v>0</v>
      </c>
      <c r="L69" s="341">
        <f>+IFERROR(L$7*'Acquisition BS adjustments'!$C106,0)+IFERROR(L$8*'Acquisition BS adjustments'!$E106,0)</f>
        <v>0</v>
      </c>
      <c r="M69" s="341">
        <f>+IFERROR(M$7*'Acquisition BS adjustments'!$C106,0)+IFERROR(M$8*'Acquisition BS adjustments'!$E106,0)</f>
        <v>0</v>
      </c>
      <c r="N69" s="341">
        <f>+IFERROR(N$7*'Acquisition BS adjustments'!$C106,0)+IFERROR(N$8*'Acquisition BS adjustments'!$E106,0)</f>
        <v>0</v>
      </c>
      <c r="O69" s="341">
        <f>+IFERROR(O$7*'Acquisition BS adjustments'!$C106,0)+IFERROR(O$8*'Acquisition BS adjustments'!$E106,0)</f>
        <v>0</v>
      </c>
      <c r="P69" s="341">
        <f>+IFERROR(P$7*'Acquisition BS adjustments'!$C106,0)+IFERROR(P$8*'Acquisition BS adjustments'!$E106,0)</f>
        <v>0</v>
      </c>
      <c r="Q69" s="341">
        <f>+IFERROR(Q$7*'Acquisition BS adjustments'!$C106,0)+IFERROR(Q$8*'Acquisition BS adjustments'!$E106,0)</f>
        <v>0</v>
      </c>
      <c r="U69" s="39"/>
      <c r="V69" s="39"/>
      <c r="W69" s="40"/>
    </row>
    <row r="70" spans="1:26" ht="13.7" collapsed="1">
      <c r="C70" s="48"/>
      <c r="U70" s="39"/>
      <c r="V70" s="39"/>
      <c r="W70" s="40"/>
    </row>
    <row r="71" spans="1:26" ht="13.7">
      <c r="C71" s="195" t="s">
        <v>10</v>
      </c>
      <c r="D71" s="195"/>
      <c r="E71" s="195">
        <f>E23+E50</f>
        <v>0</v>
      </c>
      <c r="F71" s="195">
        <f t="shared" ref="F71:Q71" si="27">F23+F50</f>
        <v>0</v>
      </c>
      <c r="G71" s="195">
        <f t="shared" si="27"/>
        <v>0</v>
      </c>
      <c r="H71" s="195">
        <f t="shared" si="27"/>
        <v>0</v>
      </c>
      <c r="I71" s="195">
        <f t="shared" si="27"/>
        <v>0</v>
      </c>
      <c r="J71" s="195">
        <f t="shared" si="27"/>
        <v>0</v>
      </c>
      <c r="K71" s="195">
        <f t="shared" ca="1" si="27"/>
        <v>0</v>
      </c>
      <c r="L71" s="195">
        <f t="shared" ca="1" si="27"/>
        <v>0</v>
      </c>
      <c r="M71" s="195">
        <f t="shared" ca="1" si="27"/>
        <v>0</v>
      </c>
      <c r="N71" s="195">
        <f t="shared" ca="1" si="27"/>
        <v>0</v>
      </c>
      <c r="O71" s="195">
        <f t="shared" ca="1" si="27"/>
        <v>0</v>
      </c>
      <c r="P71" s="195">
        <f t="shared" ca="1" si="27"/>
        <v>0</v>
      </c>
      <c r="Q71" s="195">
        <f t="shared" si="27"/>
        <v>0</v>
      </c>
      <c r="X71" s="41"/>
      <c r="Y71" s="41"/>
      <c r="Z71" s="40"/>
    </row>
    <row r="72" spans="1:26">
      <c r="X72" s="41"/>
      <c r="Y72" s="41"/>
      <c r="Z72" s="40"/>
    </row>
    <row r="73" spans="1:26" ht="13.7">
      <c r="A73" s="256"/>
      <c r="B73" s="256"/>
      <c r="C73" s="181" t="s">
        <v>11</v>
      </c>
      <c r="D73" s="180"/>
      <c r="E73" s="180">
        <f>+E74+E77+E81+E84+E87+E90+E94+E98+E102</f>
        <v>0</v>
      </c>
      <c r="F73" s="180">
        <f t="shared" ref="F73:Q73" si="28">+F74+F77+F81+F84+F87+F90+F94+F98+F102</f>
        <v>0</v>
      </c>
      <c r="G73" s="180">
        <f t="shared" si="28"/>
        <v>0</v>
      </c>
      <c r="H73" s="180">
        <f t="shared" si="28"/>
        <v>0</v>
      </c>
      <c r="I73" s="180">
        <f t="shared" si="28"/>
        <v>0</v>
      </c>
      <c r="J73" s="180">
        <f t="shared" si="28"/>
        <v>0</v>
      </c>
      <c r="K73" s="180">
        <f t="shared" ca="1" si="28"/>
        <v>0</v>
      </c>
      <c r="L73" s="180">
        <f t="shared" ca="1" si="28"/>
        <v>0</v>
      </c>
      <c r="M73" s="180">
        <f t="shared" ca="1" si="28"/>
        <v>0</v>
      </c>
      <c r="N73" s="180">
        <f t="shared" ca="1" si="28"/>
        <v>0</v>
      </c>
      <c r="O73" s="180">
        <f t="shared" ca="1" si="28"/>
        <v>0</v>
      </c>
      <c r="P73" s="180">
        <f t="shared" ca="1" si="28"/>
        <v>0</v>
      </c>
      <c r="Q73" s="180">
        <f t="shared" si="28"/>
        <v>0</v>
      </c>
      <c r="T73" s="44"/>
      <c r="U73" s="44"/>
      <c r="X73" s="41"/>
      <c r="Y73" s="41"/>
      <c r="Z73" s="40"/>
    </row>
    <row r="74" spans="1:26" ht="13.7">
      <c r="A74" s="256"/>
      <c r="B74" s="256"/>
      <c r="C74" s="377" t="s">
        <v>1467</v>
      </c>
      <c r="D74" s="180"/>
      <c r="E74" s="376">
        <f>SUM(E75:E76)</f>
        <v>0</v>
      </c>
      <c r="F74" s="376">
        <f t="shared" ref="F74:Q74" si="29">SUM(F75:F76)</f>
        <v>0</v>
      </c>
      <c r="G74" s="376">
        <f t="shared" si="29"/>
        <v>0</v>
      </c>
      <c r="H74" s="376">
        <f t="shared" si="29"/>
        <v>0</v>
      </c>
      <c r="I74" s="376">
        <f t="shared" si="29"/>
        <v>0</v>
      </c>
      <c r="J74" s="376">
        <f t="shared" si="29"/>
        <v>0</v>
      </c>
      <c r="K74" s="376">
        <f t="shared" ca="1" si="29"/>
        <v>0</v>
      </c>
      <c r="L74" s="376">
        <f t="shared" ca="1" si="29"/>
        <v>0</v>
      </c>
      <c r="M74" s="376">
        <f t="shared" ca="1" si="29"/>
        <v>0</v>
      </c>
      <c r="N74" s="376">
        <f t="shared" ca="1" si="29"/>
        <v>0</v>
      </c>
      <c r="O74" s="376">
        <f t="shared" ca="1" si="29"/>
        <v>0</v>
      </c>
      <c r="P74" s="376">
        <f t="shared" ca="1" si="29"/>
        <v>0</v>
      </c>
      <c r="Q74" s="376">
        <f t="shared" si="29"/>
        <v>0</v>
      </c>
      <c r="T74" s="44"/>
      <c r="U74" s="44"/>
      <c r="X74" s="41"/>
      <c r="Y74" s="41"/>
      <c r="Z74" s="40"/>
    </row>
    <row r="75" spans="1:26" ht="13.7" outlineLevel="1">
      <c r="A75" s="256"/>
      <c r="B75" s="256"/>
      <c r="C75" s="254"/>
      <c r="D75" s="340" t="s">
        <v>1095</v>
      </c>
      <c r="E75" s="341">
        <f>+IFERROR(E$7*'Acquisition BS adjustments'!$C73,0)+IFERROR(E$8*'Acquisition BS adjustments'!$E73,0)</f>
        <v>0</v>
      </c>
      <c r="F75" s="341">
        <f>+IFERROR(F$7*'Acquisition BS adjustments'!$C73,0)+IFERROR(F$8*'Acquisition BS adjustments'!$E73,0)</f>
        <v>0</v>
      </c>
      <c r="G75" s="341">
        <f>+IFERROR(G$7*'Acquisition BS adjustments'!$C73,0)+IFERROR(G$8*'Acquisition BS adjustments'!$E73,0)</f>
        <v>0</v>
      </c>
      <c r="H75" s="341">
        <f>+IFERROR(H$7*'Acquisition BS adjustments'!$C73,0)+IFERROR(H$8*'Acquisition BS adjustments'!$E73,0)</f>
        <v>0</v>
      </c>
      <c r="I75" s="341">
        <f>+IFERROR(I$7*'Acquisition BS adjustments'!$C73,0)+IFERROR(I$8*'Acquisition BS adjustments'!$E73,0)</f>
        <v>0</v>
      </c>
      <c r="J75" s="341">
        <f>+IFERROR(J$7*'Acquisition BS adjustments'!$C73,0)+IFERROR(J$8*'Acquisition BS adjustments'!$E73,0)</f>
        <v>0</v>
      </c>
      <c r="K75" s="341">
        <f>+IFERROR(K$7*'Acquisition BS adjustments'!$C73,0)+IFERROR(K$8*'Acquisition BS adjustments'!$E73,0)</f>
        <v>0</v>
      </c>
      <c r="L75" s="341">
        <f>+IFERROR(L$7*'Acquisition BS adjustments'!$C73,0)+IFERROR(L$8*'Acquisition BS adjustments'!$E73,0)</f>
        <v>0</v>
      </c>
      <c r="M75" s="341">
        <f>+IFERROR(M$7*'Acquisition BS adjustments'!$C73,0)+IFERROR(M$8*'Acquisition BS adjustments'!$E73,0)</f>
        <v>0</v>
      </c>
      <c r="N75" s="341">
        <f>+IFERROR(N$7*'Acquisition BS adjustments'!$C73,0)+IFERROR(N$8*'Acquisition BS adjustments'!$E73,0)</f>
        <v>0</v>
      </c>
      <c r="O75" s="341">
        <f>+IFERROR(O$7*'Acquisition BS adjustments'!$C73,0)+IFERROR(O$8*'Acquisition BS adjustments'!$E73,0)</f>
        <v>0</v>
      </c>
      <c r="P75" s="341">
        <f>+IFERROR(P$7*'Acquisition BS adjustments'!$C73,0)+IFERROR(P$8*'Acquisition BS adjustments'!$E73,0)</f>
        <v>0</v>
      </c>
      <c r="Q75" s="341">
        <f>+IFERROR(Q$7*'Acquisition BS adjustments'!$C73,0)+IFERROR(Q$8*'Acquisition BS adjustments'!$E73,0)</f>
        <v>0</v>
      </c>
      <c r="R75" s="43"/>
      <c r="S75" s="44"/>
      <c r="T75" s="44"/>
      <c r="X75" s="41"/>
      <c r="Y75" s="41"/>
      <c r="Z75" s="40"/>
    </row>
    <row r="76" spans="1:26" ht="13.7" outlineLevel="1">
      <c r="A76" s="256"/>
      <c r="B76" s="256"/>
      <c r="C76" s="254"/>
      <c r="D76" s="340" t="s">
        <v>1096</v>
      </c>
      <c r="E76" s="340">
        <f>+IFERROR(E9*INDEX('Financial Quarterly onshore'!86:86,MATCH('BS onshore'!E$5,'Financial Quarterly onshore'!4:4,0)),0)</f>
        <v>0</v>
      </c>
      <c r="F76" s="340">
        <f>+IFERROR(F9*INDEX('Financial Quarterly onshore'!86:86,MATCH('BS onshore'!F$5,'Financial Quarterly onshore'!4:4,0)),0)</f>
        <v>0</v>
      </c>
      <c r="G76" s="340">
        <f>+IFERROR(G9*INDEX('Financial Quarterly onshore'!86:86,MATCH('BS onshore'!G$5,'Financial Quarterly onshore'!4:4,0)),0)</f>
        <v>0</v>
      </c>
      <c r="H76" s="340">
        <f>+IFERROR(H9*INDEX('Financial Quarterly onshore'!86:86,MATCH('BS onshore'!H$5,'Financial Quarterly onshore'!4:4,0)),0)</f>
        <v>0</v>
      </c>
      <c r="I76" s="340">
        <f>+IFERROR(I9*INDEX('Financial Quarterly onshore'!86:86,MATCH('BS onshore'!I$5,'Financial Quarterly onshore'!4:4,0)),0)</f>
        <v>0</v>
      </c>
      <c r="J76" s="340">
        <f>+IFERROR(J9*INDEX('Financial Quarterly onshore'!86:86,MATCH('BS onshore'!J$5,'Financial Quarterly onshore'!4:4,0)),0)</f>
        <v>0</v>
      </c>
      <c r="K76" s="340">
        <f ca="1">+IFERROR(K9*INDEX('Financial Quarterly onshore'!86:86,MATCH('BS onshore'!K$5,'Financial Quarterly onshore'!4:4,0)),0)</f>
        <v>0</v>
      </c>
      <c r="L76" s="340">
        <f ca="1">+IFERROR(L9*INDEX('Financial Quarterly onshore'!86:86,MATCH('BS onshore'!L$5,'Financial Quarterly onshore'!4:4,0)),0)</f>
        <v>0</v>
      </c>
      <c r="M76" s="340">
        <f ca="1">+IFERROR(M9*INDEX('Financial Quarterly onshore'!86:86,MATCH('BS onshore'!M$5,'Financial Quarterly onshore'!4:4,0)),0)</f>
        <v>0</v>
      </c>
      <c r="N76" s="340">
        <f ca="1">+IFERROR(N9*INDEX('Financial Quarterly onshore'!86:86,MATCH('BS onshore'!N$5,'Financial Quarterly onshore'!4:4,0)),0)</f>
        <v>0</v>
      </c>
      <c r="O76" s="340">
        <f ca="1">+IFERROR(O9*INDEX('Financial Quarterly onshore'!86:86,MATCH('BS onshore'!O$5,'Financial Quarterly onshore'!4:4,0)),0)</f>
        <v>0</v>
      </c>
      <c r="P76" s="340">
        <f ca="1">+IFERROR(P9*INDEX('Financial Quarterly onshore'!86:86,MATCH('BS onshore'!P$5,'Financial Quarterly onshore'!4:4,0)),0)</f>
        <v>0</v>
      </c>
      <c r="Q76" s="340">
        <f>+IFERROR(Q9*INDEX('Financial Quarterly onshore'!86:86,MATCH('BS onshore'!Q$5,'Financial Quarterly onshore'!4:4,0)),0)</f>
        <v>0</v>
      </c>
      <c r="X76" s="39"/>
      <c r="Y76" s="39"/>
      <c r="Z76" s="40"/>
    </row>
    <row r="77" spans="1:26" ht="13.7">
      <c r="A77" s="256"/>
      <c r="B77" s="256"/>
      <c r="C77" s="254" t="s">
        <v>225</v>
      </c>
      <c r="D77" s="255"/>
      <c r="E77" s="255">
        <f>SUM(E78:E80)</f>
        <v>0</v>
      </c>
      <c r="F77" s="255">
        <f t="shared" ref="F77:Q77" si="30">SUM(F78:F80)</f>
        <v>0</v>
      </c>
      <c r="G77" s="255">
        <f t="shared" si="30"/>
        <v>0</v>
      </c>
      <c r="H77" s="255">
        <f t="shared" si="30"/>
        <v>0</v>
      </c>
      <c r="I77" s="255">
        <f t="shared" si="30"/>
        <v>0</v>
      </c>
      <c r="J77" s="255">
        <f t="shared" si="30"/>
        <v>0</v>
      </c>
      <c r="K77" s="255">
        <f t="shared" si="30"/>
        <v>0</v>
      </c>
      <c r="L77" s="255">
        <f t="shared" si="30"/>
        <v>0</v>
      </c>
      <c r="M77" s="255">
        <f t="shared" si="30"/>
        <v>0</v>
      </c>
      <c r="N77" s="255">
        <f t="shared" si="30"/>
        <v>0</v>
      </c>
      <c r="O77" s="255">
        <f t="shared" si="30"/>
        <v>0</v>
      </c>
      <c r="P77" s="255">
        <f t="shared" si="30"/>
        <v>0</v>
      </c>
      <c r="Q77" s="255">
        <f t="shared" si="30"/>
        <v>0</v>
      </c>
      <c r="T77" s="44"/>
      <c r="U77" s="44"/>
      <c r="X77" s="41"/>
      <c r="Y77" s="41"/>
      <c r="Z77" s="40"/>
    </row>
    <row r="78" spans="1:26" ht="13.7" outlineLevel="1">
      <c r="A78" s="256"/>
      <c r="B78" s="256"/>
      <c r="C78" s="254"/>
      <c r="D78" s="340" t="s">
        <v>1094</v>
      </c>
      <c r="E78" s="341">
        <f>IFERROR(E6*'Historical BU2'!D57,0)*Currency_conversion_BU2</f>
        <v>0</v>
      </c>
      <c r="F78" s="341">
        <f>IFERROR(F6*'Historical BU2'!E57,0)*Currency_conversion_BU2</f>
        <v>0</v>
      </c>
      <c r="G78" s="341">
        <f>IFERROR(G6*'Historical BU2'!F57,0)*Currency_conversion_BU2</f>
        <v>0</v>
      </c>
      <c r="H78" s="341">
        <f>IFERROR(H6*'Historical BU2'!G57,0)*Currency_conversion_BU2</f>
        <v>0</v>
      </c>
      <c r="I78" s="341">
        <f>IFERROR(I6*'Historical BU2'!H57,0)*Currency_conversion_BU2</f>
        <v>0</v>
      </c>
      <c r="J78" s="341">
        <f>IFERROR(J6*'Historical BU2'!I57,0)*Currency_conversion_BU2</f>
        <v>0</v>
      </c>
      <c r="K78" s="341">
        <f>IFERROR(K6*'Historical BU2'!J57,0)*Currency_conversion_BU2</f>
        <v>0</v>
      </c>
      <c r="L78" s="341">
        <f>IFERROR(L6*'Historical BU2'!K57,0)*Currency_conversion_BU2</f>
        <v>0</v>
      </c>
      <c r="M78" s="341">
        <f>IFERROR(M6*'Historical BU2'!L57,0)*Currency_conversion_BU2</f>
        <v>0</v>
      </c>
      <c r="N78" s="341">
        <f>IFERROR(N6*'Historical BU2'!M57,0)*Currency_conversion_BU2</f>
        <v>0</v>
      </c>
      <c r="O78" s="341">
        <f>IFERROR(O6*'Historical BU2'!N57,0)*Currency_conversion_BU2</f>
        <v>0</v>
      </c>
      <c r="P78" s="341">
        <f>IFERROR(P6*'Historical BU2'!O57,0)*Currency_conversion_BU2</f>
        <v>0</v>
      </c>
      <c r="Q78" s="341">
        <f>IFERROR(Q6*'Historical BU2'!P57,0)*Currency_conversion_BU2</f>
        <v>0</v>
      </c>
      <c r="R78" s="43"/>
      <c r="S78" s="44"/>
      <c r="T78" s="44"/>
      <c r="X78" s="41"/>
      <c r="Y78" s="41"/>
      <c r="Z78" s="40"/>
    </row>
    <row r="79" spans="1:26" ht="13.7" outlineLevel="1">
      <c r="A79" s="256"/>
      <c r="B79" s="256"/>
      <c r="C79" s="254"/>
      <c r="D79" s="340" t="s">
        <v>1095</v>
      </c>
      <c r="E79" s="341">
        <f>+IFERROR(E$7*'Acquisition BS adjustments'!$C110,0)+IFERROR(E$8*'Acquisition BS adjustments'!$E110,0)</f>
        <v>0</v>
      </c>
      <c r="F79" s="341">
        <f>+IFERROR(F$7*'Acquisition BS adjustments'!$C110,0)+IFERROR(F$8*'Acquisition BS adjustments'!$E110,0)</f>
        <v>0</v>
      </c>
      <c r="G79" s="341">
        <f>+IFERROR(G$7*'Acquisition BS adjustments'!$C110,0)+IFERROR(G$8*'Acquisition BS adjustments'!$E110,0)</f>
        <v>0</v>
      </c>
      <c r="H79" s="341">
        <f>+IFERROR(H$7*'Acquisition BS adjustments'!$C110,0)+IFERROR(H$8*'Acquisition BS adjustments'!$E110,0)</f>
        <v>0</v>
      </c>
      <c r="I79" s="341">
        <f>+IFERROR(I$7*'Acquisition BS adjustments'!$C110,0)+IFERROR(I$8*'Acquisition BS adjustments'!$E110,0)</f>
        <v>0</v>
      </c>
      <c r="J79" s="341">
        <f>+IFERROR(J$7*'Acquisition BS adjustments'!$C110,0)+IFERROR(J$8*'Acquisition BS adjustments'!$E110,0)</f>
        <v>0</v>
      </c>
      <c r="K79" s="341">
        <f>+IFERROR(K$7*'Acquisition BS adjustments'!$C110,0)+IFERROR(K$8*'Acquisition BS adjustments'!$E110,0)</f>
        <v>0</v>
      </c>
      <c r="L79" s="341">
        <f>+IFERROR(L$7*'Acquisition BS adjustments'!$C110,0)+IFERROR(L$8*'Acquisition BS adjustments'!$E110,0)</f>
        <v>0</v>
      </c>
      <c r="M79" s="341">
        <f>+IFERROR(M$7*'Acquisition BS adjustments'!$C110,0)+IFERROR(M$8*'Acquisition BS adjustments'!$E110,0)</f>
        <v>0</v>
      </c>
      <c r="N79" s="341">
        <f>+IFERROR(N$7*'Acquisition BS adjustments'!$C110,0)+IFERROR(N$8*'Acquisition BS adjustments'!$E110,0)</f>
        <v>0</v>
      </c>
      <c r="O79" s="341">
        <f>+IFERROR(O$7*'Acquisition BS adjustments'!$C110,0)+IFERROR(O$8*'Acquisition BS adjustments'!$E110,0)</f>
        <v>0</v>
      </c>
      <c r="P79" s="341">
        <f>+IFERROR(P$7*'Acquisition BS adjustments'!$C110,0)+IFERROR(P$8*'Acquisition BS adjustments'!$E110,0)</f>
        <v>0</v>
      </c>
      <c r="Q79" s="341">
        <f>+IFERROR(Q$7*'Acquisition BS adjustments'!$C110,0)+IFERROR(Q$8*'Acquisition BS adjustments'!$E110,0)</f>
        <v>0</v>
      </c>
      <c r="R79" s="43"/>
      <c r="S79" s="44"/>
      <c r="T79" s="44"/>
      <c r="X79" s="41"/>
      <c r="Y79" s="41"/>
      <c r="Z79" s="40"/>
    </row>
    <row r="80" spans="1:26" ht="13.7" outlineLevel="1">
      <c r="A80" s="256"/>
      <c r="B80" s="256"/>
      <c r="C80" s="254"/>
      <c r="D80" s="340" t="s">
        <v>1098</v>
      </c>
      <c r="E80" s="341">
        <f>+IFERROR(E$9*INDEX('Scenarios onshore'!223:223,MATCH('BS onshore'!E$5,'Scenarios onshore'!$4:$4,0)),0)*Currency_conversion_BU2</f>
        <v>0</v>
      </c>
      <c r="F80" s="341">
        <f>+IFERROR(F$9*INDEX('Scenarios onshore'!223:223,MATCH('BS onshore'!F$5,'Scenarios onshore'!$4:$4,0)),0)*Currency_conversion_BU2</f>
        <v>0</v>
      </c>
      <c r="G80" s="341">
        <f>+IFERROR(G$9*INDEX('Scenarios onshore'!223:223,MATCH('BS onshore'!G$5,'Scenarios onshore'!$4:$4,0)),0)*Currency_conversion_BU2</f>
        <v>0</v>
      </c>
      <c r="H80" s="341">
        <f>+IFERROR(H$9*INDEX('Scenarios onshore'!223:223,MATCH('BS onshore'!H$5,'Scenarios onshore'!$4:$4,0)),0)*Currency_conversion_BU2</f>
        <v>0</v>
      </c>
      <c r="I80" s="341">
        <f>+IFERROR(I$9*INDEX('Scenarios onshore'!223:223,MATCH('BS onshore'!I$5,'Scenarios onshore'!$4:$4,0)),0)*Currency_conversion_BU2</f>
        <v>0</v>
      </c>
      <c r="J80" s="341">
        <f>+IFERROR(J$9*INDEX('Scenarios onshore'!223:223,MATCH('BS onshore'!J$5,'Scenarios onshore'!$4:$4,0)),0)*Currency_conversion_BU2</f>
        <v>0</v>
      </c>
      <c r="K80" s="341">
        <f>+IFERROR(K$9*INDEX('Scenarios onshore'!223:223,MATCH('BS onshore'!K$5,'Scenarios onshore'!$4:$4,0)),0)*Currency_conversion_BU2</f>
        <v>0</v>
      </c>
      <c r="L80" s="341">
        <f>+IFERROR(L$9*INDEX('Scenarios onshore'!223:223,MATCH('BS onshore'!L$5,'Scenarios onshore'!$4:$4,0)),0)*Currency_conversion_BU2</f>
        <v>0</v>
      </c>
      <c r="M80" s="341">
        <f>+IFERROR(M$9*INDEX('Scenarios onshore'!223:223,MATCH('BS onshore'!M$5,'Scenarios onshore'!$4:$4,0)),0)*Currency_conversion_BU2</f>
        <v>0</v>
      </c>
      <c r="N80" s="341">
        <f>+IFERROR(N$9*INDEX('Scenarios onshore'!223:223,MATCH('BS onshore'!N$5,'Scenarios onshore'!$4:$4,0)),0)*Currency_conversion_BU2</f>
        <v>0</v>
      </c>
      <c r="O80" s="341">
        <f>+IFERROR(O$9*INDEX('Scenarios onshore'!223:223,MATCH('BS onshore'!O$5,'Scenarios onshore'!$4:$4,0)),0)*Currency_conversion_BU2</f>
        <v>0</v>
      </c>
      <c r="P80" s="341">
        <f>+IFERROR(P$9*INDEX('Scenarios onshore'!223:223,MATCH('BS onshore'!P$5,'Scenarios onshore'!$4:$4,0)),0)*Currency_conversion_BU2</f>
        <v>0</v>
      </c>
      <c r="Q80" s="341">
        <f>+IFERROR(Q$9*INDEX('Scenarios onshore'!223:223,MATCH('BS onshore'!Q$5,'Scenarios onshore'!$4:$4,0)),0)*Currency_conversion_BU2</f>
        <v>0</v>
      </c>
      <c r="R80" s="43"/>
      <c r="S80" s="44"/>
      <c r="T80" s="44"/>
      <c r="X80" s="41"/>
      <c r="Y80" s="41"/>
      <c r="Z80" s="40"/>
    </row>
    <row r="81" spans="1:26" ht="13.7">
      <c r="A81" s="256"/>
      <c r="B81" s="256"/>
      <c r="C81" s="254" t="s">
        <v>226</v>
      </c>
      <c r="D81" s="255"/>
      <c r="E81" s="255">
        <f>SUM(E82:E83)</f>
        <v>0</v>
      </c>
      <c r="F81" s="255">
        <f t="shared" ref="F81:Q81" si="31">SUM(F82:F83)</f>
        <v>0</v>
      </c>
      <c r="G81" s="255">
        <f t="shared" si="31"/>
        <v>0</v>
      </c>
      <c r="H81" s="255">
        <f t="shared" si="31"/>
        <v>0</v>
      </c>
      <c r="I81" s="255">
        <f t="shared" si="31"/>
        <v>0</v>
      </c>
      <c r="J81" s="255">
        <f t="shared" si="31"/>
        <v>0</v>
      </c>
      <c r="K81" s="255">
        <f t="shared" si="31"/>
        <v>0</v>
      </c>
      <c r="L81" s="255">
        <f t="shared" si="31"/>
        <v>0</v>
      </c>
      <c r="M81" s="255">
        <f t="shared" si="31"/>
        <v>0</v>
      </c>
      <c r="N81" s="255">
        <f t="shared" si="31"/>
        <v>0</v>
      </c>
      <c r="O81" s="255">
        <f t="shared" si="31"/>
        <v>0</v>
      </c>
      <c r="P81" s="255">
        <f t="shared" si="31"/>
        <v>0</v>
      </c>
      <c r="Q81" s="255">
        <f t="shared" si="31"/>
        <v>0</v>
      </c>
      <c r="T81" s="44"/>
      <c r="U81" s="44"/>
      <c r="X81" s="41"/>
      <c r="Y81" s="41"/>
      <c r="Z81" s="40"/>
    </row>
    <row r="82" spans="1:26" ht="13.7" hidden="1" outlineLevel="1">
      <c r="C82" s="254"/>
      <c r="D82" s="340" t="s">
        <v>1094</v>
      </c>
      <c r="E82" s="341">
        <f>IFERROR(E$6*'Historical BU2'!D58,0)*Currency_conversion_BU2</f>
        <v>0</v>
      </c>
      <c r="F82" s="341">
        <f>IFERROR(F$6*'Historical BU2'!E58,0)*Currency_conversion_BU2</f>
        <v>0</v>
      </c>
      <c r="G82" s="341">
        <f>IFERROR(G$6*'Historical BU2'!F58,0)*Currency_conversion_BU2</f>
        <v>0</v>
      </c>
      <c r="H82" s="341">
        <f>IFERROR(H$6*'Historical BU2'!G58,0)*Currency_conversion_BU2</f>
        <v>0</v>
      </c>
      <c r="I82" s="341">
        <f>IFERROR(I$6*'Historical BU2'!H58,0)*Currency_conversion_BU2</f>
        <v>0</v>
      </c>
      <c r="J82" s="341">
        <f>IFERROR(J$6*'Historical BU2'!I58,0)*Currency_conversion_BU2</f>
        <v>0</v>
      </c>
      <c r="K82" s="341">
        <f>IFERROR(K$6*'Historical BU2'!J58,0)*Currency_conversion_BU2</f>
        <v>0</v>
      </c>
      <c r="L82" s="341">
        <f>IFERROR(L$6*'Historical BU2'!K58,0)*Currency_conversion_BU2</f>
        <v>0</v>
      </c>
      <c r="M82" s="341">
        <f>IFERROR(M$6*'Historical BU2'!L58,0)*Currency_conversion_BU2</f>
        <v>0</v>
      </c>
      <c r="N82" s="341">
        <f>IFERROR(N$6*'Historical BU2'!M58,0)*Currency_conversion_BU2</f>
        <v>0</v>
      </c>
      <c r="O82" s="341">
        <f>IFERROR(O$6*'Historical BU2'!N58,0)*Currency_conversion_BU2</f>
        <v>0</v>
      </c>
      <c r="P82" s="341">
        <f>IFERROR(P$6*'Historical BU2'!O58,0)*Currency_conversion_BU2</f>
        <v>0</v>
      </c>
      <c r="Q82" s="341">
        <f>IFERROR(Q$6*'Historical BU2'!P58,0)*Currency_conversion_BU2</f>
        <v>0</v>
      </c>
      <c r="R82" s="47"/>
      <c r="U82" s="45"/>
      <c r="V82" s="45"/>
      <c r="W82" s="40"/>
    </row>
    <row r="83" spans="1:26" ht="13.7" hidden="1" outlineLevel="1">
      <c r="C83" s="254"/>
      <c r="D83" s="340" t="s">
        <v>1095</v>
      </c>
      <c r="E83" s="341">
        <f>+IFERROR(E$7*'Acquisition BS adjustments'!$C111,0)+IFERROR(E$8*'Acquisition BS adjustments'!$E111,0)</f>
        <v>0</v>
      </c>
      <c r="F83" s="341">
        <f>+IFERROR(F$7*'Acquisition BS adjustments'!$C111,0)+IFERROR(F$8*'Acquisition BS adjustments'!$E111,0)</f>
        <v>0</v>
      </c>
      <c r="G83" s="341">
        <f>+IFERROR(G$7*'Acquisition BS adjustments'!$C111,0)+IFERROR(G$8*'Acquisition BS adjustments'!$E111,0)</f>
        <v>0</v>
      </c>
      <c r="H83" s="341">
        <f>+IFERROR(H$7*'Acquisition BS adjustments'!$C111,0)+IFERROR(H$8*'Acquisition BS adjustments'!$E111,0)</f>
        <v>0</v>
      </c>
      <c r="I83" s="341">
        <f>+IFERROR(I$7*'Acquisition BS adjustments'!$C111,0)+IFERROR(I$8*'Acquisition BS adjustments'!$E111,0)</f>
        <v>0</v>
      </c>
      <c r="J83" s="341">
        <f>+IFERROR(J$7*'Acquisition BS adjustments'!$C111,0)+IFERROR(J$8*'Acquisition BS adjustments'!$E111,0)</f>
        <v>0</v>
      </c>
      <c r="K83" s="341">
        <f>+IFERROR(K$7*'Acquisition BS adjustments'!$C111,0)+IFERROR(K$8*'Acquisition BS adjustments'!$E111,0)</f>
        <v>0</v>
      </c>
      <c r="L83" s="341">
        <f>+IFERROR(L$7*'Acquisition BS adjustments'!$C111,0)+IFERROR(L$8*'Acquisition BS adjustments'!$E111,0)</f>
        <v>0</v>
      </c>
      <c r="M83" s="341">
        <f>+IFERROR(M$7*'Acquisition BS adjustments'!$C111,0)+IFERROR(M$8*'Acquisition BS adjustments'!$E111,0)</f>
        <v>0</v>
      </c>
      <c r="N83" s="341">
        <f>+IFERROR(N$7*'Acquisition BS adjustments'!$C111,0)+IFERROR(N$8*'Acquisition BS adjustments'!$E111,0)</f>
        <v>0</v>
      </c>
      <c r="O83" s="341">
        <f>+IFERROR(O$7*'Acquisition BS adjustments'!$C111,0)+IFERROR(O$8*'Acquisition BS adjustments'!$E111,0)</f>
        <v>0</v>
      </c>
      <c r="P83" s="341">
        <f>+IFERROR(P$7*'Acquisition BS adjustments'!$C111,0)+IFERROR(P$8*'Acquisition BS adjustments'!$E111,0)</f>
        <v>0</v>
      </c>
      <c r="Q83" s="341">
        <f>+IFERROR(Q$7*'Acquisition BS adjustments'!$C111,0)+IFERROR(Q$8*'Acquisition BS adjustments'!$E111,0)</f>
        <v>0</v>
      </c>
      <c r="R83" s="47"/>
      <c r="U83" s="45"/>
      <c r="V83" s="45"/>
      <c r="W83" s="40"/>
    </row>
    <row r="84" spans="1:26" ht="13.7" collapsed="1">
      <c r="A84" s="256"/>
      <c r="B84" s="256"/>
      <c r="C84" s="254" t="s">
        <v>227</v>
      </c>
      <c r="D84" s="255"/>
      <c r="E84" s="255">
        <f>SUM(E85:E86)</f>
        <v>0</v>
      </c>
      <c r="F84" s="255">
        <f t="shared" ref="F84:Q84" si="32">SUM(F85:F86)</f>
        <v>0</v>
      </c>
      <c r="G84" s="255">
        <f t="shared" si="32"/>
        <v>0</v>
      </c>
      <c r="H84" s="255">
        <f t="shared" si="32"/>
        <v>0</v>
      </c>
      <c r="I84" s="255">
        <f t="shared" si="32"/>
        <v>0</v>
      </c>
      <c r="J84" s="255">
        <f t="shared" si="32"/>
        <v>0</v>
      </c>
      <c r="K84" s="255">
        <f t="shared" si="32"/>
        <v>0</v>
      </c>
      <c r="L84" s="255">
        <f t="shared" si="32"/>
        <v>0</v>
      </c>
      <c r="M84" s="255">
        <f t="shared" si="32"/>
        <v>0</v>
      </c>
      <c r="N84" s="255">
        <f t="shared" si="32"/>
        <v>0</v>
      </c>
      <c r="O84" s="255">
        <f t="shared" si="32"/>
        <v>0</v>
      </c>
      <c r="P84" s="255">
        <f t="shared" si="32"/>
        <v>0</v>
      </c>
      <c r="Q84" s="255">
        <f t="shared" si="32"/>
        <v>0</v>
      </c>
      <c r="T84" s="44"/>
      <c r="U84" s="44"/>
      <c r="X84" s="41"/>
      <c r="Y84" s="41"/>
      <c r="Z84" s="40"/>
    </row>
    <row r="85" spans="1:26" ht="13.7" hidden="1" outlineLevel="1">
      <c r="C85" s="254"/>
      <c r="D85" s="340" t="s">
        <v>1094</v>
      </c>
      <c r="E85" s="341">
        <f>IFERROR(E$6*'Historical BU2'!D59,0)*Currency_conversion_BU2</f>
        <v>0</v>
      </c>
      <c r="F85" s="341">
        <f>IFERROR(F$6*'Historical BU2'!E59,0)*Currency_conversion_BU2</f>
        <v>0</v>
      </c>
      <c r="G85" s="341">
        <f>IFERROR(G$6*'Historical BU2'!F59,0)*Currency_conversion_BU2</f>
        <v>0</v>
      </c>
      <c r="H85" s="341">
        <f>IFERROR(H$6*'Historical BU2'!G59,0)*Currency_conversion_BU2</f>
        <v>0</v>
      </c>
      <c r="I85" s="341">
        <f>IFERROR(I$6*'Historical BU2'!H59,0)*Currency_conversion_BU2</f>
        <v>0</v>
      </c>
      <c r="J85" s="341">
        <f>IFERROR(J$6*'Historical BU2'!I59,0)*Currency_conversion_BU2</f>
        <v>0</v>
      </c>
      <c r="K85" s="341">
        <f>IFERROR(K$6*'Historical BU2'!J59,0)*Currency_conversion_BU2</f>
        <v>0</v>
      </c>
      <c r="L85" s="341">
        <f>IFERROR(L$6*'Historical BU2'!K59,0)*Currency_conversion_BU2</f>
        <v>0</v>
      </c>
      <c r="M85" s="341">
        <f>IFERROR(M$6*'Historical BU2'!L59,0)*Currency_conversion_BU2</f>
        <v>0</v>
      </c>
      <c r="N85" s="341">
        <f>IFERROR(N$6*'Historical BU2'!M59,0)*Currency_conversion_BU2</f>
        <v>0</v>
      </c>
      <c r="O85" s="341">
        <f>IFERROR(O$6*'Historical BU2'!N59,0)*Currency_conversion_BU2</f>
        <v>0</v>
      </c>
      <c r="P85" s="341">
        <f>IFERROR(P$6*'Historical BU2'!O59,0)*Currency_conversion_BU2</f>
        <v>0</v>
      </c>
      <c r="Q85" s="341">
        <f>IFERROR(Q$6*'Historical BU2'!P59,0)*Currency_conversion_BU2</f>
        <v>0</v>
      </c>
      <c r="R85" s="47"/>
      <c r="U85" s="45"/>
      <c r="V85" s="45"/>
      <c r="W85" s="40"/>
    </row>
    <row r="86" spans="1:26" ht="13.7" hidden="1" outlineLevel="1">
      <c r="C86" s="254"/>
      <c r="D86" s="340" t="s">
        <v>1095</v>
      </c>
      <c r="E86" s="341">
        <f>+IFERROR(E$7*'Acquisition BS adjustments'!$C112,0)+IFERROR(E$8*'Acquisition BS adjustments'!$E112,0)</f>
        <v>0</v>
      </c>
      <c r="F86" s="341">
        <f>+IFERROR(F$7*'Acquisition BS adjustments'!$C112,0)+IFERROR(F$8*'Acquisition BS adjustments'!$E112,0)</f>
        <v>0</v>
      </c>
      <c r="G86" s="341">
        <f>+IFERROR(G$7*'Acquisition BS adjustments'!$C112,0)+IFERROR(G$8*'Acquisition BS adjustments'!$E112,0)</f>
        <v>0</v>
      </c>
      <c r="H86" s="341">
        <f>+IFERROR(H$7*'Acquisition BS adjustments'!$C112,0)+IFERROR(H$8*'Acquisition BS adjustments'!$E112,0)</f>
        <v>0</v>
      </c>
      <c r="I86" s="341">
        <f>+IFERROR(I$7*'Acquisition BS adjustments'!$C112,0)+IFERROR(I$8*'Acquisition BS adjustments'!$E112,0)</f>
        <v>0</v>
      </c>
      <c r="J86" s="341">
        <f>+IFERROR(J$7*'Acquisition BS adjustments'!$C112,0)+IFERROR(J$8*'Acquisition BS adjustments'!$E112,0)</f>
        <v>0</v>
      </c>
      <c r="K86" s="341">
        <f>+IFERROR(K$7*'Acquisition BS adjustments'!$C112,0)+IFERROR(K$8*'Acquisition BS adjustments'!$E112,0)</f>
        <v>0</v>
      </c>
      <c r="L86" s="341">
        <f>+IFERROR(L$7*'Acquisition BS adjustments'!$C112,0)+IFERROR(L$8*'Acquisition BS adjustments'!$E112,0)</f>
        <v>0</v>
      </c>
      <c r="M86" s="341">
        <f>+IFERROR(M$7*'Acquisition BS adjustments'!$C112,0)+IFERROR(M$8*'Acquisition BS adjustments'!$E112,0)</f>
        <v>0</v>
      </c>
      <c r="N86" s="341">
        <f>+IFERROR(N$7*'Acquisition BS adjustments'!$C112,0)+IFERROR(N$8*'Acquisition BS adjustments'!$E112,0)</f>
        <v>0</v>
      </c>
      <c r="O86" s="341">
        <f>+IFERROR(O$7*'Acquisition BS adjustments'!$C112,0)+IFERROR(O$8*'Acquisition BS adjustments'!$E112,0)</f>
        <v>0</v>
      </c>
      <c r="P86" s="341">
        <f>+IFERROR(P$7*'Acquisition BS adjustments'!$C112,0)+IFERROR(P$8*'Acquisition BS adjustments'!$E112,0)</f>
        <v>0</v>
      </c>
      <c r="Q86" s="341">
        <f>+IFERROR(Q$7*'Acquisition BS adjustments'!$C112,0)+IFERROR(Q$8*'Acquisition BS adjustments'!$E112,0)</f>
        <v>0</v>
      </c>
      <c r="R86" s="47"/>
      <c r="U86" s="45"/>
      <c r="V86" s="45"/>
      <c r="W86" s="40"/>
    </row>
    <row r="87" spans="1:26" ht="13.7" collapsed="1">
      <c r="A87" s="256"/>
      <c r="B87" s="256"/>
      <c r="C87" s="254" t="s">
        <v>228</v>
      </c>
      <c r="D87" s="255"/>
      <c r="E87" s="255">
        <f>SUM(E88:E89)</f>
        <v>0</v>
      </c>
      <c r="F87" s="255">
        <f t="shared" ref="F87:Q87" si="33">SUM(F88:F89)</f>
        <v>0</v>
      </c>
      <c r="G87" s="255">
        <f t="shared" si="33"/>
        <v>0</v>
      </c>
      <c r="H87" s="255">
        <f t="shared" si="33"/>
        <v>0</v>
      </c>
      <c r="I87" s="255">
        <f t="shared" si="33"/>
        <v>0</v>
      </c>
      <c r="J87" s="255">
        <f t="shared" si="33"/>
        <v>0</v>
      </c>
      <c r="K87" s="255">
        <f t="shared" si="33"/>
        <v>0</v>
      </c>
      <c r="L87" s="255">
        <f t="shared" si="33"/>
        <v>0</v>
      </c>
      <c r="M87" s="255">
        <f t="shared" si="33"/>
        <v>0</v>
      </c>
      <c r="N87" s="255">
        <f t="shared" si="33"/>
        <v>0</v>
      </c>
      <c r="O87" s="255">
        <f t="shared" si="33"/>
        <v>0</v>
      </c>
      <c r="P87" s="255">
        <f t="shared" si="33"/>
        <v>0</v>
      </c>
      <c r="Q87" s="255">
        <f t="shared" si="33"/>
        <v>0</v>
      </c>
      <c r="T87" s="44"/>
      <c r="U87" s="44"/>
      <c r="X87" s="41"/>
      <c r="Y87" s="41"/>
      <c r="Z87" s="40"/>
    </row>
    <row r="88" spans="1:26" ht="13.7" hidden="1" outlineLevel="1">
      <c r="C88" s="254"/>
      <c r="D88" s="340" t="s">
        <v>1094</v>
      </c>
      <c r="E88" s="341">
        <f>IFERROR(E$6*'Historical BU2'!D60,0)*Currency_conversion_BU2</f>
        <v>0</v>
      </c>
      <c r="F88" s="341">
        <f>IFERROR(F$6*'Historical BU2'!E60,0)*Currency_conversion_BU2</f>
        <v>0</v>
      </c>
      <c r="G88" s="341">
        <f>IFERROR(G$6*'Historical BU2'!F60,0)*Currency_conversion_BU2</f>
        <v>0</v>
      </c>
      <c r="H88" s="341">
        <f>IFERROR(H$6*'Historical BU2'!G60,0)*Currency_conversion_BU2</f>
        <v>0</v>
      </c>
      <c r="I88" s="341">
        <f>IFERROR(I$6*'Historical BU2'!H60,0)*Currency_conversion_BU2</f>
        <v>0</v>
      </c>
      <c r="J88" s="341">
        <f>IFERROR(J$6*'Historical BU2'!I60,0)*Currency_conversion_BU2</f>
        <v>0</v>
      </c>
      <c r="K88" s="341">
        <f>IFERROR(K$6*'Historical BU2'!J60,0)*Currency_conversion_BU2</f>
        <v>0</v>
      </c>
      <c r="L88" s="341">
        <f>IFERROR(L$6*'Historical BU2'!K60,0)*Currency_conversion_BU2</f>
        <v>0</v>
      </c>
      <c r="M88" s="341">
        <f>IFERROR(M$6*'Historical BU2'!L60,0)*Currency_conversion_BU2</f>
        <v>0</v>
      </c>
      <c r="N88" s="341">
        <f>IFERROR(N$6*'Historical BU2'!M60,0)*Currency_conversion_BU2</f>
        <v>0</v>
      </c>
      <c r="O88" s="341">
        <f>IFERROR(O$6*'Historical BU2'!N60,0)*Currency_conversion_BU2</f>
        <v>0</v>
      </c>
      <c r="P88" s="341">
        <f>IFERROR(P$6*'Historical BU2'!O60,0)*Currency_conversion_BU2</f>
        <v>0</v>
      </c>
      <c r="Q88" s="341">
        <f>IFERROR(Q$6*'Historical BU2'!P60,0)*Currency_conversion_BU2</f>
        <v>0</v>
      </c>
      <c r="R88" s="47"/>
      <c r="U88" s="45"/>
      <c r="V88" s="45"/>
      <c r="W88" s="40"/>
    </row>
    <row r="89" spans="1:26" ht="13.7" hidden="1" outlineLevel="1">
      <c r="C89" s="254"/>
      <c r="D89" s="340" t="s">
        <v>1095</v>
      </c>
      <c r="E89" s="341">
        <f>+IFERROR(E$7*'Acquisition BS adjustments'!$C113,0)+IFERROR(E$8*'Acquisition BS adjustments'!$E113,0)</f>
        <v>0</v>
      </c>
      <c r="F89" s="341">
        <f>+IFERROR(F$7*'Acquisition BS adjustments'!$C113,0)+IFERROR(F$8*'Acquisition BS adjustments'!$E113,0)</f>
        <v>0</v>
      </c>
      <c r="G89" s="341">
        <f>+IFERROR(G$7*'Acquisition BS adjustments'!$C113,0)+IFERROR(G$8*'Acquisition BS adjustments'!$E113,0)</f>
        <v>0</v>
      </c>
      <c r="H89" s="341">
        <f>+IFERROR(H$7*'Acquisition BS adjustments'!$C113,0)+IFERROR(H$8*'Acquisition BS adjustments'!$E113,0)</f>
        <v>0</v>
      </c>
      <c r="I89" s="341">
        <f>+IFERROR(I$7*'Acquisition BS adjustments'!$C113,0)+IFERROR(I$8*'Acquisition BS adjustments'!$E113,0)</f>
        <v>0</v>
      </c>
      <c r="J89" s="341">
        <f>+IFERROR(J$7*'Acquisition BS adjustments'!$C113,0)+IFERROR(J$8*'Acquisition BS adjustments'!$E113,0)</f>
        <v>0</v>
      </c>
      <c r="K89" s="341">
        <f>+IFERROR(K$7*'Acquisition BS adjustments'!$C113,0)+IFERROR(K$8*'Acquisition BS adjustments'!$E113,0)</f>
        <v>0</v>
      </c>
      <c r="L89" s="341">
        <f>+IFERROR(L$7*'Acquisition BS adjustments'!$C113,0)+IFERROR(L$8*'Acquisition BS adjustments'!$E113,0)</f>
        <v>0</v>
      </c>
      <c r="M89" s="341">
        <f>+IFERROR(M$7*'Acquisition BS adjustments'!$C113,0)+IFERROR(M$8*'Acquisition BS adjustments'!$E113,0)</f>
        <v>0</v>
      </c>
      <c r="N89" s="341">
        <f>+IFERROR(N$7*'Acquisition BS adjustments'!$C113,0)+IFERROR(N$8*'Acquisition BS adjustments'!$E113,0)</f>
        <v>0</v>
      </c>
      <c r="O89" s="341">
        <f>+IFERROR(O$7*'Acquisition BS adjustments'!$C113,0)+IFERROR(O$8*'Acquisition BS adjustments'!$E113,0)</f>
        <v>0</v>
      </c>
      <c r="P89" s="341">
        <f>+IFERROR(P$7*'Acquisition BS adjustments'!$C113,0)+IFERROR(P$8*'Acquisition BS adjustments'!$E113,0)</f>
        <v>0</v>
      </c>
      <c r="Q89" s="341">
        <f>+IFERROR(Q$7*'Acquisition BS adjustments'!$C113,0)+IFERROR(Q$8*'Acquisition BS adjustments'!$E113,0)</f>
        <v>0</v>
      </c>
      <c r="R89" s="47"/>
      <c r="U89" s="45"/>
      <c r="V89" s="45"/>
      <c r="W89" s="40"/>
    </row>
    <row r="90" spans="1:26" ht="13.7" collapsed="1">
      <c r="A90" s="256"/>
      <c r="B90" s="256"/>
      <c r="C90" s="254" t="s">
        <v>229</v>
      </c>
      <c r="D90" s="255"/>
      <c r="E90" s="255">
        <f>SUM(E91:E93)</f>
        <v>0</v>
      </c>
      <c r="F90" s="255">
        <f t="shared" ref="F90:Q90" si="34">SUM(F91:F93)</f>
        <v>0</v>
      </c>
      <c r="G90" s="255">
        <f t="shared" si="34"/>
        <v>0</v>
      </c>
      <c r="H90" s="255">
        <f t="shared" si="34"/>
        <v>0</v>
      </c>
      <c r="I90" s="255">
        <f t="shared" si="34"/>
        <v>0</v>
      </c>
      <c r="J90" s="255">
        <f t="shared" si="34"/>
        <v>0</v>
      </c>
      <c r="K90" s="255">
        <f t="shared" si="34"/>
        <v>0</v>
      </c>
      <c r="L90" s="255">
        <f t="shared" si="34"/>
        <v>0</v>
      </c>
      <c r="M90" s="255">
        <f t="shared" si="34"/>
        <v>0</v>
      </c>
      <c r="N90" s="255">
        <f t="shared" si="34"/>
        <v>0</v>
      </c>
      <c r="O90" s="255">
        <f t="shared" si="34"/>
        <v>0</v>
      </c>
      <c r="P90" s="255">
        <f t="shared" si="34"/>
        <v>0</v>
      </c>
      <c r="Q90" s="255">
        <f t="shared" si="34"/>
        <v>0</v>
      </c>
      <c r="T90" s="44"/>
      <c r="U90" s="44"/>
      <c r="X90" s="41"/>
      <c r="Y90" s="41"/>
      <c r="Z90" s="40"/>
    </row>
    <row r="91" spans="1:26" ht="13.7" hidden="1" outlineLevel="1">
      <c r="A91" s="256"/>
      <c r="B91" s="256"/>
      <c r="C91" s="254"/>
      <c r="D91" s="340" t="s">
        <v>1094</v>
      </c>
      <c r="E91" s="341">
        <f>IFERROR(E$6*'Historical BU2'!D61,0)*Currency_conversion_BU2</f>
        <v>0</v>
      </c>
      <c r="F91" s="341">
        <f>IFERROR(F$6*'Historical BU2'!E61,0)*Currency_conversion_BU2</f>
        <v>0</v>
      </c>
      <c r="G91" s="341">
        <f>IFERROR(G$6*'Historical BU2'!F61,0)*Currency_conversion_BU2</f>
        <v>0</v>
      </c>
      <c r="H91" s="341">
        <f>IFERROR(H$6*'Historical BU2'!G61,0)*Currency_conversion_BU2</f>
        <v>0</v>
      </c>
      <c r="I91" s="341">
        <f>IFERROR(I$6*'Historical BU2'!H61,0)*Currency_conversion_BU2</f>
        <v>0</v>
      </c>
      <c r="J91" s="341">
        <f>IFERROR(J$6*'Historical BU2'!I61,0)*Currency_conversion_BU2</f>
        <v>0</v>
      </c>
      <c r="K91" s="341">
        <f>IFERROR(K$6*'Historical BU2'!J61,0)*Currency_conversion_BU2</f>
        <v>0</v>
      </c>
      <c r="L91" s="341">
        <f>IFERROR(L$6*'Historical BU2'!K61,0)*Currency_conversion_BU2</f>
        <v>0</v>
      </c>
      <c r="M91" s="341">
        <f>IFERROR(M$6*'Historical BU2'!L61,0)*Currency_conversion_BU2</f>
        <v>0</v>
      </c>
      <c r="N91" s="341">
        <f>IFERROR(N$6*'Historical BU2'!M61,0)*Currency_conversion_BU2</f>
        <v>0</v>
      </c>
      <c r="O91" s="341">
        <f>IFERROR(O$6*'Historical BU2'!N61,0)*Currency_conversion_BU2</f>
        <v>0</v>
      </c>
      <c r="P91" s="341">
        <f>IFERROR(P$6*'Historical BU2'!O61,0)*Currency_conversion_BU2</f>
        <v>0</v>
      </c>
      <c r="Q91" s="341">
        <f>IFERROR(Q$6*'Historical BU2'!P61,0)*Currency_conversion_BU2</f>
        <v>0</v>
      </c>
      <c r="R91" s="43"/>
      <c r="S91" s="44"/>
      <c r="T91" s="44"/>
      <c r="X91" s="41"/>
      <c r="Y91" s="41"/>
      <c r="Z91" s="40"/>
    </row>
    <row r="92" spans="1:26" ht="13.7" hidden="1" outlineLevel="1">
      <c r="A92" s="256"/>
      <c r="B92" s="256"/>
      <c r="C92" s="254"/>
      <c r="D92" s="340" t="s">
        <v>1095</v>
      </c>
      <c r="E92" s="341">
        <f>+IFERROR(E$7*'Acquisition BS adjustments'!$C114,0)+IFERROR(E$8*'Acquisition BS adjustments'!$E114,0)</f>
        <v>0</v>
      </c>
      <c r="F92" s="341">
        <f>+IFERROR(F$7*'Acquisition BS adjustments'!$C114,0)+IFERROR(F$8*'Acquisition BS adjustments'!$E114,0)</f>
        <v>0</v>
      </c>
      <c r="G92" s="341">
        <f>+IFERROR(G$7*'Acquisition BS adjustments'!$C114,0)+IFERROR(G$8*'Acquisition BS adjustments'!$E114,0)</f>
        <v>0</v>
      </c>
      <c r="H92" s="341">
        <f>+IFERROR(H$7*'Acquisition BS adjustments'!$C114,0)+IFERROR(H$8*'Acquisition BS adjustments'!$E114,0)</f>
        <v>0</v>
      </c>
      <c r="I92" s="341">
        <f>+IFERROR(I$7*'Acquisition BS adjustments'!$C114,0)+IFERROR(I$8*'Acquisition BS adjustments'!$E114,0)</f>
        <v>0</v>
      </c>
      <c r="J92" s="341">
        <f>+IFERROR(J$7*'Acquisition BS adjustments'!$C114,0)+IFERROR(J$8*'Acquisition BS adjustments'!$E114,0)</f>
        <v>0</v>
      </c>
      <c r="K92" s="341">
        <f>+IFERROR(K$7*'Acquisition BS adjustments'!$C114,0)+IFERROR(K$8*'Acquisition BS adjustments'!$E114,0)</f>
        <v>0</v>
      </c>
      <c r="L92" s="341">
        <f>+IFERROR(L$7*'Acquisition BS adjustments'!$C114,0)+IFERROR(L$8*'Acquisition BS adjustments'!$E114,0)</f>
        <v>0</v>
      </c>
      <c r="M92" s="341">
        <f>+IFERROR(M$7*'Acquisition BS adjustments'!$C114,0)+IFERROR(M$8*'Acquisition BS adjustments'!$E114,0)</f>
        <v>0</v>
      </c>
      <c r="N92" s="341">
        <f>+IFERROR(N$7*'Acquisition BS adjustments'!$C114,0)+IFERROR(N$8*'Acquisition BS adjustments'!$E114,0)</f>
        <v>0</v>
      </c>
      <c r="O92" s="341">
        <f>+IFERROR(O$7*'Acquisition BS adjustments'!$C114,0)+IFERROR(O$8*'Acquisition BS adjustments'!$E114,0)</f>
        <v>0</v>
      </c>
      <c r="P92" s="341">
        <f>+IFERROR(P$7*'Acquisition BS adjustments'!$C114,0)+IFERROR(P$8*'Acquisition BS adjustments'!$E114,0)</f>
        <v>0</v>
      </c>
      <c r="Q92" s="341">
        <f>+IFERROR(Q$7*'Acquisition BS adjustments'!$C114,0)+IFERROR(Q$8*'Acquisition BS adjustments'!$E114,0)</f>
        <v>0</v>
      </c>
      <c r="R92" s="43"/>
      <c r="S92" s="44"/>
      <c r="T92" s="44"/>
      <c r="X92" s="41"/>
      <c r="Y92" s="41"/>
      <c r="Z92" s="40"/>
    </row>
    <row r="93" spans="1:26" ht="13.7" hidden="1" outlineLevel="1">
      <c r="A93" s="256"/>
      <c r="B93" s="256"/>
      <c r="C93" s="254"/>
      <c r="D93" s="340" t="s">
        <v>1098</v>
      </c>
      <c r="E93" s="341">
        <f>+IFERROR(E$9*INDEX('Scenarios onshore'!226:226,MATCH('BS onshore'!E$5,'Scenarios onshore'!$4:$4,0)),0)*Currency_conversion_BU2</f>
        <v>0</v>
      </c>
      <c r="F93" s="341">
        <f>+IFERROR(F$9*INDEX('Scenarios onshore'!226:226,MATCH('BS onshore'!F$5,'Scenarios onshore'!$4:$4,0)),0)*Currency_conversion_BU2</f>
        <v>0</v>
      </c>
      <c r="G93" s="341">
        <f>+IFERROR(G$9*INDEX('Scenarios onshore'!226:226,MATCH('BS onshore'!G$5,'Scenarios onshore'!$4:$4,0)),0)*Currency_conversion_BU2</f>
        <v>0</v>
      </c>
      <c r="H93" s="341">
        <f>+IFERROR(H$9*INDEX('Scenarios onshore'!226:226,MATCH('BS onshore'!H$5,'Scenarios onshore'!$4:$4,0)),0)*Currency_conversion_BU2</f>
        <v>0</v>
      </c>
      <c r="I93" s="341">
        <f>+IFERROR(I$9*INDEX('Scenarios onshore'!226:226,MATCH('BS onshore'!I$5,'Scenarios onshore'!$4:$4,0)),0)*Currency_conversion_BU2</f>
        <v>0</v>
      </c>
      <c r="J93" s="341">
        <f>+IFERROR(J$9*INDEX('Scenarios onshore'!226:226,MATCH('BS onshore'!J$5,'Scenarios onshore'!$4:$4,0)),0)*Currency_conversion_BU2</f>
        <v>0</v>
      </c>
      <c r="K93" s="341">
        <f>+IFERROR(K$9*INDEX('Scenarios onshore'!226:226,MATCH('BS onshore'!K$5,'Scenarios onshore'!$4:$4,0)),0)*Currency_conversion_BU2</f>
        <v>0</v>
      </c>
      <c r="L93" s="341">
        <f>+IFERROR(L$9*INDEX('Scenarios onshore'!226:226,MATCH('BS onshore'!L$5,'Scenarios onshore'!$4:$4,0)),0)*Currency_conversion_BU2</f>
        <v>0</v>
      </c>
      <c r="M93" s="341">
        <f>+IFERROR(M$9*INDEX('Scenarios onshore'!226:226,MATCH('BS onshore'!M$5,'Scenarios onshore'!$4:$4,0)),0)*Currency_conversion_BU2</f>
        <v>0</v>
      </c>
      <c r="N93" s="341">
        <f>+IFERROR(N$9*INDEX('Scenarios onshore'!226:226,MATCH('BS onshore'!N$5,'Scenarios onshore'!$4:$4,0)),0)*Currency_conversion_BU2</f>
        <v>0</v>
      </c>
      <c r="O93" s="341">
        <f>+IFERROR(O$9*INDEX('Scenarios onshore'!226:226,MATCH('BS onshore'!O$5,'Scenarios onshore'!$4:$4,0)),0)*Currency_conversion_BU2</f>
        <v>0</v>
      </c>
      <c r="P93" s="341">
        <f>+IFERROR(P$9*INDEX('Scenarios onshore'!226:226,MATCH('BS onshore'!P$5,'Scenarios onshore'!$4:$4,0)),0)*Currency_conversion_BU2</f>
        <v>0</v>
      </c>
      <c r="Q93" s="341">
        <f>+IFERROR(Q$9*INDEX('Scenarios onshore'!226:226,MATCH('BS onshore'!Q$5,'Scenarios onshore'!$4:$4,0)),0)*Currency_conversion_BU2</f>
        <v>0</v>
      </c>
      <c r="R93" s="43"/>
      <c r="S93" s="44"/>
      <c r="T93" s="44"/>
      <c r="X93" s="41"/>
      <c r="Y93" s="41"/>
      <c r="Z93" s="40"/>
    </row>
    <row r="94" spans="1:26" ht="13.7" collapsed="1">
      <c r="A94" s="256"/>
      <c r="B94" s="256"/>
      <c r="C94" s="254" t="s">
        <v>230</v>
      </c>
      <c r="D94" s="255"/>
      <c r="E94" s="255">
        <f>SUM(E95:E97)</f>
        <v>0</v>
      </c>
      <c r="F94" s="255">
        <f t="shared" ref="F94:Q94" si="35">SUM(F95:F97)</f>
        <v>0</v>
      </c>
      <c r="G94" s="255">
        <f t="shared" si="35"/>
        <v>0</v>
      </c>
      <c r="H94" s="255">
        <f t="shared" si="35"/>
        <v>0</v>
      </c>
      <c r="I94" s="255">
        <f t="shared" si="35"/>
        <v>0</v>
      </c>
      <c r="J94" s="255">
        <f t="shared" si="35"/>
        <v>0</v>
      </c>
      <c r="K94" s="255">
        <f t="shared" si="35"/>
        <v>0</v>
      </c>
      <c r="L94" s="255">
        <f t="shared" si="35"/>
        <v>0</v>
      </c>
      <c r="M94" s="255">
        <f t="shared" si="35"/>
        <v>0</v>
      </c>
      <c r="N94" s="255">
        <f t="shared" si="35"/>
        <v>0</v>
      </c>
      <c r="O94" s="255">
        <f t="shared" si="35"/>
        <v>0</v>
      </c>
      <c r="P94" s="255">
        <f t="shared" si="35"/>
        <v>0</v>
      </c>
      <c r="Q94" s="255">
        <f t="shared" si="35"/>
        <v>0</v>
      </c>
      <c r="T94" s="44"/>
      <c r="U94" s="44"/>
      <c r="X94" s="41"/>
      <c r="Y94" s="41"/>
      <c r="Z94" s="40"/>
    </row>
    <row r="95" spans="1:26" ht="13.7" hidden="1" outlineLevel="1">
      <c r="C95" s="254"/>
      <c r="D95" s="340" t="s">
        <v>1094</v>
      </c>
      <c r="E95" s="341">
        <f>IFERROR(E$6*'Historical BU2'!D62,0)*Currency_conversion_BU2</f>
        <v>0</v>
      </c>
      <c r="F95" s="341">
        <f>IFERROR(F$6*'Historical BU2'!E62,0)*Currency_conversion_BU2</f>
        <v>0</v>
      </c>
      <c r="G95" s="341">
        <f>IFERROR(G$6*'Historical BU2'!F62,0)*Currency_conversion_BU2</f>
        <v>0</v>
      </c>
      <c r="H95" s="341">
        <f>IFERROR(H$6*'Historical BU2'!G62,0)*Currency_conversion_BU2</f>
        <v>0</v>
      </c>
      <c r="I95" s="341">
        <f>IFERROR(I$6*'Historical BU2'!H62,0)*Currency_conversion_BU2</f>
        <v>0</v>
      </c>
      <c r="J95" s="341">
        <f>IFERROR(J$6*'Historical BU2'!I62,0)*Currency_conversion_BU2</f>
        <v>0</v>
      </c>
      <c r="K95" s="341">
        <f>IFERROR(K$6*'Historical BU2'!J62,0)*Currency_conversion_BU2</f>
        <v>0</v>
      </c>
      <c r="L95" s="341">
        <f>IFERROR(L$6*'Historical BU2'!K62,0)*Currency_conversion_BU2</f>
        <v>0</v>
      </c>
      <c r="M95" s="341">
        <f>IFERROR(M$6*'Historical BU2'!L62,0)*Currency_conversion_BU2</f>
        <v>0</v>
      </c>
      <c r="N95" s="341">
        <f>IFERROR(N$6*'Historical BU2'!M62,0)*Currency_conversion_BU2</f>
        <v>0</v>
      </c>
      <c r="O95" s="341">
        <f>IFERROR(O$6*'Historical BU2'!N62,0)*Currency_conversion_BU2</f>
        <v>0</v>
      </c>
      <c r="P95" s="341">
        <f>IFERROR(P$6*'Historical BU2'!O62,0)*Currency_conversion_BU2</f>
        <v>0</v>
      </c>
      <c r="Q95" s="341">
        <f>IFERROR(Q$6*'Historical BU2'!P62,0)*Currency_conversion_BU2</f>
        <v>0</v>
      </c>
      <c r="R95" s="47"/>
      <c r="U95" s="45"/>
      <c r="V95" s="45"/>
      <c r="W95" s="40"/>
    </row>
    <row r="96" spans="1:26" ht="13.7" hidden="1" outlineLevel="1">
      <c r="C96" s="254"/>
      <c r="D96" s="340" t="s">
        <v>1095</v>
      </c>
      <c r="E96" s="341">
        <f>+IFERROR(E$7*'Acquisition BS adjustments'!$C115,0)+IFERROR(E$8*'Acquisition BS adjustments'!$E115,0)</f>
        <v>0</v>
      </c>
      <c r="F96" s="341">
        <f>+IFERROR(F$7*'Acquisition BS adjustments'!$C115,0)+IFERROR(F$8*'Acquisition BS adjustments'!$E115,0)</f>
        <v>0</v>
      </c>
      <c r="G96" s="341">
        <f>+IFERROR(G$7*'Acquisition BS adjustments'!$C115,0)+IFERROR(G$8*'Acquisition BS adjustments'!$E115,0)</f>
        <v>0</v>
      </c>
      <c r="H96" s="341">
        <f>+IFERROR(H$7*'Acquisition BS adjustments'!$C115,0)+IFERROR(H$8*'Acquisition BS adjustments'!$E115,0)</f>
        <v>0</v>
      </c>
      <c r="I96" s="341">
        <f>+IFERROR(I$7*'Acquisition BS adjustments'!$C115,0)+IFERROR(I$8*'Acquisition BS adjustments'!$E115,0)</f>
        <v>0</v>
      </c>
      <c r="J96" s="341">
        <f>+IFERROR(J$7*'Acquisition BS adjustments'!$C115,0)+IFERROR(J$8*'Acquisition BS adjustments'!$E115,0)</f>
        <v>0</v>
      </c>
      <c r="K96" s="341">
        <f>+IFERROR(K$7*'Acquisition BS adjustments'!$C115,0)+IFERROR(K$8*'Acquisition BS adjustments'!$E115,0)</f>
        <v>0</v>
      </c>
      <c r="L96" s="341">
        <f>+IFERROR(L$7*'Acquisition BS adjustments'!$C115,0)+IFERROR(L$8*'Acquisition BS adjustments'!$E115,0)</f>
        <v>0</v>
      </c>
      <c r="M96" s="341">
        <f>+IFERROR(M$7*'Acquisition BS adjustments'!$C115,0)+IFERROR(M$8*'Acquisition BS adjustments'!$E115,0)</f>
        <v>0</v>
      </c>
      <c r="N96" s="341">
        <f>+IFERROR(N$7*'Acquisition BS adjustments'!$C115,0)+IFERROR(N$8*'Acquisition BS adjustments'!$E115,0)</f>
        <v>0</v>
      </c>
      <c r="O96" s="341">
        <f>+IFERROR(O$7*'Acquisition BS adjustments'!$C115,0)+IFERROR(O$8*'Acquisition BS adjustments'!$E115,0)</f>
        <v>0</v>
      </c>
      <c r="P96" s="341">
        <f>+IFERROR(P$7*'Acquisition BS adjustments'!$C115,0)+IFERROR(P$8*'Acquisition BS adjustments'!$E115,0)</f>
        <v>0</v>
      </c>
      <c r="Q96" s="341">
        <f>+IFERROR(Q$7*'Acquisition BS adjustments'!$C115,0)+IFERROR(Q$8*'Acquisition BS adjustments'!$E115,0)</f>
        <v>0</v>
      </c>
      <c r="R96" s="47"/>
      <c r="U96" s="45"/>
      <c r="V96" s="45"/>
      <c r="W96" s="40"/>
    </row>
    <row r="97" spans="1:26" ht="13.7" hidden="1" outlineLevel="1">
      <c r="C97" s="254"/>
      <c r="D97" s="339" t="s">
        <v>1097</v>
      </c>
      <c r="E97" s="255">
        <f t="shared" ref="E97:Q97" si="36">+IFERROR(E9*D94,0)</f>
        <v>0</v>
      </c>
      <c r="F97" s="255">
        <f t="shared" si="36"/>
        <v>0</v>
      </c>
      <c r="G97" s="255">
        <f t="shared" si="36"/>
        <v>0</v>
      </c>
      <c r="H97" s="255">
        <f t="shared" si="36"/>
        <v>0</v>
      </c>
      <c r="I97" s="255">
        <f t="shared" si="36"/>
        <v>0</v>
      </c>
      <c r="J97" s="255">
        <f t="shared" si="36"/>
        <v>0</v>
      </c>
      <c r="K97" s="255">
        <f t="shared" si="36"/>
        <v>0</v>
      </c>
      <c r="L97" s="255">
        <f t="shared" si="36"/>
        <v>0</v>
      </c>
      <c r="M97" s="255">
        <f t="shared" si="36"/>
        <v>0</v>
      </c>
      <c r="N97" s="255">
        <f t="shared" si="36"/>
        <v>0</v>
      </c>
      <c r="O97" s="255">
        <f t="shared" si="36"/>
        <v>0</v>
      </c>
      <c r="P97" s="255">
        <f t="shared" si="36"/>
        <v>0</v>
      </c>
      <c r="Q97" s="255">
        <f t="shared" si="36"/>
        <v>0</v>
      </c>
      <c r="R97" s="47"/>
      <c r="U97" s="45"/>
      <c r="V97" s="45"/>
      <c r="W97" s="40"/>
    </row>
    <row r="98" spans="1:26" ht="13.7" collapsed="1">
      <c r="A98" s="256"/>
      <c r="B98" s="256"/>
      <c r="C98" s="254" t="s">
        <v>231</v>
      </c>
      <c r="D98" s="255"/>
      <c r="E98" s="255">
        <f>SUM(E99:E101)</f>
        <v>0</v>
      </c>
      <c r="F98" s="255">
        <f t="shared" ref="F98:Q98" si="37">SUM(F99:F101)</f>
        <v>0</v>
      </c>
      <c r="G98" s="255">
        <f t="shared" si="37"/>
        <v>0</v>
      </c>
      <c r="H98" s="255">
        <f t="shared" si="37"/>
        <v>0</v>
      </c>
      <c r="I98" s="255">
        <f t="shared" si="37"/>
        <v>0</v>
      </c>
      <c r="J98" s="255">
        <f t="shared" si="37"/>
        <v>0</v>
      </c>
      <c r="K98" s="255">
        <f t="shared" ca="1" si="37"/>
        <v>0</v>
      </c>
      <c r="L98" s="255">
        <f t="shared" ca="1" si="37"/>
        <v>0</v>
      </c>
      <c r="M98" s="255">
        <f t="shared" ca="1" si="37"/>
        <v>0</v>
      </c>
      <c r="N98" s="255">
        <f t="shared" ca="1" si="37"/>
        <v>0</v>
      </c>
      <c r="O98" s="255">
        <f t="shared" ca="1" si="37"/>
        <v>0</v>
      </c>
      <c r="P98" s="255">
        <f t="shared" ca="1" si="37"/>
        <v>0</v>
      </c>
      <c r="Q98" s="255">
        <f t="shared" si="37"/>
        <v>0</v>
      </c>
      <c r="T98" s="44"/>
      <c r="U98" s="44"/>
      <c r="X98" s="41"/>
      <c r="Y98" s="41"/>
      <c r="Z98" s="40"/>
    </row>
    <row r="99" spans="1:26" ht="13.7" hidden="1" outlineLevel="1">
      <c r="A99" s="256"/>
      <c r="B99" s="256"/>
      <c r="C99" s="254"/>
      <c r="D99" s="340" t="s">
        <v>1094</v>
      </c>
      <c r="E99" s="340">
        <f>IFERROR(E$6*'Historical BU2'!D63,0)*Currency_conversion_BU2</f>
        <v>0</v>
      </c>
      <c r="F99" s="340">
        <f>IFERROR(F$6*'Historical BU2'!E63,0)*Currency_conversion_BU2</f>
        <v>0</v>
      </c>
      <c r="G99" s="340">
        <f>IFERROR(G$6*'Historical BU2'!F63,0)*Currency_conversion_BU2</f>
        <v>0</v>
      </c>
      <c r="H99" s="340">
        <f>IFERROR(H$6*'Historical BU2'!G63,0)*Currency_conversion_BU2</f>
        <v>0</v>
      </c>
      <c r="I99" s="340">
        <f>IFERROR(I$6*'Historical BU2'!H63,0)*Currency_conversion_BU2</f>
        <v>0</v>
      </c>
      <c r="J99" s="340">
        <f>IFERROR(J$6*'Historical BU2'!I63,0)*Currency_conversion_BU2</f>
        <v>0</v>
      </c>
      <c r="K99" s="340">
        <f>IFERROR(K$6*'Historical BU2'!J63,0)*Currency_conversion_BU2</f>
        <v>0</v>
      </c>
      <c r="L99" s="340">
        <f>IFERROR(L$6*'Historical BU2'!K63,0)*Currency_conversion_BU2</f>
        <v>0</v>
      </c>
      <c r="M99" s="340">
        <f>IFERROR(M$6*'Historical BU2'!L63,0)*Currency_conversion_BU2</f>
        <v>0</v>
      </c>
      <c r="N99" s="340">
        <f>IFERROR(N$6*'Historical BU2'!M63,0)*Currency_conversion_BU2</f>
        <v>0</v>
      </c>
      <c r="O99" s="340">
        <f>IFERROR(O$6*'Historical BU2'!N63,0)*Currency_conversion_BU2</f>
        <v>0</v>
      </c>
      <c r="P99" s="340">
        <f>IFERROR(P$6*'Historical BU2'!O63,0)*Currency_conversion_BU2</f>
        <v>0</v>
      </c>
      <c r="Q99" s="340">
        <f>IFERROR(Q$6*'Historical BU2'!P63,0)*Currency_conversion_BU2</f>
        <v>0</v>
      </c>
      <c r="X99" s="39"/>
      <c r="Y99" s="39"/>
      <c r="Z99" s="40"/>
    </row>
    <row r="100" spans="1:26" ht="13.7" hidden="1" outlineLevel="1">
      <c r="A100" s="256"/>
      <c r="B100" s="256"/>
      <c r="C100" s="254"/>
      <c r="D100" s="340" t="s">
        <v>1095</v>
      </c>
      <c r="E100" s="340">
        <f>+IFERROR(E$7*'Acquisition BS adjustments'!$C116,0)+IFERROR(E$8*'Acquisition BS adjustments'!$E116,0)</f>
        <v>0</v>
      </c>
      <c r="F100" s="340">
        <f>+IFERROR(F$7*'Acquisition BS adjustments'!$C116,0)+IFERROR(F$8*'Acquisition BS adjustments'!$E116,0)</f>
        <v>0</v>
      </c>
      <c r="G100" s="340">
        <f>+IFERROR(G$7*'Acquisition BS adjustments'!$C116,0)+IFERROR(G$8*'Acquisition BS adjustments'!$E116,0)</f>
        <v>0</v>
      </c>
      <c r="H100" s="340">
        <f>+IFERROR(H$7*'Acquisition BS adjustments'!$C116,0)+IFERROR(H$8*'Acquisition BS adjustments'!$E116,0)</f>
        <v>0</v>
      </c>
      <c r="I100" s="340">
        <f>+IFERROR(I$7*'Acquisition BS adjustments'!$C116,0)+IFERROR(I$8*'Acquisition BS adjustments'!$E116,0)</f>
        <v>0</v>
      </c>
      <c r="J100" s="340">
        <f>+IFERROR(J$7*'Acquisition BS adjustments'!$C116,0)+IFERROR(J$8*'Acquisition BS adjustments'!$E116,0)</f>
        <v>0</v>
      </c>
      <c r="K100" s="340">
        <f>+IFERROR(K$7*'Acquisition BS adjustments'!$C116,0)+IFERROR(K$8*'Acquisition BS adjustments'!$E116,0)</f>
        <v>0</v>
      </c>
      <c r="L100" s="340">
        <f>+IFERROR(L$7*'Acquisition BS adjustments'!$C116,0)+IFERROR(L$8*'Acquisition BS adjustments'!$E116,0)</f>
        <v>0</v>
      </c>
      <c r="M100" s="340">
        <f>+IFERROR(M$7*'Acquisition BS adjustments'!$C116,0)+IFERROR(M$8*'Acquisition BS adjustments'!$E116,0)</f>
        <v>0</v>
      </c>
      <c r="N100" s="340">
        <f>+IFERROR(N$7*'Acquisition BS adjustments'!$C116,0)+IFERROR(N$8*'Acquisition BS adjustments'!$E116,0)</f>
        <v>0</v>
      </c>
      <c r="O100" s="340">
        <f>+IFERROR(O$7*'Acquisition BS adjustments'!$C116,0)+IFERROR(O$8*'Acquisition BS adjustments'!$E116,0)</f>
        <v>0</v>
      </c>
      <c r="P100" s="340">
        <f>+IFERROR(P$7*'Acquisition BS adjustments'!$C116,0)+IFERROR(P$8*'Acquisition BS adjustments'!$E116,0)</f>
        <v>0</v>
      </c>
      <c r="Q100" s="340">
        <f>+IFERROR(Q$7*'Acquisition BS adjustments'!$C116,0)+IFERROR(Q$8*'Acquisition BS adjustments'!$E116,0)</f>
        <v>0</v>
      </c>
      <c r="X100" s="39"/>
      <c r="Y100" s="39"/>
      <c r="Z100" s="40"/>
    </row>
    <row r="101" spans="1:26" ht="13.7" hidden="1" outlineLevel="1">
      <c r="A101" s="256"/>
      <c r="B101" s="256"/>
      <c r="C101" s="254"/>
      <c r="D101" s="340" t="s">
        <v>1096</v>
      </c>
      <c r="E101" s="340">
        <f>+IFERROR(E9*INDEX('Financial Quarterly onshore'!80:80,MATCH('BS onshore'!E$5,'Financial Quarterly onshore'!4:4,0)),0)</f>
        <v>0</v>
      </c>
      <c r="F101" s="340">
        <f>+IFERROR(F9*INDEX('Financial Quarterly onshore'!80:80,MATCH('BS onshore'!F$5,'Financial Quarterly onshore'!4:4,0)),0)</f>
        <v>0</v>
      </c>
      <c r="G101" s="340">
        <f>+IFERROR(G9*INDEX('Financial Quarterly onshore'!80:80,MATCH('BS onshore'!G$5,'Financial Quarterly onshore'!4:4,0)),0)</f>
        <v>0</v>
      </c>
      <c r="H101" s="340">
        <f>+IFERROR(H9*INDEX('Financial Quarterly onshore'!80:80,MATCH('BS onshore'!H$5,'Financial Quarterly onshore'!4:4,0)),0)</f>
        <v>0</v>
      </c>
      <c r="I101" s="340">
        <f>+IFERROR(I9*INDEX('Financial Quarterly onshore'!80:80,MATCH('BS onshore'!I$5,'Financial Quarterly onshore'!4:4,0)),0)</f>
        <v>0</v>
      </c>
      <c r="J101" s="340">
        <f>+IFERROR(J9*INDEX('Financial Quarterly onshore'!80:80,MATCH('BS onshore'!J$5,'Financial Quarterly onshore'!4:4,0)),0)</f>
        <v>0</v>
      </c>
      <c r="K101" s="340">
        <f ca="1">+IFERROR(K9*INDEX('Financial Quarterly onshore'!80:80,MATCH('BS onshore'!K$5,'Financial Quarterly onshore'!4:4,0)),0)</f>
        <v>0</v>
      </c>
      <c r="L101" s="340">
        <f ca="1">+IFERROR(L9*INDEX('Financial Quarterly onshore'!80:80,MATCH('BS onshore'!L$5,'Financial Quarterly onshore'!4:4,0)),0)</f>
        <v>0</v>
      </c>
      <c r="M101" s="340">
        <f ca="1">+IFERROR(M9*INDEX('Financial Quarterly onshore'!80:80,MATCH('BS onshore'!M$5,'Financial Quarterly onshore'!4:4,0)),0)</f>
        <v>0</v>
      </c>
      <c r="N101" s="340">
        <f ca="1">+IFERROR(N9*INDEX('Financial Quarterly onshore'!80:80,MATCH('BS onshore'!N$5,'Financial Quarterly onshore'!4:4,0)),0)</f>
        <v>0</v>
      </c>
      <c r="O101" s="340">
        <f ca="1">+IFERROR(O9*INDEX('Financial Quarterly onshore'!80:80,MATCH('BS onshore'!O$5,'Financial Quarterly onshore'!4:4,0)),0)</f>
        <v>0</v>
      </c>
      <c r="P101" s="340">
        <f ca="1">+IFERROR(P9*INDEX('Financial Quarterly onshore'!80:80,MATCH('BS onshore'!P$5,'Financial Quarterly onshore'!4:4,0)),0)</f>
        <v>0</v>
      </c>
      <c r="Q101" s="340">
        <f>+IFERROR(Q9*INDEX('Financial Quarterly onshore'!80:80,MATCH('BS onshore'!Q$5,'Financial Quarterly onshore'!4:4,0)),0)</f>
        <v>0</v>
      </c>
      <c r="X101" s="39"/>
      <c r="Y101" s="39"/>
      <c r="Z101" s="40"/>
    </row>
    <row r="102" spans="1:26" ht="13.7" collapsed="1">
      <c r="A102" s="256"/>
      <c r="B102" s="256"/>
      <c r="C102" s="257" t="s">
        <v>232</v>
      </c>
      <c r="D102" s="255"/>
      <c r="E102" s="255">
        <f>SUM(E103:E104)</f>
        <v>0</v>
      </c>
      <c r="F102" s="255">
        <f t="shared" ref="F102:Q102" si="38">SUM(F103:F104)</f>
        <v>0</v>
      </c>
      <c r="G102" s="255">
        <f t="shared" si="38"/>
        <v>0</v>
      </c>
      <c r="H102" s="255">
        <f t="shared" si="38"/>
        <v>0</v>
      </c>
      <c r="I102" s="255">
        <f t="shared" si="38"/>
        <v>0</v>
      </c>
      <c r="J102" s="255">
        <f t="shared" si="38"/>
        <v>0</v>
      </c>
      <c r="K102" s="255">
        <f t="shared" si="38"/>
        <v>0</v>
      </c>
      <c r="L102" s="255">
        <f t="shared" si="38"/>
        <v>0</v>
      </c>
      <c r="M102" s="255">
        <f t="shared" si="38"/>
        <v>0</v>
      </c>
      <c r="N102" s="255">
        <f t="shared" si="38"/>
        <v>0</v>
      </c>
      <c r="O102" s="255">
        <f t="shared" si="38"/>
        <v>0</v>
      </c>
      <c r="P102" s="255">
        <f t="shared" si="38"/>
        <v>0</v>
      </c>
      <c r="Q102" s="255">
        <f t="shared" si="38"/>
        <v>0</v>
      </c>
      <c r="T102" s="44"/>
      <c r="U102" s="44"/>
      <c r="X102" s="40"/>
      <c r="Y102" s="40"/>
    </row>
    <row r="103" spans="1:26" ht="13.7" hidden="1" outlineLevel="1">
      <c r="A103" s="256"/>
      <c r="B103" s="256"/>
      <c r="C103" s="254"/>
      <c r="D103" s="340" t="s">
        <v>1094</v>
      </c>
      <c r="E103" s="340">
        <f>IFERROR(E$6*'Historical BU2'!D64,0)*Currency_conversion_BU2</f>
        <v>0</v>
      </c>
      <c r="F103" s="340">
        <f>IFERROR(F$6*'Historical BU2'!E64,0)*Currency_conversion_BU2</f>
        <v>0</v>
      </c>
      <c r="G103" s="340">
        <f>IFERROR(G$6*'Historical BU2'!F64,0)*Currency_conversion_BU2</f>
        <v>0</v>
      </c>
      <c r="H103" s="340">
        <f>IFERROR(H$6*'Historical BU2'!G64,0)*Currency_conversion_BU2</f>
        <v>0</v>
      </c>
      <c r="I103" s="340">
        <f>IFERROR(I$6*'Historical BU2'!H64,0)*Currency_conversion_BU2</f>
        <v>0</v>
      </c>
      <c r="J103" s="340">
        <f>IFERROR(J$6*'Historical BU2'!I64,0)*Currency_conversion_BU2</f>
        <v>0</v>
      </c>
      <c r="K103" s="340">
        <f>IFERROR(K$6*'Historical BU2'!J64,0)*Currency_conversion_BU2</f>
        <v>0</v>
      </c>
      <c r="L103" s="340">
        <f>IFERROR(L$6*'Historical BU2'!K64,0)*Currency_conversion_BU2</f>
        <v>0</v>
      </c>
      <c r="M103" s="340">
        <f>IFERROR(M$6*'Historical BU2'!L64,0)*Currency_conversion_BU2</f>
        <v>0</v>
      </c>
      <c r="N103" s="340">
        <f>IFERROR(N$6*'Historical BU2'!M64,0)*Currency_conversion_BU2</f>
        <v>0</v>
      </c>
      <c r="O103" s="340">
        <f>IFERROR(O$6*'Historical BU2'!N64,0)*Currency_conversion_BU2</f>
        <v>0</v>
      </c>
      <c r="P103" s="340">
        <f>IFERROR(P$6*'Historical BU2'!O64,0)*Currency_conversion_BU2</f>
        <v>0</v>
      </c>
      <c r="Q103" s="340">
        <f>IFERROR(Q$6*'Historical BU2'!P64,0)*Currency_conversion_BU2</f>
        <v>0</v>
      </c>
      <c r="X103" s="39"/>
      <c r="Y103" s="39"/>
      <c r="Z103" s="40"/>
    </row>
    <row r="104" spans="1:26" ht="13.7" hidden="1" outlineLevel="1">
      <c r="A104" s="256"/>
      <c r="B104" s="256"/>
      <c r="C104" s="254"/>
      <c r="D104" s="340" t="s">
        <v>1095</v>
      </c>
      <c r="E104" s="340">
        <f>+IFERROR(E$7*'Acquisition BS adjustments'!$C117,0)+IFERROR(E$8*'Acquisition BS adjustments'!$E117,0)</f>
        <v>0</v>
      </c>
      <c r="F104" s="340">
        <f>+IFERROR(F$7*'Acquisition BS adjustments'!$C117,0)+IFERROR(F$8*'Acquisition BS adjustments'!$E117,0)</f>
        <v>0</v>
      </c>
      <c r="G104" s="340">
        <f>+IFERROR(G$7*'Acquisition BS adjustments'!$C117,0)+IFERROR(G$8*'Acquisition BS adjustments'!$E117,0)</f>
        <v>0</v>
      </c>
      <c r="H104" s="340">
        <f>+IFERROR(H$7*'Acquisition BS adjustments'!$C117,0)+IFERROR(H$8*'Acquisition BS adjustments'!$E117,0)</f>
        <v>0</v>
      </c>
      <c r="I104" s="340">
        <f>+IFERROR(I$7*'Acquisition BS adjustments'!$C117,0)+IFERROR(I$8*'Acquisition BS adjustments'!$E117,0)</f>
        <v>0</v>
      </c>
      <c r="J104" s="340">
        <f>+IFERROR(J$7*'Acquisition BS adjustments'!$C117,0)+IFERROR(J$8*'Acquisition BS adjustments'!$E117,0)</f>
        <v>0</v>
      </c>
      <c r="K104" s="340">
        <f>+IFERROR(K$7*'Acquisition BS adjustments'!$C117,0)+IFERROR(K$8*'Acquisition BS adjustments'!$E117,0)</f>
        <v>0</v>
      </c>
      <c r="L104" s="340">
        <f>+IFERROR(L$7*'Acquisition BS adjustments'!$C117,0)+IFERROR(L$8*'Acquisition BS adjustments'!$E117,0)</f>
        <v>0</v>
      </c>
      <c r="M104" s="340">
        <f>+IFERROR(M$7*'Acquisition BS adjustments'!$C117,0)+IFERROR(M$8*'Acquisition BS adjustments'!$E117,0)</f>
        <v>0</v>
      </c>
      <c r="N104" s="340">
        <f>+IFERROR(N$7*'Acquisition BS adjustments'!$C117,0)+IFERROR(N$8*'Acquisition BS adjustments'!$E117,0)</f>
        <v>0</v>
      </c>
      <c r="O104" s="340">
        <f>+IFERROR(O$7*'Acquisition BS adjustments'!$C117,0)+IFERROR(O$8*'Acquisition BS adjustments'!$E117,0)</f>
        <v>0</v>
      </c>
      <c r="P104" s="340">
        <f>+IFERROR(P$7*'Acquisition BS adjustments'!$C117,0)+IFERROR(P$8*'Acquisition BS adjustments'!$E117,0)</f>
        <v>0</v>
      </c>
      <c r="Q104" s="340">
        <f>+IFERROR(Q$7*'Acquisition BS adjustments'!$C117,0)+IFERROR(Q$8*'Acquisition BS adjustments'!$E117,0)</f>
        <v>0</v>
      </c>
      <c r="X104" s="39"/>
      <c r="Y104" s="39"/>
      <c r="Z104" s="40"/>
    </row>
    <row r="105" spans="1:26" ht="13.7" collapsed="1">
      <c r="C105" s="46"/>
      <c r="T105" s="44"/>
      <c r="U105" s="44"/>
      <c r="X105" s="40"/>
      <c r="Y105" s="40"/>
    </row>
    <row r="106" spans="1:26" ht="13.7">
      <c r="C106" s="181" t="s">
        <v>15</v>
      </c>
      <c r="D106" s="180"/>
      <c r="E106" s="180">
        <f>+E107+E111+E115+E119</f>
        <v>0</v>
      </c>
      <c r="F106" s="180">
        <f t="shared" ref="F106:Q106" si="39">+F107+F111+F115+F119</f>
        <v>0</v>
      </c>
      <c r="G106" s="180">
        <f t="shared" si="39"/>
        <v>0</v>
      </c>
      <c r="H106" s="180">
        <f t="shared" si="39"/>
        <v>0</v>
      </c>
      <c r="I106" s="180">
        <f t="shared" si="39"/>
        <v>0</v>
      </c>
      <c r="J106" s="180">
        <f t="shared" si="39"/>
        <v>0</v>
      </c>
      <c r="K106" s="180">
        <f t="shared" ca="1" si="39"/>
        <v>0</v>
      </c>
      <c r="L106" s="180">
        <f t="shared" ca="1" si="39"/>
        <v>0</v>
      </c>
      <c r="M106" s="180">
        <f t="shared" ca="1" si="39"/>
        <v>0</v>
      </c>
      <c r="N106" s="180">
        <f t="shared" ca="1" si="39"/>
        <v>0</v>
      </c>
      <c r="O106" s="180">
        <f t="shared" ca="1" si="39"/>
        <v>0</v>
      </c>
      <c r="P106" s="180">
        <f t="shared" ca="1" si="39"/>
        <v>0</v>
      </c>
      <c r="Q106" s="180">
        <f t="shared" si="39"/>
        <v>0</v>
      </c>
      <c r="T106" s="44"/>
      <c r="U106" s="44"/>
      <c r="X106" s="39"/>
      <c r="Y106" s="39"/>
      <c r="Z106" s="40"/>
    </row>
    <row r="107" spans="1:26" ht="13.7">
      <c r="C107" s="254" t="s">
        <v>234</v>
      </c>
      <c r="D107" s="255"/>
      <c r="E107" s="255">
        <f>SUM(E108:E110)</f>
        <v>0</v>
      </c>
      <c r="F107" s="255">
        <f t="shared" ref="F107:Q107" si="40">SUM(F108:F110)</f>
        <v>0</v>
      </c>
      <c r="G107" s="255">
        <f t="shared" si="40"/>
        <v>0</v>
      </c>
      <c r="H107" s="255">
        <f t="shared" si="40"/>
        <v>0</v>
      </c>
      <c r="I107" s="255">
        <f t="shared" si="40"/>
        <v>0</v>
      </c>
      <c r="J107" s="255">
        <f t="shared" si="40"/>
        <v>0</v>
      </c>
      <c r="K107" s="255">
        <f t="shared" si="40"/>
        <v>0</v>
      </c>
      <c r="L107" s="255">
        <f t="shared" si="40"/>
        <v>0</v>
      </c>
      <c r="M107" s="255">
        <f t="shared" si="40"/>
        <v>0</v>
      </c>
      <c r="N107" s="255">
        <f t="shared" si="40"/>
        <v>0</v>
      </c>
      <c r="O107" s="255">
        <f t="shared" si="40"/>
        <v>0</v>
      </c>
      <c r="P107" s="255">
        <f t="shared" si="40"/>
        <v>0</v>
      </c>
      <c r="Q107" s="255">
        <f t="shared" si="40"/>
        <v>0</v>
      </c>
      <c r="S107" s="44"/>
      <c r="T107" s="44"/>
      <c r="W107" s="39"/>
      <c r="X107" s="39"/>
      <c r="Y107" s="40"/>
    </row>
    <row r="108" spans="1:26" ht="13.7" hidden="1" outlineLevel="1">
      <c r="C108" s="254"/>
      <c r="D108" s="340" t="s">
        <v>1094</v>
      </c>
      <c r="E108" s="341">
        <f>IFERROR(E$6*'Historical BU2'!D66,0)*Currency_conversion_BU2</f>
        <v>0</v>
      </c>
      <c r="F108" s="341">
        <f>IFERROR(F$6*'Historical BU2'!E66,0)*Currency_conversion_BU2</f>
        <v>0</v>
      </c>
      <c r="G108" s="341">
        <f>IFERROR(G$6*'Historical BU2'!F66,0)*Currency_conversion_BU2</f>
        <v>0</v>
      </c>
      <c r="H108" s="341">
        <f>IFERROR(H$6*'Historical BU2'!G66,0)*Currency_conversion_BU2</f>
        <v>0</v>
      </c>
      <c r="I108" s="341">
        <f>IFERROR(I$6*'Historical BU2'!H66,0)*Currency_conversion_BU2</f>
        <v>0</v>
      </c>
      <c r="J108" s="341">
        <f>IFERROR(J$6*'Historical BU2'!I66,0)*Currency_conversion_BU2</f>
        <v>0</v>
      </c>
      <c r="K108" s="341">
        <f>IFERROR(K$6*'Historical BU2'!J66,0)*Currency_conversion_BU2</f>
        <v>0</v>
      </c>
      <c r="L108" s="341">
        <f>IFERROR(L$6*'Historical BU2'!K66,0)*Currency_conversion_BU2</f>
        <v>0</v>
      </c>
      <c r="M108" s="341">
        <f>IFERROR(M$6*'Historical BU2'!L66,0)*Currency_conversion_BU2</f>
        <v>0</v>
      </c>
      <c r="N108" s="341">
        <f>IFERROR(N$6*'Historical BU2'!M66,0)*Currency_conversion_BU2</f>
        <v>0</v>
      </c>
      <c r="O108" s="341">
        <f>IFERROR(O$6*'Historical BU2'!N66,0)*Currency_conversion_BU2</f>
        <v>0</v>
      </c>
      <c r="P108" s="341">
        <f>IFERROR(P$6*'Historical BU2'!O66,0)*Currency_conversion_BU2</f>
        <v>0</v>
      </c>
      <c r="Q108" s="341">
        <f>IFERROR(Q$6*'Historical BU2'!P66,0)*Currency_conversion_BU2</f>
        <v>0</v>
      </c>
      <c r="R108" s="47"/>
      <c r="U108" s="45"/>
      <c r="V108" s="45"/>
      <c r="W108" s="40"/>
    </row>
    <row r="109" spans="1:26" ht="13.7" hidden="1" outlineLevel="1">
      <c r="C109" s="254"/>
      <c r="D109" s="340" t="s">
        <v>1095</v>
      </c>
      <c r="E109" s="341">
        <f>+IFERROR(E$7*'Acquisition BS adjustments'!$C120,0)+IFERROR(E$8*'Acquisition BS adjustments'!$E120,0)</f>
        <v>0</v>
      </c>
      <c r="F109" s="341">
        <f>+IFERROR(F$7*'Acquisition BS adjustments'!$C120,0)+IFERROR(F$8*'Acquisition BS adjustments'!$E120,0)</f>
        <v>0</v>
      </c>
      <c r="G109" s="341">
        <f>+IFERROR(G$7*'Acquisition BS adjustments'!$C120,0)+IFERROR(G$8*'Acquisition BS adjustments'!$E120,0)</f>
        <v>0</v>
      </c>
      <c r="H109" s="341">
        <f>+IFERROR(H$7*'Acquisition BS adjustments'!$C120,0)+IFERROR(H$8*'Acquisition BS adjustments'!$E120,0)</f>
        <v>0</v>
      </c>
      <c r="I109" s="341">
        <f>+IFERROR(I$7*'Acquisition BS adjustments'!$C120,0)+IFERROR(I$8*'Acquisition BS adjustments'!$E120,0)</f>
        <v>0</v>
      </c>
      <c r="J109" s="341">
        <f>+IFERROR(J$7*'Acquisition BS adjustments'!$C120,0)+IFERROR(J$8*'Acquisition BS adjustments'!$E120,0)</f>
        <v>0</v>
      </c>
      <c r="K109" s="341">
        <f>+IFERROR(K$7*'Acquisition BS adjustments'!$C120,0)+IFERROR(K$8*'Acquisition BS adjustments'!$E120,0)</f>
        <v>0</v>
      </c>
      <c r="L109" s="341">
        <f>+IFERROR(L$7*'Acquisition BS adjustments'!$C120,0)+IFERROR(L$8*'Acquisition BS adjustments'!$E120,0)</f>
        <v>0</v>
      </c>
      <c r="M109" s="341">
        <f>+IFERROR(M$7*'Acquisition BS adjustments'!$C120,0)+IFERROR(M$8*'Acquisition BS adjustments'!$E120,0)</f>
        <v>0</v>
      </c>
      <c r="N109" s="341">
        <f>+IFERROR(N$7*'Acquisition BS adjustments'!$C120,0)+IFERROR(N$8*'Acquisition BS adjustments'!$E120,0)</f>
        <v>0</v>
      </c>
      <c r="O109" s="341">
        <f>+IFERROR(O$7*'Acquisition BS adjustments'!$C120,0)+IFERROR(O$8*'Acquisition BS adjustments'!$E120,0)</f>
        <v>0</v>
      </c>
      <c r="P109" s="341">
        <f>+IFERROR(P$7*'Acquisition BS adjustments'!$C120,0)+IFERROR(P$8*'Acquisition BS adjustments'!$E120,0)</f>
        <v>0</v>
      </c>
      <c r="Q109" s="341">
        <f>+IFERROR(Q$7*'Acquisition BS adjustments'!$C120,0)+IFERROR(Q$8*'Acquisition BS adjustments'!$E120,0)</f>
        <v>0</v>
      </c>
      <c r="R109" s="47"/>
      <c r="U109" s="45"/>
      <c r="V109" s="45"/>
      <c r="W109" s="40"/>
    </row>
    <row r="110" spans="1:26" ht="13.7" hidden="1" outlineLevel="1">
      <c r="C110" s="254"/>
      <c r="D110" s="339" t="s">
        <v>1097</v>
      </c>
      <c r="E110" s="255">
        <f t="shared" ref="E110:Q110" si="41">+IFERROR(D107*E9,0)</f>
        <v>0</v>
      </c>
      <c r="F110" s="255">
        <f t="shared" si="41"/>
        <v>0</v>
      </c>
      <c r="G110" s="255">
        <f t="shared" si="41"/>
        <v>0</v>
      </c>
      <c r="H110" s="255">
        <f t="shared" si="41"/>
        <v>0</v>
      </c>
      <c r="I110" s="255">
        <f t="shared" si="41"/>
        <v>0</v>
      </c>
      <c r="J110" s="255">
        <f t="shared" si="41"/>
        <v>0</v>
      </c>
      <c r="K110" s="255">
        <f t="shared" si="41"/>
        <v>0</v>
      </c>
      <c r="L110" s="255">
        <f t="shared" si="41"/>
        <v>0</v>
      </c>
      <c r="M110" s="255">
        <f t="shared" si="41"/>
        <v>0</v>
      </c>
      <c r="N110" s="255">
        <f t="shared" si="41"/>
        <v>0</v>
      </c>
      <c r="O110" s="255">
        <f t="shared" si="41"/>
        <v>0</v>
      </c>
      <c r="P110" s="255">
        <f t="shared" si="41"/>
        <v>0</v>
      </c>
      <c r="Q110" s="255">
        <f t="shared" si="41"/>
        <v>0</v>
      </c>
      <c r="R110" s="47"/>
      <c r="U110" s="45"/>
      <c r="V110" s="45"/>
      <c r="W110" s="40"/>
    </row>
    <row r="111" spans="1:26" ht="13.7" collapsed="1">
      <c r="C111" s="254" t="s">
        <v>852</v>
      </c>
      <c r="D111" s="255"/>
      <c r="E111" s="255">
        <f>SUM(E112:E114)</f>
        <v>0</v>
      </c>
      <c r="F111" s="255">
        <f t="shared" ref="F111:Q111" si="42">SUM(F112:F114)</f>
        <v>0</v>
      </c>
      <c r="G111" s="255">
        <f t="shared" si="42"/>
        <v>0</v>
      </c>
      <c r="H111" s="255">
        <f t="shared" si="42"/>
        <v>0</v>
      </c>
      <c r="I111" s="255">
        <f t="shared" si="42"/>
        <v>0</v>
      </c>
      <c r="J111" s="255">
        <f t="shared" si="42"/>
        <v>0</v>
      </c>
      <c r="K111" s="255">
        <f t="shared" ca="1" si="42"/>
        <v>0</v>
      </c>
      <c r="L111" s="255">
        <f t="shared" ca="1" si="42"/>
        <v>0</v>
      </c>
      <c r="M111" s="255">
        <f t="shared" ca="1" si="42"/>
        <v>0</v>
      </c>
      <c r="N111" s="255">
        <f t="shared" ca="1" si="42"/>
        <v>0</v>
      </c>
      <c r="O111" s="255">
        <f t="shared" ca="1" si="42"/>
        <v>0</v>
      </c>
      <c r="P111" s="255">
        <f t="shared" ca="1" si="42"/>
        <v>0</v>
      </c>
      <c r="Q111" s="255">
        <f t="shared" si="42"/>
        <v>0</v>
      </c>
      <c r="T111" s="44"/>
      <c r="U111" s="44"/>
      <c r="X111" s="39"/>
      <c r="Y111" s="39"/>
      <c r="Z111" s="40"/>
    </row>
    <row r="112" spans="1:26" ht="13.7" hidden="1" outlineLevel="1">
      <c r="A112" s="256"/>
      <c r="B112" s="256"/>
      <c r="C112" s="254"/>
      <c r="D112" s="340" t="s">
        <v>1094</v>
      </c>
      <c r="E112" s="340">
        <f>IFERROR(E$6*'Historical BU2'!D67,0)*Currency_conversion_BU2</f>
        <v>0</v>
      </c>
      <c r="F112" s="340">
        <f>IFERROR(F$6*'Historical BU2'!E67,0)*Currency_conversion_BU2</f>
        <v>0</v>
      </c>
      <c r="G112" s="340">
        <f>IFERROR(G$6*'Historical BU2'!F67,0)*Currency_conversion_BU2</f>
        <v>0</v>
      </c>
      <c r="H112" s="340">
        <f>IFERROR(H$6*'Historical BU2'!G67,0)*Currency_conversion_BU2</f>
        <v>0</v>
      </c>
      <c r="I112" s="340">
        <f>IFERROR(I$6*'Historical BU2'!H67,0)*Currency_conversion_BU2</f>
        <v>0</v>
      </c>
      <c r="J112" s="340">
        <f>IFERROR(J$6*'Historical BU2'!I67,0)*Currency_conversion_BU2</f>
        <v>0</v>
      </c>
      <c r="K112" s="340">
        <f>IFERROR(K$6*'Historical BU2'!J67,0)*Currency_conversion_BU2</f>
        <v>0</v>
      </c>
      <c r="L112" s="340">
        <f>IFERROR(L$6*'Historical BU2'!K67,0)*Currency_conversion_BU2</f>
        <v>0</v>
      </c>
      <c r="M112" s="340">
        <f>IFERROR(M$6*'Historical BU2'!L67,0)*Currency_conversion_BU2</f>
        <v>0</v>
      </c>
      <c r="N112" s="340">
        <f>IFERROR(N$6*'Historical BU2'!M67,0)*Currency_conversion_BU2</f>
        <v>0</v>
      </c>
      <c r="O112" s="340">
        <f>IFERROR(O$6*'Historical BU2'!N67,0)*Currency_conversion_BU2</f>
        <v>0</v>
      </c>
      <c r="P112" s="340">
        <f>IFERROR(P$6*'Historical BU2'!O67,0)*Currency_conversion_BU2</f>
        <v>0</v>
      </c>
      <c r="Q112" s="340">
        <f>IFERROR(Q$6*'Historical BU2'!P67,0)*Currency_conversion_BU2</f>
        <v>0</v>
      </c>
      <c r="X112" s="39"/>
      <c r="Y112" s="39"/>
      <c r="Z112" s="40"/>
    </row>
    <row r="113" spans="1:26" ht="13.7" hidden="1" outlineLevel="1">
      <c r="A113" s="256"/>
      <c r="B113" s="256"/>
      <c r="C113" s="254"/>
      <c r="D113" s="340" t="s">
        <v>1095</v>
      </c>
      <c r="E113" s="340">
        <f>+IFERROR(E$7*'Acquisition BS adjustments'!$E121,0)+IFERROR(E$8*'Acquisition BS adjustments'!$E121,0)</f>
        <v>0</v>
      </c>
      <c r="F113" s="340">
        <f>+IFERROR(F$7*'Acquisition BS adjustments'!$E121,0)+IFERROR(F$8*'Acquisition BS adjustments'!$E121,0)</f>
        <v>0</v>
      </c>
      <c r="G113" s="340">
        <f>+IFERROR(G$7*'Acquisition BS adjustments'!$E121,0)+IFERROR(G$8*'Acquisition BS adjustments'!$E121,0)</f>
        <v>0</v>
      </c>
      <c r="H113" s="340">
        <f>+IFERROR(H$7*'Acquisition BS adjustments'!$E121,0)+IFERROR(H$8*'Acquisition BS adjustments'!$E121,0)</f>
        <v>0</v>
      </c>
      <c r="I113" s="340">
        <f>+IFERROR(I$7*'Acquisition BS adjustments'!$E121,0)+IFERROR(I$8*'Acquisition BS adjustments'!$E121,0)</f>
        <v>0</v>
      </c>
      <c r="J113" s="340">
        <f>+IFERROR(J$7*'Acquisition BS adjustments'!$E121,0)+IFERROR(J$8*'Acquisition BS adjustments'!$E121,0)</f>
        <v>0</v>
      </c>
      <c r="K113" s="340">
        <f>+IFERROR(K$7*'Acquisition BS adjustments'!$E121,0)+IFERROR(K$8*'Acquisition BS adjustments'!$E121,0)</f>
        <v>0</v>
      </c>
      <c r="L113" s="340">
        <f>+IFERROR(L$7*'Acquisition BS adjustments'!$E121,0)+IFERROR(L$8*'Acquisition BS adjustments'!$E121,0)</f>
        <v>0</v>
      </c>
      <c r="M113" s="340">
        <f>+IFERROR(M$7*'Acquisition BS adjustments'!$E121,0)+IFERROR(M$8*'Acquisition BS adjustments'!$E121,0)</f>
        <v>0</v>
      </c>
      <c r="N113" s="340">
        <f>+IFERROR(N$7*'Acquisition BS adjustments'!$E121,0)+IFERROR(N$8*'Acquisition BS adjustments'!$E121,0)</f>
        <v>0</v>
      </c>
      <c r="O113" s="340">
        <f>+IFERROR(O$7*'Acquisition BS adjustments'!$E121,0)+IFERROR(O$8*'Acquisition BS adjustments'!$E121,0)</f>
        <v>0</v>
      </c>
      <c r="P113" s="340">
        <f>+IFERROR(P$7*'Acquisition BS adjustments'!$E121,0)+IFERROR(P$8*'Acquisition BS adjustments'!$E121,0)</f>
        <v>0</v>
      </c>
      <c r="Q113" s="340">
        <f>+IFERROR(Q$7*'Acquisition BS adjustments'!$E121,0)+IFERROR(Q$8*'Acquisition BS adjustments'!$E121,0)</f>
        <v>0</v>
      </c>
      <c r="X113" s="39"/>
      <c r="Y113" s="39"/>
      <c r="Z113" s="40"/>
    </row>
    <row r="114" spans="1:26" ht="13.7" hidden="1" outlineLevel="1">
      <c r="A114" s="256"/>
      <c r="B114" s="256"/>
      <c r="C114" s="254"/>
      <c r="D114" s="340" t="s">
        <v>1096</v>
      </c>
      <c r="E114" s="340">
        <f>+IFERROR(E9*INDEX('Financial Quarterly onshore'!105:105,MATCH('BS onshore'!E$5,'Financial Quarterly onshore'!4:4,0)),0)</f>
        <v>0</v>
      </c>
      <c r="F114" s="340">
        <f>+IFERROR(F9*INDEX('Financial Quarterly onshore'!105:105,MATCH('BS onshore'!F$5,'Financial Quarterly onshore'!4:4,0)),0)</f>
        <v>0</v>
      </c>
      <c r="G114" s="340">
        <f>+IFERROR(G9*INDEX('Financial Quarterly onshore'!105:105,MATCH('BS onshore'!G$5,'Financial Quarterly onshore'!4:4,0)),0)</f>
        <v>0</v>
      </c>
      <c r="H114" s="340">
        <f>+IFERROR(H9*INDEX('Financial Quarterly onshore'!105:105,MATCH('BS onshore'!H$5,'Financial Quarterly onshore'!4:4,0)),0)</f>
        <v>0</v>
      </c>
      <c r="I114" s="340">
        <f>+IFERROR(I9*INDEX('Financial Quarterly onshore'!105:105,MATCH('BS onshore'!I$5,'Financial Quarterly onshore'!4:4,0)),0)</f>
        <v>0</v>
      </c>
      <c r="J114" s="340">
        <f>+IFERROR(J9*INDEX('Financial Quarterly onshore'!105:105,MATCH('BS onshore'!J$5,'Financial Quarterly onshore'!4:4,0)),0)</f>
        <v>0</v>
      </c>
      <c r="K114" s="340">
        <f ca="1">+IFERROR(K9*INDEX('Financial Quarterly onshore'!105:105,MATCH('BS onshore'!K$5,'Financial Quarterly onshore'!4:4,0)),0)</f>
        <v>0</v>
      </c>
      <c r="L114" s="340">
        <f ca="1">+IFERROR(L9*INDEX('Financial Quarterly onshore'!105:105,MATCH('BS onshore'!L$5,'Financial Quarterly onshore'!4:4,0)),0)</f>
        <v>0</v>
      </c>
      <c r="M114" s="340">
        <f ca="1">+IFERROR(M9*INDEX('Financial Quarterly onshore'!105:105,MATCH('BS onshore'!M$5,'Financial Quarterly onshore'!4:4,0)),0)</f>
        <v>0</v>
      </c>
      <c r="N114" s="340">
        <f ca="1">+IFERROR(N9*INDEX('Financial Quarterly onshore'!105:105,MATCH('BS onshore'!N$5,'Financial Quarterly onshore'!4:4,0)),0)</f>
        <v>0</v>
      </c>
      <c r="O114" s="340">
        <f ca="1">+IFERROR(O9*INDEX('Financial Quarterly onshore'!105:105,MATCH('BS onshore'!O$5,'Financial Quarterly onshore'!4:4,0)),0)</f>
        <v>0</v>
      </c>
      <c r="P114" s="340">
        <f ca="1">+IFERROR(P9*INDEX('Financial Quarterly onshore'!105:105,MATCH('BS onshore'!P$5,'Financial Quarterly onshore'!4:4,0)),0)</f>
        <v>0</v>
      </c>
      <c r="Q114" s="340">
        <f>+IFERROR(Q9*INDEX('Financial Quarterly onshore'!105:105,MATCH('BS onshore'!Q$5,'Financial Quarterly onshore'!4:4,0)),0)</f>
        <v>0</v>
      </c>
      <c r="X114" s="39"/>
      <c r="Y114" s="39"/>
      <c r="Z114" s="40"/>
    </row>
    <row r="115" spans="1:26" ht="13.7" collapsed="1">
      <c r="C115" s="254" t="s">
        <v>237</v>
      </c>
      <c r="D115" s="255"/>
      <c r="E115" s="255">
        <f>SUM(E116:E118)</f>
        <v>0</v>
      </c>
      <c r="F115" s="255">
        <f t="shared" ref="F115:Q115" si="43">SUM(F116:F118)</f>
        <v>0</v>
      </c>
      <c r="G115" s="255">
        <f t="shared" si="43"/>
        <v>0</v>
      </c>
      <c r="H115" s="255">
        <f t="shared" si="43"/>
        <v>0</v>
      </c>
      <c r="I115" s="255">
        <f t="shared" si="43"/>
        <v>0</v>
      </c>
      <c r="J115" s="255">
        <f t="shared" si="43"/>
        <v>0</v>
      </c>
      <c r="K115" s="255">
        <f t="shared" si="43"/>
        <v>0</v>
      </c>
      <c r="L115" s="255">
        <f t="shared" si="43"/>
        <v>0</v>
      </c>
      <c r="M115" s="255">
        <f t="shared" si="43"/>
        <v>0</v>
      </c>
      <c r="N115" s="255">
        <f t="shared" si="43"/>
        <v>0</v>
      </c>
      <c r="O115" s="255">
        <f t="shared" si="43"/>
        <v>0</v>
      </c>
      <c r="P115" s="255">
        <f t="shared" si="43"/>
        <v>0</v>
      </c>
      <c r="Q115" s="255">
        <f t="shared" si="43"/>
        <v>0</v>
      </c>
      <c r="T115" s="44"/>
      <c r="U115" s="44"/>
      <c r="X115" s="45"/>
      <c r="Y115" s="45"/>
      <c r="Z115" s="40"/>
    </row>
    <row r="116" spans="1:26" ht="13.7" hidden="1" outlineLevel="1">
      <c r="C116" s="254"/>
      <c r="D116" s="340" t="s">
        <v>1094</v>
      </c>
      <c r="E116" s="341">
        <f>IFERROR(E$6*'Historical BU2'!D69,0)*Currency_conversion_BU2</f>
        <v>0</v>
      </c>
      <c r="F116" s="341">
        <f>IFERROR(F$6*'Historical BU2'!E69,0)*Currency_conversion_BU2</f>
        <v>0</v>
      </c>
      <c r="G116" s="341">
        <f>IFERROR(G$6*'Historical BU2'!F69,0)*Currency_conversion_BU2</f>
        <v>0</v>
      </c>
      <c r="H116" s="341">
        <f>IFERROR(H$6*'Historical BU2'!G69,0)*Currency_conversion_BU2</f>
        <v>0</v>
      </c>
      <c r="I116" s="341">
        <f>IFERROR(I$6*'Historical BU2'!H69,0)*Currency_conversion_BU2</f>
        <v>0</v>
      </c>
      <c r="J116" s="341">
        <f>IFERROR(J$6*'Historical BU2'!I69,0)*Currency_conversion_BU2</f>
        <v>0</v>
      </c>
      <c r="K116" s="341">
        <f>IFERROR(K$6*'Historical BU2'!J69,0)*Currency_conversion_BU2</f>
        <v>0</v>
      </c>
      <c r="L116" s="341">
        <f>IFERROR(L$6*'Historical BU2'!K69,0)*Currency_conversion_BU2</f>
        <v>0</v>
      </c>
      <c r="M116" s="341">
        <f>IFERROR(M$6*'Historical BU2'!L69,0)*Currency_conversion_BU2</f>
        <v>0</v>
      </c>
      <c r="N116" s="341">
        <f>IFERROR(N$6*'Historical BU2'!M69,0)*Currency_conversion_BU2</f>
        <v>0</v>
      </c>
      <c r="O116" s="341">
        <f>IFERROR(O$6*'Historical BU2'!N69,0)*Currency_conversion_BU2</f>
        <v>0</v>
      </c>
      <c r="P116" s="341">
        <f>IFERROR(P$6*'Historical BU2'!O69,0)*Currency_conversion_BU2</f>
        <v>0</v>
      </c>
      <c r="Q116" s="341">
        <f>IFERROR(Q$6*'Historical BU2'!P69,0)*Currency_conversion_BU2</f>
        <v>0</v>
      </c>
      <c r="R116" s="47"/>
      <c r="U116" s="45"/>
      <c r="V116" s="45"/>
      <c r="W116" s="40"/>
    </row>
    <row r="117" spans="1:26" ht="13.7" hidden="1" outlineLevel="1">
      <c r="C117" s="254"/>
      <c r="D117" s="340" t="s">
        <v>1095</v>
      </c>
      <c r="E117" s="341">
        <f>+IFERROR(E$7*'Acquisition BS adjustments'!$C123,0)+IFERROR(E$8*'Acquisition BS adjustments'!$E123,0)</f>
        <v>0</v>
      </c>
      <c r="F117" s="341">
        <f>+IFERROR(F$7*'Acquisition BS adjustments'!$C123,0)+IFERROR(F$8*'Acquisition BS adjustments'!$E123,0)</f>
        <v>0</v>
      </c>
      <c r="G117" s="341">
        <f>+IFERROR(G$7*'Acquisition BS adjustments'!$C123,0)+IFERROR(G$8*'Acquisition BS adjustments'!$E123,0)</f>
        <v>0</v>
      </c>
      <c r="H117" s="341">
        <f>+IFERROR(H$7*'Acquisition BS adjustments'!$C123,0)+IFERROR(H$8*'Acquisition BS adjustments'!$E123,0)</f>
        <v>0</v>
      </c>
      <c r="I117" s="341">
        <f>+IFERROR(I$7*'Acquisition BS adjustments'!$C123,0)+IFERROR(I$8*'Acquisition BS adjustments'!$E123,0)</f>
        <v>0</v>
      </c>
      <c r="J117" s="341">
        <f>+IFERROR(J$7*'Acquisition BS adjustments'!$C123,0)+IFERROR(J$8*'Acquisition BS adjustments'!$E123,0)</f>
        <v>0</v>
      </c>
      <c r="K117" s="341">
        <f>+IFERROR(K$7*'Acquisition BS adjustments'!$C123,0)+IFERROR(K$8*'Acquisition BS adjustments'!$E123,0)</f>
        <v>0</v>
      </c>
      <c r="L117" s="341">
        <f>+IFERROR(L$7*'Acquisition BS adjustments'!$C123,0)+IFERROR(L$8*'Acquisition BS adjustments'!$E123,0)</f>
        <v>0</v>
      </c>
      <c r="M117" s="341">
        <f>+IFERROR(M$7*'Acquisition BS adjustments'!$C123,0)+IFERROR(M$8*'Acquisition BS adjustments'!$E123,0)</f>
        <v>0</v>
      </c>
      <c r="N117" s="341">
        <f>+IFERROR(N$7*'Acquisition BS adjustments'!$C123,0)+IFERROR(N$8*'Acquisition BS adjustments'!$E123,0)</f>
        <v>0</v>
      </c>
      <c r="O117" s="341">
        <f>+IFERROR(O$7*'Acquisition BS adjustments'!$C123,0)+IFERROR(O$8*'Acquisition BS adjustments'!$E123,0)</f>
        <v>0</v>
      </c>
      <c r="P117" s="341">
        <f>+IFERROR(P$7*'Acquisition BS adjustments'!$C123,0)+IFERROR(P$8*'Acquisition BS adjustments'!$E123,0)</f>
        <v>0</v>
      </c>
      <c r="Q117" s="341">
        <f>+IFERROR(Q$7*'Acquisition BS adjustments'!$C123,0)+IFERROR(Q$8*'Acquisition BS adjustments'!$E123,0)</f>
        <v>0</v>
      </c>
      <c r="R117" s="47"/>
      <c r="U117" s="45"/>
      <c r="V117" s="45"/>
      <c r="W117" s="40"/>
    </row>
    <row r="118" spans="1:26" ht="13.7" hidden="1" outlineLevel="1">
      <c r="C118" s="254"/>
      <c r="D118" s="339" t="s">
        <v>1097</v>
      </c>
      <c r="E118" s="255">
        <f t="shared" ref="E118:Q118" si="44">+IFERROR(D115*E9,0)</f>
        <v>0</v>
      </c>
      <c r="F118" s="255">
        <f t="shared" si="44"/>
        <v>0</v>
      </c>
      <c r="G118" s="255">
        <f t="shared" si="44"/>
        <v>0</v>
      </c>
      <c r="H118" s="255">
        <f t="shared" si="44"/>
        <v>0</v>
      </c>
      <c r="I118" s="255">
        <f t="shared" si="44"/>
        <v>0</v>
      </c>
      <c r="J118" s="255">
        <f t="shared" si="44"/>
        <v>0</v>
      </c>
      <c r="K118" s="255">
        <f t="shared" si="44"/>
        <v>0</v>
      </c>
      <c r="L118" s="255">
        <f t="shared" si="44"/>
        <v>0</v>
      </c>
      <c r="M118" s="255">
        <f t="shared" si="44"/>
        <v>0</v>
      </c>
      <c r="N118" s="255">
        <f t="shared" si="44"/>
        <v>0</v>
      </c>
      <c r="O118" s="255">
        <f t="shared" si="44"/>
        <v>0</v>
      </c>
      <c r="P118" s="255">
        <f t="shared" si="44"/>
        <v>0</v>
      </c>
      <c r="Q118" s="255">
        <f t="shared" si="44"/>
        <v>0</v>
      </c>
      <c r="R118" s="47"/>
      <c r="U118" s="45"/>
      <c r="V118" s="45"/>
      <c r="W118" s="40"/>
    </row>
    <row r="119" spans="1:26" ht="13.7" collapsed="1">
      <c r="C119" s="258" t="s">
        <v>238</v>
      </c>
      <c r="D119" s="255"/>
      <c r="E119" s="255">
        <f>SUM(E120:E122)</f>
        <v>0</v>
      </c>
      <c r="F119" s="255">
        <f t="shared" ref="F119:Q119" si="45">SUM(F120:F122)</f>
        <v>0</v>
      </c>
      <c r="G119" s="255">
        <f t="shared" si="45"/>
        <v>0</v>
      </c>
      <c r="H119" s="255">
        <f t="shared" si="45"/>
        <v>0</v>
      </c>
      <c r="I119" s="255">
        <f t="shared" si="45"/>
        <v>0</v>
      </c>
      <c r="J119" s="255">
        <f t="shared" si="45"/>
        <v>0</v>
      </c>
      <c r="K119" s="255">
        <f t="shared" si="45"/>
        <v>0</v>
      </c>
      <c r="L119" s="255">
        <f t="shared" si="45"/>
        <v>0</v>
      </c>
      <c r="M119" s="255">
        <f t="shared" si="45"/>
        <v>0</v>
      </c>
      <c r="N119" s="255">
        <f t="shared" si="45"/>
        <v>0</v>
      </c>
      <c r="O119" s="255">
        <f t="shared" si="45"/>
        <v>0</v>
      </c>
      <c r="P119" s="255">
        <f t="shared" si="45"/>
        <v>0</v>
      </c>
      <c r="Q119" s="255">
        <f t="shared" si="45"/>
        <v>0</v>
      </c>
      <c r="T119" s="44"/>
      <c r="U119" s="44"/>
      <c r="X119" s="45"/>
      <c r="Y119" s="45"/>
      <c r="Z119" s="40"/>
    </row>
    <row r="120" spans="1:26" ht="13.7" hidden="1" outlineLevel="1">
      <c r="C120" s="254"/>
      <c r="D120" s="340" t="s">
        <v>1094</v>
      </c>
      <c r="E120" s="341">
        <f>IFERROR(E$6*'Historical BU2'!D70,0)*Currency_conversion_BU2</f>
        <v>0</v>
      </c>
      <c r="F120" s="341">
        <f>IFERROR(F$6*'Historical BU2'!E70,0)*Currency_conversion_BU2</f>
        <v>0</v>
      </c>
      <c r="G120" s="341">
        <f>IFERROR(G$6*'Historical BU2'!F70,0)*Currency_conversion_BU2</f>
        <v>0</v>
      </c>
      <c r="H120" s="341">
        <f>IFERROR(H$6*'Historical BU2'!G70,0)*Currency_conversion_BU2</f>
        <v>0</v>
      </c>
      <c r="I120" s="341">
        <f>IFERROR(I$6*'Historical BU2'!H70,0)*Currency_conversion_BU2</f>
        <v>0</v>
      </c>
      <c r="J120" s="341">
        <f>IFERROR(J$6*'Historical BU2'!I70,0)*Currency_conversion_BU2</f>
        <v>0</v>
      </c>
      <c r="K120" s="341">
        <f>IFERROR(K$6*'Historical BU2'!J70,0)*Currency_conversion_BU2</f>
        <v>0</v>
      </c>
      <c r="L120" s="341">
        <f>IFERROR(L$6*'Historical BU2'!K70,0)*Currency_conversion_BU2</f>
        <v>0</v>
      </c>
      <c r="M120" s="341">
        <f>IFERROR(M$6*'Historical BU2'!L70,0)*Currency_conversion_BU2</f>
        <v>0</v>
      </c>
      <c r="N120" s="341">
        <f>IFERROR(N$6*'Historical BU2'!M70,0)*Currency_conversion_BU2</f>
        <v>0</v>
      </c>
      <c r="O120" s="341">
        <f>IFERROR(O$6*'Historical BU2'!N70,0)*Currency_conversion_BU2</f>
        <v>0</v>
      </c>
      <c r="P120" s="341">
        <f>IFERROR(P$6*'Historical BU2'!O70,0)*Currency_conversion_BU2</f>
        <v>0</v>
      </c>
      <c r="Q120" s="341">
        <f>IFERROR(Q$6*'Historical BU2'!P70,0)*Currency_conversion_BU2</f>
        <v>0</v>
      </c>
      <c r="R120" s="47"/>
      <c r="U120" s="45"/>
      <c r="V120" s="45"/>
      <c r="W120" s="40"/>
    </row>
    <row r="121" spans="1:26" ht="13.7" hidden="1" outlineLevel="1">
      <c r="C121" s="254"/>
      <c r="D121" s="340" t="s">
        <v>1095</v>
      </c>
      <c r="E121" s="341">
        <f>+IFERROR(E$7*'Acquisition BS adjustments'!$C124,0)+IFERROR(E$8*'Acquisition BS adjustments'!$E124,0)</f>
        <v>0</v>
      </c>
      <c r="F121" s="341">
        <f>+IFERROR(F$7*'Acquisition BS adjustments'!$C124,0)+IFERROR(F$8*'Acquisition BS adjustments'!$E124,0)</f>
        <v>0</v>
      </c>
      <c r="G121" s="341">
        <f>+IFERROR(G$7*'Acquisition BS adjustments'!$C124,0)+IFERROR(G$8*'Acquisition BS adjustments'!$E124,0)</f>
        <v>0</v>
      </c>
      <c r="H121" s="341">
        <f>+IFERROR(H$7*'Acquisition BS adjustments'!$C124,0)+IFERROR(H$8*'Acquisition BS adjustments'!$E124,0)</f>
        <v>0</v>
      </c>
      <c r="I121" s="341">
        <f>+IFERROR(I$7*'Acquisition BS adjustments'!$C124,0)+IFERROR(I$8*'Acquisition BS adjustments'!$E124,0)</f>
        <v>0</v>
      </c>
      <c r="J121" s="341">
        <f>+IFERROR(J$7*'Acquisition BS adjustments'!$C124,0)+IFERROR(J$8*'Acquisition BS adjustments'!$E124,0)</f>
        <v>0</v>
      </c>
      <c r="K121" s="341">
        <f>+IFERROR(K$7*'Acquisition BS adjustments'!$C124,0)+IFERROR(K$8*'Acquisition BS adjustments'!$E124,0)</f>
        <v>0</v>
      </c>
      <c r="L121" s="341">
        <f>+IFERROR(L$7*'Acquisition BS adjustments'!$C124,0)+IFERROR(L$8*'Acquisition BS adjustments'!$E124,0)</f>
        <v>0</v>
      </c>
      <c r="M121" s="341">
        <f>+IFERROR(M$7*'Acquisition BS adjustments'!$C124,0)+IFERROR(M$8*'Acquisition BS adjustments'!$E124,0)</f>
        <v>0</v>
      </c>
      <c r="N121" s="341">
        <f>+IFERROR(N$7*'Acquisition BS adjustments'!$C124,0)+IFERROR(N$8*'Acquisition BS adjustments'!$E124,0)</f>
        <v>0</v>
      </c>
      <c r="O121" s="341">
        <f>+IFERROR(O$7*'Acquisition BS adjustments'!$C124,0)+IFERROR(O$8*'Acquisition BS adjustments'!$E124,0)</f>
        <v>0</v>
      </c>
      <c r="P121" s="341">
        <f>+IFERROR(P$7*'Acquisition BS adjustments'!$C124,0)+IFERROR(P$8*'Acquisition BS adjustments'!$E124,0)</f>
        <v>0</v>
      </c>
      <c r="Q121" s="341">
        <f>+IFERROR(Q$7*'Acquisition BS adjustments'!$C124,0)+IFERROR(Q$8*'Acquisition BS adjustments'!$E124,0)</f>
        <v>0</v>
      </c>
      <c r="R121" s="47"/>
      <c r="U121" s="45"/>
      <c r="V121" s="45"/>
      <c r="W121" s="40"/>
    </row>
    <row r="122" spans="1:26" ht="13.7" hidden="1" outlineLevel="1">
      <c r="C122" s="254"/>
      <c r="D122" s="339" t="s">
        <v>1097</v>
      </c>
      <c r="E122" s="255">
        <f>+E$9*D119</f>
        <v>0</v>
      </c>
      <c r="F122" s="255">
        <f t="shared" ref="F122:Q122" si="46">+F$9*E119</f>
        <v>0</v>
      </c>
      <c r="G122" s="255">
        <f t="shared" si="46"/>
        <v>0</v>
      </c>
      <c r="H122" s="255">
        <f t="shared" si="46"/>
        <v>0</v>
      </c>
      <c r="I122" s="255">
        <f t="shared" si="46"/>
        <v>0</v>
      </c>
      <c r="J122" s="255">
        <f t="shared" si="46"/>
        <v>0</v>
      </c>
      <c r="K122" s="255">
        <f t="shared" si="46"/>
        <v>0</v>
      </c>
      <c r="L122" s="255">
        <f t="shared" si="46"/>
        <v>0</v>
      </c>
      <c r="M122" s="255">
        <f t="shared" si="46"/>
        <v>0</v>
      </c>
      <c r="N122" s="255">
        <f t="shared" si="46"/>
        <v>0</v>
      </c>
      <c r="O122" s="255">
        <f t="shared" si="46"/>
        <v>0</v>
      </c>
      <c r="P122" s="255">
        <f t="shared" si="46"/>
        <v>0</v>
      </c>
      <c r="Q122" s="255">
        <f t="shared" si="46"/>
        <v>0</v>
      </c>
      <c r="R122" s="47"/>
      <c r="U122" s="45"/>
      <c r="V122" s="45"/>
      <c r="W122" s="40"/>
    </row>
    <row r="123" spans="1:26" collapsed="1">
      <c r="C123" s="49"/>
      <c r="T123" s="44"/>
      <c r="U123" s="44"/>
      <c r="X123" s="41"/>
      <c r="Y123" s="41"/>
      <c r="Z123" s="40"/>
    </row>
    <row r="124" spans="1:26" ht="13.7">
      <c r="C124" s="192" t="s">
        <v>17</v>
      </c>
      <c r="D124" s="195"/>
      <c r="E124" s="195">
        <f>E73+E106</f>
        <v>0</v>
      </c>
      <c r="F124" s="195">
        <f t="shared" ref="F124:Q124" si="47">F73+F106</f>
        <v>0</v>
      </c>
      <c r="G124" s="195">
        <f t="shared" si="47"/>
        <v>0</v>
      </c>
      <c r="H124" s="195">
        <f t="shared" si="47"/>
        <v>0</v>
      </c>
      <c r="I124" s="195">
        <f t="shared" si="47"/>
        <v>0</v>
      </c>
      <c r="J124" s="195">
        <f t="shared" si="47"/>
        <v>0</v>
      </c>
      <c r="K124" s="195">
        <f t="shared" ca="1" si="47"/>
        <v>0</v>
      </c>
      <c r="L124" s="195">
        <f t="shared" ca="1" si="47"/>
        <v>0</v>
      </c>
      <c r="M124" s="195">
        <f t="shared" ca="1" si="47"/>
        <v>0</v>
      </c>
      <c r="N124" s="195">
        <f t="shared" ca="1" si="47"/>
        <v>0</v>
      </c>
      <c r="O124" s="195">
        <f t="shared" ca="1" si="47"/>
        <v>0</v>
      </c>
      <c r="P124" s="195">
        <f t="shared" ca="1" si="47"/>
        <v>0</v>
      </c>
      <c r="Q124" s="195">
        <f t="shared" si="47"/>
        <v>0</v>
      </c>
      <c r="T124" s="44"/>
      <c r="U124" s="44"/>
      <c r="X124" s="40"/>
      <c r="Y124" s="40"/>
    </row>
    <row r="125" spans="1:26">
      <c r="C125" s="49"/>
      <c r="T125" s="44"/>
      <c r="U125" s="44"/>
      <c r="X125" s="39"/>
      <c r="Y125" s="39"/>
      <c r="Z125" s="40"/>
    </row>
    <row r="126" spans="1:26" ht="13.7">
      <c r="C126" s="192" t="s">
        <v>18</v>
      </c>
      <c r="D126" s="195"/>
      <c r="E126" s="195">
        <f>SUM(E127:E129)</f>
        <v>0</v>
      </c>
      <c r="F126" s="195">
        <f t="shared" ref="F126:Q126" ca="1" si="48">SUM(F127:F129)</f>
        <v>0</v>
      </c>
      <c r="G126" s="195">
        <f t="shared" ca="1" si="48"/>
        <v>0</v>
      </c>
      <c r="H126" s="195">
        <f t="shared" ca="1" si="48"/>
        <v>0</v>
      </c>
      <c r="I126" s="195">
        <f t="shared" ca="1" si="48"/>
        <v>0</v>
      </c>
      <c r="J126" s="195">
        <f ca="1">SUM(J127:J129)</f>
        <v>0</v>
      </c>
      <c r="K126" s="195">
        <f t="shared" ca="1" si="48"/>
        <v>0</v>
      </c>
      <c r="L126" s="195">
        <f t="shared" ca="1" si="48"/>
        <v>0</v>
      </c>
      <c r="M126" s="195">
        <f t="shared" ca="1" si="48"/>
        <v>0</v>
      </c>
      <c r="N126" s="195">
        <f t="shared" ca="1" si="48"/>
        <v>0</v>
      </c>
      <c r="O126" s="195">
        <f t="shared" ca="1" si="48"/>
        <v>0</v>
      </c>
      <c r="P126" s="195">
        <f t="shared" ca="1" si="48"/>
        <v>0</v>
      </c>
      <c r="Q126" s="195">
        <f t="shared" ca="1" si="48"/>
        <v>0</v>
      </c>
      <c r="T126" s="44"/>
      <c r="U126" s="44"/>
      <c r="X126" s="41"/>
      <c r="Y126" s="41"/>
      <c r="Z126" s="40"/>
    </row>
    <row r="127" spans="1:26" ht="13.7" hidden="1" outlineLevel="1">
      <c r="C127" s="254"/>
      <c r="D127" s="340" t="s">
        <v>1094</v>
      </c>
      <c r="E127" s="341">
        <f>IFERROR(E$6*'Historical BU2'!D79,0)*Currency_conversion_BU2</f>
        <v>0</v>
      </c>
      <c r="F127" s="341">
        <f>IFERROR(F$6*'Historical BU2'!E79,0)*Currency_conversion_BU2</f>
        <v>0</v>
      </c>
      <c r="G127" s="341">
        <f>IFERROR(G$6*'Historical BU2'!F79,0)*Currency_conversion_BU2</f>
        <v>0</v>
      </c>
      <c r="H127" s="341">
        <f>IFERROR(H$6*'Historical BU2'!G79,0)*Currency_conversion_BU2</f>
        <v>0</v>
      </c>
      <c r="I127" s="341">
        <f>IFERROR(I$6*'Historical BU2'!H79,0)*Currency_conversion_BU2</f>
        <v>0</v>
      </c>
      <c r="J127" s="341">
        <f>IFERROR(J$6*'Historical BU2'!I79,0)*Currency_conversion_BU2</f>
        <v>0</v>
      </c>
      <c r="K127" s="341">
        <f>IFERROR(K$6*'Historical BU2'!J79,0)*Currency_conversion_BU2</f>
        <v>0</v>
      </c>
      <c r="L127" s="341">
        <f>IFERROR(L$6*'Historical BU2'!K79,0)*Currency_conversion_BU2</f>
        <v>0</v>
      </c>
      <c r="M127" s="341">
        <f>IFERROR(M$6*'Historical BU2'!L79,0)*Currency_conversion_BU2</f>
        <v>0</v>
      </c>
      <c r="N127" s="341">
        <f>IFERROR(N$6*'Historical BU2'!M79,0)*Currency_conversion_BU2</f>
        <v>0</v>
      </c>
      <c r="O127" s="341">
        <f>IFERROR(O$6*'Historical BU2'!N79,0)*Currency_conversion_BU2</f>
        <v>0</v>
      </c>
      <c r="P127" s="341">
        <f>IFERROR(P$6*'Historical BU2'!O79,0)*Currency_conversion_BU2</f>
        <v>0</v>
      </c>
      <c r="Q127" s="341">
        <f>IFERROR(Q$6*'Historical BU2'!P79,0)*Currency_conversion_BU2</f>
        <v>0</v>
      </c>
      <c r="R127" s="47"/>
      <c r="U127" s="45"/>
      <c r="V127" s="45"/>
      <c r="W127" s="40"/>
    </row>
    <row r="128" spans="1:26" ht="13.7" hidden="1" outlineLevel="1">
      <c r="C128" s="254"/>
      <c r="D128" s="340" t="s">
        <v>1095</v>
      </c>
      <c r="E128" s="341">
        <f>+IFERROR(E$7*'Acquisition BS adjustments'!$C133,0)+IFERROR(E$8*'Acquisition BS adjustments'!$E133,0)</f>
        <v>0</v>
      </c>
      <c r="F128" s="341">
        <f>+IFERROR(F$7*'Acquisition BS adjustments'!$C133,0)+IFERROR(F$8*'Acquisition BS adjustments'!$E133,0)</f>
        <v>0</v>
      </c>
      <c r="G128" s="341">
        <f>+IFERROR(G$7*'Acquisition BS adjustments'!$C133,0)+IFERROR(G$8*'Acquisition BS adjustments'!$E133,0)</f>
        <v>0</v>
      </c>
      <c r="H128" s="341">
        <f>+IFERROR(H$7*'Acquisition BS adjustments'!$C133,0)+IFERROR(H$8*'Acquisition BS adjustments'!$E133,0)</f>
        <v>0</v>
      </c>
      <c r="I128" s="341">
        <f>+IFERROR(I$7*'Acquisition BS adjustments'!$C133,0)+IFERROR(I$8*'Acquisition BS adjustments'!$E133,0)</f>
        <v>0</v>
      </c>
      <c r="J128" s="341">
        <f>+IFERROR(J$7*'Acquisition BS adjustments'!$C133,0)+IFERROR(J$8*'Acquisition BS adjustments'!$E133,0)</f>
        <v>0</v>
      </c>
      <c r="K128" s="341">
        <f>+IFERROR(K$7*'Acquisition BS adjustments'!$C133,0)+IFERROR(K$8*'Acquisition BS adjustments'!$E133,0)</f>
        <v>0</v>
      </c>
      <c r="L128" s="341">
        <f>+IFERROR(L$7*'Acquisition BS adjustments'!$C133,0)+IFERROR(L$8*'Acquisition BS adjustments'!$E133,0)</f>
        <v>0</v>
      </c>
      <c r="M128" s="341">
        <f>+IFERROR(M$7*'Acquisition BS adjustments'!$C133,0)+IFERROR(M$8*'Acquisition BS adjustments'!$E133,0)</f>
        <v>0</v>
      </c>
      <c r="N128" s="341">
        <f>+IFERROR(N$7*'Acquisition BS adjustments'!$C133,0)+IFERROR(N$8*'Acquisition BS adjustments'!$E133,0)</f>
        <v>0</v>
      </c>
      <c r="O128" s="341">
        <f>+IFERROR(O$7*'Acquisition BS adjustments'!$C133,0)+IFERROR(O$8*'Acquisition BS adjustments'!$E133,0)</f>
        <v>0</v>
      </c>
      <c r="P128" s="341">
        <f>+IFERROR(P$7*'Acquisition BS adjustments'!$C133,0)+IFERROR(P$8*'Acquisition BS adjustments'!$E133,0)</f>
        <v>0</v>
      </c>
      <c r="Q128" s="341">
        <f>+IFERROR(Q$7*'Acquisition BS adjustments'!$C133,0)+IFERROR(Q$8*'Acquisition BS adjustments'!$E133,0)</f>
        <v>0</v>
      </c>
      <c r="R128" s="47"/>
      <c r="U128" s="45"/>
      <c r="V128" s="45"/>
      <c r="W128" s="40"/>
    </row>
    <row r="129" spans="2:26" ht="13.7" hidden="1" outlineLevel="1">
      <c r="C129" s="254"/>
      <c r="D129" s="339" t="s">
        <v>1102</v>
      </c>
      <c r="E129" s="255">
        <f>+IFERROR(E9*(D126+INDEX('IS onshore'!90:90,MATCH('BS onshore'!E5,'IS onshore'!5:5,0))-INDEX('IS onshore'!94:94,MATCH('BS onshore'!E5,'IS onshore'!5:5,0))),0)</f>
        <v>0</v>
      </c>
      <c r="F129" s="255">
        <f ca="1">+IFERROR(F9*(E126+INDEX('IS onshore'!90:90,MATCH('BS onshore'!F5,'IS onshore'!5:5,0))-INDEX('IS onshore'!94:94,MATCH('BS onshore'!F5,'IS onshore'!5:5,0))),0)</f>
        <v>0</v>
      </c>
      <c r="G129" s="255">
        <f ca="1">+IFERROR(G9*(F126+INDEX('IS onshore'!90:90,MATCH('BS onshore'!G5,'IS onshore'!5:5,0))-INDEX('IS onshore'!94:94,MATCH('BS onshore'!G5,'IS onshore'!5:5,0))),0)</f>
        <v>0</v>
      </c>
      <c r="H129" s="255">
        <f ca="1">+IFERROR(H9*(G126+INDEX('IS onshore'!90:90,MATCH('BS onshore'!H5,'IS onshore'!5:5,0))-INDEX('IS onshore'!94:94,MATCH('BS onshore'!H5,'IS onshore'!5:5,0))),0)</f>
        <v>0</v>
      </c>
      <c r="I129" s="255">
        <f ca="1">+IFERROR(I9*(H126+INDEX('IS onshore'!90:90,MATCH('BS onshore'!I5,'IS onshore'!5:5,0))-INDEX('IS onshore'!94:94,MATCH('BS onshore'!I5,'IS onshore'!5:5,0))),0)</f>
        <v>0</v>
      </c>
      <c r="J129" s="255">
        <f ca="1">+IFERROR(J9*(I126+INDEX('IS onshore'!90:90,MATCH('BS onshore'!J5,'IS onshore'!5:5,0))-INDEX('IS onshore'!94:94,MATCH('BS onshore'!J5,'IS onshore'!5:5,0))),0)</f>
        <v>0</v>
      </c>
      <c r="K129" s="255">
        <f ca="1">+IFERROR(K9*(J126+INDEX('IS onshore'!90:90,MATCH('BS onshore'!K5,'IS onshore'!5:5,0))-INDEX('IS onshore'!94:94,MATCH('BS onshore'!K5,'IS onshore'!5:5,0))),0)</f>
        <v>0</v>
      </c>
      <c r="L129" s="255">
        <f ca="1">+IFERROR(L9*(K126+INDEX('IS onshore'!90:90,MATCH('BS onshore'!L5,'IS onshore'!5:5,0))-INDEX('IS onshore'!94:94,MATCH('BS onshore'!L5,'IS onshore'!5:5,0))),0)</f>
        <v>0</v>
      </c>
      <c r="M129" s="255">
        <f ca="1">+IFERROR(M9*(L126+INDEX('IS onshore'!90:90,MATCH('BS onshore'!M5,'IS onshore'!5:5,0))-INDEX('IS onshore'!94:94,MATCH('BS onshore'!M5,'IS onshore'!5:5,0))),0)</f>
        <v>0</v>
      </c>
      <c r="N129" s="255">
        <f ca="1">+IFERROR(N9*(M126+INDEX('IS onshore'!90:90,MATCH('BS onshore'!N5,'IS onshore'!5:5,0))-INDEX('IS onshore'!94:94,MATCH('BS onshore'!N5,'IS onshore'!5:5,0))),0)</f>
        <v>0</v>
      </c>
      <c r="O129" s="255">
        <f ca="1">+IFERROR(O9*(N126+INDEX('IS onshore'!90:90,MATCH('BS onshore'!O5,'IS onshore'!5:5,0))-INDEX('IS onshore'!94:94,MATCH('BS onshore'!O5,'IS onshore'!5:5,0))),0)</f>
        <v>0</v>
      </c>
      <c r="P129" s="255">
        <f ca="1">+IFERROR(P9*(O126+INDEX('IS onshore'!90:90,MATCH('BS onshore'!P5,'IS onshore'!5:5,0))-INDEX('IS onshore'!94:94,MATCH('BS onshore'!P5,'IS onshore'!5:5,0))),0)</f>
        <v>0</v>
      </c>
      <c r="Q129" s="255">
        <f ca="1">+IFERROR(Q9*(P126+INDEX('IS onshore'!90:90,MATCH('BS onshore'!Q5,'IS onshore'!5:5,0))-INDEX('IS onshore'!94:94,MATCH('BS onshore'!Q5,'IS onshore'!5:5,0))),0)</f>
        <v>0</v>
      </c>
      <c r="R129" s="47"/>
      <c r="U129" s="45"/>
      <c r="V129" s="45"/>
      <c r="W129" s="40"/>
    </row>
    <row r="130" spans="2:26" ht="13.7" collapsed="1"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T130" s="44"/>
      <c r="U130" s="44"/>
      <c r="X130" s="41"/>
      <c r="Y130" s="41"/>
      <c r="Z130" s="40"/>
    </row>
    <row r="131" spans="2:26" ht="13.7">
      <c r="C131" s="28"/>
      <c r="D131" s="28"/>
      <c r="E131" s="28"/>
      <c r="F131" s="28"/>
      <c r="G131" s="28"/>
      <c r="H131" s="28"/>
      <c r="I131" s="28"/>
      <c r="J131" s="28"/>
      <c r="K131" s="28"/>
      <c r="L131" s="374"/>
      <c r="M131" s="28"/>
      <c r="N131" s="28"/>
      <c r="O131" s="28"/>
      <c r="P131" s="28"/>
      <c r="Q131" s="28"/>
      <c r="T131" s="44"/>
      <c r="U131" s="44"/>
      <c r="X131" s="41"/>
      <c r="Y131" s="41"/>
      <c r="Z131" s="40"/>
    </row>
    <row r="132" spans="2:26">
      <c r="T132" s="50"/>
      <c r="U132" s="50"/>
      <c r="X132" s="40"/>
      <c r="Y132" s="40"/>
    </row>
    <row r="133" spans="2:26" ht="13.7">
      <c r="C133" s="203" t="s">
        <v>19</v>
      </c>
      <c r="D133" s="203"/>
      <c r="E133" s="204" t="str">
        <f t="shared" ref="E133:Q133" si="49">IF(ROUND((E126+E124-E71)/Input_unit,1)=0,"-",E126+E124-E71)</f>
        <v>-</v>
      </c>
      <c r="F133" s="204" t="str">
        <f t="shared" ca="1" si="49"/>
        <v>-</v>
      </c>
      <c r="G133" s="204" t="str">
        <f t="shared" ca="1" si="49"/>
        <v>-</v>
      </c>
      <c r="H133" s="204" t="str">
        <f t="shared" ca="1" si="49"/>
        <v>-</v>
      </c>
      <c r="I133" s="204" t="str">
        <f t="shared" ca="1" si="49"/>
        <v>-</v>
      </c>
      <c r="J133" s="204" t="str">
        <f t="shared" ca="1" si="49"/>
        <v>-</v>
      </c>
      <c r="K133" s="204" t="str">
        <f t="shared" ca="1" si="49"/>
        <v>-</v>
      </c>
      <c r="L133" s="204" t="str">
        <f t="shared" ca="1" si="49"/>
        <v>-</v>
      </c>
      <c r="M133" s="204" t="str">
        <f t="shared" ca="1" si="49"/>
        <v>-</v>
      </c>
      <c r="N133" s="204" t="str">
        <f t="shared" ca="1" si="49"/>
        <v>-</v>
      </c>
      <c r="O133" s="204" t="str">
        <f t="shared" ca="1" si="49"/>
        <v>-</v>
      </c>
      <c r="P133" s="204" t="str">
        <f t="shared" ca="1" si="49"/>
        <v>-</v>
      </c>
      <c r="Q133" s="204" t="str">
        <f t="shared" ca="1" si="49"/>
        <v>-</v>
      </c>
      <c r="T133" s="44"/>
      <c r="U133" s="44"/>
      <c r="X133" s="39"/>
      <c r="Y133" s="39"/>
      <c r="Z133" s="40"/>
    </row>
    <row r="134" spans="2:26">
      <c r="J134" s="40"/>
      <c r="L134" s="40"/>
      <c r="M134" s="51"/>
      <c r="N134" s="51"/>
      <c r="O134" s="51"/>
      <c r="P134" s="51"/>
      <c r="Q134" s="51"/>
      <c r="U134" s="44"/>
      <c r="V134" s="44"/>
      <c r="Y134" s="40"/>
      <c r="Z134" s="40"/>
    </row>
    <row r="135" spans="2:26" ht="13.7">
      <c r="B135" s="52"/>
    </row>
    <row r="136" spans="2:26" ht="13.7">
      <c r="B136" s="52"/>
      <c r="C136" s="192" t="s">
        <v>1729</v>
      </c>
      <c r="D136" s="195"/>
      <c r="E136" s="195">
        <f>E33+E37+E41+E44+E48-E74-E77-E81-E84-E87-E90</f>
        <v>0</v>
      </c>
      <c r="F136" s="195">
        <f t="shared" ref="F136:Q136" si="50">F33+F37+F41+F44+F48-F74-F77-F81-F84-F87-F90</f>
        <v>0</v>
      </c>
      <c r="G136" s="195">
        <f t="shared" si="50"/>
        <v>0</v>
      </c>
      <c r="H136" s="195">
        <f t="shared" si="50"/>
        <v>0</v>
      </c>
      <c r="I136" s="195">
        <f t="shared" si="50"/>
        <v>0</v>
      </c>
      <c r="J136" s="195">
        <f t="shared" si="50"/>
        <v>0</v>
      </c>
      <c r="K136" s="195">
        <f t="shared" ca="1" si="50"/>
        <v>0</v>
      </c>
      <c r="L136" s="195">
        <f t="shared" ca="1" si="50"/>
        <v>0</v>
      </c>
      <c r="M136" s="195">
        <f t="shared" ca="1" si="50"/>
        <v>0</v>
      </c>
      <c r="N136" s="195">
        <f t="shared" ca="1" si="50"/>
        <v>0</v>
      </c>
      <c r="O136" s="195">
        <f t="shared" ca="1" si="50"/>
        <v>0</v>
      </c>
      <c r="P136" s="195">
        <f t="shared" ca="1" si="50"/>
        <v>0</v>
      </c>
      <c r="Q136" s="195">
        <f t="shared" si="50"/>
        <v>0</v>
      </c>
    </row>
    <row r="137" spans="2:26" ht="13.7">
      <c r="B137" s="52"/>
      <c r="J137" s="40"/>
    </row>
    <row r="138" spans="2:26" ht="13.7">
      <c r="B138" s="52"/>
    </row>
    <row r="139" spans="2:26" ht="13.7">
      <c r="B139" s="52"/>
    </row>
    <row r="140" spans="2:26" ht="13.7">
      <c r="B140" s="52"/>
    </row>
    <row r="141" spans="2:26" ht="13.7">
      <c r="B141" s="52"/>
    </row>
    <row r="142" spans="2:26" ht="13.7">
      <c r="B142" s="52"/>
    </row>
    <row r="143" spans="2:26" ht="13.7">
      <c r="B143" s="52"/>
    </row>
  </sheetData>
  <phoneticPr fontId="52" type="noConversion"/>
  <conditionalFormatting sqref="E6:AC9">
    <cfRule type="cellIs" dxfId="38" priority="3" operator="equal">
      <formula>TRUE</formula>
    </cfRule>
  </conditionalFormatting>
  <conditionalFormatting sqref="E24:Q28 E99:Q101 E103:Q104 E112:Q114">
    <cfRule type="cellIs" dxfId="37" priority="2" operator="lessThan">
      <formula>0</formula>
    </cfRule>
  </conditionalFormatting>
  <conditionalFormatting sqref="E76:Q76">
    <cfRule type="cellIs" dxfId="36" priority="1" operator="lessThan">
      <formula>0</formula>
    </cfRule>
  </conditionalFormatting>
  <pageMargins left="0.7" right="0.7" top="0.75" bottom="0.75" header="0.3" footer="0.3"/>
  <pageSetup paperSize="9" scale="40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7633" r:id="rId4" name="Drop Down 1">
              <controlPr defaultSize="0" autoLine="0" autoPict="0">
                <anchor moveWithCells="1">
                  <from>
                    <xdr:col>4</xdr:col>
                    <xdr:colOff>100584</xdr:colOff>
                    <xdr:row>14</xdr:row>
                    <xdr:rowOff>18288</xdr:rowOff>
                  </from>
                  <to>
                    <xdr:col>5</xdr:col>
                    <xdr:colOff>420624</xdr:colOff>
                    <xdr:row>15</xdr:row>
                    <xdr:rowOff>36576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AD53"/>
  <sheetViews>
    <sheetView topLeftCell="A4" zoomScale="90" zoomScaleNormal="90" workbookViewId="0">
      <selection activeCell="K23" sqref="K23"/>
    </sheetView>
  </sheetViews>
  <sheetFormatPr defaultColWidth="9.140625" defaultRowHeight="13.7" outlineLevelRow="1" outlineLevelCol="1"/>
  <cols>
    <col min="1" max="2" width="3" style="52" customWidth="1"/>
    <col min="3" max="3" width="3.7109375" style="52" customWidth="1"/>
    <col min="4" max="4" width="22.28515625" style="52" customWidth="1"/>
    <col min="5" max="5" width="16.85546875" style="52" customWidth="1"/>
    <col min="6" max="17" width="14.85546875" style="52" customWidth="1"/>
    <col min="18" max="29" width="14.85546875" style="52" hidden="1" customWidth="1" outlineLevel="1"/>
    <col min="30" max="30" width="9.140625" style="28" collapsed="1"/>
    <col min="31" max="16384" width="9.140625" style="28"/>
  </cols>
  <sheetData>
    <row r="1" spans="1:29" ht="14.6" customHeight="1" outlineLevel="1">
      <c r="A1" s="18"/>
      <c r="B1" s="18"/>
      <c r="C1" s="24" t="s">
        <v>870</v>
      </c>
      <c r="D1" s="24">
        <f>'Control Panel'!B12</f>
        <v>2019</v>
      </c>
      <c r="E1" s="18" t="s">
        <v>689</v>
      </c>
      <c r="F1" s="5">
        <f>'Control Panel'!B11</f>
        <v>43466</v>
      </c>
      <c r="G1" s="18"/>
      <c r="H1" s="18" t="s">
        <v>691</v>
      </c>
      <c r="I1" s="5">
        <f>'Control Panel'!B9</f>
        <v>43465</v>
      </c>
      <c r="J1" s="18"/>
      <c r="K1" s="18" t="s">
        <v>705</v>
      </c>
      <c r="L1" s="18">
        <f>'Control Panel'!B13-'Control Panel'!B12+1</f>
        <v>6</v>
      </c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</row>
    <row r="2" spans="1:29" ht="14.6" customHeight="1" outlineLevel="1">
      <c r="A2" s="18"/>
      <c r="B2" s="18"/>
      <c r="C2" s="24" t="s">
        <v>871</v>
      </c>
      <c r="D2" s="24">
        <f>'Financial summary'!E5</f>
        <v>1</v>
      </c>
      <c r="E2" s="18"/>
      <c r="F2" s="18"/>
      <c r="G2" s="18"/>
      <c r="H2" s="18" t="s">
        <v>693</v>
      </c>
      <c r="I2" s="27">
        <f>'Control Panel'!B5</f>
        <v>5</v>
      </c>
      <c r="J2" s="18"/>
      <c r="K2" s="18" t="s">
        <v>1555</v>
      </c>
      <c r="L2" s="18">
        <f>stub_quarter+1</f>
        <v>5</v>
      </c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</row>
    <row r="3" spans="1:29" ht="14.6" customHeight="1" outlineLevel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ht="14.6" customHeight="1" outlineLevel="1">
      <c r="A4" s="1"/>
      <c r="B4" s="1"/>
      <c r="C4" s="1" t="s">
        <v>692</v>
      </c>
      <c r="D4" s="1"/>
      <c r="E4" s="1">
        <v>1</v>
      </c>
      <c r="F4" s="1">
        <f>E4+1</f>
        <v>2</v>
      </c>
      <c r="G4" s="1">
        <f t="shared" ref="G4:AC4" si="0">F4+1</f>
        <v>3</v>
      </c>
      <c r="H4" s="1">
        <f t="shared" si="0"/>
        <v>4</v>
      </c>
      <c r="I4" s="1">
        <f t="shared" si="0"/>
        <v>5</v>
      </c>
      <c r="J4" s="1">
        <f t="shared" si="0"/>
        <v>6</v>
      </c>
      <c r="K4" s="1">
        <f t="shared" si="0"/>
        <v>7</v>
      </c>
      <c r="L4" s="1">
        <f t="shared" si="0"/>
        <v>8</v>
      </c>
      <c r="M4" s="1">
        <f t="shared" si="0"/>
        <v>9</v>
      </c>
      <c r="N4" s="1">
        <f t="shared" si="0"/>
        <v>10</v>
      </c>
      <c r="O4" s="1">
        <f t="shared" si="0"/>
        <v>11</v>
      </c>
      <c r="P4" s="1">
        <f t="shared" si="0"/>
        <v>12</v>
      </c>
      <c r="Q4" s="1">
        <f t="shared" si="0"/>
        <v>13</v>
      </c>
      <c r="R4" s="1">
        <f t="shared" si="0"/>
        <v>14</v>
      </c>
      <c r="S4" s="1">
        <f t="shared" si="0"/>
        <v>15</v>
      </c>
      <c r="T4" s="1">
        <f t="shared" si="0"/>
        <v>16</v>
      </c>
      <c r="U4" s="1">
        <f t="shared" si="0"/>
        <v>17</v>
      </c>
      <c r="V4" s="1">
        <f t="shared" si="0"/>
        <v>18</v>
      </c>
      <c r="W4" s="1">
        <f t="shared" si="0"/>
        <v>19</v>
      </c>
      <c r="X4" s="1">
        <f t="shared" si="0"/>
        <v>20</v>
      </c>
      <c r="Y4" s="1">
        <f t="shared" si="0"/>
        <v>21</v>
      </c>
      <c r="Z4" s="1">
        <f t="shared" si="0"/>
        <v>22</v>
      </c>
      <c r="AA4" s="1">
        <f t="shared" si="0"/>
        <v>23</v>
      </c>
      <c r="AB4" s="1">
        <f t="shared" si="0"/>
        <v>24</v>
      </c>
      <c r="AC4" s="1">
        <f t="shared" si="0"/>
        <v>25</v>
      </c>
    </row>
    <row r="5" spans="1:29" ht="14.6" customHeight="1" outlineLevel="1">
      <c r="A5" s="1"/>
      <c r="B5" s="1"/>
      <c r="C5" s="1" t="s">
        <v>719</v>
      </c>
      <c r="D5" s="1"/>
      <c r="E5" s="29">
        <f>DATE('Control Panel'!B4,'Control Panel'!B6,'Control Panel'!B7)</f>
        <v>42004</v>
      </c>
      <c r="F5" s="29">
        <f>F6*EOMONTH(E5,12)+F7*$I$1+F8*$F$1+IF(F9*E8,DATE($D$1,'Control Panel'!$B$6,'Control Panel'!$B$7),F9*EOMONTH(E5,12))</f>
        <v>42369</v>
      </c>
      <c r="G5" s="29">
        <f>G6*EOMONTH(F5,12)+G7*$I$1+G8*$F$1+IF(G9*F8,DATE($D$1,'Control Panel'!$B$6,'Control Panel'!$B$7),G9*EOMONTH(F5,12))</f>
        <v>42735</v>
      </c>
      <c r="H5" s="29">
        <f>H6*EOMONTH(G5,12)+H7*$I$1+H8*$F$1+IF(H9*G8,DATE($D$1,'Control Panel'!$B$6,'Control Panel'!$B$7),H9*EOMONTH(G5,12))</f>
        <v>43100</v>
      </c>
      <c r="I5" s="29">
        <f>I6*EOMONTH(H5,12)+I7*$I$1+I8*$F$1+IF(I9*H8,DATE($D$1,'Control Panel'!$B$6,'Control Panel'!$B$7),I9*EOMONTH(H5,12))</f>
        <v>43465</v>
      </c>
      <c r="J5" s="29">
        <f>J6*EOMONTH(I5,12)+J7*$I$1+J8*$F$1+IF(J9*I8,DATE($D$1,'Control Panel'!$B$6,'Control Panel'!$B$7),J9*EOMONTH(I5,12))</f>
        <v>43466</v>
      </c>
      <c r="K5" s="29">
        <f>K6*EOMONTH(J5,12)+K7*$I$1+K8*$F$1+IF(K9*J8,DATE($D$1,'Control Panel'!$B$6,'Control Panel'!$B$7),K9*EOMONTH(J5,12))</f>
        <v>43830</v>
      </c>
      <c r="L5" s="29">
        <f>L6*EOMONTH(K5,12)+L7*$I$1+L8*$F$1+IF(L9*K8,DATE($D$1,'Control Panel'!$B$6,'Control Panel'!$B$7),L9*EOMONTH(K5,12))</f>
        <v>44196</v>
      </c>
      <c r="M5" s="29">
        <f>M6*EOMONTH(L5,12)+M7*$I$1+M8*$F$1+IF(M9*L8,DATE($D$1,'Control Panel'!$B$6,'Control Panel'!$B$7),M9*EOMONTH(L5,12))</f>
        <v>44561</v>
      </c>
      <c r="N5" s="29">
        <f>N6*EOMONTH(M5,12)+N7*$I$1+N8*$F$1+IF(N9*M8,DATE($D$1,'Control Panel'!$B$6,'Control Panel'!$B$7),N9*EOMONTH(M5,12))</f>
        <v>44926</v>
      </c>
      <c r="O5" s="29">
        <f>O6*EOMONTH(N5,12)+O7*$I$1+O8*$F$1+IF(O9*N8,DATE($D$1,'Control Panel'!$B$6,'Control Panel'!$B$7),O9*EOMONTH(N5,12))</f>
        <v>45291</v>
      </c>
      <c r="P5" s="29">
        <f>P6*EOMONTH(O5,12)+P7*$I$1+P8*$F$1+IF(P9*O8,DATE($D$1,'Control Panel'!$B$6,'Control Panel'!$B$7),P9*EOMONTH(O5,12))</f>
        <v>45657</v>
      </c>
      <c r="Q5" s="29">
        <f>Q6*EOMONTH(P5,12)+Q7*$I$1+Q8*$F$1+IF(Q9*P8,DATE($D$1,'Control Panel'!$B$6,'Control Panel'!$B$7),Q9*EOMONTH(P5,12))</f>
        <v>0</v>
      </c>
      <c r="R5" s="29">
        <f>R6*EOMONTH(Q5,12)+R7*$I$1+R8*$F$1+IF(R9*Q8,DATE($D$1,'Control Panel'!$B$6,'Control Panel'!$B$7),R9*EOMONTH(Q5,12))</f>
        <v>0</v>
      </c>
      <c r="S5" s="29">
        <f>S6*EOMONTH(R5,12)+S7*$I$1+S8*$F$1+IF(S9*R8,DATE($D$1,'Control Panel'!$B$6,'Control Panel'!$B$7),S9*EOMONTH(R5,12))</f>
        <v>0</v>
      </c>
      <c r="T5" s="29">
        <f>T6*EOMONTH(S5,12)+T7*$I$1+T8*$F$1+IF(T9*S8,DATE($D$1,'Control Panel'!$B$6,'Control Panel'!$B$7),T9*EOMONTH(S5,12))</f>
        <v>0</v>
      </c>
      <c r="U5" s="29">
        <f>U6*EOMONTH(T5,12)+U7*$I$1+U8*$F$1+IF(U9*T8,DATE($D$1,'Control Panel'!$B$6,'Control Panel'!$B$7),U9*EOMONTH(T5,12))</f>
        <v>0</v>
      </c>
      <c r="V5" s="29">
        <f>V6*EOMONTH(U5,12)+V7*$I$1+V8*$F$1+IF(V9*U8,DATE($D$1,'Control Panel'!$B$6,'Control Panel'!$B$7),V9*EOMONTH(U5,12))</f>
        <v>0</v>
      </c>
      <c r="W5" s="29">
        <f>W6*EOMONTH(V5,12)+W7*$I$1+W8*$F$1+IF(W9*V8,DATE($D$1,'Control Panel'!$B$6,'Control Panel'!$B$7),W9*EOMONTH(V5,12))</f>
        <v>0</v>
      </c>
      <c r="X5" s="29">
        <f>X6*EOMONTH(W5,12)+X7*$I$1+X8*$F$1+IF(X9*W8,DATE($D$1,'Control Panel'!$B$6,'Control Panel'!$B$7),X9*EOMONTH(W5,12))</f>
        <v>0</v>
      </c>
      <c r="Y5" s="29">
        <f>Y6*EOMONTH(X5,12)+Y7*$I$1+Y8*$F$1+IF(Y9*X8,DATE($D$1,'Control Panel'!$B$6,'Control Panel'!$B$7),Y9*EOMONTH(X5,12))</f>
        <v>0</v>
      </c>
      <c r="Z5" s="29">
        <f>Z6*EOMONTH(Y5,12)+Z7*$I$1+Z8*$F$1+IF(Z9*Y8,DATE($D$1,'Control Panel'!$B$6,'Control Panel'!$B$7),Z9*EOMONTH(Y5,12))</f>
        <v>0</v>
      </c>
      <c r="AA5" s="29">
        <f>AA6*EOMONTH(Z5,12)+AA7*$I$1+AA8*$F$1+IF(AA9*Z8,DATE($D$1,'Control Panel'!$B$6,'Control Panel'!$B$7),AA9*EOMONTH(Z5,12))</f>
        <v>0</v>
      </c>
      <c r="AB5" s="29">
        <f>AB6*EOMONTH(AA5,12)+AB7*$I$1+AB8*$F$1+IF(AB9*AA8,DATE($D$1,'Control Panel'!$B$6,'Control Panel'!$B$7),AB9*EOMONTH(AA5,12))</f>
        <v>0</v>
      </c>
      <c r="AC5" s="29">
        <f>AC6*EOMONTH(AB5,12)+AC7*$I$1+AC8*$F$1+IF(AC9*AB8,DATE($D$1,'Control Panel'!$B$6,'Control Panel'!$B$7),AC9*EOMONTH(AB5,12))</f>
        <v>0</v>
      </c>
    </row>
    <row r="6" spans="1:29" ht="14.6" customHeight="1" outlineLevel="1">
      <c r="A6" s="1"/>
      <c r="B6" s="1"/>
      <c r="C6" s="1" t="s">
        <v>686</v>
      </c>
      <c r="D6" s="1"/>
      <c r="E6" s="1" t="b">
        <f t="shared" ref="E6:AC6" si="1">E4&lt;=$I$2</f>
        <v>1</v>
      </c>
      <c r="F6" s="1" t="b">
        <f t="shared" si="1"/>
        <v>1</v>
      </c>
      <c r="G6" s="1" t="b">
        <f t="shared" si="1"/>
        <v>1</v>
      </c>
      <c r="H6" s="1" t="b">
        <f t="shared" si="1"/>
        <v>1</v>
      </c>
      <c r="I6" s="1" t="b">
        <f t="shared" si="1"/>
        <v>1</v>
      </c>
      <c r="J6" s="1" t="b">
        <f t="shared" si="1"/>
        <v>0</v>
      </c>
      <c r="K6" s="1" t="b">
        <f t="shared" si="1"/>
        <v>0</v>
      </c>
      <c r="L6" s="1" t="b">
        <f t="shared" si="1"/>
        <v>0</v>
      </c>
      <c r="M6" s="1" t="b">
        <f t="shared" si="1"/>
        <v>0</v>
      </c>
      <c r="N6" s="1" t="b">
        <f t="shared" si="1"/>
        <v>0</v>
      </c>
      <c r="O6" s="1" t="b">
        <f t="shared" si="1"/>
        <v>0</v>
      </c>
      <c r="P6" s="1" t="b">
        <f t="shared" si="1"/>
        <v>0</v>
      </c>
      <c r="Q6" s="1" t="b">
        <f t="shared" si="1"/>
        <v>0</v>
      </c>
      <c r="R6" s="1" t="b">
        <f t="shared" si="1"/>
        <v>0</v>
      </c>
      <c r="S6" s="1" t="b">
        <f t="shared" si="1"/>
        <v>0</v>
      </c>
      <c r="T6" s="1" t="b">
        <f t="shared" si="1"/>
        <v>0</v>
      </c>
      <c r="U6" s="1" t="b">
        <f t="shared" si="1"/>
        <v>0</v>
      </c>
      <c r="V6" s="1" t="b">
        <f t="shared" si="1"/>
        <v>0</v>
      </c>
      <c r="W6" s="1" t="b">
        <f t="shared" si="1"/>
        <v>0</v>
      </c>
      <c r="X6" s="1" t="b">
        <f t="shared" si="1"/>
        <v>0</v>
      </c>
      <c r="Y6" s="1" t="b">
        <f t="shared" si="1"/>
        <v>0</v>
      </c>
      <c r="Z6" s="1" t="b">
        <f t="shared" si="1"/>
        <v>0</v>
      </c>
      <c r="AA6" s="1" t="b">
        <f t="shared" si="1"/>
        <v>0</v>
      </c>
      <c r="AB6" s="1" t="b">
        <f t="shared" si="1"/>
        <v>0</v>
      </c>
      <c r="AC6" s="1" t="b">
        <f t="shared" si="1"/>
        <v>0</v>
      </c>
    </row>
    <row r="7" spans="1:29" ht="14.6" customHeight="1" outlineLevel="1">
      <c r="A7" s="1"/>
      <c r="B7" s="1"/>
      <c r="C7" s="1" t="s">
        <v>687</v>
      </c>
      <c r="D7" s="1"/>
      <c r="E7" s="1" t="b">
        <f t="shared" ref="E7:AC7" si="2">(E4=$I$2+1)*stub_switch=1</f>
        <v>0</v>
      </c>
      <c r="F7" s="1" t="b">
        <f t="shared" si="2"/>
        <v>0</v>
      </c>
      <c r="G7" s="1" t="b">
        <f t="shared" si="2"/>
        <v>0</v>
      </c>
      <c r="H7" s="1" t="b">
        <f t="shared" si="2"/>
        <v>0</v>
      </c>
      <c r="I7" s="1" t="b">
        <f t="shared" si="2"/>
        <v>0</v>
      </c>
      <c r="J7" s="1" t="b">
        <f t="shared" si="2"/>
        <v>0</v>
      </c>
      <c r="K7" s="1" t="b">
        <f t="shared" si="2"/>
        <v>0</v>
      </c>
      <c r="L7" s="1" t="b">
        <f t="shared" si="2"/>
        <v>0</v>
      </c>
      <c r="M7" s="1" t="b">
        <f t="shared" si="2"/>
        <v>0</v>
      </c>
      <c r="N7" s="1" t="b">
        <f t="shared" si="2"/>
        <v>0</v>
      </c>
      <c r="O7" s="1" t="b">
        <f t="shared" si="2"/>
        <v>0</v>
      </c>
      <c r="P7" s="1" t="b">
        <f t="shared" si="2"/>
        <v>0</v>
      </c>
      <c r="Q7" s="1" t="b">
        <f t="shared" si="2"/>
        <v>0</v>
      </c>
      <c r="R7" s="1" t="b">
        <f t="shared" si="2"/>
        <v>0</v>
      </c>
      <c r="S7" s="1" t="b">
        <f t="shared" si="2"/>
        <v>0</v>
      </c>
      <c r="T7" s="1" t="b">
        <f t="shared" si="2"/>
        <v>0</v>
      </c>
      <c r="U7" s="1" t="b">
        <f t="shared" si="2"/>
        <v>0</v>
      </c>
      <c r="V7" s="1" t="b">
        <f t="shared" si="2"/>
        <v>0</v>
      </c>
      <c r="W7" s="1" t="b">
        <f t="shared" si="2"/>
        <v>0</v>
      </c>
      <c r="X7" s="1" t="b">
        <f t="shared" si="2"/>
        <v>0</v>
      </c>
      <c r="Y7" s="1" t="b">
        <f t="shared" si="2"/>
        <v>0</v>
      </c>
      <c r="Z7" s="1" t="b">
        <f t="shared" si="2"/>
        <v>0</v>
      </c>
      <c r="AA7" s="1" t="b">
        <f t="shared" si="2"/>
        <v>0</v>
      </c>
      <c r="AB7" s="1" t="b">
        <f t="shared" si="2"/>
        <v>0</v>
      </c>
      <c r="AC7" s="1" t="b">
        <f t="shared" si="2"/>
        <v>0</v>
      </c>
    </row>
    <row r="8" spans="1:29" ht="14.6" customHeight="1" outlineLevel="1">
      <c r="A8" s="1"/>
      <c r="B8" s="1"/>
      <c r="C8" s="1" t="s">
        <v>688</v>
      </c>
      <c r="D8" s="1"/>
      <c r="E8" s="1" t="b">
        <f t="shared" ref="E8:AC8" si="3">E4=$I$2+1+1*stub_switch</f>
        <v>0</v>
      </c>
      <c r="F8" s="1" t="b">
        <f t="shared" si="3"/>
        <v>0</v>
      </c>
      <c r="G8" s="1" t="b">
        <f t="shared" si="3"/>
        <v>0</v>
      </c>
      <c r="H8" s="1" t="b">
        <f t="shared" si="3"/>
        <v>0</v>
      </c>
      <c r="I8" s="1" t="b">
        <f t="shared" si="3"/>
        <v>0</v>
      </c>
      <c r="J8" s="1" t="b">
        <f t="shared" si="3"/>
        <v>1</v>
      </c>
      <c r="K8" s="1" t="b">
        <f t="shared" si="3"/>
        <v>0</v>
      </c>
      <c r="L8" s="1" t="b">
        <f t="shared" si="3"/>
        <v>0</v>
      </c>
      <c r="M8" s="1" t="b">
        <f t="shared" si="3"/>
        <v>0</v>
      </c>
      <c r="N8" s="1" t="b">
        <f t="shared" si="3"/>
        <v>0</v>
      </c>
      <c r="O8" s="1" t="b">
        <f t="shared" si="3"/>
        <v>0</v>
      </c>
      <c r="P8" s="1" t="b">
        <f t="shared" si="3"/>
        <v>0</v>
      </c>
      <c r="Q8" s="1" t="b">
        <f t="shared" si="3"/>
        <v>0</v>
      </c>
      <c r="R8" s="1" t="b">
        <f t="shared" si="3"/>
        <v>0</v>
      </c>
      <c r="S8" s="1" t="b">
        <f t="shared" si="3"/>
        <v>0</v>
      </c>
      <c r="T8" s="1" t="b">
        <f t="shared" si="3"/>
        <v>0</v>
      </c>
      <c r="U8" s="1" t="b">
        <f t="shared" si="3"/>
        <v>0</v>
      </c>
      <c r="V8" s="1" t="b">
        <f t="shared" si="3"/>
        <v>0</v>
      </c>
      <c r="W8" s="1" t="b">
        <f t="shared" si="3"/>
        <v>0</v>
      </c>
      <c r="X8" s="1" t="b">
        <f t="shared" si="3"/>
        <v>0</v>
      </c>
      <c r="Y8" s="1" t="b">
        <f t="shared" si="3"/>
        <v>0</v>
      </c>
      <c r="Z8" s="1" t="b">
        <f t="shared" si="3"/>
        <v>0</v>
      </c>
      <c r="AA8" s="1" t="b">
        <f t="shared" si="3"/>
        <v>0</v>
      </c>
      <c r="AB8" s="1" t="b">
        <f t="shared" si="3"/>
        <v>0</v>
      </c>
      <c r="AC8" s="1" t="b">
        <f t="shared" si="3"/>
        <v>0</v>
      </c>
    </row>
    <row r="9" spans="1:29" ht="14.6" customHeight="1" outlineLevel="1">
      <c r="A9" s="1"/>
      <c r="B9" s="1"/>
      <c r="C9" s="1" t="s">
        <v>694</v>
      </c>
      <c r="D9" s="1"/>
      <c r="E9" s="1" t="b">
        <f t="shared" ref="E9:AC9" si="4">AND(E4&gt;$I$2+1+1*stub_switch,E4&lt;=$L$1+$I$2+1+1*stub_switch)</f>
        <v>0</v>
      </c>
      <c r="F9" s="1" t="b">
        <f t="shared" si="4"/>
        <v>0</v>
      </c>
      <c r="G9" s="1" t="b">
        <f t="shared" si="4"/>
        <v>0</v>
      </c>
      <c r="H9" s="1" t="b">
        <f t="shared" si="4"/>
        <v>0</v>
      </c>
      <c r="I9" s="1" t="b">
        <f t="shared" si="4"/>
        <v>0</v>
      </c>
      <c r="J9" s="1" t="b">
        <f t="shared" si="4"/>
        <v>0</v>
      </c>
      <c r="K9" s="1" t="b">
        <f t="shared" si="4"/>
        <v>1</v>
      </c>
      <c r="L9" s="1" t="b">
        <f t="shared" si="4"/>
        <v>1</v>
      </c>
      <c r="M9" s="1" t="b">
        <f t="shared" si="4"/>
        <v>1</v>
      </c>
      <c r="N9" s="1" t="b">
        <f t="shared" si="4"/>
        <v>1</v>
      </c>
      <c r="O9" s="1" t="b">
        <f t="shared" si="4"/>
        <v>1</v>
      </c>
      <c r="P9" s="1" t="b">
        <f t="shared" si="4"/>
        <v>1</v>
      </c>
      <c r="Q9" s="1" t="b">
        <f t="shared" si="4"/>
        <v>0</v>
      </c>
      <c r="R9" s="1" t="b">
        <f t="shared" si="4"/>
        <v>0</v>
      </c>
      <c r="S9" s="1" t="b">
        <f t="shared" si="4"/>
        <v>0</v>
      </c>
      <c r="T9" s="1" t="b">
        <f t="shared" si="4"/>
        <v>0</v>
      </c>
      <c r="U9" s="1" t="b">
        <f t="shared" si="4"/>
        <v>0</v>
      </c>
      <c r="V9" s="1" t="b">
        <f t="shared" si="4"/>
        <v>0</v>
      </c>
      <c r="W9" s="1" t="b">
        <f t="shared" si="4"/>
        <v>0</v>
      </c>
      <c r="X9" s="1" t="b">
        <f t="shared" si="4"/>
        <v>0</v>
      </c>
      <c r="Y9" s="1" t="b">
        <f t="shared" si="4"/>
        <v>0</v>
      </c>
      <c r="Z9" s="1" t="b">
        <f t="shared" si="4"/>
        <v>0</v>
      </c>
      <c r="AA9" s="1" t="b">
        <f t="shared" si="4"/>
        <v>0</v>
      </c>
      <c r="AB9" s="1" t="b">
        <f t="shared" si="4"/>
        <v>0</v>
      </c>
      <c r="AC9" s="1" t="b">
        <f t="shared" si="4"/>
        <v>0</v>
      </c>
    </row>
    <row r="10" spans="1:29" ht="14.6" customHeight="1" outlineLevel="1">
      <c r="A10" s="1"/>
      <c r="B10" s="1"/>
      <c r="C10" s="1"/>
      <c r="D10" s="1"/>
      <c r="E10" s="110">
        <f>YEAR(E5)</f>
        <v>2014</v>
      </c>
      <c r="F10" s="110">
        <f t="shared" ref="F10:AC10" si="5">YEAR(F5)</f>
        <v>2015</v>
      </c>
      <c r="G10" s="110">
        <f t="shared" si="5"/>
        <v>2016</v>
      </c>
      <c r="H10" s="110">
        <f t="shared" si="5"/>
        <v>2017</v>
      </c>
      <c r="I10" s="110">
        <f t="shared" si="5"/>
        <v>2018</v>
      </c>
      <c r="J10" s="110">
        <f t="shared" si="5"/>
        <v>2019</v>
      </c>
      <c r="K10" s="110">
        <f t="shared" si="5"/>
        <v>2019</v>
      </c>
      <c r="L10" s="110">
        <f t="shared" si="5"/>
        <v>2020</v>
      </c>
      <c r="M10" s="110">
        <f t="shared" si="5"/>
        <v>2021</v>
      </c>
      <c r="N10" s="110">
        <f t="shared" si="5"/>
        <v>2022</v>
      </c>
      <c r="O10" s="110">
        <f t="shared" si="5"/>
        <v>2023</v>
      </c>
      <c r="P10" s="110">
        <f t="shared" si="5"/>
        <v>2024</v>
      </c>
      <c r="Q10" s="110">
        <f t="shared" si="5"/>
        <v>1900</v>
      </c>
      <c r="R10" s="110">
        <f t="shared" si="5"/>
        <v>1900</v>
      </c>
      <c r="S10" s="110">
        <f t="shared" si="5"/>
        <v>1900</v>
      </c>
      <c r="T10" s="110">
        <f t="shared" si="5"/>
        <v>1900</v>
      </c>
      <c r="U10" s="110">
        <f t="shared" si="5"/>
        <v>1900</v>
      </c>
      <c r="V10" s="110">
        <f t="shared" si="5"/>
        <v>1900</v>
      </c>
      <c r="W10" s="110">
        <f t="shared" si="5"/>
        <v>1900</v>
      </c>
      <c r="X10" s="110">
        <f t="shared" si="5"/>
        <v>1900</v>
      </c>
      <c r="Y10" s="110">
        <f t="shared" si="5"/>
        <v>1900</v>
      </c>
      <c r="Z10" s="110">
        <f t="shared" si="5"/>
        <v>1900</v>
      </c>
      <c r="AA10" s="110">
        <f t="shared" si="5"/>
        <v>1900</v>
      </c>
      <c r="AB10" s="110">
        <f t="shared" si="5"/>
        <v>1900</v>
      </c>
      <c r="AC10" s="110">
        <f t="shared" si="5"/>
        <v>1900</v>
      </c>
    </row>
    <row r="11" spans="1:29" ht="14.6" customHeight="1" outlineLevel="1">
      <c r="A11" s="1"/>
      <c r="B11" s="1"/>
      <c r="C11" s="1" t="s">
        <v>712</v>
      </c>
      <c r="D11" s="30"/>
      <c r="E11" s="30" t="s">
        <v>834</v>
      </c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1"/>
      <c r="Y11" s="1"/>
      <c r="Z11" s="1"/>
      <c r="AA11" s="1"/>
      <c r="AB11" s="1"/>
      <c r="AC11" s="1"/>
    </row>
    <row r="12" spans="1:29" ht="14.6" customHeight="1" outlineLevel="1">
      <c r="A12" s="1"/>
      <c r="B12" s="1"/>
      <c r="C12" s="1" t="s">
        <v>832</v>
      </c>
      <c r="D12" s="30"/>
      <c r="E12" s="30" t="s">
        <v>832</v>
      </c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1"/>
      <c r="Y12" s="1"/>
      <c r="Z12" s="1"/>
      <c r="AA12" s="1"/>
      <c r="AB12" s="1"/>
      <c r="AC12" s="1"/>
    </row>
    <row r="13" spans="1:29" ht="14.6" customHeight="1" outlineLevel="1">
      <c r="A13" s="1"/>
      <c r="B13" s="1"/>
      <c r="C13" s="1" t="s">
        <v>833</v>
      </c>
      <c r="D13" s="30"/>
      <c r="E13" s="30" t="s">
        <v>838</v>
      </c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1"/>
      <c r="Y13" s="1"/>
      <c r="Z13" s="1"/>
      <c r="AA13" s="1"/>
      <c r="AB13" s="1"/>
      <c r="AC13" s="1"/>
    </row>
    <row r="14" spans="1:29" ht="14.6" customHeight="1" outlineLevel="1">
      <c r="A14" s="1"/>
      <c r="B14" s="1"/>
      <c r="C14" s="1" t="s">
        <v>872</v>
      </c>
      <c r="D14" s="30"/>
      <c r="E14" s="30" t="s">
        <v>835</v>
      </c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1"/>
      <c r="Y14" s="1"/>
      <c r="Z14" s="1"/>
      <c r="AA14" s="1"/>
      <c r="AB14" s="1"/>
      <c r="AC14" s="1"/>
    </row>
    <row r="15" spans="1:29" ht="16.600000000000001">
      <c r="A15" s="32"/>
      <c r="B15" s="32"/>
      <c r="C15" s="196" t="str">
        <f>CONCATENATE("Project ",project_name," - Cash Flow Statement")</f>
        <v>Project  - Cash Flow Statement</v>
      </c>
      <c r="D15" s="32"/>
      <c r="E15" s="32"/>
      <c r="F15" s="32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</row>
    <row r="16" spans="1:29">
      <c r="A16" s="32"/>
      <c r="B16" s="32"/>
      <c r="C16" s="194" t="str">
        <f>CONCATENATE("In ",model_curr," thousand unless otherwise stated")</f>
        <v>In USD thousand unless otherwise stated</v>
      </c>
      <c r="D16" s="32"/>
      <c r="E16" s="32"/>
      <c r="F16" s="32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</row>
    <row r="17" spans="1:29">
      <c r="A17" s="32"/>
      <c r="B17" s="32"/>
      <c r="C17" s="209"/>
      <c r="D17" s="209"/>
      <c r="E17" s="178" t="str">
        <f>CONCATENATE(YEAR(E5),LEFT(E19,1))</f>
        <v>2014A</v>
      </c>
      <c r="F17" s="178" t="str">
        <f t="shared" ref="F17:AC17" si="6">CONCATENATE(YEAR(F5),LEFT(F19,1))</f>
        <v>2015A</v>
      </c>
      <c r="G17" s="178" t="str">
        <f t="shared" si="6"/>
        <v>2016A</v>
      </c>
      <c r="H17" s="178" t="str">
        <f t="shared" si="6"/>
        <v>2017A</v>
      </c>
      <c r="I17" s="178" t="str">
        <f t="shared" si="6"/>
        <v>2018A</v>
      </c>
      <c r="J17" s="178" t="str">
        <f t="shared" si="6"/>
        <v>2019C</v>
      </c>
      <c r="K17" s="178" t="str">
        <f t="shared" si="6"/>
        <v>2019F</v>
      </c>
      <c r="L17" s="178" t="str">
        <f t="shared" si="6"/>
        <v>2020F</v>
      </c>
      <c r="M17" s="178" t="str">
        <f t="shared" si="6"/>
        <v>2021F</v>
      </c>
      <c r="N17" s="178" t="str">
        <f t="shared" si="6"/>
        <v>2022F</v>
      </c>
      <c r="O17" s="178" t="str">
        <f t="shared" si="6"/>
        <v>2023F</v>
      </c>
      <c r="P17" s="178" t="str">
        <f t="shared" si="6"/>
        <v>2024F</v>
      </c>
      <c r="Q17" s="178" t="e">
        <f t="shared" si="6"/>
        <v>#N/A</v>
      </c>
      <c r="R17" s="178" t="e">
        <f t="shared" si="6"/>
        <v>#N/A</v>
      </c>
      <c r="S17" s="178" t="e">
        <f t="shared" si="6"/>
        <v>#N/A</v>
      </c>
      <c r="T17" s="178" t="e">
        <f t="shared" si="6"/>
        <v>#N/A</v>
      </c>
      <c r="U17" s="178" t="e">
        <f t="shared" si="6"/>
        <v>#N/A</v>
      </c>
      <c r="V17" s="178" t="e">
        <f t="shared" si="6"/>
        <v>#N/A</v>
      </c>
      <c r="W17" s="178" t="e">
        <f t="shared" si="6"/>
        <v>#N/A</v>
      </c>
      <c r="X17" s="178" t="e">
        <f t="shared" si="6"/>
        <v>#N/A</v>
      </c>
      <c r="Y17" s="178" t="e">
        <f t="shared" si="6"/>
        <v>#N/A</v>
      </c>
      <c r="Z17" s="178" t="e">
        <f t="shared" si="6"/>
        <v>#N/A</v>
      </c>
      <c r="AA17" s="178" t="e">
        <f t="shared" si="6"/>
        <v>#N/A</v>
      </c>
      <c r="AB17" s="178" t="e">
        <f t="shared" si="6"/>
        <v>#N/A</v>
      </c>
      <c r="AC17" s="178" t="e">
        <f t="shared" si="6"/>
        <v>#N/A</v>
      </c>
    </row>
    <row r="18" spans="1:29">
      <c r="A18" s="32"/>
      <c r="B18" s="32"/>
      <c r="C18" s="198"/>
      <c r="D18" s="198"/>
      <c r="E18" s="198">
        <f>E5</f>
        <v>42004</v>
      </c>
      <c r="F18" s="198">
        <f t="shared" ref="F18:AC18" si="7">F5</f>
        <v>42369</v>
      </c>
      <c r="G18" s="198">
        <f t="shared" si="7"/>
        <v>42735</v>
      </c>
      <c r="H18" s="198">
        <f t="shared" si="7"/>
        <v>43100</v>
      </c>
      <c r="I18" s="198">
        <f t="shared" si="7"/>
        <v>43465</v>
      </c>
      <c r="J18" s="198">
        <f t="shared" si="7"/>
        <v>43466</v>
      </c>
      <c r="K18" s="198">
        <f t="shared" si="7"/>
        <v>43830</v>
      </c>
      <c r="L18" s="198">
        <f t="shared" si="7"/>
        <v>44196</v>
      </c>
      <c r="M18" s="198">
        <f t="shared" si="7"/>
        <v>44561</v>
      </c>
      <c r="N18" s="198">
        <f t="shared" si="7"/>
        <v>44926</v>
      </c>
      <c r="O18" s="198">
        <f t="shared" si="7"/>
        <v>45291</v>
      </c>
      <c r="P18" s="198">
        <f t="shared" si="7"/>
        <v>45657</v>
      </c>
      <c r="Q18" s="198">
        <f t="shared" si="7"/>
        <v>0</v>
      </c>
      <c r="R18" s="198">
        <f t="shared" si="7"/>
        <v>0</v>
      </c>
      <c r="S18" s="198">
        <f t="shared" si="7"/>
        <v>0</v>
      </c>
      <c r="T18" s="198">
        <f t="shared" si="7"/>
        <v>0</v>
      </c>
      <c r="U18" s="198">
        <f t="shared" si="7"/>
        <v>0</v>
      </c>
      <c r="V18" s="198">
        <f t="shared" si="7"/>
        <v>0</v>
      </c>
      <c r="W18" s="198">
        <f t="shared" si="7"/>
        <v>0</v>
      </c>
      <c r="X18" s="198">
        <f t="shared" si="7"/>
        <v>0</v>
      </c>
      <c r="Y18" s="198">
        <f t="shared" si="7"/>
        <v>0</v>
      </c>
      <c r="Z18" s="198">
        <f t="shared" si="7"/>
        <v>0</v>
      </c>
      <c r="AA18" s="198">
        <f t="shared" si="7"/>
        <v>0</v>
      </c>
      <c r="AB18" s="198">
        <f t="shared" si="7"/>
        <v>0</v>
      </c>
      <c r="AC18" s="198">
        <f t="shared" si="7"/>
        <v>0</v>
      </c>
    </row>
    <row r="19" spans="1:29" outlineLevel="1">
      <c r="A19" s="32"/>
      <c r="B19" s="32"/>
      <c r="C19" s="209"/>
      <c r="D19" s="209"/>
      <c r="E19" s="178" t="str">
        <f>INDEX($E$11:$E$14,MATCH(TRUE,E6:E9,0))</f>
        <v>Actual</v>
      </c>
      <c r="F19" s="178" t="str">
        <f t="shared" ref="F19:AC19" si="8">INDEX($E$11:$E$14,MATCH(TRUE,F6:F9,0))</f>
        <v>Actual</v>
      </c>
      <c r="G19" s="178" t="str">
        <f t="shared" si="8"/>
        <v>Actual</v>
      </c>
      <c r="H19" s="178" t="str">
        <f t="shared" si="8"/>
        <v>Actual</v>
      </c>
      <c r="I19" s="178" t="str">
        <f t="shared" si="8"/>
        <v>Actual</v>
      </c>
      <c r="J19" s="178" t="str">
        <f t="shared" si="8"/>
        <v>Combination</v>
      </c>
      <c r="K19" s="178" t="str">
        <f t="shared" si="8"/>
        <v>Forecast</v>
      </c>
      <c r="L19" s="178" t="str">
        <f t="shared" si="8"/>
        <v>Forecast</v>
      </c>
      <c r="M19" s="178" t="str">
        <f t="shared" si="8"/>
        <v>Forecast</v>
      </c>
      <c r="N19" s="178" t="str">
        <f t="shared" si="8"/>
        <v>Forecast</v>
      </c>
      <c r="O19" s="178" t="str">
        <f t="shared" si="8"/>
        <v>Forecast</v>
      </c>
      <c r="P19" s="178" t="str">
        <f t="shared" si="8"/>
        <v>Forecast</v>
      </c>
      <c r="Q19" s="178" t="e">
        <f t="shared" si="8"/>
        <v>#N/A</v>
      </c>
      <c r="R19" s="178" t="e">
        <f t="shared" si="8"/>
        <v>#N/A</v>
      </c>
      <c r="S19" s="178" t="e">
        <f t="shared" si="8"/>
        <v>#N/A</v>
      </c>
      <c r="T19" s="178" t="e">
        <f t="shared" si="8"/>
        <v>#N/A</v>
      </c>
      <c r="U19" s="178" t="e">
        <f t="shared" si="8"/>
        <v>#N/A</v>
      </c>
      <c r="V19" s="178" t="e">
        <f t="shared" si="8"/>
        <v>#N/A</v>
      </c>
      <c r="W19" s="178" t="e">
        <f t="shared" si="8"/>
        <v>#N/A</v>
      </c>
      <c r="X19" s="178" t="e">
        <f t="shared" si="8"/>
        <v>#N/A</v>
      </c>
      <c r="Y19" s="178" t="e">
        <f t="shared" si="8"/>
        <v>#N/A</v>
      </c>
      <c r="Z19" s="178" t="e">
        <f t="shared" si="8"/>
        <v>#N/A</v>
      </c>
      <c r="AA19" s="178" t="e">
        <f t="shared" si="8"/>
        <v>#N/A</v>
      </c>
      <c r="AB19" s="178" t="e">
        <f t="shared" si="8"/>
        <v>#N/A</v>
      </c>
      <c r="AC19" s="178" t="e">
        <f t="shared" si="8"/>
        <v>#N/A</v>
      </c>
    </row>
    <row r="21" spans="1:29">
      <c r="C21" s="209" t="s">
        <v>1009</v>
      </c>
      <c r="D21" s="209"/>
      <c r="E21" s="209"/>
      <c r="F21" s="209"/>
      <c r="G21" s="209"/>
      <c r="H21" s="209"/>
      <c r="I21" s="209"/>
      <c r="J21" s="209"/>
      <c r="K21" s="209"/>
      <c r="L21" s="209"/>
      <c r="M21" s="209"/>
      <c r="N21" s="209"/>
      <c r="O21" s="209"/>
      <c r="P21" s="209"/>
      <c r="Q21" s="209"/>
      <c r="R21" s="209"/>
      <c r="S21" s="209"/>
      <c r="T21" s="209"/>
      <c r="U21" s="209"/>
      <c r="V21" s="209"/>
      <c r="W21" s="209"/>
      <c r="X21" s="209"/>
      <c r="Y21" s="209"/>
      <c r="Z21" s="209"/>
      <c r="AA21" s="209"/>
      <c r="AB21" s="209"/>
      <c r="AC21" s="209"/>
    </row>
    <row r="23" spans="1:29">
      <c r="C23" s="180" t="s">
        <v>868</v>
      </c>
      <c r="D23" s="180"/>
      <c r="E23" s="180"/>
      <c r="F23" s="180">
        <f>'IS onshore'!F57</f>
        <v>0</v>
      </c>
      <c r="G23" s="180">
        <f>'IS onshore'!G57</f>
        <v>0</v>
      </c>
      <c r="H23" s="180">
        <f>'IS onshore'!H57</f>
        <v>0</v>
      </c>
      <c r="I23" s="180">
        <f>'IS onshore'!I57</f>
        <v>0</v>
      </c>
      <c r="J23" s="180">
        <f>'IS onshore'!J57</f>
        <v>0</v>
      </c>
      <c r="K23" s="180">
        <f>'IS onshore'!K57</f>
        <v>0</v>
      </c>
      <c r="L23" s="180">
        <f>'IS onshore'!L57</f>
        <v>0</v>
      </c>
      <c r="M23" s="180">
        <f>'IS onshore'!M57</f>
        <v>0</v>
      </c>
      <c r="N23" s="180">
        <f>'IS onshore'!N57</f>
        <v>0</v>
      </c>
      <c r="O23" s="180">
        <f>'IS onshore'!O57</f>
        <v>0</v>
      </c>
      <c r="P23" s="180">
        <f>'IS onshore'!P57</f>
        <v>0</v>
      </c>
      <c r="Q23" s="180">
        <f>'IS onshore'!Q57</f>
        <v>0</v>
      </c>
      <c r="R23" s="180">
        <f>'IS onshore'!R57</f>
        <v>0</v>
      </c>
      <c r="S23" s="180">
        <f>'IS onshore'!S57</f>
        <v>0</v>
      </c>
      <c r="T23" s="180">
        <f>'IS onshore'!T57</f>
        <v>0</v>
      </c>
      <c r="U23" s="180">
        <f>'IS onshore'!U57</f>
        <v>0</v>
      </c>
      <c r="V23" s="180">
        <f>'IS onshore'!V57</f>
        <v>0</v>
      </c>
      <c r="W23" s="180">
        <f>'IS onshore'!W57</f>
        <v>0</v>
      </c>
      <c r="X23" s="180">
        <f>'IS onshore'!X57</f>
        <v>0</v>
      </c>
      <c r="Y23" s="180">
        <f>'IS onshore'!Y57</f>
        <v>0</v>
      </c>
      <c r="Z23" s="180">
        <f>'IS onshore'!Z57</f>
        <v>0</v>
      </c>
      <c r="AA23" s="180">
        <f>'IS onshore'!AA57</f>
        <v>0</v>
      </c>
      <c r="AB23" s="180">
        <f>'IS onshore'!AB57</f>
        <v>0</v>
      </c>
      <c r="AC23" s="180">
        <f>'IS onshore'!AC57</f>
        <v>0</v>
      </c>
    </row>
    <row r="24" spans="1:29">
      <c r="C24" s="262" t="s">
        <v>20</v>
      </c>
      <c r="D24" s="263"/>
      <c r="E24" s="263"/>
      <c r="F24" s="263">
        <f>IF(E8,IF(stub_switch,('BS onshore'!C136-'BS onshore'!F136),('BS onshore'!D136-'BS onshore'!F136)),('BS onshore'!E136-'BS onshore'!F136))</f>
        <v>0</v>
      </c>
      <c r="G24" s="263">
        <f>IF(F8,IF(stub_switch,('BS onshore'!D136-'BS onshore'!G136),('BS onshore'!E136-'BS onshore'!G136)),('BS onshore'!F136-'BS onshore'!G136))</f>
        <v>0</v>
      </c>
      <c r="H24" s="263">
        <f>IF(G8,IF(stub_switch,('BS onshore'!E136-'BS onshore'!H136),('BS onshore'!F136-'BS onshore'!H136)),('BS onshore'!G136-'BS onshore'!H136))</f>
        <v>0</v>
      </c>
      <c r="I24" s="263">
        <f>IF(H8,IF(stub_switch,('BS onshore'!F136-'BS onshore'!I136),('BS onshore'!G136-'BS onshore'!I136)),('BS onshore'!H136-'BS onshore'!I136))</f>
        <v>0</v>
      </c>
      <c r="J24" s="263">
        <f>IF(I8,IF(stub_switch,('BS onshore'!I136-'BS onshore'!J136),('BS onshore'!I136-'BS onshore'!J136)),('BS onshore'!I136-'BS onshore'!J136))</f>
        <v>0</v>
      </c>
      <c r="K24" s="263">
        <f ca="1">IF(J8,IF(stub_switch,('BS onshore'!H136-'BS onshore'!K136),('BS onshore'!I136-'BS onshore'!K136)),('BS onshore'!J136-'BS onshore'!K136))</f>
        <v>0</v>
      </c>
      <c r="L24" s="263">
        <f ca="1">IF(K8,IF(stub_switch,('BS onshore'!I136-'BS onshore'!L136),('BS onshore'!J136-'BS onshore'!L136)),('BS onshore'!K136-'BS onshore'!L136))</f>
        <v>0</v>
      </c>
      <c r="M24" s="263">
        <f ca="1">IF(L8,IF(stub_switch,('BS onshore'!J136-'BS onshore'!M136),('BS onshore'!K136-'BS onshore'!M136)),('BS onshore'!L136-'BS onshore'!M136))</f>
        <v>0</v>
      </c>
      <c r="N24" s="263">
        <f ca="1">IF(M8,IF(stub_switch,('BS onshore'!K136-'BS onshore'!N136),('BS onshore'!L136-'BS onshore'!N136)),('BS onshore'!M136-'BS onshore'!N136))</f>
        <v>0</v>
      </c>
      <c r="O24" s="263">
        <f ca="1">IF(N8,IF(stub_switch,('BS onshore'!L136-'BS onshore'!O136),('BS onshore'!M136-'BS onshore'!O136)),('BS onshore'!N136-'BS onshore'!O136))</f>
        <v>0</v>
      </c>
      <c r="P24" s="263">
        <f ca="1">IF(O8,IF(stub_switch,('BS onshore'!M136-'BS onshore'!P136),('BS onshore'!N136-'BS onshore'!P136)),('BS onshore'!O136-'BS onshore'!P136))</f>
        <v>0</v>
      </c>
      <c r="Q24" s="263">
        <f ca="1">IF(P8,IF(stub_switch,('BS onshore'!N136-'BS onshore'!Q136),('BS onshore'!O136-'BS onshore'!Q136)),('BS onshore'!P136-'BS onshore'!Q136))</f>
        <v>0</v>
      </c>
      <c r="R24" s="263">
        <f>IF(Q8,IF(stub_switch,('BS onshore'!P33-'BS onshore'!R33+'BS onshore'!P37-'BS onshore'!R37+'BS onshore'!P41-'BS onshore'!R41+'BS onshore'!P44-'BS onshore'!R44+'BS onshore'!R77-'BS onshore'!P77+'BS onshore'!R81-'BS onshore'!P81+'BS onshore'!R84-'BS onshore'!P84+'BS onshore'!R87-'BS onshore'!P87+'BS onshore'!R90-'BS onshore'!P90+'BS onshore'!R94-'BS onshore'!P94),('BS onshore'!P33-'BS onshore'!R33+'BS onshore'!P37-'BS onshore'!R37+'BS onshore'!P41-'BS onshore'!R41+'BS onshore'!P44-'BS onshore'!R44+'BS onshore'!R77-'BS onshore'!P77+'BS onshore'!R81-'BS onshore'!P81+'BS onshore'!R84-'BS onshore'!P84+'BS onshore'!R87-'BS onshore'!P87+'BS onshore'!R90-'BS onshore'!P90+'BS onshore'!R94-'BS onshore'!P94)),('BS onshore'!Q33-'BS onshore'!R33+'BS onshore'!Q37-'BS onshore'!R37+'BS onshore'!Q41-'BS onshore'!R41+'BS onshore'!Q44-'BS onshore'!R44+'BS onshore'!R77-'BS onshore'!Q77+'BS onshore'!R81-'BS onshore'!Q81+'BS onshore'!R84-'BS onshore'!Q84+'BS onshore'!R87-'BS onshore'!Q87+'BS onshore'!R90-'BS onshore'!Q90+'BS onshore'!R94-'BS onshore'!Q94))</f>
        <v>0</v>
      </c>
      <c r="S24" s="263">
        <f>IF(R8,IF(stub_switch,('BS onshore'!Q33-'BS onshore'!S33+'BS onshore'!Q37-'BS onshore'!S37+'BS onshore'!Q41-'BS onshore'!S41+'BS onshore'!Q44-'BS onshore'!S44+'BS onshore'!S77-'BS onshore'!Q77+'BS onshore'!S81-'BS onshore'!Q81+'BS onshore'!S84-'BS onshore'!Q84+'BS onshore'!S87-'BS onshore'!Q87+'BS onshore'!S90-'BS onshore'!Q90+'BS onshore'!S94-'BS onshore'!Q94),('BS onshore'!Q33-'BS onshore'!S33+'BS onshore'!Q37-'BS onshore'!S37+'BS onshore'!Q41-'BS onshore'!S41+'BS onshore'!Q44-'BS onshore'!S44+'BS onshore'!S77-'BS onshore'!Q77+'BS onshore'!S81-'BS onshore'!Q81+'BS onshore'!S84-'BS onshore'!Q84+'BS onshore'!S87-'BS onshore'!Q87+'BS onshore'!S90-'BS onshore'!Q90+'BS onshore'!S94-'BS onshore'!Q94)),('BS onshore'!R33-'BS onshore'!S33+'BS onshore'!R37-'BS onshore'!S37+'BS onshore'!R41-'BS onshore'!S41+'BS onshore'!R44-'BS onshore'!S44+'BS onshore'!S77-'BS onshore'!R77+'BS onshore'!S81-'BS onshore'!R81+'BS onshore'!S84-'BS onshore'!R84+'BS onshore'!S87-'BS onshore'!R87+'BS onshore'!S90-'BS onshore'!R90+'BS onshore'!S94-'BS onshore'!R94))</f>
        <v>0</v>
      </c>
      <c r="T24" s="263">
        <f>IF(S8,IF(stub_switch,('BS onshore'!R33-'BS onshore'!T33+'BS onshore'!R37-'BS onshore'!T37+'BS onshore'!R41-'BS onshore'!T41+'BS onshore'!R44-'BS onshore'!T44+'BS onshore'!T77-'BS onshore'!R77+'BS onshore'!T81-'BS onshore'!R81+'BS onshore'!T84-'BS onshore'!R84+'BS onshore'!T87-'BS onshore'!R87+'BS onshore'!T90-'BS onshore'!R90+'BS onshore'!T94-'BS onshore'!R94),('BS onshore'!R33-'BS onshore'!T33+'BS onshore'!R37-'BS onshore'!T37+'BS onshore'!R41-'BS onshore'!T41+'BS onshore'!R44-'BS onshore'!T44+'BS onshore'!T77-'BS onshore'!R77+'BS onshore'!T81-'BS onshore'!R81+'BS onshore'!T84-'BS onshore'!R84+'BS onshore'!T87-'BS onshore'!R87+'BS onshore'!T90-'BS onshore'!R90+'BS onshore'!T94-'BS onshore'!R94)),('BS onshore'!S33-'BS onshore'!T33+'BS onshore'!S37-'BS onshore'!T37+'BS onshore'!S41-'BS onshore'!T41+'BS onshore'!S44-'BS onshore'!T44+'BS onshore'!T77-'BS onshore'!S77+'BS onshore'!T81-'BS onshore'!S81+'BS onshore'!T84-'BS onshore'!S84+'BS onshore'!T87-'BS onshore'!S87+'BS onshore'!T90-'BS onshore'!S90+'BS onshore'!T94-'BS onshore'!S94))</f>
        <v>0</v>
      </c>
      <c r="U24" s="263">
        <f>IF(T8,IF(stub_switch,('BS onshore'!S33-'BS onshore'!U33+'BS onshore'!S37-'BS onshore'!U37+'BS onshore'!S41-'BS onshore'!U41+'BS onshore'!S44-'BS onshore'!U44+'BS onshore'!U77-'BS onshore'!S77+'BS onshore'!U81-'BS onshore'!S81+'BS onshore'!U84-'BS onshore'!S84+'BS onshore'!U87-'BS onshore'!S87+'BS onshore'!U90-'BS onshore'!S90+'BS onshore'!U94-'BS onshore'!S94),('BS onshore'!S33-'BS onshore'!U33+'BS onshore'!S37-'BS onshore'!U37+'BS onshore'!S41-'BS onshore'!U41+'BS onshore'!S44-'BS onshore'!U44+'BS onshore'!U77-'BS onshore'!S77+'BS onshore'!U81-'BS onshore'!S81+'BS onshore'!U84-'BS onshore'!S84+'BS onshore'!U87-'BS onshore'!S87+'BS onshore'!U90-'BS onshore'!S90+'BS onshore'!U94-'BS onshore'!S94)),('BS onshore'!T33-'BS onshore'!U33+'BS onshore'!T37-'BS onshore'!U37+'BS onshore'!T41-'BS onshore'!U41+'BS onshore'!T44-'BS onshore'!U44+'BS onshore'!U77-'BS onshore'!T77+'BS onshore'!U81-'BS onshore'!T81+'BS onshore'!U84-'BS onshore'!T84+'BS onshore'!U87-'BS onshore'!T87+'BS onshore'!U90-'BS onshore'!T90+'BS onshore'!U94-'BS onshore'!T94))</f>
        <v>0</v>
      </c>
      <c r="V24" s="263">
        <f>IF(U8,IF(stub_switch,('BS onshore'!T33-'BS onshore'!V33+'BS onshore'!T37-'BS onshore'!V37+'BS onshore'!T41-'BS onshore'!V41+'BS onshore'!T44-'BS onshore'!V44+'BS onshore'!V77-'BS onshore'!T77+'BS onshore'!V81-'BS onshore'!T81+'BS onshore'!V84-'BS onshore'!T84+'BS onshore'!V87-'BS onshore'!T87+'BS onshore'!V90-'BS onshore'!T90+'BS onshore'!V94-'BS onshore'!T94),('BS onshore'!T33-'BS onshore'!V33+'BS onshore'!T37-'BS onshore'!V37+'BS onshore'!T41-'BS onshore'!V41+'BS onshore'!T44-'BS onshore'!V44+'BS onshore'!V77-'BS onshore'!T77+'BS onshore'!V81-'BS onshore'!T81+'BS onshore'!V84-'BS onshore'!T84+'BS onshore'!V87-'BS onshore'!T87+'BS onshore'!V90-'BS onshore'!T90+'BS onshore'!V94-'BS onshore'!T94)),('BS onshore'!U33-'BS onshore'!V33+'BS onshore'!U37-'BS onshore'!V37+'BS onshore'!U41-'BS onshore'!V41+'BS onshore'!U44-'BS onshore'!V44+'BS onshore'!V77-'BS onshore'!U77+'BS onshore'!V81-'BS onshore'!U81+'BS onshore'!V84-'BS onshore'!U84+'BS onshore'!V87-'BS onshore'!U87+'BS onshore'!V90-'BS onshore'!U90+'BS onshore'!V94-'BS onshore'!U94))</f>
        <v>0</v>
      </c>
      <c r="W24" s="263">
        <f>IF(V8,IF(stub_switch,('BS onshore'!U33-'BS onshore'!W33+'BS onshore'!U37-'BS onshore'!W37+'BS onshore'!U41-'BS onshore'!W41+'BS onshore'!U44-'BS onshore'!W44+'BS onshore'!W77-'BS onshore'!U77+'BS onshore'!W81-'BS onshore'!U81+'BS onshore'!W84-'BS onshore'!U84+'BS onshore'!W87-'BS onshore'!U87+'BS onshore'!W90-'BS onshore'!U90+'BS onshore'!W94-'BS onshore'!U94),('BS onshore'!U33-'BS onshore'!W33+'BS onshore'!U37-'BS onshore'!W37+'BS onshore'!U41-'BS onshore'!W41+'BS onshore'!U44-'BS onshore'!W44+'BS onshore'!W77-'BS onshore'!U77+'BS onshore'!W81-'BS onshore'!U81+'BS onshore'!W84-'BS onshore'!U84+'BS onshore'!W87-'BS onshore'!U87+'BS onshore'!W90-'BS onshore'!U90+'BS onshore'!W94-'BS onshore'!U94)),('BS onshore'!V33-'BS onshore'!W33+'BS onshore'!V37-'BS onshore'!W37+'BS onshore'!V41-'BS onshore'!W41+'BS onshore'!V44-'BS onshore'!W44+'BS onshore'!W77-'BS onshore'!V77+'BS onshore'!W81-'BS onshore'!V81+'BS onshore'!W84-'BS onshore'!V84+'BS onshore'!W87-'BS onshore'!V87+'BS onshore'!W90-'BS onshore'!V90+'BS onshore'!W94-'BS onshore'!V94))</f>
        <v>0</v>
      </c>
      <c r="X24" s="263">
        <f>IF(W8,IF(stub_switch,('BS onshore'!V33-'BS onshore'!X33+'BS onshore'!V37-'BS onshore'!X37+'BS onshore'!V41-'BS onshore'!X41+'BS onshore'!V44-'BS onshore'!X44+'BS onshore'!X77-'BS onshore'!V77+'BS onshore'!X81-'BS onshore'!V81+'BS onshore'!X84-'BS onshore'!V84+'BS onshore'!X87-'BS onshore'!V87+'BS onshore'!X90-'BS onshore'!V90+'BS onshore'!X94-'BS onshore'!V94),('BS onshore'!V33-'BS onshore'!X33+'BS onshore'!V37-'BS onshore'!X37+'BS onshore'!V41-'BS onshore'!X41+'BS onshore'!V44-'BS onshore'!X44+'BS onshore'!X77-'BS onshore'!V77+'BS onshore'!X81-'BS onshore'!V81+'BS onshore'!X84-'BS onshore'!V84+'BS onshore'!X87-'BS onshore'!V87+'BS onshore'!X90-'BS onshore'!V90+'BS onshore'!X94-'BS onshore'!V94)),('BS onshore'!W33-'BS onshore'!X33+'BS onshore'!W37-'BS onshore'!X37+'BS onshore'!W41-'BS onshore'!X41+'BS onshore'!W44-'BS onshore'!X44+'BS onshore'!X77-'BS onshore'!W77+'BS onshore'!X81-'BS onshore'!W81+'BS onshore'!X84-'BS onshore'!W84+'BS onshore'!X87-'BS onshore'!W87+'BS onshore'!X90-'BS onshore'!W90+'BS onshore'!X94-'BS onshore'!W94))</f>
        <v>0</v>
      </c>
      <c r="Y24" s="263">
        <f>IF(X8,IF(stub_switch,('BS onshore'!W33-'BS onshore'!Y33+'BS onshore'!W37-'BS onshore'!Y37+'BS onshore'!W41-'BS onshore'!Y41+'BS onshore'!W44-'BS onshore'!Y44+'BS onshore'!Y77-'BS onshore'!W77+'BS onshore'!Y81-'BS onshore'!W81+'BS onshore'!Y84-'BS onshore'!W84+'BS onshore'!Y87-'BS onshore'!W87+'BS onshore'!Y90-'BS onshore'!W90+'BS onshore'!Y94-'BS onshore'!W94),('BS onshore'!W33-'BS onshore'!Y33+'BS onshore'!W37-'BS onshore'!Y37+'BS onshore'!W41-'BS onshore'!Y41+'BS onshore'!W44-'BS onshore'!Y44+'BS onshore'!Y77-'BS onshore'!W77+'BS onshore'!Y81-'BS onshore'!W81+'BS onshore'!Y84-'BS onshore'!W84+'BS onshore'!Y87-'BS onshore'!W87+'BS onshore'!Y90-'BS onshore'!W90+'BS onshore'!Y94-'BS onshore'!W94)),('BS onshore'!X33-'BS onshore'!Y33+'BS onshore'!X37-'BS onshore'!Y37+'BS onshore'!X41-'BS onshore'!Y41+'BS onshore'!X44-'BS onshore'!Y44+'BS onshore'!Y77-'BS onshore'!X77+'BS onshore'!Y81-'BS onshore'!X81+'BS onshore'!Y84-'BS onshore'!X84+'BS onshore'!Y87-'BS onshore'!X87+'BS onshore'!Y90-'BS onshore'!X90+'BS onshore'!Y94-'BS onshore'!X94))</f>
        <v>0</v>
      </c>
      <c r="Z24" s="263">
        <f>IF(Y8,IF(stub_switch,('BS onshore'!X33-'BS onshore'!Z33+'BS onshore'!X37-'BS onshore'!Z37+'BS onshore'!X41-'BS onshore'!Z41+'BS onshore'!X44-'BS onshore'!Z44+'BS onshore'!Z77-'BS onshore'!X77+'BS onshore'!Z81-'BS onshore'!X81+'BS onshore'!Z84-'BS onshore'!X84+'BS onshore'!Z87-'BS onshore'!X87+'BS onshore'!Z90-'BS onshore'!X90+'BS onshore'!Z94-'BS onshore'!X94),('BS onshore'!X33-'BS onshore'!Z33+'BS onshore'!X37-'BS onshore'!Z37+'BS onshore'!X41-'BS onshore'!Z41+'BS onshore'!X44-'BS onshore'!Z44+'BS onshore'!Z77-'BS onshore'!X77+'BS onshore'!Z81-'BS onshore'!X81+'BS onshore'!Z84-'BS onshore'!X84+'BS onshore'!Z87-'BS onshore'!X87+'BS onshore'!Z90-'BS onshore'!X90+'BS onshore'!Z94-'BS onshore'!X94)),('BS onshore'!Y33-'BS onshore'!Z33+'BS onshore'!Y37-'BS onshore'!Z37+'BS onshore'!Y41-'BS onshore'!Z41+'BS onshore'!Y44-'BS onshore'!Z44+'BS onshore'!Z77-'BS onshore'!Y77+'BS onshore'!Z81-'BS onshore'!Y81+'BS onshore'!Z84-'BS onshore'!Y84+'BS onshore'!Z87-'BS onshore'!Y87+'BS onshore'!Z90-'BS onshore'!Y90+'BS onshore'!Z94-'BS onshore'!Y94))</f>
        <v>0</v>
      </c>
      <c r="AA24" s="263">
        <f>IF(Z8,IF(stub_switch,('BS onshore'!Y33-'BS onshore'!AA33+'BS onshore'!Y37-'BS onshore'!AA37+'BS onshore'!Y41-'BS onshore'!AA41+'BS onshore'!Y44-'BS onshore'!AA44+'BS onshore'!AA77-'BS onshore'!Y77+'BS onshore'!AA81-'BS onshore'!Y81+'BS onshore'!AA84-'BS onshore'!Y84+'BS onshore'!AA87-'BS onshore'!Y87+'BS onshore'!AA90-'BS onshore'!Y90+'BS onshore'!AA94-'BS onshore'!Y94),('BS onshore'!Y33-'BS onshore'!AA33+'BS onshore'!Y37-'BS onshore'!AA37+'BS onshore'!Y41-'BS onshore'!AA41+'BS onshore'!Y44-'BS onshore'!AA44+'BS onshore'!AA77-'BS onshore'!Y77+'BS onshore'!AA81-'BS onshore'!Y81+'BS onshore'!AA84-'BS onshore'!Y84+'BS onshore'!AA87-'BS onshore'!Y87+'BS onshore'!AA90-'BS onshore'!Y90+'BS onshore'!AA94-'BS onshore'!Y94)),('BS onshore'!Z33-'BS onshore'!AA33+'BS onshore'!Z37-'BS onshore'!AA37+'BS onshore'!Z41-'BS onshore'!AA41+'BS onshore'!Z44-'BS onshore'!AA44+'BS onshore'!AA77-'BS onshore'!Z77+'BS onshore'!AA81-'BS onshore'!Z81+'BS onshore'!AA84-'BS onshore'!Z84+'BS onshore'!AA87-'BS onshore'!Z87+'BS onshore'!AA90-'BS onshore'!Z90+'BS onshore'!AA94-'BS onshore'!Z94))</f>
        <v>0</v>
      </c>
      <c r="AB24" s="263">
        <f>IF(AA8,IF(stub_switch,('BS onshore'!Z33-'BS onshore'!AB33+'BS onshore'!Z37-'BS onshore'!AB37+'BS onshore'!Z41-'BS onshore'!AB41+'BS onshore'!Z44-'BS onshore'!AB44+'BS onshore'!AB77-'BS onshore'!Z77+'BS onshore'!AB81-'BS onshore'!Z81+'BS onshore'!AB84-'BS onshore'!Z84+'BS onshore'!AB87-'BS onshore'!Z87+'BS onshore'!AB90-'BS onshore'!Z90+'BS onshore'!AB94-'BS onshore'!Z94),('BS onshore'!Z33-'BS onshore'!AB33+'BS onshore'!Z37-'BS onshore'!AB37+'BS onshore'!Z41-'BS onshore'!AB41+'BS onshore'!Z44-'BS onshore'!AB44+'BS onshore'!AB77-'BS onshore'!Z77+'BS onshore'!AB81-'BS onshore'!Z81+'BS onshore'!AB84-'BS onshore'!Z84+'BS onshore'!AB87-'BS onshore'!Z87+'BS onshore'!AB90-'BS onshore'!Z90+'BS onshore'!AB94-'BS onshore'!Z94)),('BS onshore'!AA33-'BS onshore'!AB33+'BS onshore'!AA37-'BS onshore'!AB37+'BS onshore'!AA41-'BS onshore'!AB41+'BS onshore'!AA44-'BS onshore'!AB44+'BS onshore'!AB77-'BS onshore'!AA77+'BS onshore'!AB81-'BS onshore'!AA81+'BS onshore'!AB84-'BS onshore'!AA84+'BS onshore'!AB87-'BS onshore'!AA87+'BS onshore'!AB90-'BS onshore'!AA90+'BS onshore'!AB94-'BS onshore'!AA94))</f>
        <v>0</v>
      </c>
      <c r="AC24" s="263">
        <f>IF(AB8,IF(stub_switch,('BS onshore'!AA33-'BS onshore'!AC33+'BS onshore'!AA37-'BS onshore'!AC37+'BS onshore'!AA41-'BS onshore'!AC41+'BS onshore'!AA44-'BS onshore'!AC44+'BS onshore'!AC77-'BS onshore'!AA77+'BS onshore'!AC81-'BS onshore'!AA81+'BS onshore'!AC84-'BS onshore'!AA84+'BS onshore'!AC87-'BS onshore'!AA87+'BS onshore'!AC90-'BS onshore'!AA90+'BS onshore'!AC94-'BS onshore'!AA94),('BS onshore'!AA33-'BS onshore'!AC33+'BS onshore'!AA37-'BS onshore'!AC37+'BS onshore'!AA41-'BS onshore'!AC41+'BS onshore'!AA44-'BS onshore'!AC44+'BS onshore'!AC77-'BS onshore'!AA77+'BS onshore'!AC81-'BS onshore'!AA81+'BS onshore'!AC84-'BS onshore'!AA84+'BS onshore'!AC87-'BS onshore'!AA87+'BS onshore'!AC90-'BS onshore'!AA90+'BS onshore'!AC94-'BS onshore'!AA94)),('BS onshore'!AB33-'BS onshore'!AC33+'BS onshore'!AB37-'BS onshore'!AC37+'BS onshore'!AB41-'BS onshore'!AC41+'BS onshore'!AB44-'BS onshore'!AC44+'BS onshore'!AC77-'BS onshore'!AB77+'BS onshore'!AC81-'BS onshore'!AB81+'BS onshore'!AC84-'BS onshore'!AB84+'BS onshore'!AC87-'BS onshore'!AB87+'BS onshore'!AC90-'BS onshore'!AB90+'BS onshore'!AC94-'BS onshore'!AB94))</f>
        <v>0</v>
      </c>
    </row>
    <row r="25" spans="1:29">
      <c r="C25" s="265" t="s">
        <v>677</v>
      </c>
      <c r="D25" s="263"/>
      <c r="E25" s="263"/>
      <c r="F25" s="263">
        <f>+'IS onshore'!F85</f>
        <v>0</v>
      </c>
      <c r="G25" s="263">
        <f>+'IS onshore'!G85</f>
        <v>0</v>
      </c>
      <c r="H25" s="263">
        <f>+'IS onshore'!H85</f>
        <v>0</v>
      </c>
      <c r="I25" s="263">
        <f>+'IS onshore'!I85</f>
        <v>0</v>
      </c>
      <c r="J25" s="263">
        <f>+'IS onshore'!J85</f>
        <v>0</v>
      </c>
      <c r="K25" s="263">
        <f>+'IS onshore'!K85</f>
        <v>0</v>
      </c>
      <c r="L25" s="263">
        <f>+'IS onshore'!L85</f>
        <v>0</v>
      </c>
      <c r="M25" s="263">
        <f>+'IS onshore'!M85</f>
        <v>0</v>
      </c>
      <c r="N25" s="263">
        <f>+'IS onshore'!N85</f>
        <v>0</v>
      </c>
      <c r="O25" s="263">
        <f>+'IS onshore'!O85</f>
        <v>0</v>
      </c>
      <c r="P25" s="263">
        <f>+'IS onshore'!P85</f>
        <v>0</v>
      </c>
      <c r="Q25" s="263">
        <f>+'IS onshore'!Q85</f>
        <v>0</v>
      </c>
      <c r="R25" s="263">
        <f>+'IS onshore'!R85</f>
        <v>0</v>
      </c>
      <c r="S25" s="263">
        <f>+'IS onshore'!S85</f>
        <v>0</v>
      </c>
      <c r="T25" s="263">
        <f>+'IS onshore'!T85</f>
        <v>0</v>
      </c>
      <c r="U25" s="263">
        <f>+'IS onshore'!U85</f>
        <v>0</v>
      </c>
      <c r="V25" s="263">
        <f>+'IS onshore'!V85</f>
        <v>0</v>
      </c>
      <c r="W25" s="263">
        <f>+'IS onshore'!W85</f>
        <v>0</v>
      </c>
      <c r="X25" s="263">
        <f>+'IS onshore'!X85</f>
        <v>0</v>
      </c>
      <c r="Y25" s="263">
        <f>+'IS onshore'!Y85</f>
        <v>0</v>
      </c>
      <c r="Z25" s="263">
        <f>+'IS onshore'!Z85</f>
        <v>0</v>
      </c>
      <c r="AA25" s="263">
        <f>+'IS onshore'!AA85</f>
        <v>0</v>
      </c>
      <c r="AB25" s="263">
        <f>+'IS onshore'!AB85</f>
        <v>0</v>
      </c>
      <c r="AC25" s="263">
        <f>+'IS onshore'!AC85</f>
        <v>0</v>
      </c>
    </row>
    <row r="26" spans="1:29">
      <c r="C26" s="264" t="s">
        <v>1086</v>
      </c>
      <c r="D26" s="263"/>
      <c r="E26" s="263"/>
      <c r="F26" s="263">
        <f>'BS onshore'!F115-'BS onshore'!E115</f>
        <v>0</v>
      </c>
      <c r="G26" s="263">
        <f>'BS onshore'!G115-'BS onshore'!F115</f>
        <v>0</v>
      </c>
      <c r="H26" s="263">
        <f>'BS onshore'!H115-'BS onshore'!G115</f>
        <v>0</v>
      </c>
      <c r="I26" s="263">
        <f>'BS onshore'!I115-'BS onshore'!H115</f>
        <v>0</v>
      </c>
      <c r="J26" s="263">
        <f>'BS onshore'!J115-'BS onshore'!I115</f>
        <v>0</v>
      </c>
      <c r="K26" s="263">
        <f>'BS onshore'!K115-'BS onshore'!J115</f>
        <v>0</v>
      </c>
      <c r="L26" s="263">
        <f>'BS onshore'!L115-'BS onshore'!K115</f>
        <v>0</v>
      </c>
      <c r="M26" s="263">
        <f>'BS onshore'!M115-'BS onshore'!L115</f>
        <v>0</v>
      </c>
      <c r="N26" s="263">
        <f>'BS onshore'!N115-'BS onshore'!M115</f>
        <v>0</v>
      </c>
      <c r="O26" s="263">
        <f>'BS onshore'!O115-'BS onshore'!N115</f>
        <v>0</v>
      </c>
      <c r="P26" s="263">
        <f>'BS onshore'!P115-'BS onshore'!O115</f>
        <v>0</v>
      </c>
      <c r="Q26" s="263">
        <f>'BS onshore'!Q115-'BS onshore'!P115</f>
        <v>0</v>
      </c>
      <c r="R26" s="263">
        <f>'BS onshore'!R115-'BS onshore'!Q115</f>
        <v>0</v>
      </c>
      <c r="S26" s="263">
        <f>'BS onshore'!S115-'BS onshore'!R115</f>
        <v>0</v>
      </c>
      <c r="T26" s="263">
        <f>'BS onshore'!T115-'BS onshore'!S115</f>
        <v>0</v>
      </c>
      <c r="U26" s="263">
        <f>'BS onshore'!U115-'BS onshore'!T115</f>
        <v>0</v>
      </c>
      <c r="V26" s="263">
        <f>'BS onshore'!V115-'BS onshore'!U115</f>
        <v>0</v>
      </c>
      <c r="W26" s="263">
        <f>'BS onshore'!W115-'BS onshore'!V115</f>
        <v>0</v>
      </c>
      <c r="X26" s="263">
        <f>'BS onshore'!X115-'BS onshore'!W115</f>
        <v>0</v>
      </c>
      <c r="Y26" s="263">
        <f>'BS onshore'!Y115-'BS onshore'!X115</f>
        <v>0</v>
      </c>
      <c r="Z26" s="263">
        <f>'BS onshore'!Z115-'BS onshore'!Y115</f>
        <v>0</v>
      </c>
      <c r="AA26" s="263">
        <f>'BS onshore'!AA115-'BS onshore'!Z115</f>
        <v>0</v>
      </c>
      <c r="AB26" s="263">
        <f>'BS onshore'!AB115-'BS onshore'!AA115</f>
        <v>0</v>
      </c>
      <c r="AC26" s="263">
        <f>'BS onshore'!AC115-'BS onshore'!AB115</f>
        <v>0</v>
      </c>
    </row>
    <row r="27" spans="1:29">
      <c r="C27" s="199" t="s">
        <v>678</v>
      </c>
      <c r="D27" s="199"/>
      <c r="E27" s="199"/>
      <c r="F27" s="199">
        <f t="shared" ref="F27" si="9">SUM(F23:F26)</f>
        <v>0</v>
      </c>
      <c r="G27" s="199">
        <f t="shared" ref="G27:AC27" si="10">SUM(G23:G26)</f>
        <v>0</v>
      </c>
      <c r="H27" s="199">
        <f t="shared" si="10"/>
        <v>0</v>
      </c>
      <c r="I27" s="199">
        <f t="shared" si="10"/>
        <v>0</v>
      </c>
      <c r="J27" s="199">
        <f t="shared" si="10"/>
        <v>0</v>
      </c>
      <c r="K27" s="199">
        <f t="shared" ca="1" si="10"/>
        <v>0</v>
      </c>
      <c r="L27" s="199">
        <f t="shared" ca="1" si="10"/>
        <v>0</v>
      </c>
      <c r="M27" s="199">
        <f t="shared" ca="1" si="10"/>
        <v>0</v>
      </c>
      <c r="N27" s="199">
        <f t="shared" ca="1" si="10"/>
        <v>0</v>
      </c>
      <c r="O27" s="199">
        <f t="shared" ca="1" si="10"/>
        <v>0</v>
      </c>
      <c r="P27" s="199">
        <f t="shared" ca="1" si="10"/>
        <v>0</v>
      </c>
      <c r="Q27" s="199">
        <f t="shared" ca="1" si="10"/>
        <v>0</v>
      </c>
      <c r="R27" s="199">
        <f t="shared" si="10"/>
        <v>0</v>
      </c>
      <c r="S27" s="199">
        <f t="shared" si="10"/>
        <v>0</v>
      </c>
      <c r="T27" s="199">
        <f t="shared" si="10"/>
        <v>0</v>
      </c>
      <c r="U27" s="199">
        <f t="shared" si="10"/>
        <v>0</v>
      </c>
      <c r="V27" s="199">
        <f t="shared" si="10"/>
        <v>0</v>
      </c>
      <c r="W27" s="199">
        <f t="shared" si="10"/>
        <v>0</v>
      </c>
      <c r="X27" s="199">
        <f t="shared" si="10"/>
        <v>0</v>
      </c>
      <c r="Y27" s="199">
        <f t="shared" si="10"/>
        <v>0</v>
      </c>
      <c r="Z27" s="199">
        <f t="shared" si="10"/>
        <v>0</v>
      </c>
      <c r="AA27" s="199">
        <f t="shared" si="10"/>
        <v>0</v>
      </c>
      <c r="AB27" s="199">
        <f t="shared" si="10"/>
        <v>0</v>
      </c>
      <c r="AC27" s="199">
        <f t="shared" si="10"/>
        <v>0</v>
      </c>
    </row>
    <row r="28" spans="1:29">
      <c r="C28" s="372" t="s">
        <v>1449</v>
      </c>
      <c r="D28" s="263"/>
      <c r="E28" s="263"/>
      <c r="F28" s="263">
        <f>-(OR(F6,F7)*('BS onshore'!F51-'BS onshore'!E51+'BS onshore'!F63-'BS onshore'!E63+'BS onshore'!F67-'BS onshore'!E67-'IS onshore'!F63))-IFERROR('CF onshore'!F9*(INDEX('Scenarios onshore'!106:106,MATCH('CF onshore'!F$5,'Scenarios onshore'!4:4,0))+INDEX('Scenarios onshore'!129:129,MATCH('CF onshore'!F$5,'Scenarios onshore'!4:4,0))),0)*Currency_conversion_BU1</f>
        <v>0</v>
      </c>
      <c r="G28" s="263">
        <f>-(OR(G6,G7)*('BS onshore'!G51-'BS onshore'!F51+'BS onshore'!G63-'BS onshore'!F63+'BS onshore'!G67-'BS onshore'!F67-'IS onshore'!G63))-IFERROR('CF onshore'!G9*(INDEX('Scenarios onshore'!106:106,MATCH('CF onshore'!G$5,'Scenarios onshore'!4:4,0))+INDEX('Scenarios onshore'!129:129,MATCH('CF onshore'!G$5,'Scenarios onshore'!4:4,0))),0)*Currency_conversion_BU1</f>
        <v>0</v>
      </c>
      <c r="H28" s="263">
        <f>-(OR(H6,H7)*('BS onshore'!H51-'BS onshore'!G51+'BS onshore'!H63-'BS onshore'!G63+'BS onshore'!H67-'BS onshore'!G67-'IS onshore'!H63))-IFERROR('CF onshore'!H9*(INDEX('Scenarios onshore'!106:106,MATCH('CF onshore'!H$5,'Scenarios onshore'!4:4,0))+INDEX('Scenarios onshore'!129:129,MATCH('CF onshore'!H$5,'Scenarios onshore'!4:4,0))),0)*Currency_conversion_BU1</f>
        <v>0</v>
      </c>
      <c r="I28" s="263">
        <f>-(OR(I6,I7)*('BS onshore'!I51-'BS onshore'!H51+'BS onshore'!I63-'BS onshore'!H63+'BS onshore'!I67-'BS onshore'!H67-'IS onshore'!I63))-IFERROR('CF onshore'!I9*(INDEX('Scenarios onshore'!106:106,MATCH('CF onshore'!I$5,'Scenarios onshore'!4:4,0))+INDEX('Scenarios onshore'!129:129,MATCH('CF onshore'!I$5,'Scenarios onshore'!4:4,0))),0)*Currency_conversion_BU1</f>
        <v>0</v>
      </c>
      <c r="J28" s="263">
        <f>-(OR(J6,J7)*('BS onshore'!J51-'BS onshore'!I51+'BS onshore'!J63-'BS onshore'!I63+'BS onshore'!J67-'BS onshore'!I67-'IS onshore'!J63))-IFERROR('CF onshore'!J9*(INDEX('Scenarios onshore'!106:106,MATCH('CF onshore'!J$5,'Scenarios onshore'!4:4,0))+INDEX('Scenarios onshore'!129:129,MATCH('CF onshore'!J$5,'Scenarios onshore'!4:4,0))),0)*Currency_conversion_BU1</f>
        <v>0</v>
      </c>
      <c r="K28" s="263">
        <f>-(OR(K6,K7)*('BS onshore'!K51-'BS onshore'!J51+'BS onshore'!K63-'BS onshore'!J63+'BS onshore'!K67-'BS onshore'!J67-'IS onshore'!K63))-IFERROR('CF onshore'!K9*(INDEX('Scenarios onshore'!106:106,MATCH('CF onshore'!K$5,'Scenarios onshore'!4:4,0))+INDEX('Scenarios onshore'!129:129,MATCH('CF onshore'!K$5,'Scenarios onshore'!4:4,0))),0)*Currency_conversion_BU1</f>
        <v>0</v>
      </c>
      <c r="L28" s="263">
        <f>-(OR(L6,L7)*('BS onshore'!L51-'BS onshore'!K51+'BS onshore'!L63-'BS onshore'!K63+'BS onshore'!L67-'BS onshore'!K67-'IS onshore'!L63))-IFERROR('CF onshore'!L9*(INDEX('Scenarios onshore'!106:106,MATCH('CF onshore'!L$5,'Scenarios onshore'!4:4,0))+INDEX('Scenarios onshore'!129:129,MATCH('CF onshore'!L$5,'Scenarios onshore'!4:4,0))),0)*Currency_conversion_BU1</f>
        <v>0</v>
      </c>
      <c r="M28" s="263">
        <f>-(OR(M6,M7)*('BS onshore'!M51-'BS onshore'!L51+'BS onshore'!M63-'BS onshore'!L63+'BS onshore'!M67-'BS onshore'!L67-'IS onshore'!M63))-IFERROR('CF onshore'!M9*(INDEX('Scenarios onshore'!106:106,MATCH('CF onshore'!M$5,'Scenarios onshore'!4:4,0))+INDEX('Scenarios onshore'!129:129,MATCH('CF onshore'!M$5,'Scenarios onshore'!4:4,0))),0)*Currency_conversion_BU1</f>
        <v>0</v>
      </c>
      <c r="N28" s="263">
        <f>-(OR(N6,N7)*('BS onshore'!N51-'BS onshore'!M51+'BS onshore'!N63-'BS onshore'!M63+'BS onshore'!N67-'BS onshore'!M67-'IS onshore'!N63))-IFERROR('CF onshore'!N9*(INDEX('Scenarios onshore'!106:106,MATCH('CF onshore'!N$5,'Scenarios onshore'!4:4,0))+INDEX('Scenarios onshore'!129:129,MATCH('CF onshore'!N$5,'Scenarios onshore'!4:4,0))),0)*Currency_conversion_BU1</f>
        <v>0</v>
      </c>
      <c r="O28" s="263">
        <f>-(OR(O6,O7)*('BS onshore'!O51-'BS onshore'!N51+'BS onshore'!O63-'BS onshore'!N63+'BS onshore'!O67-'BS onshore'!N67-'IS onshore'!O63))-IFERROR('CF onshore'!O9*(INDEX('Scenarios onshore'!106:106,MATCH('CF onshore'!O$5,'Scenarios onshore'!4:4,0))+INDEX('Scenarios onshore'!129:129,MATCH('CF onshore'!O$5,'Scenarios onshore'!4:4,0))),0)*Currency_conversion_BU1</f>
        <v>0</v>
      </c>
      <c r="P28" s="263">
        <f>-(OR(P6,P7)*('BS onshore'!P51-'BS onshore'!O51+'BS onshore'!P63-'BS onshore'!O63+'BS onshore'!P67-'BS onshore'!O67-'IS onshore'!P63))-IFERROR('CF onshore'!P9*(INDEX('Scenarios onshore'!106:106,MATCH('CF onshore'!P$5,'Scenarios onshore'!4:4,0))+INDEX('Scenarios onshore'!129:129,MATCH('CF onshore'!P$5,'Scenarios onshore'!4:4,0))),0)*Currency_conversion_BU1</f>
        <v>0</v>
      </c>
      <c r="Q28" s="263">
        <f>-(OR(Q6,Q7)*('BS onshore'!Q51-'BS onshore'!P51+'BS onshore'!Q63-'BS onshore'!P63+'BS onshore'!Q67-'BS onshore'!P67-'IS onshore'!Q63))-IFERROR('CF onshore'!Q9*(INDEX('Scenarios onshore'!106:106,MATCH('CF onshore'!Q$5,'Scenarios onshore'!4:4,0))+INDEX('Scenarios onshore'!129:129,MATCH('CF onshore'!Q$5,'Scenarios onshore'!4:4,0))),0)*Currency_conversion_BU1</f>
        <v>0</v>
      </c>
      <c r="R28" s="263">
        <f>-(OR(R6,R7)*('BS onshore'!R51-'BS onshore'!Q51+'BS onshore'!R63-'BS onshore'!Q63+'BS onshore'!R67-'BS onshore'!Q67-'IS onshore'!R63))-IFERROR('CF onshore'!R9*(INDEX('Scenarios onshore'!106:106,MATCH('CF onshore'!R$5,'Scenarios onshore'!4:4,0))+INDEX('Scenarios onshore'!129:129,MATCH('CF onshore'!R$5,'Scenarios onshore'!4:4,0))),0)*Currency_conversion_BU1</f>
        <v>0</v>
      </c>
      <c r="S28" s="263">
        <f>-(OR(S6,S7)*('BS onshore'!S51-'BS onshore'!R51+'BS onshore'!S63-'BS onshore'!R63+'BS onshore'!S67-'BS onshore'!R67-'IS onshore'!S63))-IFERROR('CF onshore'!S9*(INDEX('Scenarios onshore'!106:106,MATCH('CF onshore'!S$5,'Scenarios onshore'!4:4,0))+INDEX('Scenarios onshore'!129:129,MATCH('CF onshore'!S$5,'Scenarios onshore'!4:4,0))),0)*Currency_conversion_BU1</f>
        <v>0</v>
      </c>
      <c r="T28" s="263">
        <f>-(OR(T6,T7)*('BS onshore'!T51-'BS onshore'!S51+'BS onshore'!T63-'BS onshore'!S63+'BS onshore'!T67-'BS onshore'!S67-'IS onshore'!T63))-IFERROR('CF onshore'!T9*(INDEX('Scenarios onshore'!106:106,MATCH('CF onshore'!T$5,'Scenarios onshore'!4:4,0))+INDEX('Scenarios onshore'!129:129,MATCH('CF onshore'!T$5,'Scenarios onshore'!4:4,0))),0)*Currency_conversion_BU1</f>
        <v>0</v>
      </c>
      <c r="U28" s="263">
        <f>-(OR(U6,U7)*('BS onshore'!U51-'BS onshore'!T51+'BS onshore'!U63-'BS onshore'!T63+'BS onshore'!U67-'BS onshore'!T67-'IS onshore'!U63))-IFERROR('CF onshore'!U9*(INDEX('Scenarios onshore'!106:106,MATCH('CF onshore'!U$5,'Scenarios onshore'!4:4,0))+INDEX('Scenarios onshore'!129:129,MATCH('CF onshore'!U$5,'Scenarios onshore'!4:4,0))),0)*Currency_conversion_BU1</f>
        <v>0</v>
      </c>
      <c r="V28" s="263">
        <f>-(OR(V6,V7)*('BS onshore'!V51-'BS onshore'!U51+'BS onshore'!V63-'BS onshore'!U63+'BS onshore'!V67-'BS onshore'!U67-'IS onshore'!V63))-IFERROR('CF onshore'!V9*(INDEX('Scenarios onshore'!106:106,MATCH('CF onshore'!V$5,'Scenarios onshore'!4:4,0))+INDEX('Scenarios onshore'!129:129,MATCH('CF onshore'!V$5,'Scenarios onshore'!4:4,0))),0)*Currency_conversion_BU1</f>
        <v>0</v>
      </c>
      <c r="W28" s="263">
        <f>-(OR(W6,W7)*('BS onshore'!W51-'BS onshore'!V51+'BS onshore'!W63-'BS onshore'!V63+'BS onshore'!W67-'BS onshore'!V67-'IS onshore'!W63))-IFERROR('CF onshore'!W9*(INDEX('Scenarios onshore'!106:106,MATCH('CF onshore'!W$5,'Scenarios onshore'!4:4,0))+INDEX('Scenarios onshore'!129:129,MATCH('CF onshore'!W$5,'Scenarios onshore'!4:4,0))),0)*Currency_conversion_BU1</f>
        <v>0</v>
      </c>
      <c r="X28" s="263">
        <f>-(OR(X6,X7)*('BS onshore'!X51-'BS onshore'!W51+'BS onshore'!X63-'BS onshore'!W63+'BS onshore'!X67-'BS onshore'!W67-'IS onshore'!X63))-IFERROR('CF onshore'!X9*(INDEX('Scenarios onshore'!106:106,MATCH('CF onshore'!X$5,'Scenarios onshore'!4:4,0))+INDEX('Scenarios onshore'!129:129,MATCH('CF onshore'!X$5,'Scenarios onshore'!4:4,0))),0)*Currency_conversion_BU1</f>
        <v>0</v>
      </c>
      <c r="Y28" s="263">
        <f>-(OR(Y6,Y7)*('BS onshore'!Y51-'BS onshore'!X51+'BS onshore'!Y63-'BS onshore'!X63+'BS onshore'!Y67-'BS onshore'!X67-'IS onshore'!Y63))-IFERROR('CF onshore'!Y9*(INDEX('Scenarios onshore'!106:106,MATCH('CF onshore'!Y$5,'Scenarios onshore'!4:4,0))+INDEX('Scenarios onshore'!129:129,MATCH('CF onshore'!Y$5,'Scenarios onshore'!4:4,0))),0)*Currency_conversion_BU1</f>
        <v>0</v>
      </c>
      <c r="Z28" s="263">
        <f>-(OR(Z6,Z7)*('BS onshore'!Z51-'BS onshore'!Y51+'BS onshore'!Z63-'BS onshore'!Y63+'BS onshore'!Z67-'BS onshore'!Y67-'IS onshore'!Z63))-IFERROR('CF onshore'!Z9*(INDEX('Scenarios onshore'!106:106,MATCH('CF onshore'!Z$5,'Scenarios onshore'!4:4,0))+INDEX('Scenarios onshore'!129:129,MATCH('CF onshore'!Z$5,'Scenarios onshore'!4:4,0))),0)*Currency_conversion_BU1</f>
        <v>0</v>
      </c>
      <c r="AA28" s="263">
        <f>-(OR(AA6,AA7)*('BS onshore'!AA51-'BS onshore'!Z51+'BS onshore'!AA63-'BS onshore'!Z63+'BS onshore'!AA67-'BS onshore'!Z67-'IS onshore'!AA63))-IFERROR('CF onshore'!AA9*(INDEX('Scenarios onshore'!106:106,MATCH('CF onshore'!AA$5,'Scenarios onshore'!4:4,0))+INDEX('Scenarios onshore'!129:129,MATCH('CF onshore'!AA$5,'Scenarios onshore'!4:4,0))),0)*Currency_conversion_BU1</f>
        <v>0</v>
      </c>
      <c r="AB28" s="263">
        <f>-(OR(AB6,AB7)*('BS onshore'!AB51-'BS onshore'!AA51+'BS onshore'!AB63-'BS onshore'!AA63+'BS onshore'!AB67-'BS onshore'!AA67-'IS onshore'!AB63))-IFERROR('CF onshore'!AB9*(INDEX('Scenarios onshore'!106:106,MATCH('CF onshore'!AB$5,'Scenarios onshore'!4:4,0))+INDEX('Scenarios onshore'!129:129,MATCH('CF onshore'!AB$5,'Scenarios onshore'!4:4,0))),0)*Currency_conversion_BU1</f>
        <v>0</v>
      </c>
      <c r="AC28" s="263">
        <f>-(OR(AC6,AC7)*('BS onshore'!AC51-'BS onshore'!AB51+'BS onshore'!AC63-'BS onshore'!AB63+'BS onshore'!AC67-'BS onshore'!AB67-'IS onshore'!AC63))-IFERROR('CF onshore'!AC9*(INDEX('Scenarios onshore'!106:106,MATCH('CF onshore'!AC$5,'Scenarios onshore'!4:4,0))+INDEX('Scenarios onshore'!129:129,MATCH('CF onshore'!AC$5,'Scenarios onshore'!4:4,0))),0)*Currency_conversion_BU1</f>
        <v>0</v>
      </c>
    </row>
    <row r="29" spans="1:29" hidden="1" outlineLevel="1">
      <c r="C29" s="372"/>
      <c r="D29" s="373" t="s">
        <v>1452</v>
      </c>
      <c r="E29" s="263"/>
      <c r="F29" s="197"/>
      <c r="G29" s="197"/>
      <c r="H29" s="197"/>
      <c r="I29" s="197"/>
      <c r="J29" s="197"/>
      <c r="K29" s="197"/>
      <c r="L29" s="197"/>
      <c r="M29" s="197"/>
      <c r="N29" s="197"/>
      <c r="O29" s="197"/>
      <c r="P29" s="197"/>
      <c r="Q29" s="197"/>
      <c r="R29" s="197"/>
      <c r="S29" s="197"/>
      <c r="T29" s="197"/>
      <c r="U29" s="197"/>
      <c r="V29" s="197"/>
      <c r="W29" s="197"/>
      <c r="X29" s="197"/>
      <c r="Y29" s="197"/>
      <c r="Z29" s="197"/>
      <c r="AA29" s="197"/>
      <c r="AB29" s="197"/>
      <c r="AC29" s="197"/>
    </row>
    <row r="30" spans="1:29" hidden="1" outlineLevel="1">
      <c r="C30" s="372"/>
      <c r="D30" s="373" t="s">
        <v>1450</v>
      </c>
      <c r="E30" s="263"/>
      <c r="F30" s="197"/>
      <c r="G30" s="197"/>
      <c r="H30" s="197"/>
      <c r="I30" s="197"/>
      <c r="J30" s="197"/>
      <c r="K30" s="197"/>
      <c r="L30" s="197"/>
      <c r="M30" s="197"/>
      <c r="N30" s="197"/>
      <c r="O30" s="197"/>
      <c r="P30" s="197"/>
      <c r="Q30" s="197"/>
      <c r="R30" s="197"/>
      <c r="S30" s="197"/>
      <c r="T30" s="197"/>
      <c r="U30" s="197"/>
      <c r="V30" s="197"/>
      <c r="W30" s="197"/>
      <c r="X30" s="197"/>
      <c r="Y30" s="197"/>
      <c r="Z30" s="197"/>
      <c r="AA30" s="197"/>
      <c r="AB30" s="197"/>
      <c r="AC30" s="197"/>
    </row>
    <row r="31" spans="1:29" hidden="1" outlineLevel="1">
      <c r="C31" s="372"/>
      <c r="D31" s="373" t="s">
        <v>1451</v>
      </c>
      <c r="E31" s="263"/>
      <c r="F31" s="263">
        <f t="shared" ref="F31:AC31" si="11">F28-F29-F30</f>
        <v>0</v>
      </c>
      <c r="G31" s="263">
        <f t="shared" si="11"/>
        <v>0</v>
      </c>
      <c r="H31" s="263">
        <f t="shared" si="11"/>
        <v>0</v>
      </c>
      <c r="I31" s="263">
        <f t="shared" si="11"/>
        <v>0</v>
      </c>
      <c r="J31" s="263">
        <f t="shared" si="11"/>
        <v>0</v>
      </c>
      <c r="K31" s="263">
        <f t="shared" si="11"/>
        <v>0</v>
      </c>
      <c r="L31" s="263">
        <f t="shared" si="11"/>
        <v>0</v>
      </c>
      <c r="M31" s="263">
        <f t="shared" si="11"/>
        <v>0</v>
      </c>
      <c r="N31" s="263">
        <f t="shared" si="11"/>
        <v>0</v>
      </c>
      <c r="O31" s="263">
        <f t="shared" si="11"/>
        <v>0</v>
      </c>
      <c r="P31" s="263">
        <f t="shared" si="11"/>
        <v>0</v>
      </c>
      <c r="Q31" s="263">
        <f t="shared" si="11"/>
        <v>0</v>
      </c>
      <c r="R31" s="263">
        <f t="shared" si="11"/>
        <v>0</v>
      </c>
      <c r="S31" s="263">
        <f t="shared" si="11"/>
        <v>0</v>
      </c>
      <c r="T31" s="263">
        <f t="shared" si="11"/>
        <v>0</v>
      </c>
      <c r="U31" s="263">
        <f t="shared" si="11"/>
        <v>0</v>
      </c>
      <c r="V31" s="263">
        <f t="shared" si="11"/>
        <v>0</v>
      </c>
      <c r="W31" s="263">
        <f t="shared" si="11"/>
        <v>0</v>
      </c>
      <c r="X31" s="263">
        <f t="shared" si="11"/>
        <v>0</v>
      </c>
      <c r="Y31" s="263">
        <f t="shared" si="11"/>
        <v>0</v>
      </c>
      <c r="Z31" s="263">
        <f t="shared" si="11"/>
        <v>0</v>
      </c>
      <c r="AA31" s="263">
        <f t="shared" si="11"/>
        <v>0</v>
      </c>
      <c r="AB31" s="263">
        <f t="shared" si="11"/>
        <v>0</v>
      </c>
      <c r="AC31" s="263">
        <f t="shared" si="11"/>
        <v>0</v>
      </c>
    </row>
    <row r="32" spans="1:29" collapsed="1">
      <c r="C32" s="266" t="s">
        <v>853</v>
      </c>
      <c r="D32" s="263"/>
      <c r="E32" s="263"/>
      <c r="F32" s="263">
        <f>'BS onshore'!E29-'BS onshore'!F29+'BS onshore'!E55-'BS onshore'!F55+'BS onshore'!E59-'BS onshore'!F59</f>
        <v>0</v>
      </c>
      <c r="G32" s="263">
        <f>'BS onshore'!F29-'BS onshore'!G29+'BS onshore'!F55-'BS onshore'!G55+'BS onshore'!F59-'BS onshore'!G59</f>
        <v>0</v>
      </c>
      <c r="H32" s="263">
        <f>'BS onshore'!G29-'BS onshore'!H29+'BS onshore'!G55-'BS onshore'!H55+'BS onshore'!G59-'BS onshore'!H59</f>
        <v>0</v>
      </c>
      <c r="I32" s="263">
        <f>'BS onshore'!H29-'BS onshore'!I29+'BS onshore'!H55-'BS onshore'!I55+'BS onshore'!H59-'BS onshore'!I59</f>
        <v>0</v>
      </c>
      <c r="J32" s="263">
        <f>'BS onshore'!I29-'BS onshore'!J29+'BS onshore'!I55-'BS onshore'!J55+'BS onshore'!I59-'BS onshore'!J59</f>
        <v>0</v>
      </c>
      <c r="K32" s="263">
        <f>'BS onshore'!J29-'BS onshore'!K29+'BS onshore'!J55-'BS onshore'!K55+'BS onshore'!J59-'BS onshore'!K59</f>
        <v>0</v>
      </c>
      <c r="L32" s="263">
        <f>'BS onshore'!K29-'BS onshore'!L29+'BS onshore'!K55-'BS onshore'!L55+'BS onshore'!K59-'BS onshore'!L59</f>
        <v>0</v>
      </c>
      <c r="M32" s="263">
        <f>'BS onshore'!L29-'BS onshore'!M29+'BS onshore'!L55-'BS onshore'!M55+'BS onshore'!L59-'BS onshore'!M59</f>
        <v>0</v>
      </c>
      <c r="N32" s="263">
        <f>'BS onshore'!M29-'BS onshore'!N29+'BS onshore'!M55-'BS onshore'!N55+'BS onshore'!M59-'BS onshore'!N59</f>
        <v>0</v>
      </c>
      <c r="O32" s="263">
        <f>'BS onshore'!N29-'BS onshore'!O29+'BS onshore'!N55-'BS onshore'!O55+'BS onshore'!N59-'BS onshore'!O59</f>
        <v>0</v>
      </c>
      <c r="P32" s="263">
        <f>'BS onshore'!O29-'BS onshore'!P29+'BS onshore'!O55-'BS onshore'!P55+'BS onshore'!O59-'BS onshore'!P59</f>
        <v>0</v>
      </c>
      <c r="Q32" s="263">
        <f>'BS onshore'!P29-'BS onshore'!Q29+'BS onshore'!P55-'BS onshore'!Q55+'BS onshore'!P59-'BS onshore'!Q59</f>
        <v>0</v>
      </c>
      <c r="R32" s="263">
        <f>'BS onshore'!Q29-'BS onshore'!R29+'BS onshore'!Q55-'BS onshore'!R55+'BS onshore'!Q59-'BS onshore'!R59</f>
        <v>0</v>
      </c>
      <c r="S32" s="263">
        <f>'BS onshore'!R29-'BS onshore'!S29+'BS onshore'!R55-'BS onshore'!S55+'BS onshore'!R59-'BS onshore'!S59</f>
        <v>0</v>
      </c>
      <c r="T32" s="263">
        <f>'BS onshore'!S29-'BS onshore'!T29+'BS onshore'!S55-'BS onshore'!T55+'BS onshore'!S59-'BS onshore'!T59</f>
        <v>0</v>
      </c>
      <c r="U32" s="263">
        <f>'BS onshore'!T29-'BS onshore'!U29+'BS onshore'!T55-'BS onshore'!U55+'BS onshore'!T59-'BS onshore'!U59</f>
        <v>0</v>
      </c>
      <c r="V32" s="263">
        <f>'BS onshore'!U29-'BS onshore'!V29+'BS onshore'!U55-'BS onshore'!V55+'BS onshore'!U59-'BS onshore'!V59</f>
        <v>0</v>
      </c>
      <c r="W32" s="263">
        <f>'BS onshore'!V29-'BS onshore'!W29+'BS onshore'!V55-'BS onshore'!W55+'BS onshore'!V59-'BS onshore'!W59</f>
        <v>0</v>
      </c>
      <c r="X32" s="263">
        <f>'BS onshore'!W29-'BS onshore'!X29+'BS onshore'!W55-'BS onshore'!X55+'BS onshore'!W59-'BS onshore'!X59</f>
        <v>0</v>
      </c>
      <c r="Y32" s="263">
        <f>'BS onshore'!X29-'BS onshore'!Y29+'BS onshore'!X55-'BS onshore'!Y55+'BS onshore'!X59-'BS onshore'!Y59</f>
        <v>0</v>
      </c>
      <c r="Z32" s="263">
        <f>'BS onshore'!Y29-'BS onshore'!Z29+'BS onshore'!Y55-'BS onshore'!Z55+'BS onshore'!Y59-'BS onshore'!Z59</f>
        <v>0</v>
      </c>
      <c r="AA32" s="263">
        <f>'BS onshore'!Z29-'BS onshore'!AA29+'BS onshore'!Z55-'BS onshore'!AA55+'BS onshore'!Z59-'BS onshore'!AA59</f>
        <v>0</v>
      </c>
      <c r="AB32" s="263">
        <f>'BS onshore'!AA29-'BS onshore'!AB29+'BS onshore'!AA55-'BS onshore'!AB55+'BS onshore'!AA59-'BS onshore'!AB59</f>
        <v>0</v>
      </c>
      <c r="AC32" s="263">
        <f>'BS onshore'!AB29-'BS onshore'!AC29+'BS onshore'!AB55-'BS onshore'!AC55+'BS onshore'!AB59-'BS onshore'!AC59</f>
        <v>0</v>
      </c>
    </row>
    <row r="33" spans="1:29">
      <c r="C33" s="199" t="s">
        <v>679</v>
      </c>
      <c r="D33" s="199"/>
      <c r="E33" s="199"/>
      <c r="F33" s="199">
        <f t="shared" ref="F33:AC33" si="12">F28+F32</f>
        <v>0</v>
      </c>
      <c r="G33" s="199">
        <f t="shared" si="12"/>
        <v>0</v>
      </c>
      <c r="H33" s="199">
        <f t="shared" si="12"/>
        <v>0</v>
      </c>
      <c r="I33" s="199">
        <f t="shared" si="12"/>
        <v>0</v>
      </c>
      <c r="J33" s="199">
        <f t="shared" si="12"/>
        <v>0</v>
      </c>
      <c r="K33" s="199">
        <f t="shared" si="12"/>
        <v>0</v>
      </c>
      <c r="L33" s="199">
        <f t="shared" si="12"/>
        <v>0</v>
      </c>
      <c r="M33" s="199">
        <f t="shared" si="12"/>
        <v>0</v>
      </c>
      <c r="N33" s="199">
        <f t="shared" si="12"/>
        <v>0</v>
      </c>
      <c r="O33" s="199">
        <f t="shared" si="12"/>
        <v>0</v>
      </c>
      <c r="P33" s="199">
        <f t="shared" si="12"/>
        <v>0</v>
      </c>
      <c r="Q33" s="199">
        <f t="shared" si="12"/>
        <v>0</v>
      </c>
      <c r="R33" s="199">
        <f t="shared" si="12"/>
        <v>0</v>
      </c>
      <c r="S33" s="199">
        <f t="shared" si="12"/>
        <v>0</v>
      </c>
      <c r="T33" s="199">
        <f t="shared" si="12"/>
        <v>0</v>
      </c>
      <c r="U33" s="199">
        <f t="shared" si="12"/>
        <v>0</v>
      </c>
      <c r="V33" s="199">
        <f t="shared" si="12"/>
        <v>0</v>
      </c>
      <c r="W33" s="199">
        <f t="shared" si="12"/>
        <v>0</v>
      </c>
      <c r="X33" s="199">
        <f t="shared" si="12"/>
        <v>0</v>
      </c>
      <c r="Y33" s="199">
        <f t="shared" si="12"/>
        <v>0</v>
      </c>
      <c r="Z33" s="199">
        <f t="shared" si="12"/>
        <v>0</v>
      </c>
      <c r="AA33" s="199">
        <f t="shared" si="12"/>
        <v>0</v>
      </c>
      <c r="AB33" s="199">
        <f t="shared" si="12"/>
        <v>0</v>
      </c>
      <c r="AC33" s="199">
        <f t="shared" si="12"/>
        <v>0</v>
      </c>
    </row>
    <row r="34" spans="1:29">
      <c r="C34" s="195" t="s">
        <v>783</v>
      </c>
      <c r="D34" s="195"/>
      <c r="E34" s="195"/>
      <c r="F34" s="195">
        <f>F33+F27</f>
        <v>0</v>
      </c>
      <c r="G34" s="195">
        <f t="shared" ref="G34:AC34" si="13">G33+G27</f>
        <v>0</v>
      </c>
      <c r="H34" s="195">
        <f t="shared" si="13"/>
        <v>0</v>
      </c>
      <c r="I34" s="195">
        <f t="shared" si="13"/>
        <v>0</v>
      </c>
      <c r="J34" s="195">
        <f t="shared" si="13"/>
        <v>0</v>
      </c>
      <c r="K34" s="195">
        <f t="shared" ca="1" si="13"/>
        <v>0</v>
      </c>
      <c r="L34" s="195">
        <f t="shared" ca="1" si="13"/>
        <v>0</v>
      </c>
      <c r="M34" s="195">
        <f t="shared" ca="1" si="13"/>
        <v>0</v>
      </c>
      <c r="N34" s="195">
        <f t="shared" ca="1" si="13"/>
        <v>0</v>
      </c>
      <c r="O34" s="195">
        <f t="shared" ca="1" si="13"/>
        <v>0</v>
      </c>
      <c r="P34" s="195">
        <f t="shared" ca="1" si="13"/>
        <v>0</v>
      </c>
      <c r="Q34" s="195">
        <f t="shared" ca="1" si="13"/>
        <v>0</v>
      </c>
      <c r="R34" s="195">
        <f t="shared" si="13"/>
        <v>0</v>
      </c>
      <c r="S34" s="195">
        <f t="shared" si="13"/>
        <v>0</v>
      </c>
      <c r="T34" s="195">
        <f t="shared" si="13"/>
        <v>0</v>
      </c>
      <c r="U34" s="195">
        <f t="shared" si="13"/>
        <v>0</v>
      </c>
      <c r="V34" s="195">
        <f t="shared" si="13"/>
        <v>0</v>
      </c>
      <c r="W34" s="195">
        <f t="shared" si="13"/>
        <v>0</v>
      </c>
      <c r="X34" s="195">
        <f t="shared" si="13"/>
        <v>0</v>
      </c>
      <c r="Y34" s="195">
        <f t="shared" si="13"/>
        <v>0</v>
      </c>
      <c r="Z34" s="195">
        <f t="shared" si="13"/>
        <v>0</v>
      </c>
      <c r="AA34" s="195">
        <f t="shared" si="13"/>
        <v>0</v>
      </c>
      <c r="AB34" s="195">
        <f t="shared" si="13"/>
        <v>0</v>
      </c>
      <c r="AC34" s="195">
        <f t="shared" si="13"/>
        <v>0</v>
      </c>
    </row>
    <row r="35" spans="1:29">
      <c r="A35" s="53"/>
      <c r="C35" s="265" t="s">
        <v>847</v>
      </c>
      <c r="D35" s="263"/>
      <c r="E35" s="263"/>
      <c r="F35" s="263">
        <f>+'IS onshore'!F77</f>
        <v>0</v>
      </c>
      <c r="G35" s="263">
        <f>+'IS onshore'!G77</f>
        <v>0</v>
      </c>
      <c r="H35" s="263">
        <f>+'IS onshore'!H77</f>
        <v>0</v>
      </c>
      <c r="I35" s="263">
        <f>+'IS onshore'!I77</f>
        <v>0</v>
      </c>
      <c r="J35" s="263">
        <f ca="1">+'IS onshore'!J77</f>
        <v>0</v>
      </c>
      <c r="K35" s="263">
        <f ca="1">+'IS onshore'!K77</f>
        <v>0</v>
      </c>
      <c r="L35" s="263">
        <f ca="1">+'IS onshore'!L77</f>
        <v>0</v>
      </c>
      <c r="M35" s="263">
        <f ca="1">+'IS onshore'!M77</f>
        <v>0</v>
      </c>
      <c r="N35" s="263">
        <f ca="1">+'IS onshore'!N77</f>
        <v>0</v>
      </c>
      <c r="O35" s="263">
        <f ca="1">+'IS onshore'!O77</f>
        <v>0</v>
      </c>
      <c r="P35" s="263">
        <f ca="1">+'IS onshore'!P77</f>
        <v>0</v>
      </c>
      <c r="Q35" s="263">
        <f>+'IS onshore'!Q77</f>
        <v>0</v>
      </c>
      <c r="R35" s="263">
        <f>+'IS onshore'!R77</f>
        <v>0</v>
      </c>
      <c r="S35" s="263">
        <f>+'IS onshore'!S77</f>
        <v>0</v>
      </c>
      <c r="T35" s="263">
        <f>+'IS onshore'!T77</f>
        <v>0</v>
      </c>
      <c r="U35" s="263">
        <f>+'IS onshore'!U77</f>
        <v>0</v>
      </c>
      <c r="V35" s="263">
        <f>+'IS onshore'!V77</f>
        <v>0</v>
      </c>
      <c r="W35" s="263">
        <f>+'IS onshore'!W77</f>
        <v>0</v>
      </c>
      <c r="X35" s="263">
        <f>+'IS onshore'!X77</f>
        <v>0</v>
      </c>
      <c r="Y35" s="263">
        <f>+'IS onshore'!Y77</f>
        <v>0</v>
      </c>
      <c r="Z35" s="263">
        <f>+'IS onshore'!Z77</f>
        <v>0</v>
      </c>
      <c r="AA35" s="263">
        <f>+'IS onshore'!AA77</f>
        <v>0</v>
      </c>
      <c r="AB35" s="263">
        <f>+'IS onshore'!AB77</f>
        <v>0</v>
      </c>
      <c r="AC35" s="263">
        <f>+'IS onshore'!AC77</f>
        <v>0</v>
      </c>
    </row>
    <row r="36" spans="1:29">
      <c r="C36" s="266" t="s">
        <v>1758</v>
      </c>
      <c r="D36" s="263"/>
      <c r="E36" s="263"/>
      <c r="F36" s="263">
        <f>F9*SUMIF('Financial Quarterly onshore'!7:7,'CF onshore'!F10,'Financial Quarterly onshore'!100:100)-F9*SUMIF('Financial Quarterly onshore'!7:7,'CF onshore'!F10,'Financial Quarterly onshore'!99:99)</f>
        <v>0</v>
      </c>
      <c r="G36" s="263">
        <f>G9*SUMIF('Financial Quarterly onshore'!7:7,'CF onshore'!G10,'Financial Quarterly onshore'!100:100)-G9*SUMIF('Financial Quarterly onshore'!7:7,'CF onshore'!G10,'Financial Quarterly onshore'!99:99)</f>
        <v>0</v>
      </c>
      <c r="H36" s="263">
        <f>H9*SUMIF('Financial Quarterly onshore'!7:7,'CF onshore'!H10,'Financial Quarterly onshore'!100:100)-H9*SUMIF('Financial Quarterly onshore'!7:7,'CF onshore'!H10,'Financial Quarterly onshore'!99:99)</f>
        <v>0</v>
      </c>
      <c r="I36" s="263">
        <f>I9*SUMIF('Financial Quarterly onshore'!7:7,'CF onshore'!I10,'Financial Quarterly onshore'!100:100)-I9*SUMIF('Financial Quarterly onshore'!7:7,'CF onshore'!I10,'Financial Quarterly onshore'!99:99)</f>
        <v>0</v>
      </c>
      <c r="J36" s="263">
        <f ca="1">J9*SUMIF('Financial Quarterly onshore'!7:7,'CF onshore'!J10,'Financial Quarterly onshore'!100:100)-J9*SUMIF('Financial Quarterly onshore'!7:7,'CF onshore'!J10,'Financial Quarterly onshore'!99:99)</f>
        <v>0</v>
      </c>
      <c r="K36" s="263">
        <f ca="1">K9*SUMIF('Financial Quarterly onshore'!7:7,'CF onshore'!K10,'Financial Quarterly onshore'!100:100)-K9*SUMIF('Financial Quarterly onshore'!7:7,'CF onshore'!K10,'Financial Quarterly onshore'!99:99)</f>
        <v>0</v>
      </c>
      <c r="L36" s="263">
        <f ca="1">L9*SUMIF('Financial Quarterly onshore'!7:7,'CF onshore'!L10,'Financial Quarterly onshore'!100:100)-L9*SUMIF('Financial Quarterly onshore'!7:7,'CF onshore'!L10,'Financial Quarterly onshore'!99:99)</f>
        <v>0</v>
      </c>
      <c r="M36" s="263">
        <f ca="1">M9*SUMIF('Financial Quarterly onshore'!7:7,'CF onshore'!M10,'Financial Quarterly onshore'!100:100)-M9*SUMIF('Financial Quarterly onshore'!7:7,'CF onshore'!M10,'Financial Quarterly onshore'!99:99)</f>
        <v>0</v>
      </c>
      <c r="N36" s="263">
        <f ca="1">N9*SUMIF('Financial Quarterly onshore'!7:7,'CF onshore'!N10,'Financial Quarterly onshore'!100:100)-N9*SUMIF('Financial Quarterly onshore'!7:7,'CF onshore'!N10,'Financial Quarterly onshore'!99:99)</f>
        <v>0</v>
      </c>
      <c r="O36" s="263">
        <f ca="1">O9*SUMIF('Financial Quarterly onshore'!7:7,'CF onshore'!O10,'Financial Quarterly onshore'!100:100)-O9*SUMIF('Financial Quarterly onshore'!7:7,'CF onshore'!O10,'Financial Quarterly onshore'!99:99)</f>
        <v>0</v>
      </c>
      <c r="P36" s="263">
        <f ca="1">P9*SUMIF('Financial Quarterly onshore'!7:7,'CF onshore'!P10,'Financial Quarterly onshore'!100:100)-P9*SUMIF('Financial Quarterly onshore'!7:7,'CF onshore'!P10,'Financial Quarterly onshore'!99:99)</f>
        <v>0</v>
      </c>
      <c r="Q36" s="263">
        <f>Q9*SUMIF('Financial Quarterly onshore'!7:7,'CF onshore'!Q10,'Financial Quarterly onshore'!100:100)-Q9*SUMIF('Financial Quarterly onshore'!7:7,'CF onshore'!Q10,'Financial Quarterly onshore'!99:99)</f>
        <v>0</v>
      </c>
      <c r="R36" s="263">
        <f>R9*SUMIF('Financial Quarterly onshore'!7:7,'CF onshore'!R10,'Financial Quarterly onshore'!100:100)-R9*SUMIF('Financial Quarterly onshore'!7:7,'CF onshore'!R10,'Financial Quarterly onshore'!99:99)</f>
        <v>0</v>
      </c>
      <c r="S36" s="263">
        <f>S9*SUMIF('Financial Quarterly onshore'!7:7,'CF onshore'!S10,'Financial Quarterly onshore'!100:100)-S9*SUMIF('Financial Quarterly onshore'!7:7,'CF onshore'!S10,'Financial Quarterly onshore'!99:99)</f>
        <v>0</v>
      </c>
      <c r="T36" s="263">
        <f>T9*SUMIF('Financial Quarterly onshore'!7:7,'CF onshore'!T10,'Financial Quarterly onshore'!100:100)-T9*SUMIF('Financial Quarterly onshore'!7:7,'CF onshore'!T10,'Financial Quarterly onshore'!99:99)</f>
        <v>0</v>
      </c>
      <c r="U36" s="263">
        <f>U9*SUMIF('Financial Quarterly onshore'!7:7,'CF onshore'!U10,'Financial Quarterly onshore'!100:100)-U9*SUMIF('Financial Quarterly onshore'!7:7,'CF onshore'!U10,'Financial Quarterly onshore'!99:99)</f>
        <v>0</v>
      </c>
      <c r="V36" s="263">
        <f>V9*SUMIF('Financial Quarterly onshore'!7:7,'CF onshore'!V10,'Financial Quarterly onshore'!100:100)-V9*SUMIF('Financial Quarterly onshore'!7:7,'CF onshore'!V10,'Financial Quarterly onshore'!99:99)</f>
        <v>0</v>
      </c>
      <c r="W36" s="263">
        <f>W9*SUMIF('Financial Quarterly onshore'!7:7,'CF onshore'!W10,'Financial Quarterly onshore'!100:100)-W9*SUMIF('Financial Quarterly onshore'!7:7,'CF onshore'!W10,'Financial Quarterly onshore'!99:99)</f>
        <v>0</v>
      </c>
      <c r="X36" s="263">
        <f>X9*SUMIF('Financial Quarterly onshore'!7:7,'CF onshore'!X10,'Financial Quarterly onshore'!100:100)-X9*SUMIF('Financial Quarterly onshore'!7:7,'CF onshore'!X10,'Financial Quarterly onshore'!99:99)</f>
        <v>0</v>
      </c>
      <c r="Y36" s="263">
        <f>Y9*SUMIF('Financial Quarterly onshore'!7:7,'CF onshore'!Y10,'Financial Quarterly onshore'!100:100)-Y9*SUMIF('Financial Quarterly onshore'!7:7,'CF onshore'!Y10,'Financial Quarterly onshore'!99:99)</f>
        <v>0</v>
      </c>
      <c r="Z36" s="263">
        <f>Z9*SUMIF('Financial Quarterly onshore'!7:7,'CF onshore'!Z10,'Financial Quarterly onshore'!100:100)-Z9*SUMIF('Financial Quarterly onshore'!7:7,'CF onshore'!Z10,'Financial Quarterly onshore'!99:99)</f>
        <v>0</v>
      </c>
      <c r="AA36" s="263">
        <f>AA9*SUMIF('Financial Quarterly onshore'!7:7,'CF onshore'!AA10,'Financial Quarterly onshore'!100:100)-AA9*SUMIF('Financial Quarterly onshore'!7:7,'CF onshore'!AA10,'Financial Quarterly onshore'!99:99)</f>
        <v>0</v>
      </c>
      <c r="AB36" s="263">
        <f>AB9*SUMIF('Financial Quarterly onshore'!7:7,'CF onshore'!AB10,'Financial Quarterly onshore'!100:100)-AB9*SUMIF('Financial Quarterly onshore'!7:7,'CF onshore'!AB10,'Financial Quarterly onshore'!99:99)</f>
        <v>0</v>
      </c>
      <c r="AC36" s="263">
        <f>AC9*SUMIF('Financial Quarterly onshore'!7:7,'CF onshore'!AC10,'Financial Quarterly onshore'!100:100)-AC9*SUMIF('Financial Quarterly onshore'!7:7,'CF onshore'!AC10,'Financial Quarterly onshore'!99:99)</f>
        <v>0</v>
      </c>
    </row>
    <row r="37" spans="1:29">
      <c r="C37" s="375" t="s">
        <v>1455</v>
      </c>
      <c r="D37" s="263"/>
      <c r="E37" s="263"/>
      <c r="F37" s="263">
        <f>+'IS onshore'!F86</f>
        <v>0</v>
      </c>
      <c r="G37" s="263">
        <f>+'IS onshore'!G86</f>
        <v>0</v>
      </c>
      <c r="H37" s="263">
        <f>+'IS onshore'!H86</f>
        <v>0</v>
      </c>
      <c r="I37" s="263">
        <f>+'IS onshore'!I86</f>
        <v>0</v>
      </c>
      <c r="J37" s="263">
        <f ca="1">+'IS onshore'!J86</f>
        <v>0</v>
      </c>
      <c r="K37" s="263">
        <f ca="1">+'IS onshore'!K86</f>
        <v>0</v>
      </c>
      <c r="L37" s="263">
        <f ca="1">+'IS onshore'!L86</f>
        <v>0</v>
      </c>
      <c r="M37" s="263">
        <f ca="1">+'IS onshore'!M86</f>
        <v>0</v>
      </c>
      <c r="N37" s="263">
        <f ca="1">+'IS onshore'!N86</f>
        <v>0</v>
      </c>
      <c r="O37" s="263">
        <f ca="1">+'IS onshore'!O86</f>
        <v>0</v>
      </c>
      <c r="P37" s="263">
        <f ca="1">+'IS onshore'!P86</f>
        <v>0</v>
      </c>
      <c r="Q37" s="263">
        <f>+'IS onshore'!Q86</f>
        <v>0</v>
      </c>
      <c r="R37" s="263">
        <f>+'IS onshore'!R86</f>
        <v>0</v>
      </c>
      <c r="S37" s="263">
        <f>+'IS onshore'!S86</f>
        <v>0</v>
      </c>
      <c r="T37" s="263">
        <f>+'IS onshore'!T86</f>
        <v>0</v>
      </c>
      <c r="U37" s="263">
        <f>+'IS onshore'!U86</f>
        <v>0</v>
      </c>
      <c r="V37" s="263">
        <f>+'IS onshore'!V86</f>
        <v>0</v>
      </c>
      <c r="W37" s="263">
        <f>+'IS onshore'!W86</f>
        <v>0</v>
      </c>
      <c r="X37" s="263">
        <f>+'IS onshore'!X86</f>
        <v>0</v>
      </c>
      <c r="Y37" s="263">
        <f>+'IS onshore'!Y86</f>
        <v>0</v>
      </c>
      <c r="Z37" s="263">
        <f>+'IS onshore'!Z86</f>
        <v>0</v>
      </c>
      <c r="AA37" s="263">
        <f>+'IS onshore'!AA86</f>
        <v>0</v>
      </c>
      <c r="AB37" s="263">
        <f>+'IS onshore'!AB86</f>
        <v>0</v>
      </c>
      <c r="AC37" s="263">
        <f>+'IS onshore'!AC86</f>
        <v>0</v>
      </c>
    </row>
    <row r="38" spans="1:29">
      <c r="C38" s="267" t="s">
        <v>843</v>
      </c>
      <c r="D38" s="263"/>
      <c r="E38" s="263"/>
      <c r="F38" s="263">
        <f>F9*SUMIF('Financial Quarterly onshore'!7:7,'CF onshore'!F10,'Financial Quarterly onshore'!101:101)</f>
        <v>0</v>
      </c>
      <c r="G38" s="263">
        <f>G9*SUMIF('Financial Quarterly onshore'!7:7,'CF onshore'!G10,'Financial Quarterly onshore'!101:101)</f>
        <v>0</v>
      </c>
      <c r="H38" s="263">
        <f>H9*SUMIF('Financial Quarterly onshore'!7:7,'CF onshore'!H10,'Financial Quarterly onshore'!101:101)</f>
        <v>0</v>
      </c>
      <c r="I38" s="263">
        <f>I9*SUMIF('Financial Quarterly onshore'!7:7,'CF onshore'!I10,'Financial Quarterly onshore'!101:101)</f>
        <v>0</v>
      </c>
      <c r="J38" s="263">
        <f ca="1">J9*SUMIF('Financial Quarterly onshore'!7:7,'CF onshore'!J10,'Financial Quarterly onshore'!101:101)</f>
        <v>0</v>
      </c>
      <c r="K38" s="263">
        <f ca="1">K9*SUMIF('Financial Quarterly onshore'!7:7,'CF onshore'!K10,'Financial Quarterly onshore'!101:101)</f>
        <v>0</v>
      </c>
      <c r="L38" s="263">
        <f ca="1">L9*SUMIF('Financial Quarterly onshore'!7:7,'CF onshore'!L10,'Financial Quarterly onshore'!101:101)</f>
        <v>0</v>
      </c>
      <c r="M38" s="263">
        <f ca="1">M9*SUMIF('Financial Quarterly onshore'!7:7,'CF onshore'!M10,'Financial Quarterly onshore'!101:101)</f>
        <v>0</v>
      </c>
      <c r="N38" s="263">
        <f ca="1">N9*SUMIF('Financial Quarterly onshore'!7:7,'CF onshore'!N10,'Financial Quarterly onshore'!101:101)</f>
        <v>0</v>
      </c>
      <c r="O38" s="263">
        <f ca="1">O9*SUMIF('Financial Quarterly onshore'!7:7,'CF onshore'!O10,'Financial Quarterly onshore'!101:101)</f>
        <v>0</v>
      </c>
      <c r="P38" s="263">
        <f ca="1">P9*SUMIF('Financial Quarterly onshore'!7:7,'CF onshore'!P10,'Financial Quarterly onshore'!101:101)</f>
        <v>0</v>
      </c>
      <c r="Q38" s="263">
        <f>Q9*SUMIF('Financial Quarterly onshore'!7:7,'CF onshore'!Q10,'Financial Quarterly onshore'!101:101)</f>
        <v>0</v>
      </c>
      <c r="R38" s="263">
        <f>R9*SUMIF('Financial Quarterly onshore'!7:7,'CF onshore'!R10,'Financial Quarterly onshore'!101:101)</f>
        <v>0</v>
      </c>
      <c r="S38" s="263">
        <f>S9*SUMIF('Financial Quarterly onshore'!7:7,'CF onshore'!S10,'Financial Quarterly onshore'!101:101)</f>
        <v>0</v>
      </c>
      <c r="T38" s="263">
        <f>T9*SUMIF('Financial Quarterly onshore'!7:7,'CF onshore'!T10,'Financial Quarterly onshore'!101:101)</f>
        <v>0</v>
      </c>
      <c r="U38" s="263">
        <f>U9*SUMIF('Financial Quarterly onshore'!7:7,'CF onshore'!U10,'Financial Quarterly onshore'!101:101)</f>
        <v>0</v>
      </c>
      <c r="V38" s="263">
        <f>V9*SUMIF('Financial Quarterly onshore'!7:7,'CF onshore'!V10,'Financial Quarterly onshore'!101:101)</f>
        <v>0</v>
      </c>
      <c r="W38" s="263">
        <f>W9*SUMIF('Financial Quarterly onshore'!7:7,'CF onshore'!W10,'Financial Quarterly onshore'!101:101)</f>
        <v>0</v>
      </c>
      <c r="X38" s="263">
        <f>X9*SUMIF('Financial Quarterly onshore'!7:7,'CF onshore'!X10,'Financial Quarterly onshore'!101:101)</f>
        <v>0</v>
      </c>
      <c r="Y38" s="263">
        <f>Y9*SUMIF('Financial Quarterly onshore'!7:7,'CF onshore'!Y10,'Financial Quarterly onshore'!101:101)</f>
        <v>0</v>
      </c>
      <c r="Z38" s="263">
        <f>Z9*SUMIF('Financial Quarterly onshore'!7:7,'CF onshore'!Z10,'Financial Quarterly onshore'!101:101)</f>
        <v>0</v>
      </c>
      <c r="AA38" s="263">
        <f>AA9*SUMIF('Financial Quarterly onshore'!7:7,'CF onshore'!AA10,'Financial Quarterly onshore'!101:101)</f>
        <v>0</v>
      </c>
      <c r="AB38" s="263">
        <f>AB9*SUMIF('Financial Quarterly onshore'!7:7,'CF onshore'!AB10,'Financial Quarterly onshore'!101:101)</f>
        <v>0</v>
      </c>
      <c r="AC38" s="263">
        <f>AC9*SUMIF('Financial Quarterly onshore'!7:7,'CF onshore'!AC10,'Financial Quarterly onshore'!101:101)</f>
        <v>0</v>
      </c>
    </row>
    <row r="39" spans="1:29">
      <c r="C39" s="267" t="s">
        <v>680</v>
      </c>
      <c r="D39" s="263"/>
      <c r="E39" s="263"/>
      <c r="F39" s="263">
        <f>OR(F8,F9)*SUMIF('Financial Quarterly onshore'!7:7,'CF onshore'!F10,'Financial Quarterly onshore'!102:102)</f>
        <v>0</v>
      </c>
      <c r="G39" s="263">
        <f>OR(G8,G9)*SUMIF('Financial Quarterly onshore'!7:7,'CF onshore'!G10,'Financial Quarterly onshore'!102:102)</f>
        <v>0</v>
      </c>
      <c r="H39" s="263">
        <f>OR(H8,H9)*SUMIF('Financial Quarterly onshore'!7:7,'CF onshore'!H10,'Financial Quarterly onshore'!102:102)</f>
        <v>0</v>
      </c>
      <c r="I39" s="263">
        <f>OR(I8,I9)*SUMIF('Financial Quarterly onshore'!7:7,'CF onshore'!I10,'Financial Quarterly onshore'!102:102)</f>
        <v>0</v>
      </c>
      <c r="J39" s="263">
        <f ca="1">OR(J8,J9)*SUMIF('Financial Quarterly onshore'!7:7,'CF onshore'!J10,'Financial Quarterly onshore'!102:102)</f>
        <v>0</v>
      </c>
      <c r="K39" s="263">
        <f ca="1">OR(K8,K9)*SUMIF('Financial Quarterly onshore'!7:7,'CF onshore'!K10,'Financial Quarterly onshore'!102:102)</f>
        <v>0</v>
      </c>
      <c r="L39" s="263">
        <f ca="1">OR(L8,L9)*SUMIF('Financial Quarterly onshore'!7:7,'CF onshore'!L10,'Financial Quarterly onshore'!102:102)</f>
        <v>0</v>
      </c>
      <c r="M39" s="263">
        <f ca="1">OR(M8,M9)*SUMIF('Financial Quarterly onshore'!7:7,'CF onshore'!M10,'Financial Quarterly onshore'!102:102)</f>
        <v>0</v>
      </c>
      <c r="N39" s="263">
        <f ca="1">OR(N8,N9)*SUMIF('Financial Quarterly onshore'!7:7,'CF onshore'!N10,'Financial Quarterly onshore'!102:102)</f>
        <v>0</v>
      </c>
      <c r="O39" s="263">
        <f ca="1">OR(O8,O9)*SUMIF('Financial Quarterly onshore'!7:7,'CF onshore'!O10,'Financial Quarterly onshore'!102:102)</f>
        <v>0</v>
      </c>
      <c r="P39" s="263">
        <f ca="1">OR(P8,P9)*SUMIF('Financial Quarterly onshore'!7:7,'CF onshore'!P10,'Financial Quarterly onshore'!102:102)</f>
        <v>0</v>
      </c>
      <c r="Q39" s="263">
        <f>OR(Q8,Q9)*SUMIF('Financial Quarterly onshore'!7:7,'CF onshore'!Q10,'Financial Quarterly onshore'!102:102)</f>
        <v>0</v>
      </c>
      <c r="R39" s="263">
        <f>OR(R8,R9)*SUMIF('Financial Quarterly onshore'!7:7,'CF onshore'!R10,'Financial Quarterly onshore'!102:102)</f>
        <v>0</v>
      </c>
      <c r="S39" s="263">
        <f>OR(S8,S9)*SUMIF('Financial Quarterly onshore'!7:7,'CF onshore'!S10,'Financial Quarterly onshore'!102:102)</f>
        <v>0</v>
      </c>
      <c r="T39" s="263">
        <f>OR(T8,T9)*SUMIF('Financial Quarterly onshore'!7:7,'CF onshore'!T10,'Financial Quarterly onshore'!102:102)</f>
        <v>0</v>
      </c>
      <c r="U39" s="263">
        <f>OR(U8,U9)*SUMIF('Financial Quarterly onshore'!7:7,'CF onshore'!U10,'Financial Quarterly onshore'!102:102)</f>
        <v>0</v>
      </c>
      <c r="V39" s="263">
        <f>OR(V8,V9)*SUMIF('Financial Quarterly onshore'!7:7,'CF onshore'!V10,'Financial Quarterly onshore'!102:102)</f>
        <v>0</v>
      </c>
      <c r="W39" s="263">
        <f>OR(W8,W9)*SUMIF('Financial Quarterly onshore'!7:7,'CF onshore'!W10,'Financial Quarterly onshore'!102:102)</f>
        <v>0</v>
      </c>
      <c r="X39" s="263">
        <f>OR(X8,X9)*SUMIF('Financial Quarterly onshore'!7:7,'CF onshore'!X10,'Financial Quarterly onshore'!102:102)</f>
        <v>0</v>
      </c>
      <c r="Y39" s="263">
        <f>OR(Y8,Y9)*SUMIF('Financial Quarterly onshore'!7:7,'CF onshore'!Y10,'Financial Quarterly onshore'!102:102)</f>
        <v>0</v>
      </c>
      <c r="Z39" s="263">
        <f>OR(Z8,Z9)*SUMIF('Financial Quarterly onshore'!7:7,'CF onshore'!Z10,'Financial Quarterly onshore'!102:102)</f>
        <v>0</v>
      </c>
      <c r="AA39" s="263">
        <f>OR(AA8,AA9)*SUMIF('Financial Quarterly onshore'!7:7,'CF onshore'!AA10,'Financial Quarterly onshore'!102:102)</f>
        <v>0</v>
      </c>
      <c r="AB39" s="263">
        <f>OR(AB8,AB9)*SUMIF('Financial Quarterly onshore'!7:7,'CF onshore'!AB10,'Financial Quarterly onshore'!102:102)</f>
        <v>0</v>
      </c>
      <c r="AC39" s="263">
        <f>OR(AC8,AC9)*SUMIF('Financial Quarterly onshore'!7:7,'CF onshore'!AC10,'Financial Quarterly onshore'!102:102)</f>
        <v>0</v>
      </c>
    </row>
    <row r="40" spans="1:29">
      <c r="C40" s="320" t="s">
        <v>1060</v>
      </c>
      <c r="D40" s="263"/>
      <c r="E40" s="263"/>
      <c r="F40" s="263">
        <f>F8*'Financial Quarterly onshore'!$D$98+F9*SUMIF('Financial Quarterly onshore'!7:7,'CF onshore'!F10,'Financial Quarterly onshore'!98:98)-IFERROR(E8*E40,0)</f>
        <v>0</v>
      </c>
      <c r="G40" s="263">
        <f>G8*'Financial Quarterly onshore'!$D$98+G9*SUMIF('Financial Quarterly onshore'!7:7,'CF onshore'!G10,'Financial Quarterly onshore'!98:98)-IFERROR(F8*F40,0)</f>
        <v>0</v>
      </c>
      <c r="H40" s="263">
        <f>H8*'Financial Quarterly onshore'!$D$98+H9*SUMIF('Financial Quarterly onshore'!7:7,'CF onshore'!H10,'Financial Quarterly onshore'!98:98)-IFERROR(G8*G40,0)</f>
        <v>0</v>
      </c>
      <c r="I40" s="263">
        <f>I8*'Financial Quarterly onshore'!$D$98+I9*SUMIF('Financial Quarterly onshore'!7:7,'CF onshore'!I10,'Financial Quarterly onshore'!98:98)-IFERROR(H8*H40,0)</f>
        <v>0</v>
      </c>
      <c r="J40" s="263">
        <f ca="1">J8*'Financial Quarterly onshore'!$D$98+J9*SUMIF('Financial Quarterly onshore'!7:7,'CF onshore'!J10,'Financial Quarterly onshore'!98:98)-IFERROR(I8*I40,0)</f>
        <v>0</v>
      </c>
      <c r="K40" s="263">
        <f ca="1">K8*'Financial Quarterly onshore'!$D$98+K9*SUMIF('Financial Quarterly onshore'!7:7,'CF onshore'!K10,'Financial Quarterly onshore'!98:98)-IFERROR(J8*J40,0)</f>
        <v>0</v>
      </c>
      <c r="L40" s="263">
        <f ca="1">L8*'Financial Quarterly onshore'!$D$98+L9*SUMIF('Financial Quarterly onshore'!7:7,'CF onshore'!L10,'Financial Quarterly onshore'!98:98)-IFERROR(K8*K40,0)</f>
        <v>0</v>
      </c>
      <c r="M40" s="263">
        <f ca="1">M8*'Financial Quarterly onshore'!$D$98+M9*SUMIF('Financial Quarterly onshore'!7:7,'CF onshore'!M10,'Financial Quarterly onshore'!98:98)-IFERROR(L8*L40,0)</f>
        <v>0</v>
      </c>
      <c r="N40" s="263">
        <f ca="1">N8*'Financial Quarterly onshore'!$D$98+N9*SUMIF('Financial Quarterly onshore'!7:7,'CF onshore'!N10,'Financial Quarterly onshore'!98:98)-IFERROR(M8*M40,0)</f>
        <v>0</v>
      </c>
      <c r="O40" s="263">
        <f ca="1">O8*'Financial Quarterly onshore'!$D$98+O9*SUMIF('Financial Quarterly onshore'!7:7,'CF onshore'!O10,'Financial Quarterly onshore'!98:98)-IFERROR(N8*N40,0)</f>
        <v>0</v>
      </c>
      <c r="P40" s="263">
        <f ca="1">P8*'Financial Quarterly onshore'!$D$98+P9*SUMIF('Financial Quarterly onshore'!7:7,'CF onshore'!P10,'Financial Quarterly onshore'!98:98)-IFERROR(O8*O40,0)</f>
        <v>0</v>
      </c>
      <c r="Q40" s="263">
        <f ca="1">Q8*'Financial Quarterly onshore'!$D$98+Q9*SUMIF('Financial Quarterly onshore'!7:7,'CF onshore'!Q10,'Financial Quarterly onshore'!98:98)-IFERROR(P8*P40,0)</f>
        <v>0</v>
      </c>
      <c r="R40" s="263">
        <f ca="1">R8*'Financial Quarterly onshore'!$D$98+R9*SUMIF('Financial Quarterly onshore'!7:7,'CF onshore'!R10,'Financial Quarterly onshore'!98:98)-IFERROR(Q8*Q40,0)</f>
        <v>0</v>
      </c>
      <c r="S40" s="263">
        <f ca="1">S8*'Financial Quarterly onshore'!$D$98+S9*SUMIF('Financial Quarterly onshore'!7:7,'CF onshore'!S10,'Financial Quarterly onshore'!98:98)-IFERROR(R8*R40,0)</f>
        <v>0</v>
      </c>
      <c r="T40" s="263">
        <f ca="1">T8*'Financial Quarterly onshore'!$D$98+T9*SUMIF('Financial Quarterly onshore'!7:7,'CF onshore'!T10,'Financial Quarterly onshore'!98:98)-IFERROR(S8*S40,0)</f>
        <v>0</v>
      </c>
      <c r="U40" s="263">
        <f ca="1">U8*'Financial Quarterly onshore'!$D$98+U9*SUMIF('Financial Quarterly onshore'!7:7,'CF onshore'!U10,'Financial Quarterly onshore'!98:98)-IFERROR(T8*T40,0)</f>
        <v>0</v>
      </c>
      <c r="V40" s="263">
        <f ca="1">V8*'Financial Quarterly onshore'!$D$98+V9*SUMIF('Financial Quarterly onshore'!7:7,'CF onshore'!V10,'Financial Quarterly onshore'!98:98)-IFERROR(U8*U40,0)</f>
        <v>0</v>
      </c>
      <c r="W40" s="263">
        <f ca="1">W8*'Financial Quarterly onshore'!$D$98+W9*SUMIF('Financial Quarterly onshore'!7:7,'CF onshore'!W10,'Financial Quarterly onshore'!98:98)-IFERROR(V8*V40,0)</f>
        <v>0</v>
      </c>
      <c r="X40" s="263">
        <f ca="1">X8*'Financial Quarterly onshore'!$D$98+X9*SUMIF('Financial Quarterly onshore'!7:7,'CF onshore'!X10,'Financial Quarterly onshore'!98:98)-IFERROR(W8*W40,0)</f>
        <v>0</v>
      </c>
      <c r="Y40" s="263">
        <f ca="1">Y8*'Financial Quarterly onshore'!$D$98+Y9*SUMIF('Financial Quarterly onshore'!7:7,'CF onshore'!Y10,'Financial Quarterly onshore'!98:98)-IFERROR(X8*X40,0)</f>
        <v>0</v>
      </c>
      <c r="Z40" s="263">
        <f ca="1">Z8*'Financial Quarterly onshore'!$D$98+Z9*SUMIF('Financial Quarterly onshore'!7:7,'CF onshore'!Z10,'Financial Quarterly onshore'!98:98)-IFERROR(Y8*Y40,0)</f>
        <v>0</v>
      </c>
      <c r="AA40" s="263">
        <f ca="1">AA8*'Financial Quarterly onshore'!$D$98+AA9*SUMIF('Financial Quarterly onshore'!7:7,'CF onshore'!AA10,'Financial Quarterly onshore'!98:98)-IFERROR(Z8*Z40,0)</f>
        <v>0</v>
      </c>
      <c r="AB40" s="263">
        <f ca="1">AB8*'Financial Quarterly onshore'!$D$98+AB9*SUMIF('Financial Quarterly onshore'!7:7,'CF onshore'!AB10,'Financial Quarterly onshore'!98:98)-IFERROR(AA8*AA40,0)</f>
        <v>0</v>
      </c>
      <c r="AC40" s="263">
        <f ca="1">AC8*'Financial Quarterly onshore'!$D$98+AC9*SUMIF('Financial Quarterly onshore'!7:7,'CF onshore'!AC10,'Financial Quarterly onshore'!98:98)-IFERROR(AB8*AB40,0)</f>
        <v>0</v>
      </c>
    </row>
    <row r="41" spans="1:29">
      <c r="C41" s="320" t="s">
        <v>1476</v>
      </c>
      <c r="D41" s="263"/>
      <c r="E41" s="263"/>
      <c r="F41" s="263">
        <f>+'BS onshore'!F74-'BS onshore'!E74+'BS onshore'!E48-'BS onshore'!F48</f>
        <v>0</v>
      </c>
      <c r="G41" s="263">
        <f>+'BS onshore'!G74-'BS onshore'!F74+'BS onshore'!F48-'BS onshore'!G48</f>
        <v>0</v>
      </c>
      <c r="H41" s="263">
        <f>+'BS onshore'!H74-'BS onshore'!G74+'BS onshore'!G48-'BS onshore'!H48</f>
        <v>0</v>
      </c>
      <c r="I41" s="263">
        <f>+'BS onshore'!I74-'BS onshore'!H74+'BS onshore'!H48-'BS onshore'!I48</f>
        <v>0</v>
      </c>
      <c r="J41" s="263">
        <f>+'BS onshore'!J74-'BS onshore'!I74+'BS onshore'!I48-'BS onshore'!J48</f>
        <v>0</v>
      </c>
      <c r="K41" s="263">
        <f ca="1">+'BS onshore'!K74-'BS onshore'!J74+'BS onshore'!J48-'BS onshore'!K48</f>
        <v>0</v>
      </c>
      <c r="L41" s="263">
        <f ca="1">+'BS onshore'!L74-'BS onshore'!K74+'BS onshore'!K48-'BS onshore'!L48</f>
        <v>0</v>
      </c>
      <c r="M41" s="263">
        <f ca="1">+'BS onshore'!M74-'BS onshore'!L74+'BS onshore'!L48-'BS onshore'!M48</f>
        <v>0</v>
      </c>
      <c r="N41" s="263">
        <f ca="1">+'BS onshore'!N74-'BS onshore'!M74+'BS onshore'!M48-'BS onshore'!N48</f>
        <v>0</v>
      </c>
      <c r="O41" s="263">
        <f ca="1">+'BS onshore'!O74-'BS onshore'!N74+'BS onshore'!N48-'BS onshore'!O48</f>
        <v>0</v>
      </c>
      <c r="P41" s="263">
        <f ca="1">+'BS onshore'!P74-'BS onshore'!O74+'BS onshore'!O48-'BS onshore'!P48</f>
        <v>0</v>
      </c>
      <c r="Q41" s="263">
        <f ca="1">+'BS onshore'!Q74-'BS onshore'!P74+'BS onshore'!P48-'BS onshore'!Q48</f>
        <v>0</v>
      </c>
      <c r="R41" s="263">
        <f>+'BS onshore'!R74-'BS onshore'!Q74+'BS onshore'!Q48-'BS onshore'!R48</f>
        <v>0</v>
      </c>
      <c r="S41" s="263">
        <f>+'BS onshore'!S74-'BS onshore'!R74+'BS onshore'!R48-'BS onshore'!S48</f>
        <v>0</v>
      </c>
      <c r="T41" s="263">
        <f>+'BS onshore'!T74-'BS onshore'!S74+'BS onshore'!S48-'BS onshore'!T48</f>
        <v>0</v>
      </c>
      <c r="U41" s="263">
        <f>+'BS onshore'!U74-'BS onshore'!T74+'BS onshore'!T48-'BS onshore'!U48</f>
        <v>0</v>
      </c>
      <c r="V41" s="263">
        <f>+'BS onshore'!V74-'BS onshore'!U74+'BS onshore'!U48-'BS onshore'!V48</f>
        <v>0</v>
      </c>
      <c r="W41" s="263">
        <f>+'BS onshore'!W74-'BS onshore'!V74+'BS onshore'!V48-'BS onshore'!W48</f>
        <v>0</v>
      </c>
      <c r="X41" s="263">
        <f>+'BS onshore'!X74-'BS onshore'!W74+'BS onshore'!W48-'BS onshore'!X48</f>
        <v>0</v>
      </c>
      <c r="Y41" s="263">
        <f>+'BS onshore'!Y74-'BS onshore'!X74+'BS onshore'!X48-'BS onshore'!Y48</f>
        <v>0</v>
      </c>
      <c r="Z41" s="263">
        <f>+'BS onshore'!Z74-'BS onshore'!Y74+'BS onshore'!Y48-'BS onshore'!Z48</f>
        <v>0</v>
      </c>
      <c r="AA41" s="263">
        <f>+'BS onshore'!AA74-'BS onshore'!Z74+'BS onshore'!Z48-'BS onshore'!AA48</f>
        <v>0</v>
      </c>
      <c r="AB41" s="263">
        <f>+'BS onshore'!AB74-'BS onshore'!AA74+'BS onshore'!AA48-'BS onshore'!AB48</f>
        <v>0</v>
      </c>
      <c r="AC41" s="263">
        <f>+'BS onshore'!AC74-'BS onshore'!AB74+'BS onshore'!AB48-'BS onshore'!AC48</f>
        <v>0</v>
      </c>
    </row>
    <row r="42" spans="1:29">
      <c r="C42" s="266" t="s">
        <v>848</v>
      </c>
      <c r="D42" s="263"/>
      <c r="E42" s="263"/>
      <c r="F42" s="263">
        <f>F9*SUMIF('Financial Quarterly onshore'!7:7,'CF onshore'!F10,'Financial Quarterly onshore'!106:106)</f>
        <v>0</v>
      </c>
      <c r="G42" s="263">
        <f>G9*SUMIF('Financial Quarterly onshore'!7:7,'CF onshore'!G10,'Financial Quarterly onshore'!106:106)</f>
        <v>0</v>
      </c>
      <c r="H42" s="263">
        <f>H9*SUMIF('Financial Quarterly onshore'!7:7,'CF onshore'!H10,'Financial Quarterly onshore'!106:106)</f>
        <v>0</v>
      </c>
      <c r="I42" s="263">
        <f>I9*SUMIF('Financial Quarterly onshore'!7:7,'CF onshore'!I10,'Financial Quarterly onshore'!106:106)</f>
        <v>0</v>
      </c>
      <c r="J42" s="263">
        <f ca="1">J9*SUMIF('Financial Quarterly onshore'!7:7,'CF onshore'!J10,'Financial Quarterly onshore'!106:106)</f>
        <v>0</v>
      </c>
      <c r="K42" s="263">
        <f ca="1">K9*SUMIF('Financial Quarterly onshore'!7:7,'CF onshore'!K10,'Financial Quarterly onshore'!106:106)</f>
        <v>0</v>
      </c>
      <c r="L42" s="263">
        <f ca="1">L9*SUMIF('Financial Quarterly onshore'!7:7,'CF onshore'!L10,'Financial Quarterly onshore'!106:106)</f>
        <v>0</v>
      </c>
      <c r="M42" s="263">
        <f ca="1">M9*SUMIF('Financial Quarterly onshore'!7:7,'CF onshore'!M10,'Financial Quarterly onshore'!106:106)</f>
        <v>0</v>
      </c>
      <c r="N42" s="263">
        <f ca="1">N9*SUMIF('Financial Quarterly onshore'!7:7,'CF onshore'!N10,'Financial Quarterly onshore'!106:106)</f>
        <v>0</v>
      </c>
      <c r="O42" s="263">
        <f ca="1">O9*SUMIF('Financial Quarterly onshore'!7:7,'CF onshore'!O10,'Financial Quarterly onshore'!106:106)</f>
        <v>0</v>
      </c>
      <c r="P42" s="263">
        <f ca="1">P9*SUMIF('Financial Quarterly onshore'!7:7,'CF onshore'!P10,'Financial Quarterly onshore'!106:106)</f>
        <v>0</v>
      </c>
      <c r="Q42" s="263">
        <f>Q9*SUMIF('Financial Quarterly onshore'!7:7,'CF onshore'!Q10,'Financial Quarterly onshore'!106:106)</f>
        <v>0</v>
      </c>
      <c r="R42" s="263">
        <f>R9*SUMIF('Financial Quarterly onshore'!7:7,'CF onshore'!R10,'Financial Quarterly onshore'!106:106)</f>
        <v>0</v>
      </c>
      <c r="S42" s="263">
        <f>S9*SUMIF('Financial Quarterly onshore'!7:7,'CF onshore'!S10,'Financial Quarterly onshore'!106:106)</f>
        <v>0</v>
      </c>
      <c r="T42" s="263">
        <f>T9*SUMIF('Financial Quarterly onshore'!7:7,'CF onshore'!T10,'Financial Quarterly onshore'!106:106)</f>
        <v>0</v>
      </c>
      <c r="U42" s="263">
        <f>U9*SUMIF('Financial Quarterly onshore'!7:7,'CF onshore'!U10,'Financial Quarterly onshore'!106:106)</f>
        <v>0</v>
      </c>
      <c r="V42" s="263">
        <f>V9*SUMIF('Financial Quarterly onshore'!7:7,'CF onshore'!V10,'Financial Quarterly onshore'!106:106)</f>
        <v>0</v>
      </c>
      <c r="W42" s="263">
        <f>W9*SUMIF('Financial Quarterly onshore'!7:7,'CF onshore'!W10,'Financial Quarterly onshore'!106:106)</f>
        <v>0</v>
      </c>
      <c r="X42" s="263">
        <f>X9*SUMIF('Financial Quarterly onshore'!7:7,'CF onshore'!X10,'Financial Quarterly onshore'!106:106)</f>
        <v>0</v>
      </c>
      <c r="Y42" s="263">
        <f>Y9*SUMIF('Financial Quarterly onshore'!7:7,'CF onshore'!Y10,'Financial Quarterly onshore'!106:106)</f>
        <v>0</v>
      </c>
      <c r="Z42" s="263">
        <f>Z9*SUMIF('Financial Quarterly onshore'!7:7,'CF onshore'!Z10,'Financial Quarterly onshore'!106:106)</f>
        <v>0</v>
      </c>
      <c r="AA42" s="263">
        <f>AA9*SUMIF('Financial Quarterly onshore'!7:7,'CF onshore'!AA10,'Financial Quarterly onshore'!106:106)</f>
        <v>0</v>
      </c>
      <c r="AB42" s="263">
        <f>AB9*SUMIF('Financial Quarterly onshore'!7:7,'CF onshore'!AB10,'Financial Quarterly onshore'!106:106)</f>
        <v>0</v>
      </c>
      <c r="AC42" s="263">
        <f>AC9*SUMIF('Financial Quarterly onshore'!7:7,'CF onshore'!AC10,'Financial Quarterly onshore'!106:106)</f>
        <v>0</v>
      </c>
    </row>
    <row r="43" spans="1:29">
      <c r="C43" s="372" t="s">
        <v>1509</v>
      </c>
      <c r="D43" s="263"/>
      <c r="E43" s="263"/>
      <c r="F43" s="263">
        <f>IF(OR(F6,F7),'BS onshore'!F107-'BS onshore'!E107+'BS onshore'!F111-'BS onshore'!E111+'BS onshore'!F119-'BS onshore'!E119+'BS onshore'!F98-'BS onshore'!E98+'BS onshore'!F102-'BS onshore'!E102,0)+F8*('BS onshore'!F98-'BS onshore'!E98+'BS onshore'!F102-'BS onshore'!E102+'BS onshore'!F107-'BS onshore'!E107-'BS onshore'!E111+'BS onshore'!F119-'BS onshore'!E119)</f>
        <v>0</v>
      </c>
      <c r="G43" s="263">
        <f>IF(OR(G6,G7),'BS onshore'!G107-'BS onshore'!F107+'BS onshore'!G111-'BS onshore'!F111+'BS onshore'!G119-'BS onshore'!F119+'BS onshore'!G98-'BS onshore'!F98+'BS onshore'!G102-'BS onshore'!F102,0)+G8*('BS onshore'!G98-'BS onshore'!F98+'BS onshore'!G102-'BS onshore'!F102+'BS onshore'!G107-'BS onshore'!F107-'BS onshore'!F111+'BS onshore'!G119-'BS onshore'!F119)</f>
        <v>0</v>
      </c>
      <c r="H43" s="263">
        <f>IF(OR(H6,H7),'BS onshore'!H107-'BS onshore'!G107+'BS onshore'!H111-'BS onshore'!G111+'BS onshore'!H119-'BS onshore'!G119+'BS onshore'!H98-'BS onshore'!G98+'BS onshore'!H102-'BS onshore'!G102,0)+H8*('BS onshore'!H98-'BS onshore'!G98+'BS onshore'!H102-'BS onshore'!G102+'BS onshore'!H107-'BS onshore'!G107-'BS onshore'!G111+'BS onshore'!H119-'BS onshore'!G119)</f>
        <v>0</v>
      </c>
      <c r="I43" s="263">
        <f>IF(OR(I6,I7),'BS onshore'!I107-'BS onshore'!H107+'BS onshore'!I111-'BS onshore'!H111+'BS onshore'!I119-'BS onshore'!H119+'BS onshore'!I98-'BS onshore'!H98+'BS onshore'!I102-'BS onshore'!H102,0)+I8*('BS onshore'!I98-'BS onshore'!H98+'BS onshore'!I102-'BS onshore'!H102+'BS onshore'!I107-'BS onshore'!H107-'BS onshore'!H111+'BS onshore'!I119-'BS onshore'!H119)</f>
        <v>0</v>
      </c>
      <c r="J43" s="263">
        <f>IF(OR(J6,J7),'BS onshore'!J107-'BS onshore'!I107+'BS onshore'!J111-'BS onshore'!I111+'BS onshore'!J119-'BS onshore'!I119+'BS onshore'!J98-'BS onshore'!I98+'BS onshore'!J102-'BS onshore'!I102,0)+J8*('BS onshore'!J98-'BS onshore'!I98+'BS onshore'!J102-'BS onshore'!I102+'BS onshore'!J107-'BS onshore'!I107-'BS onshore'!I111+'BS onshore'!J119-'BS onshore'!I119)</f>
        <v>0</v>
      </c>
      <c r="K43" s="263">
        <f ca="1">IF(OR(K6,K7),'BS onshore'!K107-'BS onshore'!J107+'BS onshore'!K111-'BS onshore'!J111+'BS onshore'!K119-'BS onshore'!J119+'BS onshore'!K98-'BS onshore'!J98+'BS onshore'!K102-'BS onshore'!J102,0)+K8*('BS onshore'!K98-'BS onshore'!J98+'BS onshore'!K102-'BS onshore'!J102+'BS onshore'!K107-'BS onshore'!J107-'BS onshore'!J111+'BS onshore'!K119-'BS onshore'!J119)</f>
        <v>0</v>
      </c>
      <c r="L43" s="263">
        <f ca="1">IF(OR(L6,L7),'BS onshore'!L107-'BS onshore'!K107+'BS onshore'!L111-'BS onshore'!K111+'BS onshore'!L119-'BS onshore'!K119+'BS onshore'!L98-'BS onshore'!K98+'BS onshore'!L102-'BS onshore'!K102,0)+L8*('BS onshore'!L98-'BS onshore'!K98+'BS onshore'!L102-'BS onshore'!K102+'BS onshore'!L107-'BS onshore'!K107-'BS onshore'!K111+'BS onshore'!L119-'BS onshore'!K119)</f>
        <v>0</v>
      </c>
      <c r="M43" s="263">
        <f ca="1">IF(OR(M6,M7),'BS onshore'!M107-'BS onshore'!L107+'BS onshore'!M111-'BS onshore'!L111+'BS onshore'!M119-'BS onshore'!L119+'BS onshore'!M98-'BS onshore'!L98+'BS onshore'!M102-'BS onshore'!L102,0)+M8*('BS onshore'!M98-'BS onshore'!L98+'BS onshore'!M102-'BS onshore'!L102+'BS onshore'!M107-'BS onshore'!L107-'BS onshore'!L111+'BS onshore'!M119-'BS onshore'!L119)</f>
        <v>0</v>
      </c>
      <c r="N43" s="263">
        <f ca="1">IF(OR(N6,N7),'BS onshore'!N107-'BS onshore'!M107+'BS onshore'!N111-'BS onshore'!M111+'BS onshore'!N119-'BS onshore'!M119+'BS onshore'!N98-'BS onshore'!M98+'BS onshore'!N102-'BS onshore'!M102,0)+N8*('BS onshore'!N98-'BS onshore'!M98+'BS onshore'!N102-'BS onshore'!M102+'BS onshore'!N107-'BS onshore'!M107-'BS onshore'!M111+'BS onshore'!N119-'BS onshore'!M119)</f>
        <v>0</v>
      </c>
      <c r="O43" s="263">
        <f ca="1">IF(OR(O6,O7),'BS onshore'!O107-'BS onshore'!N107+'BS onshore'!O111-'BS onshore'!N111+'BS onshore'!O119-'BS onshore'!N119+'BS onshore'!O98-'BS onshore'!N98+'BS onshore'!O102-'BS onshore'!N102,0)+O8*('BS onshore'!O98-'BS onshore'!N98+'BS onshore'!O102-'BS onshore'!N102+'BS onshore'!O107-'BS onshore'!N107-'BS onshore'!N111+'BS onshore'!O119-'BS onshore'!N119)</f>
        <v>0</v>
      </c>
      <c r="P43" s="263">
        <f ca="1">IF(OR(P6,P7),'BS onshore'!P107-'BS onshore'!O107+'BS onshore'!P111-'BS onshore'!O111+'BS onshore'!P119-'BS onshore'!O119+'BS onshore'!P98-'BS onshore'!O98+'BS onshore'!P102-'BS onshore'!O102,0)+P8*('BS onshore'!P98-'BS onshore'!O98+'BS onshore'!P102-'BS onshore'!O102+'BS onshore'!P107-'BS onshore'!O107-'BS onshore'!O111+'BS onshore'!P119-'BS onshore'!O119)</f>
        <v>0</v>
      </c>
      <c r="Q43" s="263">
        <f ca="1">IF(OR(Q6,Q7),'BS onshore'!Q107-'BS onshore'!P107+'BS onshore'!Q111-'BS onshore'!P111+'BS onshore'!Q119-'BS onshore'!P119+'BS onshore'!Q98-'BS onshore'!P98+'BS onshore'!Q102-'BS onshore'!P102,0)+Q8*('BS onshore'!Q98-'BS onshore'!P98+'BS onshore'!Q102-'BS onshore'!P102+'BS onshore'!Q107-'BS onshore'!P107-'BS onshore'!P111+'BS onshore'!Q119-'BS onshore'!P119)</f>
        <v>0</v>
      </c>
      <c r="R43" s="263">
        <f>IF(OR(R6,R7),'BS onshore'!R107-'BS onshore'!Q107+'BS onshore'!R111-'BS onshore'!Q111+'BS onshore'!R119-'BS onshore'!Q119+'BS onshore'!R98-'BS onshore'!Q98+'BS onshore'!R102-'BS onshore'!Q102,0)+R8*('BS onshore'!R98-'BS onshore'!Q98+'BS onshore'!R102-'BS onshore'!Q102+'BS onshore'!R107-'BS onshore'!Q107-'BS onshore'!Q111+'BS onshore'!R119-'BS onshore'!Q119)</f>
        <v>0</v>
      </c>
      <c r="S43" s="263">
        <f>IF(OR(S6,S7),'BS onshore'!S107-'BS onshore'!R107+'BS onshore'!S111-'BS onshore'!R111+'BS onshore'!S119-'BS onshore'!R119+'BS onshore'!S98-'BS onshore'!R98+'BS onshore'!S102-'BS onshore'!R102,0)+S8*('BS onshore'!S98-'BS onshore'!R98+'BS onshore'!S102-'BS onshore'!R102+'BS onshore'!S107-'BS onshore'!R107-'BS onshore'!R111+'BS onshore'!S119-'BS onshore'!R119)</f>
        <v>0</v>
      </c>
      <c r="T43" s="263">
        <f>IF(OR(T6,T7),'BS onshore'!T107-'BS onshore'!S107+'BS onshore'!T111-'BS onshore'!S111+'BS onshore'!T119-'BS onshore'!S119+'BS onshore'!T98-'BS onshore'!S98+'BS onshore'!T102-'BS onshore'!S102,0)+T8*('BS onshore'!T98-'BS onshore'!S98+'BS onshore'!T102-'BS onshore'!S102+'BS onshore'!T107-'BS onshore'!S107-'BS onshore'!S111+'BS onshore'!T119-'BS onshore'!S119)</f>
        <v>0</v>
      </c>
      <c r="U43" s="263">
        <f>IF(OR(U6,U7),'BS onshore'!U107-'BS onshore'!T107+'BS onshore'!U111-'BS onshore'!T111+'BS onshore'!U119-'BS onshore'!T119+'BS onshore'!U98-'BS onshore'!T98+'BS onshore'!U102-'BS onshore'!T102,0)+U8*('BS onshore'!U98-'BS onshore'!T98+'BS onshore'!U102-'BS onshore'!T102+'BS onshore'!U107-'BS onshore'!T107-'BS onshore'!T111+'BS onshore'!U119-'BS onshore'!T119)</f>
        <v>0</v>
      </c>
      <c r="V43" s="263">
        <f>IF(OR(V6,V7),'BS onshore'!V107-'BS onshore'!U107+'BS onshore'!V111-'BS onshore'!U111+'BS onshore'!V119-'BS onshore'!U119+'BS onshore'!V98-'BS onshore'!U98+'BS onshore'!V102-'BS onshore'!U102,0)+V8*('BS onshore'!V98-'BS onshore'!U98+'BS onshore'!V102-'BS onshore'!U102+'BS onshore'!V107-'BS onshore'!U107-'BS onshore'!U111+'BS onshore'!V119-'BS onshore'!U119)</f>
        <v>0</v>
      </c>
      <c r="W43" s="263">
        <f>IF(OR(W6,W7),'BS onshore'!W107-'BS onshore'!V107+'BS onshore'!W111-'BS onshore'!V111+'BS onshore'!W119-'BS onshore'!V119+'BS onshore'!W98-'BS onshore'!V98+'BS onshore'!W102-'BS onshore'!V102,0)+W8*('BS onshore'!W98-'BS onshore'!V98+'BS onshore'!W102-'BS onshore'!V102+'BS onshore'!W107-'BS onshore'!V107-'BS onshore'!V111+'BS onshore'!W119-'BS onshore'!V119)</f>
        <v>0</v>
      </c>
      <c r="X43" s="263">
        <f>IF(OR(X6,X7),'BS onshore'!X107-'BS onshore'!W107+'BS onshore'!X111-'BS onshore'!W111+'BS onshore'!X119-'BS onshore'!W119+'BS onshore'!X98-'BS onshore'!W98+'BS onshore'!X102-'BS onshore'!W102,0)+X8*('BS onshore'!X98-'BS onshore'!W98+'BS onshore'!X102-'BS onshore'!W102+'BS onshore'!X107-'BS onshore'!W107-'BS onshore'!W111+'BS onshore'!X119-'BS onshore'!W119)</f>
        <v>0</v>
      </c>
      <c r="Y43" s="263">
        <f>IF(OR(Y6,Y7),'BS onshore'!Y107-'BS onshore'!X107+'BS onshore'!Y111-'BS onshore'!X111+'BS onshore'!Y119-'BS onshore'!X119+'BS onshore'!Y98-'BS onshore'!X98+'BS onshore'!Y102-'BS onshore'!X102,0)+Y8*('BS onshore'!Y98-'BS onshore'!X98+'BS onshore'!Y102-'BS onshore'!X102+'BS onshore'!Y107-'BS onshore'!X107-'BS onshore'!X111+'BS onshore'!Y119-'BS onshore'!X119)</f>
        <v>0</v>
      </c>
      <c r="Z43" s="263">
        <f>IF(OR(Z6,Z7),'BS onshore'!Z107-'BS onshore'!Y107+'BS onshore'!Z111-'BS onshore'!Y111+'BS onshore'!Z119-'BS onshore'!Y119+'BS onshore'!Z98-'BS onshore'!Y98+'BS onshore'!Z102-'BS onshore'!Y102,0)+Z8*('BS onshore'!Z98-'BS onshore'!Y98+'BS onshore'!Z102-'BS onshore'!Y102+'BS onshore'!Z107-'BS onshore'!Y107-'BS onshore'!Y111+'BS onshore'!Z119-'BS onshore'!Y119)</f>
        <v>0</v>
      </c>
      <c r="AA43" s="263">
        <f>IF(OR(AA6,AA7),'BS onshore'!AA107-'BS onshore'!Z107+'BS onshore'!AA111-'BS onshore'!Z111+'BS onshore'!AA119-'BS onshore'!Z119+'BS onshore'!AA98-'BS onshore'!Z98+'BS onshore'!AA102-'BS onshore'!Z102,0)+AA8*('BS onshore'!AA98-'BS onshore'!Z98+'BS onshore'!AA102-'BS onshore'!Z102+'BS onshore'!AA107-'BS onshore'!Z107-'BS onshore'!Z111+'BS onshore'!AA119-'BS onshore'!Z119)</f>
        <v>0</v>
      </c>
      <c r="AB43" s="263">
        <f>IF(OR(AB6,AB7),'BS onshore'!AB107-'BS onshore'!AA107+'BS onshore'!AB111-'BS onshore'!AA111+'BS onshore'!AB119-'BS onshore'!AA119+'BS onshore'!AB98-'BS onshore'!AA98+'BS onshore'!AB102-'BS onshore'!AA102,0)+AB8*('BS onshore'!AB98-'BS onshore'!AA98+'BS onshore'!AB102-'BS onshore'!AA102+'BS onshore'!AB107-'BS onshore'!AA107-'BS onshore'!AA111+'BS onshore'!AB119-'BS onshore'!AA119)</f>
        <v>0</v>
      </c>
      <c r="AC43" s="263">
        <f>IF(OR(AC6,AC7),'BS onshore'!AC107-'BS onshore'!AB107+'BS onshore'!AC111-'BS onshore'!AB111+'BS onshore'!AC119-'BS onshore'!AB119+'BS onshore'!AC98-'BS onshore'!AB98+'BS onshore'!AC102-'BS onshore'!AB102,0)+AC8*('BS onshore'!AC98-'BS onshore'!AB98+'BS onshore'!AC102-'BS onshore'!AB102+'BS onshore'!AC107-'BS onshore'!AB107-'BS onshore'!AB111+'BS onshore'!AC119-'BS onshore'!AB119)</f>
        <v>0</v>
      </c>
    </row>
    <row r="44" spans="1:29">
      <c r="C44" s="266" t="s">
        <v>681</v>
      </c>
      <c r="D44" s="263"/>
      <c r="E44" s="263"/>
      <c r="F44" s="263">
        <f ca="1">-'IS onshore'!F94+E8*E44</f>
        <v>0</v>
      </c>
      <c r="G44" s="263">
        <f ca="1">-'IS onshore'!G94+F8*F44</f>
        <v>0</v>
      </c>
      <c r="H44" s="263">
        <f ca="1">-'IS onshore'!H94+G8*G44</f>
        <v>0</v>
      </c>
      <c r="I44" s="263">
        <f ca="1">-'IS onshore'!I94+H8*H44</f>
        <v>0</v>
      </c>
      <c r="J44" s="263">
        <f ca="1">-'IS onshore'!J94+I8*I44</f>
        <v>0</v>
      </c>
      <c r="K44" s="263">
        <f ca="1">-'IS onshore'!K94+J8*J44</f>
        <v>0</v>
      </c>
      <c r="L44" s="263">
        <f ca="1">-'IS onshore'!L94+K8*K44</f>
        <v>0</v>
      </c>
      <c r="M44" s="263">
        <f ca="1">-'IS onshore'!M94+L8*L44</f>
        <v>0</v>
      </c>
      <c r="N44" s="263">
        <f ca="1">-'IS onshore'!N94+M8*M44</f>
        <v>0</v>
      </c>
      <c r="O44" s="263">
        <f ca="1">-'IS onshore'!O94+N8*N44</f>
        <v>0</v>
      </c>
      <c r="P44" s="263">
        <f ca="1">-'IS onshore'!P94+O8*O44</f>
        <v>0</v>
      </c>
      <c r="Q44" s="263">
        <f ca="1">-'IS onshore'!Q94+P8*P44</f>
        <v>0</v>
      </c>
      <c r="R44" s="263">
        <f ca="1">-'IS onshore'!R94</f>
        <v>0</v>
      </c>
      <c r="S44" s="263">
        <f>-'IS onshore'!S94</f>
        <v>0</v>
      </c>
      <c r="T44" s="263">
        <f>-'IS onshore'!T94</f>
        <v>0</v>
      </c>
      <c r="U44" s="263">
        <f>-'IS onshore'!U94</f>
        <v>0</v>
      </c>
      <c r="V44" s="263">
        <f>-'IS onshore'!V94</f>
        <v>0</v>
      </c>
      <c r="W44" s="263">
        <f>-'IS onshore'!W94</f>
        <v>0</v>
      </c>
      <c r="X44" s="263">
        <f>-'IS onshore'!X94</f>
        <v>0</v>
      </c>
      <c r="Y44" s="263">
        <f>-'IS onshore'!Y94</f>
        <v>0</v>
      </c>
      <c r="Z44" s="263">
        <f>-'IS onshore'!Z94</f>
        <v>0</v>
      </c>
      <c r="AA44" s="263">
        <f>-'IS onshore'!AA94</f>
        <v>0</v>
      </c>
      <c r="AB44" s="263">
        <f>-'IS onshore'!AB94</f>
        <v>0</v>
      </c>
      <c r="AC44" s="263">
        <f>-'IS onshore'!AC94</f>
        <v>0</v>
      </c>
    </row>
    <row r="45" spans="1:29">
      <c r="C45" s="199" t="s">
        <v>682</v>
      </c>
      <c r="D45" s="199"/>
      <c r="E45" s="199"/>
      <c r="F45" s="199">
        <f t="shared" ref="F45" ca="1" si="14">SUM(F35:F44)</f>
        <v>0</v>
      </c>
      <c r="G45" s="199">
        <f t="shared" ref="G45:AC45" ca="1" si="15">SUM(G35:G44)</f>
        <v>0</v>
      </c>
      <c r="H45" s="199">
        <f t="shared" ca="1" si="15"/>
        <v>0</v>
      </c>
      <c r="I45" s="199">
        <f t="shared" ca="1" si="15"/>
        <v>0</v>
      </c>
      <c r="J45" s="199">
        <f t="shared" ca="1" si="15"/>
        <v>0</v>
      </c>
      <c r="K45" s="199">
        <f t="shared" ca="1" si="15"/>
        <v>0</v>
      </c>
      <c r="L45" s="199">
        <f t="shared" ca="1" si="15"/>
        <v>0</v>
      </c>
      <c r="M45" s="199">
        <f t="shared" ca="1" si="15"/>
        <v>0</v>
      </c>
      <c r="N45" s="199">
        <f t="shared" ca="1" si="15"/>
        <v>0</v>
      </c>
      <c r="O45" s="199">
        <f t="shared" ca="1" si="15"/>
        <v>0</v>
      </c>
      <c r="P45" s="199">
        <f t="shared" ca="1" si="15"/>
        <v>0</v>
      </c>
      <c r="Q45" s="199">
        <f t="shared" ca="1" si="15"/>
        <v>0</v>
      </c>
      <c r="R45" s="199">
        <f t="shared" ca="1" si="15"/>
        <v>0</v>
      </c>
      <c r="S45" s="199">
        <f t="shared" ca="1" si="15"/>
        <v>0</v>
      </c>
      <c r="T45" s="199">
        <f t="shared" ca="1" si="15"/>
        <v>0</v>
      </c>
      <c r="U45" s="199">
        <f t="shared" ca="1" si="15"/>
        <v>0</v>
      </c>
      <c r="V45" s="199">
        <f t="shared" ca="1" si="15"/>
        <v>0</v>
      </c>
      <c r="W45" s="199">
        <f t="shared" ca="1" si="15"/>
        <v>0</v>
      </c>
      <c r="X45" s="199">
        <f t="shared" ca="1" si="15"/>
        <v>0</v>
      </c>
      <c r="Y45" s="199">
        <f t="shared" ca="1" si="15"/>
        <v>0</v>
      </c>
      <c r="Z45" s="199">
        <f t="shared" ca="1" si="15"/>
        <v>0</v>
      </c>
      <c r="AA45" s="199">
        <f t="shared" ca="1" si="15"/>
        <v>0</v>
      </c>
      <c r="AB45" s="199">
        <f t="shared" ca="1" si="15"/>
        <v>0</v>
      </c>
      <c r="AC45" s="199">
        <f t="shared" ca="1" si="15"/>
        <v>0</v>
      </c>
    </row>
    <row r="46" spans="1:29">
      <c r="C46" s="266" t="s">
        <v>844</v>
      </c>
      <c r="D46" s="263"/>
      <c r="E46" s="263"/>
      <c r="F46" s="263">
        <f>'IS onshore'!F68</f>
        <v>0</v>
      </c>
      <c r="G46" s="263">
        <f>'IS onshore'!G68</f>
        <v>0</v>
      </c>
      <c r="H46" s="263">
        <f>'IS onshore'!H68</f>
        <v>0</v>
      </c>
      <c r="I46" s="263">
        <f>'IS onshore'!I68</f>
        <v>0</v>
      </c>
      <c r="J46" s="263">
        <f>'IS onshore'!J68</f>
        <v>0</v>
      </c>
      <c r="K46" s="263">
        <f>'IS onshore'!K68</f>
        <v>0</v>
      </c>
      <c r="L46" s="263">
        <f>'IS onshore'!L68</f>
        <v>0</v>
      </c>
      <c r="M46" s="263">
        <f>'IS onshore'!M68</f>
        <v>0</v>
      </c>
      <c r="N46" s="263">
        <f>'IS onshore'!N68</f>
        <v>0</v>
      </c>
      <c r="O46" s="263">
        <f>'IS onshore'!O68</f>
        <v>0</v>
      </c>
      <c r="P46" s="263">
        <f>'IS onshore'!P68</f>
        <v>0</v>
      </c>
      <c r="Q46" s="263">
        <f>'IS onshore'!Q68</f>
        <v>0</v>
      </c>
      <c r="R46" s="263">
        <f>'IS onshore'!R68</f>
        <v>0</v>
      </c>
      <c r="S46" s="263">
        <f>'IS onshore'!S68</f>
        <v>0</v>
      </c>
      <c r="T46" s="263">
        <f>'IS onshore'!T68</f>
        <v>0</v>
      </c>
      <c r="U46" s="263">
        <f>'IS onshore'!U68</f>
        <v>0</v>
      </c>
      <c r="V46" s="263">
        <f>'IS onshore'!V68</f>
        <v>0</v>
      </c>
      <c r="W46" s="263">
        <f>'IS onshore'!W68</f>
        <v>0</v>
      </c>
      <c r="X46" s="263">
        <f>'IS onshore'!X68</f>
        <v>0</v>
      </c>
      <c r="Y46" s="263">
        <f>'IS onshore'!Y68</f>
        <v>0</v>
      </c>
      <c r="Z46" s="263">
        <f>'IS onshore'!Z68</f>
        <v>0</v>
      </c>
      <c r="AA46" s="263">
        <f>'IS onshore'!AA68</f>
        <v>0</v>
      </c>
      <c r="AB46" s="263">
        <f>'IS onshore'!AB68</f>
        <v>0</v>
      </c>
      <c r="AC46" s="263">
        <f>'IS onshore'!AC68</f>
        <v>0</v>
      </c>
    </row>
    <row r="47" spans="1:29">
      <c r="C47" s="266" t="s">
        <v>845</v>
      </c>
      <c r="D47" s="263"/>
      <c r="E47" s="263"/>
      <c r="F47" s="263">
        <f>F8*('Acquisition BS adjustments'!$D94-F40)-F8*F43-F8*F41-F8*F34</f>
        <v>0</v>
      </c>
      <c r="G47" s="263">
        <f>G8*('Acquisition BS adjustments'!$D94-G40)-G8*G43-G8*G41-G8*G34</f>
        <v>0</v>
      </c>
      <c r="H47" s="263">
        <f>H8*('Acquisition BS adjustments'!$D94-H40)-H8*H43-H8*H41-H8*H34</f>
        <v>0</v>
      </c>
      <c r="I47" s="263">
        <f>I8*('Acquisition BS adjustments'!$D94-I40)-I8*I43-I8*I41-I8*I34</f>
        <v>0</v>
      </c>
      <c r="J47" s="263">
        <f ca="1">J8*('Acquisition BS adjustments'!$D94-J40)-J8*J43-J8*J41-J8*J34</f>
        <v>0</v>
      </c>
      <c r="K47" s="263">
        <f ca="1">K8*('Acquisition BS adjustments'!$D94-K40)-K8*K43-K8*K41-K8*K34</f>
        <v>0</v>
      </c>
      <c r="L47" s="263">
        <f ca="1">L8*('Acquisition BS adjustments'!$D94-L40)-L8*L43-L8*L41-L8*L34</f>
        <v>0</v>
      </c>
      <c r="M47" s="263">
        <f ca="1">M8*('Acquisition BS adjustments'!$D94-M40)-M8*M43-M8*M41-M8*M34</f>
        <v>0</v>
      </c>
      <c r="N47" s="263">
        <f ca="1">N8*('Acquisition BS adjustments'!$D94-N40)-N8*N43-N8*N41-N8*N34</f>
        <v>0</v>
      </c>
      <c r="O47" s="263">
        <f ca="1">O8*('Acquisition BS adjustments'!$D94-O40)-O8*O43-O8*O41-O8*O34</f>
        <v>0</v>
      </c>
      <c r="P47" s="263">
        <f ca="1">P8*('Acquisition BS adjustments'!$D94-P40)-P8*P43-P8*P41-P8*P34</f>
        <v>0</v>
      </c>
      <c r="Q47" s="263">
        <f ca="1">Q8*('Acquisition BS adjustments'!$D94-Q40)-Q8*Q43-Q8*Q41-Q8*Q34</f>
        <v>0</v>
      </c>
      <c r="R47" s="263">
        <f ca="1">R8*('Acquisition BS adjustments'!$D49-R40)-R8*R43-R8*R41</f>
        <v>0</v>
      </c>
      <c r="S47" s="263">
        <f ca="1">S8*('Acquisition BS adjustments'!$D49-S40)-S8*S43-S8*S41</f>
        <v>0</v>
      </c>
      <c r="T47" s="263">
        <f ca="1">T8*('Acquisition BS adjustments'!$D49-T40)-T8*T43-T8*T41</f>
        <v>0</v>
      </c>
      <c r="U47" s="263">
        <f ca="1">U8*('Acquisition BS adjustments'!$D49-U40)-U8*U43-U8*U41</f>
        <v>0</v>
      </c>
      <c r="V47" s="263">
        <f ca="1">V8*('Acquisition BS adjustments'!$D49-V40)-V8*V43-V8*V41</f>
        <v>0</v>
      </c>
      <c r="W47" s="263">
        <f ca="1">W8*('Acquisition BS adjustments'!$D49-W40)-W8*W43-W8*W41</f>
        <v>0</v>
      </c>
      <c r="X47" s="263">
        <f ca="1">X8*('Acquisition BS adjustments'!$D49-X40)-X8*X43-X8*X41</f>
        <v>0</v>
      </c>
      <c r="Y47" s="263">
        <f ca="1">Y8*('Acquisition BS adjustments'!$D49-Y40)-Y8*Y43-Y8*Y41</f>
        <v>0</v>
      </c>
      <c r="Z47" s="263">
        <f ca="1">Z8*('Acquisition BS adjustments'!$D49-Z40)-Z8*Z43-Z8*Z41</f>
        <v>0</v>
      </c>
      <c r="AA47" s="263">
        <f ca="1">AA8*('Acquisition BS adjustments'!$D49-AA40)-AA8*AA43-AA8*AA41</f>
        <v>0</v>
      </c>
      <c r="AB47" s="263">
        <f ca="1">AB8*('Acquisition BS adjustments'!$D49-AB40)-AB8*AB43-AB8*AB41</f>
        <v>0</v>
      </c>
      <c r="AC47" s="263">
        <f ca="1">AC8*('Acquisition BS adjustments'!$D49-AC40)-AC8*AC43-AC8*AC41</f>
        <v>0</v>
      </c>
    </row>
    <row r="48" spans="1:29">
      <c r="C48" s="195" t="s">
        <v>1004</v>
      </c>
      <c r="D48" s="195"/>
      <c r="E48" s="195"/>
      <c r="F48" s="195">
        <f t="shared" ref="F48:AC48" ca="1" si="16">F27+F33+F45+F46+F47</f>
        <v>0</v>
      </c>
      <c r="G48" s="195">
        <f t="shared" ca="1" si="16"/>
        <v>0</v>
      </c>
      <c r="H48" s="195">
        <f t="shared" ca="1" si="16"/>
        <v>0</v>
      </c>
      <c r="I48" s="195">
        <f t="shared" ca="1" si="16"/>
        <v>0</v>
      </c>
      <c r="J48" s="195">
        <f t="shared" ca="1" si="16"/>
        <v>0</v>
      </c>
      <c r="K48" s="195">
        <f t="shared" ca="1" si="16"/>
        <v>0</v>
      </c>
      <c r="L48" s="195">
        <f t="shared" ca="1" si="16"/>
        <v>0</v>
      </c>
      <c r="M48" s="195">
        <f t="shared" ca="1" si="16"/>
        <v>0</v>
      </c>
      <c r="N48" s="195">
        <f t="shared" ca="1" si="16"/>
        <v>0</v>
      </c>
      <c r="O48" s="195">
        <f t="shared" ca="1" si="16"/>
        <v>0</v>
      </c>
      <c r="P48" s="195">
        <f t="shared" ca="1" si="16"/>
        <v>0</v>
      </c>
      <c r="Q48" s="195">
        <f t="shared" ca="1" si="16"/>
        <v>0</v>
      </c>
      <c r="R48" s="195">
        <f t="shared" ca="1" si="16"/>
        <v>0</v>
      </c>
      <c r="S48" s="195">
        <f t="shared" ca="1" si="16"/>
        <v>0</v>
      </c>
      <c r="T48" s="195">
        <f t="shared" ca="1" si="16"/>
        <v>0</v>
      </c>
      <c r="U48" s="195">
        <f t="shared" ca="1" si="16"/>
        <v>0</v>
      </c>
      <c r="V48" s="195">
        <f t="shared" ca="1" si="16"/>
        <v>0</v>
      </c>
      <c r="W48" s="195">
        <f t="shared" ca="1" si="16"/>
        <v>0</v>
      </c>
      <c r="X48" s="195">
        <f t="shared" ca="1" si="16"/>
        <v>0</v>
      </c>
      <c r="Y48" s="195">
        <f t="shared" ca="1" si="16"/>
        <v>0</v>
      </c>
      <c r="Z48" s="195">
        <f t="shared" ca="1" si="16"/>
        <v>0</v>
      </c>
      <c r="AA48" s="195">
        <f t="shared" ca="1" si="16"/>
        <v>0</v>
      </c>
      <c r="AB48" s="195">
        <f t="shared" ca="1" si="16"/>
        <v>0</v>
      </c>
      <c r="AC48" s="195">
        <f t="shared" ca="1" si="16"/>
        <v>0</v>
      </c>
    </row>
    <row r="49" spans="3:29">
      <c r="C49" s="22" t="s">
        <v>21</v>
      </c>
      <c r="D49" s="25"/>
      <c r="E49" s="25"/>
      <c r="F49" s="197">
        <v>0</v>
      </c>
      <c r="G49" s="197">
        <v>0</v>
      </c>
      <c r="H49" s="197">
        <v>0</v>
      </c>
      <c r="I49" s="197">
        <v>0</v>
      </c>
      <c r="J49" s="197">
        <v>0</v>
      </c>
      <c r="K49" s="197">
        <v>0</v>
      </c>
      <c r="L49" s="197">
        <v>0</v>
      </c>
      <c r="M49" s="197">
        <v>0</v>
      </c>
      <c r="N49" s="197">
        <v>0</v>
      </c>
      <c r="O49" s="197">
        <v>0</v>
      </c>
      <c r="P49" s="197">
        <v>0</v>
      </c>
      <c r="Q49" s="197">
        <v>0</v>
      </c>
      <c r="R49" s="197">
        <v>0</v>
      </c>
      <c r="S49" s="197">
        <v>0</v>
      </c>
      <c r="T49" s="197">
        <v>0</v>
      </c>
      <c r="U49" s="197">
        <v>0</v>
      </c>
      <c r="V49" s="197">
        <v>0</v>
      </c>
      <c r="W49" s="197">
        <v>0</v>
      </c>
      <c r="X49" s="197">
        <v>0</v>
      </c>
      <c r="Y49" s="197">
        <v>0</v>
      </c>
      <c r="Z49" s="197">
        <v>0</v>
      </c>
      <c r="AA49" s="197">
        <v>0</v>
      </c>
      <c r="AB49" s="197">
        <v>0</v>
      </c>
      <c r="AC49" s="197">
        <v>0</v>
      </c>
    </row>
    <row r="50" spans="3:29">
      <c r="C50" s="268" t="s">
        <v>683</v>
      </c>
      <c r="D50" s="263"/>
      <c r="E50" s="263"/>
      <c r="F50" s="263">
        <f>E52</f>
        <v>0</v>
      </c>
      <c r="G50" s="263">
        <f t="shared" ref="G50:Q50" si="17">F52</f>
        <v>0</v>
      </c>
      <c r="H50" s="263">
        <f t="shared" si="17"/>
        <v>0</v>
      </c>
      <c r="I50" s="263">
        <f t="shared" si="17"/>
        <v>0</v>
      </c>
      <c r="J50" s="263">
        <f t="shared" si="17"/>
        <v>0</v>
      </c>
      <c r="K50" s="263">
        <f t="shared" si="17"/>
        <v>0</v>
      </c>
      <c r="L50" s="263">
        <f t="shared" ca="1" si="17"/>
        <v>0</v>
      </c>
      <c r="M50" s="263">
        <f t="shared" ca="1" si="17"/>
        <v>0</v>
      </c>
      <c r="N50" s="263">
        <f t="shared" ca="1" si="17"/>
        <v>0</v>
      </c>
      <c r="O50" s="263">
        <f t="shared" ca="1" si="17"/>
        <v>0</v>
      </c>
      <c r="P50" s="263">
        <f t="shared" ca="1" si="17"/>
        <v>0</v>
      </c>
      <c r="Q50" s="263">
        <f t="shared" ca="1" si="17"/>
        <v>0</v>
      </c>
      <c r="R50" s="263">
        <f t="shared" ref="R50:AC50" si="18">Q52</f>
        <v>0</v>
      </c>
      <c r="S50" s="263">
        <f t="shared" si="18"/>
        <v>0</v>
      </c>
      <c r="T50" s="263">
        <f t="shared" si="18"/>
        <v>0</v>
      </c>
      <c r="U50" s="263">
        <f t="shared" si="18"/>
        <v>0</v>
      </c>
      <c r="V50" s="263">
        <f t="shared" si="18"/>
        <v>0</v>
      </c>
      <c r="W50" s="263">
        <f t="shared" si="18"/>
        <v>0</v>
      </c>
      <c r="X50" s="263">
        <f t="shared" si="18"/>
        <v>0</v>
      </c>
      <c r="Y50" s="263">
        <f t="shared" si="18"/>
        <v>0</v>
      </c>
      <c r="Z50" s="263">
        <f t="shared" si="18"/>
        <v>0</v>
      </c>
      <c r="AA50" s="263">
        <f t="shared" si="18"/>
        <v>0</v>
      </c>
      <c r="AB50" s="263">
        <f t="shared" si="18"/>
        <v>0</v>
      </c>
      <c r="AC50" s="263">
        <f t="shared" si="18"/>
        <v>0</v>
      </c>
    </row>
    <row r="51" spans="3:29">
      <c r="C51" s="192" t="s">
        <v>22</v>
      </c>
      <c r="D51" s="195"/>
      <c r="E51" s="195">
        <f>'BS onshore'!E24</f>
        <v>0</v>
      </c>
      <c r="F51" s="195">
        <f t="shared" ref="F51:AC51" ca="1" si="19">F48+F49+F50</f>
        <v>0</v>
      </c>
      <c r="G51" s="195">
        <f t="shared" ca="1" si="19"/>
        <v>0</v>
      </c>
      <c r="H51" s="195">
        <f t="shared" ca="1" si="19"/>
        <v>0</v>
      </c>
      <c r="I51" s="195">
        <f t="shared" ca="1" si="19"/>
        <v>0</v>
      </c>
      <c r="J51" s="195">
        <f t="shared" ca="1" si="19"/>
        <v>0</v>
      </c>
      <c r="K51" s="195">
        <f t="shared" ca="1" si="19"/>
        <v>0</v>
      </c>
      <c r="L51" s="195">
        <f t="shared" ca="1" si="19"/>
        <v>0</v>
      </c>
      <c r="M51" s="195">
        <f t="shared" ca="1" si="19"/>
        <v>0</v>
      </c>
      <c r="N51" s="195">
        <f t="shared" ca="1" si="19"/>
        <v>0</v>
      </c>
      <c r="O51" s="195">
        <f t="shared" ca="1" si="19"/>
        <v>0</v>
      </c>
      <c r="P51" s="195">
        <f t="shared" ca="1" si="19"/>
        <v>0</v>
      </c>
      <c r="Q51" s="195">
        <f t="shared" ca="1" si="19"/>
        <v>0</v>
      </c>
      <c r="R51" s="195">
        <f t="shared" ca="1" si="19"/>
        <v>0</v>
      </c>
      <c r="S51" s="195">
        <f t="shared" ca="1" si="19"/>
        <v>0</v>
      </c>
      <c r="T51" s="195">
        <f t="shared" ca="1" si="19"/>
        <v>0</v>
      </c>
      <c r="U51" s="195">
        <f t="shared" ca="1" si="19"/>
        <v>0</v>
      </c>
      <c r="V51" s="195">
        <f t="shared" ca="1" si="19"/>
        <v>0</v>
      </c>
      <c r="W51" s="195">
        <f t="shared" ca="1" si="19"/>
        <v>0</v>
      </c>
      <c r="X51" s="195">
        <f t="shared" ca="1" si="19"/>
        <v>0</v>
      </c>
      <c r="Y51" s="195">
        <f t="shared" ca="1" si="19"/>
        <v>0</v>
      </c>
      <c r="Z51" s="195">
        <f t="shared" ca="1" si="19"/>
        <v>0</v>
      </c>
      <c r="AA51" s="195">
        <f t="shared" ca="1" si="19"/>
        <v>0</v>
      </c>
      <c r="AB51" s="195">
        <f t="shared" ca="1" si="19"/>
        <v>0</v>
      </c>
      <c r="AC51" s="195">
        <f t="shared" ca="1" si="19"/>
        <v>0</v>
      </c>
    </row>
    <row r="52" spans="3:29">
      <c r="C52" s="255" t="s">
        <v>846</v>
      </c>
      <c r="D52" s="255"/>
      <c r="E52" s="255">
        <f>'BS onshore'!E24</f>
        <v>0</v>
      </c>
      <c r="F52" s="255">
        <f>'BS onshore'!F24</f>
        <v>0</v>
      </c>
      <c r="G52" s="255">
        <f>'BS onshore'!G24</f>
        <v>0</v>
      </c>
      <c r="H52" s="255">
        <f>'BS onshore'!H24</f>
        <v>0</v>
      </c>
      <c r="I52" s="255">
        <f>'BS onshore'!I24</f>
        <v>0</v>
      </c>
      <c r="J52" s="255">
        <f>'BS onshore'!J24</f>
        <v>0</v>
      </c>
      <c r="K52" s="255">
        <f ca="1">'BS onshore'!K24</f>
        <v>0</v>
      </c>
      <c r="L52" s="255">
        <f ca="1">'BS onshore'!L24</f>
        <v>0</v>
      </c>
      <c r="M52" s="255">
        <f ca="1">'BS onshore'!M24</f>
        <v>0</v>
      </c>
      <c r="N52" s="255">
        <f ca="1">'BS onshore'!N24</f>
        <v>0</v>
      </c>
      <c r="O52" s="255">
        <f ca="1">'BS onshore'!O24</f>
        <v>0</v>
      </c>
      <c r="P52" s="255">
        <f ca="1">'BS onshore'!P24</f>
        <v>0</v>
      </c>
      <c r="Q52" s="255">
        <f>'BS onshore'!Q24</f>
        <v>0</v>
      </c>
      <c r="R52" s="255">
        <f>'BS onshore'!R24</f>
        <v>0</v>
      </c>
      <c r="S52" s="255">
        <f>'BS onshore'!S24</f>
        <v>0</v>
      </c>
      <c r="T52" s="255">
        <f>'BS onshore'!T24</f>
        <v>0</v>
      </c>
      <c r="U52" s="255">
        <f>'BS onshore'!U24</f>
        <v>0</v>
      </c>
      <c r="V52" s="255">
        <f>'BS onshore'!V24</f>
        <v>0</v>
      </c>
      <c r="W52" s="255">
        <f>'BS onshore'!W24</f>
        <v>0</v>
      </c>
      <c r="X52" s="255">
        <f>'BS onshore'!X24</f>
        <v>0</v>
      </c>
      <c r="Y52" s="255">
        <f>'BS onshore'!Y24</f>
        <v>0</v>
      </c>
      <c r="Z52" s="255">
        <f>'BS onshore'!Z24</f>
        <v>0</v>
      </c>
      <c r="AA52" s="255">
        <f>'BS onshore'!AA24</f>
        <v>0</v>
      </c>
      <c r="AB52" s="255">
        <f>'BS onshore'!AB24</f>
        <v>0</v>
      </c>
      <c r="AC52" s="255">
        <f>'BS onshore'!AC24</f>
        <v>0</v>
      </c>
    </row>
    <row r="53" spans="3:29">
      <c r="C53" s="269" t="s">
        <v>701</v>
      </c>
      <c r="D53" s="269"/>
      <c r="E53" s="269"/>
      <c r="F53" s="269">
        <f ca="1">OR(F6,F7,F8,F9)*IFERROR((F52-F51),1)</f>
        <v>0</v>
      </c>
      <c r="G53" s="269">
        <f t="shared" ref="G53:AC53" ca="1" si="20">OR(G6,G7,G8,G9)*IFERROR((G52-G51),1)</f>
        <v>0</v>
      </c>
      <c r="H53" s="269">
        <f t="shared" ca="1" si="20"/>
        <v>0</v>
      </c>
      <c r="I53" s="269">
        <f t="shared" ca="1" si="20"/>
        <v>0</v>
      </c>
      <c r="J53" s="269">
        <f t="shared" ca="1" si="20"/>
        <v>0</v>
      </c>
      <c r="K53" s="269">
        <f t="shared" ca="1" si="20"/>
        <v>0</v>
      </c>
      <c r="L53" s="269">
        <f t="shared" ca="1" si="20"/>
        <v>0</v>
      </c>
      <c r="M53" s="269">
        <f t="shared" ca="1" si="20"/>
        <v>0</v>
      </c>
      <c r="N53" s="269">
        <f t="shared" ca="1" si="20"/>
        <v>0</v>
      </c>
      <c r="O53" s="269">
        <f t="shared" ca="1" si="20"/>
        <v>0</v>
      </c>
      <c r="P53" s="269">
        <f t="shared" ca="1" si="20"/>
        <v>0</v>
      </c>
      <c r="Q53" s="269">
        <f t="shared" ca="1" si="20"/>
        <v>0</v>
      </c>
      <c r="R53" s="269">
        <f t="shared" ca="1" si="20"/>
        <v>0</v>
      </c>
      <c r="S53" s="269">
        <f t="shared" ca="1" si="20"/>
        <v>0</v>
      </c>
      <c r="T53" s="269">
        <f t="shared" ca="1" si="20"/>
        <v>0</v>
      </c>
      <c r="U53" s="269">
        <f t="shared" ca="1" si="20"/>
        <v>0</v>
      </c>
      <c r="V53" s="269">
        <f t="shared" ca="1" si="20"/>
        <v>0</v>
      </c>
      <c r="W53" s="269">
        <f t="shared" ca="1" si="20"/>
        <v>0</v>
      </c>
      <c r="X53" s="269">
        <f t="shared" ca="1" si="20"/>
        <v>0</v>
      </c>
      <c r="Y53" s="269">
        <f t="shared" ca="1" si="20"/>
        <v>0</v>
      </c>
      <c r="Z53" s="269">
        <f t="shared" ca="1" si="20"/>
        <v>0</v>
      </c>
      <c r="AA53" s="269">
        <f t="shared" ca="1" si="20"/>
        <v>0</v>
      </c>
      <c r="AB53" s="269">
        <f t="shared" ca="1" si="20"/>
        <v>0</v>
      </c>
      <c r="AC53" s="269">
        <f t="shared" ca="1" si="20"/>
        <v>0</v>
      </c>
    </row>
  </sheetData>
  <phoneticPr fontId="52" type="noConversion"/>
  <conditionalFormatting sqref="E6:AC9">
    <cfRule type="cellIs" dxfId="35" priority="3" operator="equal">
      <formula>TRUE</formula>
    </cfRule>
  </conditionalFormatting>
  <conditionalFormatting sqref="F42:AC42">
    <cfRule type="cellIs" dxfId="34" priority="2" operator="notEqual">
      <formula>0</formula>
    </cfRule>
  </conditionalFormatting>
  <conditionalFormatting sqref="F53:AC53">
    <cfRule type="cellIs" dxfId="33" priority="1" operator="notBetween">
      <formula>-0.01</formula>
      <formula>0.01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8657" r:id="rId3" name="Drop Down 1">
              <controlPr defaultSize="0" autoLine="0" autoPict="0">
                <anchor moveWithCells="1">
                  <from>
                    <xdr:col>4</xdr:col>
                    <xdr:colOff>557784</xdr:colOff>
                    <xdr:row>0</xdr:row>
                    <xdr:rowOff>0</xdr:rowOff>
                  </from>
                  <to>
                    <xdr:col>5</xdr:col>
                    <xdr:colOff>777240</xdr:colOff>
                    <xdr:row>1</xdr:row>
                    <xdr:rowOff>45720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tabColor theme="0"/>
  </sheetPr>
  <dimension ref="B1:AG54"/>
  <sheetViews>
    <sheetView topLeftCell="A31" zoomScale="90" zoomScaleNormal="90" workbookViewId="0">
      <selection activeCell="E19" sqref="E19"/>
    </sheetView>
  </sheetViews>
  <sheetFormatPr defaultColWidth="9.140625" defaultRowHeight="14.4" outlineLevelRow="1"/>
  <cols>
    <col min="1" max="1" width="2.7109375" style="1" customWidth="1"/>
    <col min="2" max="2" width="8" style="1" customWidth="1"/>
    <col min="3" max="3" width="45.140625" style="1" customWidth="1"/>
    <col min="4" max="7" width="18" style="1" customWidth="1"/>
    <col min="8" max="11" width="16.7109375" style="1" customWidth="1"/>
    <col min="12" max="12" width="16.85546875" style="1" customWidth="1"/>
    <col min="13" max="24" width="16.7109375" style="1" customWidth="1"/>
    <col min="25" max="27" width="10.5703125" style="1" customWidth="1"/>
    <col min="28" max="28" width="11.7109375" style="1" customWidth="1"/>
    <col min="29" max="16384" width="9.140625" style="1"/>
  </cols>
  <sheetData>
    <row r="1" spans="2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2:33" s="209" customFormat="1" ht="14.6" customHeight="1">
      <c r="C2" s="209" t="s">
        <v>871</v>
      </c>
      <c r="D2" s="209">
        <f>'Financial summary'!E5</f>
        <v>1</v>
      </c>
      <c r="E2" s="209" t="e">
        <f>INDEX('Scenarios onshore'!#REF!,D2)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2:33" ht="14.6" customHeight="1" outlineLevel="1"/>
    <row r="4" spans="2:33" s="34" customFormat="1" ht="14.6" customHeight="1" outlineLevel="1">
      <c r="C4" s="307" t="s">
        <v>719</v>
      </c>
      <c r="D4" s="307">
        <f>EOMONTH('Control Panel'!B11,2)</f>
        <v>43555</v>
      </c>
      <c r="E4" s="307">
        <f>EOMONTH(D4,3)</f>
        <v>43646</v>
      </c>
      <c r="F4" s="307">
        <f t="shared" ref="F4:AG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si="0"/>
        <v>45838</v>
      </c>
      <c r="AD4" s="307">
        <f t="shared" si="0"/>
        <v>45930</v>
      </c>
      <c r="AE4" s="307">
        <f t="shared" si="0"/>
        <v>46022</v>
      </c>
      <c r="AF4" s="307">
        <f t="shared" si="0"/>
        <v>46112</v>
      </c>
      <c r="AG4" s="307">
        <f t="shared" si="0"/>
        <v>46203</v>
      </c>
    </row>
    <row r="5" spans="2:33" s="28" customFormat="1" ht="14.6" customHeight="1" outlineLevel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2:33" s="28" customFormat="1" ht="14.6" customHeight="1" outlineLevel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2:33" s="28" customFormat="1" ht="14.6" customHeight="1" outlineLevel="1">
      <c r="C7" s="28" t="s">
        <v>794</v>
      </c>
      <c r="D7" s="28" t="b">
        <f ca="1">IFERROR(AND(OR(D4=('Financing assumptions onshore'!$F$65),OFFSET(D7,0,-'Financing assumptions onshore'!$F$66,1,1)),'Financing assumptions onshore'!$F$63),FALSE)</f>
        <v>0</v>
      </c>
      <c r="E7" s="28" t="b">
        <f ca="1">IFERROR(AND(OR(E4=('Financing assumptions onshore'!$F$65),OFFSET(E7,0,-'Financing assumptions onshore'!$F$66,1,1)),'Financing assumptions onshore'!$F$63),FALSE)</f>
        <v>0</v>
      </c>
      <c r="F7" s="28" t="b">
        <f ca="1">IFERROR(AND(OR(F4=('Financing assumptions onshore'!$F$65),OFFSET(F7,0,-'Financing assumptions onshore'!$F$66,1,1)),'Financing assumptions onshore'!$F$63),FALSE)</f>
        <v>0</v>
      </c>
      <c r="G7" s="28" t="b">
        <f ca="1">IFERROR(AND(OR(G4=('Financing assumptions onshore'!$F$65),OFFSET(G7,0,-'Financing assumptions onshore'!$F$66,1,1)),'Financing assumptions onshore'!$F$63),FALSE)</f>
        <v>0</v>
      </c>
      <c r="H7" s="28" t="b">
        <f ca="1">IFERROR(AND(OR(H4=('Financing assumptions onshore'!$F$65),OFFSET(H7,0,-'Financing assumptions onshore'!$F$66,1,1)),'Financing assumptions onshore'!$F$63),FALSE)</f>
        <v>0</v>
      </c>
      <c r="I7" s="28" t="b">
        <f ca="1">IFERROR(AND(OR(I4=('Financing assumptions onshore'!$F$65),OFFSET(I7,0,-'Financing assumptions onshore'!$F$66,1,1)),'Financing assumptions onshore'!$F$63),FALSE)</f>
        <v>0</v>
      </c>
      <c r="J7" s="28" t="b">
        <f ca="1">IFERROR(AND(OR(J4=('Financing assumptions onshore'!$F$65),OFFSET(J7,0,-'Financing assumptions onshore'!$F$66,1,1)),'Financing assumptions onshore'!$F$63),FALSE)</f>
        <v>0</v>
      </c>
      <c r="K7" s="28" t="b">
        <f ca="1">IFERROR(AND(OR(K4=('Financing assumptions onshore'!$F$65),OFFSET(K7,0,-'Financing assumptions onshore'!$F$66,1,1)),'Financing assumptions onshore'!$F$63),FALSE)</f>
        <v>0</v>
      </c>
      <c r="L7" s="28" t="b">
        <f ca="1">IFERROR(AND(OR(L4=('Financing assumptions onshore'!$F$65),OFFSET(L7,0,-'Financing assumptions onshore'!$F$66,1,1)),'Financing assumptions onshore'!$F$63),FALSE)</f>
        <v>0</v>
      </c>
      <c r="M7" s="28" t="b">
        <f ca="1">IFERROR(AND(OR(M4=('Financing assumptions onshore'!$F$65),OFFSET(M7,0,-'Financing assumptions onshore'!$F$66,1,1)),'Financing assumptions onshore'!$F$63),FALSE)</f>
        <v>0</v>
      </c>
      <c r="N7" s="28" t="b">
        <f ca="1">IFERROR(AND(OR(N4=('Financing assumptions onshore'!$F$65),OFFSET(N7,0,-'Financing assumptions onshore'!$F$66,1,1)),'Financing assumptions onshore'!$F$63),FALSE)</f>
        <v>0</v>
      </c>
      <c r="O7" s="28" t="b">
        <f ca="1">IFERROR(AND(OR(O4=('Financing assumptions onshore'!$F$65),OFFSET(O7,0,-'Financing assumptions onshore'!$F$66,1,1)),'Financing assumptions onshore'!$F$63),FALSE)</f>
        <v>0</v>
      </c>
      <c r="P7" s="28" t="b">
        <f ca="1">IFERROR(AND(OR(P4=('Financing assumptions onshore'!$F$65),OFFSET(P7,0,-'Financing assumptions onshore'!$F$66,1,1)),'Financing assumptions onshore'!$F$63),FALSE)</f>
        <v>0</v>
      </c>
      <c r="Q7" s="28" t="b">
        <f ca="1">IFERROR(AND(OR(Q4=('Financing assumptions onshore'!$F$65),OFFSET(Q7,0,-'Financing assumptions onshore'!$F$66,1,1)),'Financing assumptions onshore'!$F$63),FALSE)</f>
        <v>0</v>
      </c>
      <c r="R7" s="28" t="b">
        <f ca="1">IFERROR(AND(OR(R4=('Financing assumptions onshore'!$F$65),OFFSET(R7,0,-'Financing assumptions onshore'!$F$66,1,1)),'Financing assumptions onshore'!$F$63),FALSE)</f>
        <v>0</v>
      </c>
      <c r="S7" s="28" t="b">
        <f ca="1">IFERROR(AND(OR(S4=('Financing assumptions onshore'!$F$65),OFFSET(S7,0,-'Financing assumptions onshore'!$F$66,1,1)),'Financing assumptions onshore'!$F$63),FALSE)</f>
        <v>0</v>
      </c>
      <c r="T7" s="28" t="b">
        <f ca="1">IFERROR(AND(OR(T4=('Financing assumptions onshore'!$F$65),OFFSET(T7,0,-'Financing assumptions onshore'!$F$66,1,1)),'Financing assumptions onshore'!$F$63),FALSE)</f>
        <v>0</v>
      </c>
      <c r="U7" s="28" t="b">
        <f ca="1">IFERROR(AND(OR(U4=('Financing assumptions onshore'!$F$65),OFFSET(U7,0,-'Financing assumptions onshore'!$F$66,1,1)),'Financing assumptions onshore'!$F$63),FALSE)</f>
        <v>0</v>
      </c>
      <c r="V7" s="28" t="b">
        <f ca="1">IFERROR(AND(OR(V4=('Financing assumptions onshore'!$F$65),OFFSET(V7,0,-'Financing assumptions onshore'!$F$66,1,1)),'Financing assumptions onshore'!$F$63),FALSE)</f>
        <v>0</v>
      </c>
      <c r="W7" s="28" t="b">
        <f ca="1">IFERROR(AND(OR(W4=('Financing assumptions onshore'!$F$65),OFFSET(W7,0,-'Financing assumptions onshore'!$F$66,1,1)),'Financing assumptions onshore'!$F$63),FALSE)</f>
        <v>0</v>
      </c>
      <c r="X7" s="28" t="b">
        <f ca="1">IFERROR(AND(OR(X4=('Financing assumptions onshore'!$F$65),OFFSET(X7,0,-'Financing assumptions onshore'!$F$66,1,1)),'Financing assumptions onshore'!$F$63),FALSE)</f>
        <v>0</v>
      </c>
      <c r="Y7" s="28" t="b">
        <f ca="1">IFERROR(AND(OR(Y4=('Financing assumptions onshore'!$F$65),OFFSET(Y7,0,-'Financing assumptions onshore'!$F$66,1,1)),'Financing assumptions onshore'!$F$63),FALSE)</f>
        <v>0</v>
      </c>
      <c r="Z7" s="28" t="b">
        <f ca="1">IFERROR(AND(OR(Z4=('Financing assumptions onshore'!$F$65),OFFSET(Z7,0,-'Financing assumptions onshore'!$F$66,1,1)),'Financing assumptions onshore'!$F$63),FALSE)</f>
        <v>0</v>
      </c>
      <c r="AA7" s="28" t="b">
        <f ca="1">IFERROR(AND(OR(AA4=('Financing assumptions onshore'!$F$65),OFFSET(AA7,0,-'Financing assumptions onshore'!$F$66,1,1)),'Financing assumptions onshore'!$F$63),FALSE)</f>
        <v>0</v>
      </c>
      <c r="AB7" s="28" t="b">
        <f ca="1">IFERROR(AND(OR(AB4=('Financing assumptions onshore'!$F$65),OFFSET(AB7,0,-'Financing assumptions onshore'!$F$66,1,1)),'Financing assumptions onshore'!$F$63),FALSE)</f>
        <v>0</v>
      </c>
      <c r="AC7" s="28" t="b">
        <f ca="1">IFERROR(AND(OR(AC4=('Financing assumptions onshore'!$F$65),OFFSET(AC7,0,-'Financing assumptions onshore'!$F$66,1,1)),'Financing assumptions onshore'!$F$63),FALSE)</f>
        <v>0</v>
      </c>
      <c r="AD7" s="28" t="b">
        <f ca="1">IFERROR(AND(OR(AD4=('Financing assumptions onshore'!$F$65),OFFSET(AD7,0,-'Financing assumptions onshore'!$F$66,1,1)),'Financing assumptions onshore'!$F$63),FALSE)</f>
        <v>0</v>
      </c>
      <c r="AE7" s="28" t="b">
        <f ca="1">IFERROR(AND(OR(AE4=('Financing assumptions onshore'!$F$65),OFFSET(AE7,0,-'Financing assumptions onshore'!$F$66,1,1)),'Financing assumptions onshore'!$F$63),FALSE)</f>
        <v>0</v>
      </c>
      <c r="AF7" s="28" t="b">
        <f ca="1">IFERROR(AND(OR(AF4=('Financing assumptions onshore'!$F$65),OFFSET(AF7,0,-'Financing assumptions onshore'!$F$66,1,1)),'Financing assumptions onshore'!$F$63),FALSE)</f>
        <v>0</v>
      </c>
      <c r="AG7" s="28" t="b">
        <f ca="1">IFERROR(AND(OR(AG4=('Financing assumptions onshore'!$F$65),OFFSET(AG7,0,-'Financing assumptions onshore'!$F$66,1,1)),'Financing assumptions onshore'!$F$63),FALSE)</f>
        <v>0</v>
      </c>
    </row>
    <row r="8" spans="2:33" ht="14.6" customHeight="1" outlineLevel="1">
      <c r="D8" s="110">
        <f>YEAR(D4)</f>
        <v>2019</v>
      </c>
      <c r="E8" s="110">
        <f t="shared" ref="E8:AF8" si="1">YEAR(E4)</f>
        <v>2019</v>
      </c>
      <c r="F8" s="110">
        <f t="shared" si="1"/>
        <v>2019</v>
      </c>
      <c r="G8" s="110">
        <f t="shared" si="1"/>
        <v>2019</v>
      </c>
      <c r="H8" s="110">
        <f t="shared" si="1"/>
        <v>2020</v>
      </c>
      <c r="I8" s="110">
        <f t="shared" si="1"/>
        <v>2020</v>
      </c>
      <c r="J8" s="110">
        <f t="shared" si="1"/>
        <v>2020</v>
      </c>
      <c r="K8" s="110">
        <f t="shared" si="1"/>
        <v>2020</v>
      </c>
      <c r="L8" s="110">
        <f t="shared" si="1"/>
        <v>2021</v>
      </c>
      <c r="M8" s="110">
        <f t="shared" si="1"/>
        <v>2021</v>
      </c>
      <c r="N8" s="110">
        <f t="shared" si="1"/>
        <v>2021</v>
      </c>
      <c r="O8" s="110">
        <f t="shared" si="1"/>
        <v>2021</v>
      </c>
      <c r="P8" s="110">
        <f t="shared" si="1"/>
        <v>2022</v>
      </c>
      <c r="Q8" s="110">
        <f t="shared" si="1"/>
        <v>2022</v>
      </c>
      <c r="R8" s="110">
        <f t="shared" si="1"/>
        <v>2022</v>
      </c>
      <c r="S8" s="110">
        <f t="shared" si="1"/>
        <v>2022</v>
      </c>
      <c r="T8" s="110">
        <f t="shared" si="1"/>
        <v>2023</v>
      </c>
      <c r="U8" s="110">
        <f t="shared" si="1"/>
        <v>2023</v>
      </c>
      <c r="V8" s="110">
        <f t="shared" si="1"/>
        <v>2023</v>
      </c>
      <c r="W8" s="110">
        <f t="shared" si="1"/>
        <v>2023</v>
      </c>
      <c r="X8" s="110">
        <f t="shared" si="1"/>
        <v>2024</v>
      </c>
      <c r="Y8" s="110">
        <f t="shared" si="1"/>
        <v>2024</v>
      </c>
      <c r="Z8" s="110">
        <f t="shared" si="1"/>
        <v>2024</v>
      </c>
      <c r="AA8" s="110">
        <f t="shared" si="1"/>
        <v>2024</v>
      </c>
      <c r="AB8" s="110">
        <f t="shared" si="1"/>
        <v>2025</v>
      </c>
      <c r="AC8" s="110">
        <f t="shared" si="1"/>
        <v>2025</v>
      </c>
      <c r="AD8" s="110">
        <f t="shared" si="1"/>
        <v>2025</v>
      </c>
      <c r="AE8" s="110">
        <f t="shared" si="1"/>
        <v>2025</v>
      </c>
      <c r="AF8" s="110">
        <f t="shared" si="1"/>
        <v>2026</v>
      </c>
      <c r="AG8" s="110">
        <f t="shared" ref="AG8" si="2">YEAR(AG4)</f>
        <v>2026</v>
      </c>
    </row>
    <row r="9" spans="2:33" ht="14.6" customHeight="1" outlineLevel="1">
      <c r="D9" s="30">
        <f>M2</f>
        <v>1</v>
      </c>
      <c r="E9" s="30">
        <f>IF(D9=4,1,D9+1)</f>
        <v>2</v>
      </c>
      <c r="F9" s="30">
        <f>IF(E9=4,1,E9+1)</f>
        <v>3</v>
      </c>
      <c r="G9" s="30">
        <f>IF(F9=4,1,F9+1)</f>
        <v>4</v>
      </c>
      <c r="H9" s="30">
        <f>IF(G9=4,1,G9+1)</f>
        <v>1</v>
      </c>
      <c r="I9" s="30">
        <f t="shared" ref="I9:AG9" si="3">IF(H9=4,1,H9+1)</f>
        <v>2</v>
      </c>
      <c r="J9" s="30">
        <f t="shared" si="3"/>
        <v>3</v>
      </c>
      <c r="K9" s="30">
        <f t="shared" si="3"/>
        <v>4</v>
      </c>
      <c r="L9" s="30">
        <f t="shared" si="3"/>
        <v>1</v>
      </c>
      <c r="M9" s="30">
        <f t="shared" si="3"/>
        <v>2</v>
      </c>
      <c r="N9" s="30">
        <f t="shared" si="3"/>
        <v>3</v>
      </c>
      <c r="O9" s="30">
        <f t="shared" si="3"/>
        <v>4</v>
      </c>
      <c r="P9" s="30">
        <f t="shared" si="3"/>
        <v>1</v>
      </c>
      <c r="Q9" s="30">
        <f t="shared" si="3"/>
        <v>2</v>
      </c>
      <c r="R9" s="30">
        <f t="shared" si="3"/>
        <v>3</v>
      </c>
      <c r="S9" s="30">
        <f t="shared" si="3"/>
        <v>4</v>
      </c>
      <c r="T9" s="30">
        <f t="shared" si="3"/>
        <v>1</v>
      </c>
      <c r="U9" s="30">
        <f t="shared" si="3"/>
        <v>2</v>
      </c>
      <c r="V9" s="30">
        <f t="shared" si="3"/>
        <v>3</v>
      </c>
      <c r="W9" s="30">
        <f t="shared" si="3"/>
        <v>4</v>
      </c>
      <c r="X9" s="30">
        <f t="shared" si="3"/>
        <v>1</v>
      </c>
      <c r="Y9" s="30">
        <f t="shared" si="3"/>
        <v>2</v>
      </c>
      <c r="Z9" s="30">
        <f t="shared" si="3"/>
        <v>3</v>
      </c>
      <c r="AA9" s="30">
        <f t="shared" si="3"/>
        <v>4</v>
      </c>
      <c r="AB9" s="30">
        <f t="shared" si="3"/>
        <v>1</v>
      </c>
      <c r="AC9" s="30">
        <f t="shared" si="3"/>
        <v>2</v>
      </c>
      <c r="AD9" s="30">
        <f t="shared" si="3"/>
        <v>3</v>
      </c>
      <c r="AE9" s="30">
        <f t="shared" si="3"/>
        <v>4</v>
      </c>
      <c r="AF9" s="30">
        <f t="shared" si="3"/>
        <v>1</v>
      </c>
      <c r="AG9" s="30">
        <f t="shared" si="3"/>
        <v>2</v>
      </c>
    </row>
    <row r="10" spans="2:33" outlineLevel="1" collapsed="1"/>
    <row r="11" spans="2:33" ht="16.600000000000001">
      <c r="B11" s="196" t="str">
        <f>CONCATENATE("Project ",project_name," sources and uses")</f>
        <v>Project  sources and uses</v>
      </c>
    </row>
    <row r="12" spans="2:33">
      <c r="B12" s="209" t="str">
        <f>CONCATENATE("Cash Sweep calculation (cash flows on rolling ",'Covenants onshore'!D11," quarter basis)")</f>
        <v>Cash Sweep calculation (cash flows on rolling 1 quarter basis)</v>
      </c>
      <c r="C12" s="209"/>
      <c r="D12" s="198">
        <f>D4</f>
        <v>43555</v>
      </c>
      <c r="E12" s="198">
        <f t="shared" ref="E12:AF12" si="4">E4</f>
        <v>43646</v>
      </c>
      <c r="F12" s="198">
        <f t="shared" si="4"/>
        <v>43738</v>
      </c>
      <c r="G12" s="198">
        <f t="shared" si="4"/>
        <v>43830</v>
      </c>
      <c r="H12" s="198">
        <f t="shared" si="4"/>
        <v>43921</v>
      </c>
      <c r="I12" s="198">
        <f t="shared" si="4"/>
        <v>44012</v>
      </c>
      <c r="J12" s="198">
        <f t="shared" si="4"/>
        <v>44104</v>
      </c>
      <c r="K12" s="198">
        <f t="shared" si="4"/>
        <v>44196</v>
      </c>
      <c r="L12" s="198">
        <f t="shared" si="4"/>
        <v>44286</v>
      </c>
      <c r="M12" s="198">
        <f t="shared" si="4"/>
        <v>44377</v>
      </c>
      <c r="N12" s="198">
        <f t="shared" si="4"/>
        <v>44469</v>
      </c>
      <c r="O12" s="198">
        <f t="shared" si="4"/>
        <v>44561</v>
      </c>
      <c r="P12" s="198">
        <f t="shared" si="4"/>
        <v>44651</v>
      </c>
      <c r="Q12" s="198">
        <f t="shared" si="4"/>
        <v>44742</v>
      </c>
      <c r="R12" s="198">
        <f t="shared" si="4"/>
        <v>44834</v>
      </c>
      <c r="S12" s="198">
        <f t="shared" si="4"/>
        <v>44926</v>
      </c>
      <c r="T12" s="198">
        <f t="shared" si="4"/>
        <v>45016</v>
      </c>
      <c r="U12" s="198">
        <f t="shared" si="4"/>
        <v>45107</v>
      </c>
      <c r="V12" s="198">
        <f t="shared" si="4"/>
        <v>45199</v>
      </c>
      <c r="W12" s="198">
        <f t="shared" si="4"/>
        <v>45291</v>
      </c>
      <c r="X12" s="198">
        <f t="shared" si="4"/>
        <v>45382</v>
      </c>
      <c r="Y12" s="198">
        <f t="shared" si="4"/>
        <v>45473</v>
      </c>
      <c r="Z12" s="198">
        <f t="shared" si="4"/>
        <v>45565</v>
      </c>
      <c r="AA12" s="198">
        <f t="shared" si="4"/>
        <v>45657</v>
      </c>
      <c r="AB12" s="198">
        <f t="shared" si="4"/>
        <v>45747</v>
      </c>
      <c r="AC12" s="198">
        <f t="shared" si="4"/>
        <v>45838</v>
      </c>
      <c r="AD12" s="198">
        <f t="shared" si="4"/>
        <v>45930</v>
      </c>
      <c r="AE12" s="198">
        <f t="shared" si="4"/>
        <v>46022</v>
      </c>
      <c r="AF12" s="198">
        <f t="shared" si="4"/>
        <v>46112</v>
      </c>
      <c r="AG12" s="198">
        <f t="shared" ref="AG12" si="5">AG4</f>
        <v>46203</v>
      </c>
    </row>
    <row r="13" spans="2:33">
      <c r="B13" s="197" t="b">
        <v>1</v>
      </c>
      <c r="C13" s="180" t="s">
        <v>789</v>
      </c>
      <c r="D13" s="180">
        <f ca="1">IFERROR(OFFSET('Covenants onshore'!D18,0,-'Covenants onshore'!$D$11+1)*$B13,0)</f>
        <v>0</v>
      </c>
      <c r="E13" s="180">
        <f ca="1">IFERROR(OFFSET('Covenants onshore'!E18,0,-'Covenants onshore'!$D$11+1)*$B13,0)</f>
        <v>0</v>
      </c>
      <c r="F13" s="180">
        <f ca="1">IFERROR(OFFSET('Covenants onshore'!F18,0,-'Covenants onshore'!$D$11+1)*$B13,0)</f>
        <v>0</v>
      </c>
      <c r="G13" s="180">
        <f ca="1">IFERROR(OFFSET('Covenants onshore'!G18,0,-'Covenants onshore'!$D$11+1)*$B13,0)</f>
        <v>0</v>
      </c>
      <c r="H13" s="180">
        <f ca="1">IFERROR(OFFSET('Covenants onshore'!H18,0,-'Covenants onshore'!$D$11+1)*$B13,0)</f>
        <v>0</v>
      </c>
      <c r="I13" s="180">
        <f ca="1">IFERROR(OFFSET('Covenants onshore'!I18,0,-'Covenants onshore'!$D$11+1)*$B13,0)</f>
        <v>0</v>
      </c>
      <c r="J13" s="180">
        <f ca="1">IFERROR(OFFSET('Covenants onshore'!J18,0,-'Covenants onshore'!$D$11+1)*$B13,0)</f>
        <v>0</v>
      </c>
      <c r="K13" s="180">
        <f ca="1">IFERROR(OFFSET('Covenants onshore'!K18,0,-'Covenants onshore'!$D$11+1)*$B13,0)</f>
        <v>0</v>
      </c>
      <c r="L13" s="180">
        <f ca="1">IFERROR(OFFSET('Covenants onshore'!L18,0,-'Covenants onshore'!$D$11+1)*$B13,0)</f>
        <v>0</v>
      </c>
      <c r="M13" s="180">
        <f ca="1">IFERROR(OFFSET('Covenants onshore'!M18,0,-'Covenants onshore'!$D$11+1)*$B13,0)</f>
        <v>0</v>
      </c>
      <c r="N13" s="180">
        <f ca="1">IFERROR(OFFSET('Covenants onshore'!N18,0,-'Covenants onshore'!$D$11+1)*$B13,0)</f>
        <v>0</v>
      </c>
      <c r="O13" s="180">
        <f ca="1">IFERROR(OFFSET('Covenants onshore'!O18,0,-'Covenants onshore'!$D$11+1)*$B13,0)</f>
        <v>0</v>
      </c>
      <c r="P13" s="180">
        <f ca="1">IFERROR(OFFSET('Covenants onshore'!P18,0,-'Covenants onshore'!$D$11+1)*$B13,0)</f>
        <v>0</v>
      </c>
      <c r="Q13" s="180">
        <f ca="1">IFERROR(OFFSET('Covenants onshore'!Q18,0,-'Covenants onshore'!$D$11+1)*$B13,0)</f>
        <v>0</v>
      </c>
      <c r="R13" s="180">
        <f ca="1">IFERROR(OFFSET('Covenants onshore'!R18,0,-'Covenants onshore'!$D$11+1)*$B13,0)</f>
        <v>0</v>
      </c>
      <c r="S13" s="180">
        <f ca="1">IFERROR(OFFSET('Covenants onshore'!S18,0,-'Covenants onshore'!$D$11+1)*$B13,0)</f>
        <v>0</v>
      </c>
      <c r="T13" s="180">
        <f ca="1">IFERROR(OFFSET('Covenants onshore'!T18,0,-'Covenants onshore'!$D$11+1)*$B13,0)</f>
        <v>0</v>
      </c>
      <c r="U13" s="180">
        <f ca="1">IFERROR(OFFSET('Covenants onshore'!U18,0,-'Covenants onshore'!$D$11+1)*$B13,0)</f>
        <v>0</v>
      </c>
      <c r="V13" s="180">
        <f ca="1">IFERROR(OFFSET('Covenants onshore'!V18,0,-'Covenants onshore'!$D$11+1)*$B13,0)</f>
        <v>0</v>
      </c>
      <c r="W13" s="180">
        <f ca="1">IFERROR(OFFSET('Covenants onshore'!W18,0,-'Covenants onshore'!$D$11+1)*$B13,0)</f>
        <v>0</v>
      </c>
      <c r="X13" s="180">
        <f ca="1">IFERROR(OFFSET('Covenants onshore'!X18,0,-'Covenants onshore'!$D$11+1)*$B13,0)</f>
        <v>0</v>
      </c>
      <c r="Y13" s="180">
        <f ca="1">IFERROR(OFFSET('Covenants onshore'!Y18,0,-'Covenants onshore'!$D$11+1)*$B13,0)</f>
        <v>0</v>
      </c>
      <c r="Z13" s="180">
        <f ca="1">IFERROR(OFFSET('Covenants onshore'!Z18,0,-'Covenants onshore'!$D$11+1)*$B13,0)</f>
        <v>0</v>
      </c>
      <c r="AA13" s="180">
        <f ca="1">IFERROR(OFFSET('Covenants onshore'!AA18,0,-'Covenants onshore'!$D$11+1)*$B13,0)</f>
        <v>0</v>
      </c>
      <c r="AB13" s="180">
        <f ca="1">IFERROR(OFFSET('Covenants onshore'!AB18,0,-'Covenants onshore'!$D$11+1)*$B13,0)</f>
        <v>0</v>
      </c>
      <c r="AC13" s="180">
        <f ca="1">IFERROR(OFFSET('Covenants onshore'!AC18,0,-'Covenants onshore'!$D$11+1)*$B13,0)</f>
        <v>0</v>
      </c>
      <c r="AD13" s="180">
        <f ca="1">IFERROR(OFFSET('Covenants onshore'!AD18,0,-'Covenants onshore'!$D$11+1)*$B13,0)</f>
        <v>0</v>
      </c>
      <c r="AE13" s="180">
        <f ca="1">IFERROR(OFFSET('Covenants onshore'!AE18,0,-'Covenants onshore'!$D$11+1)*$B13,0)</f>
        <v>0</v>
      </c>
      <c r="AF13" s="180">
        <f ca="1">IFERROR(OFFSET('Covenants onshore'!AF18,0,-'Covenants onshore'!$D$11+1)*$B13,0)</f>
        <v>0</v>
      </c>
      <c r="AG13" s="180">
        <f ca="1">IFERROR(OFFSET('Covenants onshore'!AG18,0,-'Covenants onshore'!$D$11+1)*$B13,0)</f>
        <v>0</v>
      </c>
    </row>
    <row r="14" spans="2:33">
      <c r="B14" s="197" t="b">
        <v>1</v>
      </c>
      <c r="C14" s="302" t="s">
        <v>813</v>
      </c>
      <c r="D14" s="303">
        <f>-'Financing assumptions onshore'!$F$67*1000*$B14</f>
        <v>-20000000</v>
      </c>
      <c r="E14" s="303">
        <f>-'Financing assumptions onshore'!$F$67*1000*$B14</f>
        <v>-20000000</v>
      </c>
      <c r="F14" s="303">
        <f>-'Financing assumptions onshore'!$F$67*1000*$B14</f>
        <v>-20000000</v>
      </c>
      <c r="G14" s="303">
        <f>-'Financing assumptions onshore'!$F$67*1000*$B14</f>
        <v>-20000000</v>
      </c>
      <c r="H14" s="303">
        <f>-'Financing assumptions onshore'!$F$67*1000*$B14</f>
        <v>-20000000</v>
      </c>
      <c r="I14" s="303">
        <f>-'Financing assumptions onshore'!$F$67*1000*$B14</f>
        <v>-20000000</v>
      </c>
      <c r="J14" s="303">
        <f>-'Financing assumptions onshore'!$F$67*1000*$B14</f>
        <v>-20000000</v>
      </c>
      <c r="K14" s="303">
        <f>-'Financing assumptions onshore'!$F$67*1000*$B14</f>
        <v>-20000000</v>
      </c>
      <c r="L14" s="303">
        <f>-'Financing assumptions onshore'!$F$67*1000*$B14</f>
        <v>-20000000</v>
      </c>
      <c r="M14" s="303">
        <f>-'Financing assumptions onshore'!$F$67*1000*$B14</f>
        <v>-20000000</v>
      </c>
      <c r="N14" s="303">
        <f>-'Financing assumptions onshore'!$F$67*1000*$B14</f>
        <v>-20000000</v>
      </c>
      <c r="O14" s="303">
        <f>-'Financing assumptions onshore'!$F$67*1000*$B14</f>
        <v>-20000000</v>
      </c>
      <c r="P14" s="303">
        <f>-'Financing assumptions onshore'!$F$67*1000*$B14</f>
        <v>-20000000</v>
      </c>
      <c r="Q14" s="303">
        <f>-'Financing assumptions onshore'!$F$67*1000*$B14</f>
        <v>-20000000</v>
      </c>
      <c r="R14" s="303">
        <f>-'Financing assumptions onshore'!$F$67*1000*$B14</f>
        <v>-20000000</v>
      </c>
      <c r="S14" s="303">
        <f>-'Financing assumptions onshore'!$F$67*1000*$B14</f>
        <v>-20000000</v>
      </c>
      <c r="T14" s="303">
        <f>-'Financing assumptions onshore'!$F$67*1000*$B14</f>
        <v>-20000000</v>
      </c>
      <c r="U14" s="303">
        <f>-'Financing assumptions onshore'!$F$67*1000*$B14</f>
        <v>-20000000</v>
      </c>
      <c r="V14" s="303">
        <f>-'Financing assumptions onshore'!$F$67*1000*$B14</f>
        <v>-20000000</v>
      </c>
      <c r="W14" s="303">
        <f>-'Financing assumptions onshore'!$F$67*1000*$B14</f>
        <v>-20000000</v>
      </c>
      <c r="X14" s="303">
        <f>-'Financing assumptions onshore'!$F$67*1000*$B14</f>
        <v>-20000000</v>
      </c>
      <c r="Y14" s="303">
        <f>-'Financing assumptions onshore'!$F$67*1000*$B14</f>
        <v>-20000000</v>
      </c>
      <c r="Z14" s="303">
        <f>-'Financing assumptions onshore'!$F$67*1000*$B14</f>
        <v>-20000000</v>
      </c>
      <c r="AA14" s="303">
        <f>-'Financing assumptions onshore'!$F$67*1000*$B14</f>
        <v>-20000000</v>
      </c>
      <c r="AB14" s="303">
        <f>-'Financing assumptions onshore'!$F$67*1000*$B14</f>
        <v>-20000000</v>
      </c>
      <c r="AC14" s="303">
        <f>-'Financing assumptions onshore'!$F$67*1000*$B14</f>
        <v>-20000000</v>
      </c>
      <c r="AD14" s="303">
        <f>-'Financing assumptions onshore'!$F$67*1000*$B14</f>
        <v>-20000000</v>
      </c>
      <c r="AE14" s="303">
        <f>-'Financing assumptions onshore'!$F$67*1000*$B14</f>
        <v>-20000000</v>
      </c>
      <c r="AF14" s="303">
        <f>-'Financing assumptions onshore'!$F$67*1000*$B14</f>
        <v>-20000000</v>
      </c>
      <c r="AG14" s="303">
        <f>-'Financing assumptions onshore'!$F$67*1000*$B14</f>
        <v>-20000000</v>
      </c>
    </row>
    <row r="15" spans="2:33">
      <c r="B15" s="197" t="b">
        <v>1</v>
      </c>
      <c r="C15" s="180" t="s">
        <v>684</v>
      </c>
      <c r="D15" s="180">
        <f ca="1">'Covenants onshore'!D34*$B15</f>
        <v>0</v>
      </c>
      <c r="E15" s="180">
        <f ca="1">'Covenants onshore'!E34*$B15</f>
        <v>0</v>
      </c>
      <c r="F15" s="180">
        <f ca="1">'Covenants onshore'!F34*$B15</f>
        <v>0</v>
      </c>
      <c r="G15" s="180">
        <f ca="1">'Covenants onshore'!G34*$B15</f>
        <v>0</v>
      </c>
      <c r="H15" s="180">
        <f ca="1">'Covenants onshore'!H34*$B15</f>
        <v>0</v>
      </c>
      <c r="I15" s="180">
        <f ca="1">'Covenants onshore'!I34*$B15</f>
        <v>0</v>
      </c>
      <c r="J15" s="180">
        <f ca="1">'Covenants onshore'!J34*$B15</f>
        <v>0</v>
      </c>
      <c r="K15" s="180">
        <f ca="1">'Covenants onshore'!K34*$B15</f>
        <v>0</v>
      </c>
      <c r="L15" s="180">
        <f ca="1">'Covenants onshore'!L34*$B15</f>
        <v>0</v>
      </c>
      <c r="M15" s="180">
        <f ca="1">'Covenants onshore'!M34*$B15</f>
        <v>0</v>
      </c>
      <c r="N15" s="180">
        <f ca="1">'Covenants onshore'!N34*$B15</f>
        <v>0</v>
      </c>
      <c r="O15" s="180">
        <f ca="1">'Covenants onshore'!O34*$B15</f>
        <v>0</v>
      </c>
      <c r="P15" s="180">
        <f ca="1">'Covenants onshore'!P34*$B15</f>
        <v>0</v>
      </c>
      <c r="Q15" s="180">
        <f ca="1">'Covenants onshore'!Q34*$B15</f>
        <v>0</v>
      </c>
      <c r="R15" s="180">
        <f ca="1">'Covenants onshore'!R34*$B15</f>
        <v>0</v>
      </c>
      <c r="S15" s="180">
        <f ca="1">'Covenants onshore'!S34*$B15</f>
        <v>0</v>
      </c>
      <c r="T15" s="180">
        <f ca="1">'Covenants onshore'!T34*$B15</f>
        <v>0</v>
      </c>
      <c r="U15" s="180">
        <f ca="1">'Covenants onshore'!U34*$B15</f>
        <v>0</v>
      </c>
      <c r="V15" s="180">
        <f ca="1">'Covenants onshore'!V34*$B15</f>
        <v>0</v>
      </c>
      <c r="W15" s="180">
        <f ca="1">'Covenants onshore'!W34*$B15</f>
        <v>0</v>
      </c>
      <c r="X15" s="180">
        <f ca="1">'Covenants onshore'!X34*$B15</f>
        <v>0</v>
      </c>
      <c r="Y15" s="180">
        <f ca="1">'Covenants onshore'!Y34*$B15</f>
        <v>0</v>
      </c>
      <c r="Z15" s="180">
        <f ca="1">'Covenants onshore'!Z34*$B15</f>
        <v>0</v>
      </c>
      <c r="AA15" s="180">
        <f ca="1">'Covenants onshore'!AA34*$B15</f>
        <v>0</v>
      </c>
      <c r="AB15" s="180" t="e">
        <f ca="1">'Covenants onshore'!AB34*$B15</f>
        <v>#VALUE!</v>
      </c>
      <c r="AC15" s="180" t="e">
        <f ca="1">'Covenants onshore'!AC34*$B15</f>
        <v>#VALUE!</v>
      </c>
      <c r="AD15" s="180" t="e">
        <f ca="1">'Covenants onshore'!AD34*$B15</f>
        <v>#VALUE!</v>
      </c>
      <c r="AE15" s="180" t="e">
        <f ca="1">'Covenants onshore'!AE34*$B15</f>
        <v>#VALUE!</v>
      </c>
      <c r="AF15" s="180" t="e">
        <f ca="1">'Covenants onshore'!AF34*$B15</f>
        <v>#VALUE!</v>
      </c>
      <c r="AG15" s="180" t="e">
        <f ca="1">'Covenants onshore'!AG34*$B15</f>
        <v>#VALUE!</v>
      </c>
    </row>
    <row r="16" spans="2:33">
      <c r="B16" s="197" t="b">
        <v>1</v>
      </c>
      <c r="C16" s="302" t="s">
        <v>809</v>
      </c>
      <c r="D16" s="291"/>
      <c r="E16" s="291"/>
      <c r="F16" s="291"/>
      <c r="G16" s="291"/>
      <c r="H16" s="291"/>
      <c r="I16" s="291"/>
      <c r="J16" s="291"/>
      <c r="K16" s="291"/>
      <c r="L16" s="291"/>
      <c r="M16" s="291"/>
      <c r="N16" s="291"/>
      <c r="O16" s="291"/>
      <c r="P16" s="291"/>
      <c r="Q16" s="291"/>
      <c r="R16" s="291"/>
      <c r="S16" s="291"/>
      <c r="T16" s="291"/>
      <c r="U16" s="291"/>
      <c r="V16" s="291"/>
      <c r="W16" s="291"/>
      <c r="X16" s="291"/>
      <c r="Y16" s="291"/>
      <c r="Z16" s="291"/>
      <c r="AA16" s="291"/>
      <c r="AB16" s="291"/>
      <c r="AC16" s="291"/>
      <c r="AD16" s="291"/>
      <c r="AE16" s="291"/>
      <c r="AF16" s="291"/>
      <c r="AG16" s="291"/>
    </row>
    <row r="17" spans="2:33">
      <c r="B17" s="197" t="b">
        <v>1</v>
      </c>
      <c r="C17" s="302" t="s">
        <v>810</v>
      </c>
      <c r="D17" s="291"/>
      <c r="E17" s="291"/>
      <c r="F17" s="291"/>
      <c r="G17" s="291"/>
      <c r="H17" s="291"/>
      <c r="I17" s="291"/>
      <c r="J17" s="291"/>
      <c r="K17" s="291"/>
      <c r="L17" s="291"/>
      <c r="M17" s="291"/>
      <c r="N17" s="291"/>
      <c r="O17" s="291"/>
      <c r="P17" s="291"/>
      <c r="Q17" s="291"/>
      <c r="R17" s="291"/>
      <c r="S17" s="291"/>
      <c r="T17" s="291"/>
      <c r="U17" s="291"/>
      <c r="V17" s="291"/>
      <c r="W17" s="291"/>
      <c r="X17" s="291"/>
      <c r="Y17" s="291"/>
      <c r="Z17" s="291"/>
      <c r="AA17" s="291"/>
      <c r="AB17" s="291"/>
      <c r="AC17" s="291"/>
      <c r="AD17" s="291"/>
      <c r="AE17" s="291"/>
      <c r="AF17" s="291"/>
      <c r="AG17" s="291"/>
    </row>
    <row r="18" spans="2:33">
      <c r="B18" s="197" t="b">
        <v>1</v>
      </c>
      <c r="C18" s="302" t="s">
        <v>863</v>
      </c>
      <c r="D18" s="291">
        <f>SUM('Financial Quarterly onshore'!A100:'Financial Quarterly onshore'!D100)</f>
        <v>0</v>
      </c>
      <c r="E18" s="291">
        <f ca="1">SUM('Financial Quarterly onshore'!B100:'Financial Quarterly onshore'!E100)</f>
        <v>0</v>
      </c>
      <c r="F18" s="291">
        <f ca="1">SUM('Financial Quarterly onshore'!C100:'Financial Quarterly onshore'!F100)</f>
        <v>0</v>
      </c>
      <c r="G18" s="291">
        <f ca="1">SUM('Financial Quarterly onshore'!D100:'Financial Quarterly onshore'!G100)</f>
        <v>0</v>
      </c>
      <c r="H18" s="291">
        <f ca="1">SUM('Financial Quarterly onshore'!E100:'Financial Quarterly onshore'!H100)</f>
        <v>0</v>
      </c>
      <c r="I18" s="291">
        <f ca="1">SUM('Financial Quarterly onshore'!F100:'Financial Quarterly onshore'!I100)</f>
        <v>0</v>
      </c>
      <c r="J18" s="291">
        <f ca="1">SUM('Financial Quarterly onshore'!G100:'Financial Quarterly onshore'!J100)</f>
        <v>0</v>
      </c>
      <c r="K18" s="291">
        <f ca="1">SUM('Financial Quarterly onshore'!H100:'Financial Quarterly onshore'!K100)</f>
        <v>0</v>
      </c>
      <c r="L18" s="291">
        <f ca="1">SUM('Financial Quarterly onshore'!I100:'Financial Quarterly onshore'!L100)</f>
        <v>0</v>
      </c>
      <c r="M18" s="291">
        <f ca="1">SUM('Financial Quarterly onshore'!J100:'Financial Quarterly onshore'!M100)</f>
        <v>0</v>
      </c>
      <c r="N18" s="291">
        <f ca="1">SUM('Financial Quarterly onshore'!K100:'Financial Quarterly onshore'!N100)</f>
        <v>0</v>
      </c>
      <c r="O18" s="291">
        <f ca="1">SUM('Financial Quarterly onshore'!L100:'Financial Quarterly onshore'!O100)</f>
        <v>0</v>
      </c>
      <c r="P18" s="291">
        <f ca="1">SUM('Financial Quarterly onshore'!M100:'Financial Quarterly onshore'!P100)</f>
        <v>0</v>
      </c>
      <c r="Q18" s="291">
        <f ca="1">SUM('Financial Quarterly onshore'!N100:'Financial Quarterly onshore'!Q100)</f>
        <v>0</v>
      </c>
      <c r="R18" s="291">
        <f ca="1">SUM('Financial Quarterly onshore'!O100:'Financial Quarterly onshore'!R100)</f>
        <v>0</v>
      </c>
      <c r="S18" s="291">
        <f ca="1">SUM('Financial Quarterly onshore'!P100:'Financial Quarterly onshore'!S100)</f>
        <v>0</v>
      </c>
      <c r="T18" s="291">
        <f ca="1">SUM('Financial Quarterly onshore'!Q100:'Financial Quarterly onshore'!T100)</f>
        <v>0</v>
      </c>
      <c r="U18" s="291">
        <f ca="1">SUM('Financial Quarterly onshore'!R100:'Financial Quarterly onshore'!U100)</f>
        <v>0</v>
      </c>
      <c r="V18" s="291">
        <f ca="1">SUM('Financial Quarterly onshore'!S100:'Financial Quarterly onshore'!V100)</f>
        <v>0</v>
      </c>
      <c r="W18" s="291">
        <f ca="1">SUM('Financial Quarterly onshore'!T100:'Financial Quarterly onshore'!W100)</f>
        <v>0</v>
      </c>
      <c r="X18" s="291">
        <f ca="1">SUM('Financial Quarterly onshore'!U100:'Financial Quarterly onshore'!X100)</f>
        <v>0</v>
      </c>
      <c r="Y18" s="291">
        <f ca="1">SUM('Financial Quarterly onshore'!V100:'Financial Quarterly onshore'!Y100)</f>
        <v>0</v>
      </c>
      <c r="Z18" s="291">
        <f ca="1">SUM('Financial Quarterly onshore'!W100:'Financial Quarterly onshore'!Z100)</f>
        <v>0</v>
      </c>
      <c r="AA18" s="291">
        <f ca="1">SUM('Financial Quarterly onshore'!X100:'Financial Quarterly onshore'!AA100)</f>
        <v>0</v>
      </c>
      <c r="AB18" s="291">
        <f ca="1">SUM('Financial Quarterly onshore'!Y100:'Financial Quarterly onshore'!AB100)</f>
        <v>0</v>
      </c>
      <c r="AC18" s="291" t="e">
        <f ca="1">SUM('Financial Quarterly onshore'!Z100:'Financial Quarterly onshore'!AC100)</f>
        <v>#N/A</v>
      </c>
      <c r="AD18" s="291" t="e">
        <f ca="1">SUM('Financial Quarterly onshore'!AA100:'Financial Quarterly onshore'!AD100)</f>
        <v>#N/A</v>
      </c>
      <c r="AE18" s="291" t="e">
        <f ca="1">SUM('Financial Quarterly onshore'!AB100:'Financial Quarterly onshore'!AE100)</f>
        <v>#N/A</v>
      </c>
      <c r="AF18" s="291" t="e">
        <f ca="1">SUM('Financial Quarterly onshore'!AC100:'Financial Quarterly onshore'!AF100)</f>
        <v>#N/A</v>
      </c>
      <c r="AG18" s="291" t="e">
        <f ca="1">SUM('Financial Quarterly onshore'!AD100:'Financial Quarterly onshore'!AG100)</f>
        <v>#N/A</v>
      </c>
    </row>
    <row r="19" spans="2:33">
      <c r="B19" s="197" t="b">
        <v>1</v>
      </c>
      <c r="C19" s="302" t="s">
        <v>862</v>
      </c>
      <c r="D19" s="291">
        <f>SUM('Financial Quarterly onshore'!D101:'Financial Quarterly onshore'!A101)</f>
        <v>0</v>
      </c>
      <c r="E19" s="291">
        <f>SUM('Financial Quarterly onshore'!E101:'Financial Quarterly onshore'!B101)</f>
        <v>0</v>
      </c>
      <c r="F19" s="291">
        <f ca="1">SUM('Financial Quarterly onshore'!F101:'Financial Quarterly onshore'!C101)</f>
        <v>0</v>
      </c>
      <c r="G19" s="291">
        <f ca="1">SUM('Financial Quarterly onshore'!G101:'Financial Quarterly onshore'!D101)</f>
        <v>0</v>
      </c>
      <c r="H19" s="291">
        <f ca="1">SUM('Financial Quarterly onshore'!H101:'Financial Quarterly onshore'!E101)</f>
        <v>0</v>
      </c>
      <c r="I19" s="291">
        <f ca="1">SUM('Financial Quarterly onshore'!I101:'Financial Quarterly onshore'!F101)</f>
        <v>0</v>
      </c>
      <c r="J19" s="291">
        <f ca="1">SUM('Financial Quarterly onshore'!J101:'Financial Quarterly onshore'!G101)</f>
        <v>0</v>
      </c>
      <c r="K19" s="291">
        <f ca="1">SUM('Financial Quarterly onshore'!K101:'Financial Quarterly onshore'!H101)</f>
        <v>0</v>
      </c>
      <c r="L19" s="291">
        <f ca="1">SUM('Financial Quarterly onshore'!L101:'Financial Quarterly onshore'!I101)</f>
        <v>0</v>
      </c>
      <c r="M19" s="291">
        <f ca="1">SUM('Financial Quarterly onshore'!M101:'Financial Quarterly onshore'!J101)</f>
        <v>0</v>
      </c>
      <c r="N19" s="291">
        <f ca="1">SUM('Financial Quarterly onshore'!N101:'Financial Quarterly onshore'!K101)</f>
        <v>0</v>
      </c>
      <c r="O19" s="291">
        <f ca="1">SUM('Financial Quarterly onshore'!O101:'Financial Quarterly onshore'!L101)</f>
        <v>0</v>
      </c>
      <c r="P19" s="291">
        <f ca="1">SUM('Financial Quarterly onshore'!P101:'Financial Quarterly onshore'!M101)</f>
        <v>0</v>
      </c>
      <c r="Q19" s="291">
        <f ca="1">SUM('Financial Quarterly onshore'!Q101:'Financial Quarterly onshore'!N101)</f>
        <v>0</v>
      </c>
      <c r="R19" s="291">
        <f ca="1">SUM('Financial Quarterly onshore'!R101:'Financial Quarterly onshore'!O101)</f>
        <v>0</v>
      </c>
      <c r="S19" s="291">
        <f ca="1">SUM('Financial Quarterly onshore'!S101:'Financial Quarterly onshore'!P101)</f>
        <v>0</v>
      </c>
      <c r="T19" s="291">
        <f ca="1">SUM('Financial Quarterly onshore'!T101:'Financial Quarterly onshore'!Q101)</f>
        <v>0</v>
      </c>
      <c r="U19" s="291">
        <f ca="1">SUM('Financial Quarterly onshore'!U101:'Financial Quarterly onshore'!R101)</f>
        <v>0</v>
      </c>
      <c r="V19" s="291">
        <f ca="1">SUM('Financial Quarterly onshore'!V101:'Financial Quarterly onshore'!S101)</f>
        <v>0</v>
      </c>
      <c r="W19" s="291">
        <f ca="1">SUM('Financial Quarterly onshore'!W101:'Financial Quarterly onshore'!T101)</f>
        <v>0</v>
      </c>
      <c r="X19" s="291">
        <f ca="1">SUM('Financial Quarterly onshore'!X101:'Financial Quarterly onshore'!U101)</f>
        <v>0</v>
      </c>
      <c r="Y19" s="291">
        <f ca="1">SUM('Financial Quarterly onshore'!Y101:'Financial Quarterly onshore'!V101)</f>
        <v>0</v>
      </c>
      <c r="Z19" s="291">
        <f ca="1">SUM('Financial Quarterly onshore'!Z101:'Financial Quarterly onshore'!W101)</f>
        <v>0</v>
      </c>
      <c r="AA19" s="291">
        <f ca="1">SUM('Financial Quarterly onshore'!AA101:'Financial Quarterly onshore'!X101)</f>
        <v>0</v>
      </c>
      <c r="AB19" s="291">
        <f ca="1">SUM('Financial Quarterly onshore'!AB101:'Financial Quarterly onshore'!Y101)</f>
        <v>0</v>
      </c>
      <c r="AC19" s="291" t="e">
        <f ca="1">SUM('Financial Quarterly onshore'!AC101:'Financial Quarterly onshore'!Z101)</f>
        <v>#N/A</v>
      </c>
      <c r="AD19" s="291" t="e">
        <f ca="1">SUM('Financial Quarterly onshore'!AD101:'Financial Quarterly onshore'!AA101)</f>
        <v>#N/A</v>
      </c>
      <c r="AE19" s="291" t="e">
        <f ca="1">SUM('Financial Quarterly onshore'!AE101:'Financial Quarterly onshore'!AB101)</f>
        <v>#N/A</v>
      </c>
      <c r="AF19" s="291" t="e">
        <f ca="1">SUM('Financial Quarterly onshore'!AF101:'Financial Quarterly onshore'!AC101)</f>
        <v>#N/A</v>
      </c>
      <c r="AG19" s="291" t="e">
        <f ca="1">SUM('Financial Quarterly onshore'!AG101:'Financial Quarterly onshore'!AD101)</f>
        <v>#N/A</v>
      </c>
    </row>
    <row r="20" spans="2:33">
      <c r="B20" s="197" t="b">
        <v>1</v>
      </c>
      <c r="C20" s="302" t="s">
        <v>811</v>
      </c>
      <c r="D20" s="291">
        <f ca="1">-'Covenants onshore'!D35*$B20</f>
        <v>0</v>
      </c>
      <c r="E20" s="291">
        <f ca="1">-'Covenants onshore'!E35*$B20</f>
        <v>0</v>
      </c>
      <c r="F20" s="291">
        <f ca="1">-'Covenants onshore'!F35*$B20</f>
        <v>0</v>
      </c>
      <c r="G20" s="291">
        <f ca="1">-'Covenants onshore'!G35*$B20</f>
        <v>0</v>
      </c>
      <c r="H20" s="291">
        <f ca="1">-'Covenants onshore'!H35*$B20</f>
        <v>0</v>
      </c>
      <c r="I20" s="291">
        <f ca="1">-'Covenants onshore'!I35*$B20</f>
        <v>0</v>
      </c>
      <c r="J20" s="291">
        <f ca="1">-'Covenants onshore'!J35*$B20</f>
        <v>0</v>
      </c>
      <c r="K20" s="291">
        <f ca="1">-'Covenants onshore'!K35*$B20</f>
        <v>0</v>
      </c>
      <c r="L20" s="291">
        <f ca="1">-'Covenants onshore'!L35*$B20</f>
        <v>0</v>
      </c>
      <c r="M20" s="291">
        <f ca="1">-'Covenants onshore'!M35*$B20</f>
        <v>0</v>
      </c>
      <c r="N20" s="291">
        <f ca="1">-'Covenants onshore'!N35*$B20</f>
        <v>0</v>
      </c>
      <c r="O20" s="291">
        <f ca="1">-'Covenants onshore'!O35*$B20</f>
        <v>0</v>
      </c>
      <c r="P20" s="291">
        <f ca="1">-'Covenants onshore'!P35*$B20</f>
        <v>0</v>
      </c>
      <c r="Q20" s="291">
        <f ca="1">-'Covenants onshore'!Q35*$B20</f>
        <v>0</v>
      </c>
      <c r="R20" s="291">
        <f ca="1">-'Covenants onshore'!R35*$B20</f>
        <v>0</v>
      </c>
      <c r="S20" s="291">
        <f ca="1">-'Covenants onshore'!S35*$B20</f>
        <v>0</v>
      </c>
      <c r="T20" s="291">
        <f ca="1">-'Covenants onshore'!T35*$B20</f>
        <v>0</v>
      </c>
      <c r="U20" s="291">
        <f ca="1">-'Covenants onshore'!U35*$B20</f>
        <v>0</v>
      </c>
      <c r="V20" s="291">
        <f ca="1">-'Covenants onshore'!V35*$B20</f>
        <v>0</v>
      </c>
      <c r="W20" s="291">
        <f ca="1">-'Covenants onshore'!W35*$B20</f>
        <v>0</v>
      </c>
      <c r="X20" s="291">
        <f ca="1">-'Covenants onshore'!X35*$B20</f>
        <v>0</v>
      </c>
      <c r="Y20" s="291">
        <f ca="1">-'Covenants onshore'!Y35*$B20</f>
        <v>0</v>
      </c>
      <c r="Z20" s="291">
        <f ca="1">-'Covenants onshore'!Z35*$B20</f>
        <v>0</v>
      </c>
      <c r="AA20" s="291">
        <f ca="1">-'Covenants onshore'!AA35*$B20</f>
        <v>0</v>
      </c>
      <c r="AB20" s="291" t="e">
        <f ca="1">-'Covenants onshore'!AB35*$B20</f>
        <v>#VALUE!</v>
      </c>
      <c r="AC20" s="291" t="e">
        <f ca="1">-'Covenants onshore'!AC35*$B20</f>
        <v>#VALUE!</v>
      </c>
      <c r="AD20" s="291" t="e">
        <f ca="1">-'Covenants onshore'!AD35*$B20</f>
        <v>#VALUE!</v>
      </c>
      <c r="AE20" s="291" t="e">
        <f ca="1">-'Covenants onshore'!AE35*$B20</f>
        <v>#VALUE!</v>
      </c>
      <c r="AF20" s="291" t="e">
        <f ca="1">-'Covenants onshore'!AF35*$B20</f>
        <v>#VALUE!</v>
      </c>
      <c r="AG20" s="291" t="e">
        <f ca="1">-'Covenants onshore'!AG35*$B20</f>
        <v>#VALUE!</v>
      </c>
    </row>
    <row r="21" spans="2:33">
      <c r="B21" s="197" t="b">
        <v>1</v>
      </c>
      <c r="C21" s="302" t="s">
        <v>685</v>
      </c>
      <c r="D21" s="291">
        <f ca="1">$B21*SUM(OFFSET('Financial Quarterly onshore'!D91,0,0,1,-'Covenants onshore'!$D$11),OFFSET('Operating quarterly onshore'!L25,0,0,1,-'Covenants onshore'!$D$11))</f>
        <v>0</v>
      </c>
      <c r="E21" s="291">
        <f ca="1">$B21*SUM(OFFSET('Financial Quarterly onshore'!E91,0,0,1,-'Covenants onshore'!$D$11),OFFSET('Operating quarterly onshore'!M25,0,0,1,-'Covenants onshore'!$D$11))</f>
        <v>0</v>
      </c>
      <c r="F21" s="291">
        <f ca="1">$B21*SUM(OFFSET('Financial Quarterly onshore'!F91,0,0,1,-'Covenants onshore'!$D$11),OFFSET('Operating quarterly onshore'!N25,0,0,1,-'Covenants onshore'!$D$11))</f>
        <v>0</v>
      </c>
      <c r="G21" s="291">
        <f ca="1">$B21*SUM(OFFSET('Financial Quarterly onshore'!G91,0,0,1,-'Covenants onshore'!$D$11),OFFSET('Operating quarterly onshore'!O25,0,0,1,-'Covenants onshore'!$D$11))</f>
        <v>0</v>
      </c>
      <c r="H21" s="291">
        <f ca="1">$B21*SUM(OFFSET('Financial Quarterly onshore'!H91,0,0,1,-'Covenants onshore'!$D$11),OFFSET('Operating quarterly onshore'!P25,0,0,1,-'Covenants onshore'!$D$11))</f>
        <v>0</v>
      </c>
      <c r="I21" s="291">
        <f ca="1">$B21*SUM(OFFSET('Financial Quarterly onshore'!I91,0,0,1,-'Covenants onshore'!$D$11),OFFSET('Operating quarterly onshore'!Q25,0,0,1,-'Covenants onshore'!$D$11))</f>
        <v>0</v>
      </c>
      <c r="J21" s="291">
        <f ca="1">$B21*SUM(OFFSET('Financial Quarterly onshore'!J91,0,0,1,-'Covenants onshore'!$D$11),OFFSET('Operating quarterly onshore'!R25,0,0,1,-'Covenants onshore'!$D$11))</f>
        <v>0</v>
      </c>
      <c r="K21" s="291">
        <f ca="1">$B21*SUM(OFFSET('Financial Quarterly onshore'!K91,0,0,1,-'Covenants onshore'!$D$11),OFFSET('Operating quarterly onshore'!S25,0,0,1,-'Covenants onshore'!$D$11))</f>
        <v>0</v>
      </c>
      <c r="L21" s="291">
        <f ca="1">$B21*SUM(OFFSET('Financial Quarterly onshore'!L91,0,0,1,-'Covenants onshore'!$D$11),OFFSET('Operating quarterly onshore'!T25,0,0,1,-'Covenants onshore'!$D$11))</f>
        <v>0</v>
      </c>
      <c r="M21" s="291">
        <f ca="1">$B21*SUM(OFFSET('Financial Quarterly onshore'!M91,0,0,1,-'Covenants onshore'!$D$11),OFFSET('Operating quarterly onshore'!U25,0,0,1,-'Covenants onshore'!$D$11))</f>
        <v>0</v>
      </c>
      <c r="N21" s="291">
        <f ca="1">$B21*SUM(OFFSET('Financial Quarterly onshore'!N91,0,0,1,-'Covenants onshore'!$D$11),OFFSET('Operating quarterly onshore'!V25,0,0,1,-'Covenants onshore'!$D$11))</f>
        <v>0</v>
      </c>
      <c r="O21" s="291">
        <f ca="1">$B21*SUM(OFFSET('Financial Quarterly onshore'!O91,0,0,1,-'Covenants onshore'!$D$11),OFFSET('Operating quarterly onshore'!W25,0,0,1,-'Covenants onshore'!$D$11))</f>
        <v>0</v>
      </c>
      <c r="P21" s="291">
        <f ca="1">$B21*SUM(OFFSET('Financial Quarterly onshore'!P91,0,0,1,-'Covenants onshore'!$D$11),OFFSET('Operating quarterly onshore'!X25,0,0,1,-'Covenants onshore'!$D$11))</f>
        <v>0</v>
      </c>
      <c r="Q21" s="291">
        <f ca="1">$B21*SUM(OFFSET('Financial Quarterly onshore'!Q91,0,0,1,-'Covenants onshore'!$D$11),OFFSET('Operating quarterly onshore'!Y25,0,0,1,-'Covenants onshore'!$D$11))</f>
        <v>0</v>
      </c>
      <c r="R21" s="291">
        <f ca="1">$B21*SUM(OFFSET('Financial Quarterly onshore'!R91,0,0,1,-'Covenants onshore'!$D$11),OFFSET('Operating quarterly onshore'!Z25,0,0,1,-'Covenants onshore'!$D$11))</f>
        <v>0</v>
      </c>
      <c r="S21" s="291">
        <f ca="1">$B21*SUM(OFFSET('Financial Quarterly onshore'!S91,0,0,1,-'Covenants onshore'!$D$11),OFFSET('Operating quarterly onshore'!AA25,0,0,1,-'Covenants onshore'!$D$11))</f>
        <v>0</v>
      </c>
      <c r="T21" s="291">
        <f ca="1">$B21*SUM(OFFSET('Financial Quarterly onshore'!T91,0,0,1,-'Covenants onshore'!$D$11),OFFSET('Operating quarterly onshore'!AB25,0,0,1,-'Covenants onshore'!$D$11))</f>
        <v>0</v>
      </c>
      <c r="U21" s="291">
        <f ca="1">$B21*SUM(OFFSET('Financial Quarterly onshore'!U91,0,0,1,-'Covenants onshore'!$D$11),OFFSET('Operating quarterly onshore'!AC25,0,0,1,-'Covenants onshore'!$D$11))</f>
        <v>0</v>
      </c>
      <c r="V21" s="291">
        <f ca="1">$B21*SUM(OFFSET('Financial Quarterly onshore'!V91,0,0,1,-'Covenants onshore'!$D$11),OFFSET('Operating quarterly onshore'!AD25,0,0,1,-'Covenants onshore'!$D$11))</f>
        <v>0</v>
      </c>
      <c r="W21" s="291">
        <f ca="1">$B21*SUM(OFFSET('Financial Quarterly onshore'!W91,0,0,1,-'Covenants onshore'!$D$11),OFFSET('Operating quarterly onshore'!AE25,0,0,1,-'Covenants onshore'!$D$11))</f>
        <v>0</v>
      </c>
      <c r="X21" s="291">
        <f ca="1">$B21*SUM(OFFSET('Financial Quarterly onshore'!X91,0,0,1,-'Covenants onshore'!$D$11),OFFSET('Operating quarterly onshore'!AF25,0,0,1,-'Covenants onshore'!$D$11))</f>
        <v>0</v>
      </c>
      <c r="Y21" s="291">
        <f ca="1">$B21*SUM(OFFSET('Financial Quarterly onshore'!Y91,0,0,1,-'Covenants onshore'!$D$11),OFFSET('Operating quarterly onshore'!AG25,0,0,1,-'Covenants onshore'!$D$11))</f>
        <v>0</v>
      </c>
      <c r="Z21" s="291">
        <f ca="1">$B21*SUM(OFFSET('Financial Quarterly onshore'!Z91,0,0,1,-'Covenants onshore'!$D$11),OFFSET('Operating quarterly onshore'!AH25,0,0,1,-'Covenants onshore'!$D$11))</f>
        <v>0</v>
      </c>
      <c r="AA21" s="291">
        <f ca="1">$B21*SUM(OFFSET('Financial Quarterly onshore'!AA91,0,0,1,-'Covenants onshore'!$D$11),OFFSET('Operating quarterly onshore'!AI25,0,0,1,-'Covenants onshore'!$D$11))</f>
        <v>0</v>
      </c>
      <c r="AB21" s="291" t="e">
        <f ca="1">$B21*SUM(OFFSET('Financial Quarterly onshore'!AB91,0,0,1,-'Covenants onshore'!$D$11),OFFSET('Operating quarterly onshore'!AJ25,0,0,1,-'Covenants onshore'!$D$11))</f>
        <v>#N/A</v>
      </c>
      <c r="AC21" s="291" t="e">
        <f ca="1">$B21*SUM(OFFSET('Financial Quarterly onshore'!AC91,0,0,1,-'Covenants onshore'!$D$11),OFFSET('Operating quarterly onshore'!AK25,0,0,1,-'Covenants onshore'!$D$11))</f>
        <v>#N/A</v>
      </c>
      <c r="AD21" s="291" t="e">
        <f ca="1">$B21*SUM(OFFSET('Financial Quarterly onshore'!AD91,0,0,1,-'Covenants onshore'!$D$11),OFFSET('Operating quarterly onshore'!AL25,0,0,1,-'Covenants onshore'!$D$11))</f>
        <v>#N/A</v>
      </c>
      <c r="AE21" s="291" t="e">
        <f ca="1">$B21*SUM(OFFSET('Financial Quarterly onshore'!AE91,0,0,1,-'Covenants onshore'!$D$11),OFFSET('Operating quarterly onshore'!AM25,0,0,1,-'Covenants onshore'!$D$11))</f>
        <v>#N/A</v>
      </c>
      <c r="AF21" s="291" t="e">
        <f ca="1">$B21*SUM(OFFSET('Financial Quarterly onshore'!AF91,0,0,1,-'Covenants onshore'!$D$11),OFFSET('Operating quarterly onshore'!AN25,0,0,1,-'Covenants onshore'!$D$11))</f>
        <v>#N/A</v>
      </c>
      <c r="AG21" s="291" t="e">
        <f ca="1">$B21*SUM(OFFSET('Financial Quarterly onshore'!AG91,0,0,1,-'Covenants onshore'!$D$11),OFFSET('Operating quarterly onshore'!AO25,0,0,1,-'Covenants onshore'!$D$11))</f>
        <v>#N/A</v>
      </c>
    </row>
    <row r="22" spans="2:33">
      <c r="B22" s="197" t="b">
        <v>1</v>
      </c>
      <c r="C22" s="333" t="s">
        <v>1087</v>
      </c>
      <c r="D22" s="291">
        <f ca="1">$B22*SUM(OFFSET('Operating quarterly onshore'!L26,0,0,1,-'Covenants onshore'!$D$11))</f>
        <v>0</v>
      </c>
      <c r="E22" s="291">
        <f ca="1">$B22*SUM(OFFSET('Operating quarterly onshore'!M26,0,0,1,-'Covenants onshore'!$D$11))</f>
        <v>0</v>
      </c>
      <c r="F22" s="291">
        <f ca="1">$B22*SUM(OFFSET('Operating quarterly onshore'!N26,0,0,1,-'Covenants onshore'!$D$11))</f>
        <v>0</v>
      </c>
      <c r="G22" s="291">
        <f ca="1">$B22*SUM(OFFSET('Operating quarterly onshore'!O26,0,0,1,-'Covenants onshore'!$D$11))</f>
        <v>0</v>
      </c>
      <c r="H22" s="291">
        <f ca="1">$B22*SUM(OFFSET('Operating quarterly onshore'!P26,0,0,1,-'Covenants onshore'!$D$11))</f>
        <v>0</v>
      </c>
      <c r="I22" s="291">
        <f ca="1">$B22*SUM(OFFSET('Operating quarterly onshore'!Q26,0,0,1,-'Covenants onshore'!$D$11))</f>
        <v>0</v>
      </c>
      <c r="J22" s="291">
        <f ca="1">$B22*SUM(OFFSET('Operating quarterly onshore'!R26,0,0,1,-'Covenants onshore'!$D$11))</f>
        <v>0</v>
      </c>
      <c r="K22" s="291">
        <f ca="1">$B22*SUM(OFFSET('Operating quarterly onshore'!S26,0,0,1,-'Covenants onshore'!$D$11))</f>
        <v>0</v>
      </c>
      <c r="L22" s="291">
        <f ca="1">$B22*SUM(OFFSET('Operating quarterly onshore'!T26,0,0,1,-'Covenants onshore'!$D$11))</f>
        <v>0</v>
      </c>
      <c r="M22" s="291">
        <f ca="1">$B22*SUM(OFFSET('Operating quarterly onshore'!U26,0,0,1,-'Covenants onshore'!$D$11))</f>
        <v>0</v>
      </c>
      <c r="N22" s="291">
        <f ca="1">$B22*SUM(OFFSET('Operating quarterly onshore'!V26,0,0,1,-'Covenants onshore'!$D$11))</f>
        <v>0</v>
      </c>
      <c r="O22" s="291">
        <f ca="1">$B22*SUM(OFFSET('Operating quarterly onshore'!W26,0,0,1,-'Covenants onshore'!$D$11))</f>
        <v>0</v>
      </c>
      <c r="P22" s="291">
        <f ca="1">$B22*SUM(OFFSET('Operating quarterly onshore'!X26,0,0,1,-'Covenants onshore'!$D$11))</f>
        <v>0</v>
      </c>
      <c r="Q22" s="291">
        <f ca="1">$B22*SUM(OFFSET('Operating quarterly onshore'!Y26,0,0,1,-'Covenants onshore'!$D$11))</f>
        <v>0</v>
      </c>
      <c r="R22" s="291">
        <f ca="1">$B22*SUM(OFFSET('Operating quarterly onshore'!Z26,0,0,1,-'Covenants onshore'!$D$11))</f>
        <v>0</v>
      </c>
      <c r="S22" s="291">
        <f ca="1">$B22*SUM(OFFSET('Operating quarterly onshore'!AA26,0,0,1,-'Covenants onshore'!$D$11))</f>
        <v>0</v>
      </c>
      <c r="T22" s="291">
        <f ca="1">$B22*SUM(OFFSET('Operating quarterly onshore'!AB26,0,0,1,-'Covenants onshore'!$D$11))</f>
        <v>0</v>
      </c>
      <c r="U22" s="291">
        <f ca="1">$B22*SUM(OFFSET('Operating quarterly onshore'!AC26,0,0,1,-'Covenants onshore'!$D$11))</f>
        <v>0</v>
      </c>
      <c r="V22" s="291">
        <f ca="1">$B22*SUM(OFFSET('Operating quarterly onshore'!AD26,0,0,1,-'Covenants onshore'!$D$11))</f>
        <v>0</v>
      </c>
      <c r="W22" s="291">
        <f ca="1">$B22*SUM(OFFSET('Operating quarterly onshore'!AE26,0,0,1,-'Covenants onshore'!$D$11))</f>
        <v>0</v>
      </c>
      <c r="X22" s="291">
        <f ca="1">$B22*SUM(OFFSET('Operating quarterly onshore'!AF26,0,0,1,-'Covenants onshore'!$D$11))</f>
        <v>0</v>
      </c>
      <c r="Y22" s="291">
        <f ca="1">$B22*SUM(OFFSET('Operating quarterly onshore'!AG26,0,0,1,-'Covenants onshore'!$D$11))</f>
        <v>0</v>
      </c>
      <c r="Z22" s="291">
        <f ca="1">$B22*SUM(OFFSET('Operating quarterly onshore'!AH26,0,0,1,-'Covenants onshore'!$D$11))</f>
        <v>0</v>
      </c>
      <c r="AA22" s="291">
        <f ca="1">$B22*SUM(OFFSET('Operating quarterly onshore'!AI26,0,0,1,-'Covenants onshore'!$D$11))</f>
        <v>0</v>
      </c>
      <c r="AB22" s="291" t="e">
        <f ca="1">$B22*SUM(OFFSET('Operating quarterly onshore'!AJ26,0,0,1,-'Covenants onshore'!$D$11))</f>
        <v>#N/A</v>
      </c>
      <c r="AC22" s="291" t="e">
        <f ca="1">$B22*SUM(OFFSET('Operating quarterly onshore'!AK26,0,0,1,-'Covenants onshore'!$D$11))</f>
        <v>#N/A</v>
      </c>
      <c r="AD22" s="291" t="e">
        <f ca="1">$B22*SUM(OFFSET('Operating quarterly onshore'!AL26,0,0,1,-'Covenants onshore'!$D$11))</f>
        <v>#N/A</v>
      </c>
      <c r="AE22" s="291" t="e">
        <f ca="1">$B22*SUM(OFFSET('Operating quarterly onshore'!AM26,0,0,1,-'Covenants onshore'!$D$11))</f>
        <v>#N/A</v>
      </c>
      <c r="AF22" s="291" t="e">
        <f ca="1">$B22*SUM(OFFSET('Operating quarterly onshore'!AN26,0,0,1,-'Covenants onshore'!$D$11))</f>
        <v>#N/A</v>
      </c>
      <c r="AG22" s="291" t="e">
        <f ca="1">$B22*SUM(OFFSET('Operating quarterly onshore'!AO26,0,0,1,-'Covenants onshore'!$D$11))</f>
        <v>#N/A</v>
      </c>
    </row>
    <row r="23" spans="2:33">
      <c r="B23" s="197" t="b">
        <v>1</v>
      </c>
      <c r="C23" s="302" t="s">
        <v>812</v>
      </c>
      <c r="D23" s="291">
        <f ca="1">$B23*SUM(OFFSET('Operating quarterly onshore'!L24,0,0,1,-'Covenants onshore'!$D$11))</f>
        <v>0</v>
      </c>
      <c r="E23" s="291">
        <f ca="1">$B23*SUM(OFFSET('Operating quarterly onshore'!M24,0,0,1,-'Covenants onshore'!$D$11))</f>
        <v>0</v>
      </c>
      <c r="F23" s="291">
        <f ca="1">$B23*SUM(OFFSET('Operating quarterly onshore'!N24,0,0,1,-'Covenants onshore'!$D$11))</f>
        <v>0</v>
      </c>
      <c r="G23" s="291">
        <f ca="1">$B23*SUM(OFFSET('Operating quarterly onshore'!O24,0,0,1,-'Covenants onshore'!$D$11))</f>
        <v>0</v>
      </c>
      <c r="H23" s="291">
        <f ca="1">$B23*SUM(OFFSET('Operating quarterly onshore'!P24,0,0,1,-'Covenants onshore'!$D$11))</f>
        <v>0</v>
      </c>
      <c r="I23" s="291">
        <f ca="1">$B23*SUM(OFFSET('Operating quarterly onshore'!Q24,0,0,1,-'Covenants onshore'!$D$11))</f>
        <v>0</v>
      </c>
      <c r="J23" s="291">
        <f ca="1">$B23*SUM(OFFSET('Operating quarterly onshore'!R24,0,0,1,-'Covenants onshore'!$D$11))</f>
        <v>0</v>
      </c>
      <c r="K23" s="291">
        <f ca="1">$B23*SUM(OFFSET('Operating quarterly onshore'!S24,0,0,1,-'Covenants onshore'!$D$11))</f>
        <v>0</v>
      </c>
      <c r="L23" s="291">
        <f ca="1">$B23*SUM(OFFSET('Operating quarterly onshore'!T24,0,0,1,-'Covenants onshore'!$D$11))</f>
        <v>0</v>
      </c>
      <c r="M23" s="291">
        <f ca="1">$B23*SUM(OFFSET('Operating quarterly onshore'!U24,0,0,1,-'Covenants onshore'!$D$11))</f>
        <v>0</v>
      </c>
      <c r="N23" s="291">
        <f ca="1">$B23*SUM(OFFSET('Operating quarterly onshore'!V24,0,0,1,-'Covenants onshore'!$D$11))</f>
        <v>0</v>
      </c>
      <c r="O23" s="291">
        <f ca="1">$B23*SUM(OFFSET('Operating quarterly onshore'!W24,0,0,1,-'Covenants onshore'!$D$11))</f>
        <v>0</v>
      </c>
      <c r="P23" s="291">
        <f ca="1">$B23*SUM(OFFSET('Operating quarterly onshore'!X24,0,0,1,-'Covenants onshore'!$D$11))</f>
        <v>0</v>
      </c>
      <c r="Q23" s="291">
        <f ca="1">$B23*SUM(OFFSET('Operating quarterly onshore'!Y24,0,0,1,-'Covenants onshore'!$D$11))</f>
        <v>0</v>
      </c>
      <c r="R23" s="291">
        <f ca="1">$B23*SUM(OFFSET('Operating quarterly onshore'!Z24,0,0,1,-'Covenants onshore'!$D$11))</f>
        <v>0</v>
      </c>
      <c r="S23" s="291">
        <f ca="1">$B23*SUM(OFFSET('Operating quarterly onshore'!AA24,0,0,1,-'Covenants onshore'!$D$11))</f>
        <v>0</v>
      </c>
      <c r="T23" s="291">
        <f ca="1">$B23*SUM(OFFSET('Operating quarterly onshore'!AB24,0,0,1,-'Covenants onshore'!$D$11))</f>
        <v>0</v>
      </c>
      <c r="U23" s="291">
        <f ca="1">$B23*SUM(OFFSET('Operating quarterly onshore'!AC24,0,0,1,-'Covenants onshore'!$D$11))</f>
        <v>0</v>
      </c>
      <c r="V23" s="291">
        <f ca="1">$B23*SUM(OFFSET('Operating quarterly onshore'!AD24,0,0,1,-'Covenants onshore'!$D$11))</f>
        <v>0</v>
      </c>
      <c r="W23" s="291">
        <f ca="1">$B23*SUM(OFFSET('Operating quarterly onshore'!AE24,0,0,1,-'Covenants onshore'!$D$11))</f>
        <v>0</v>
      </c>
      <c r="X23" s="291">
        <f ca="1">$B23*SUM(OFFSET('Operating quarterly onshore'!AF24,0,0,1,-'Covenants onshore'!$D$11))</f>
        <v>0</v>
      </c>
      <c r="Y23" s="291">
        <f ca="1">$B23*SUM(OFFSET('Operating quarterly onshore'!AG24,0,0,1,-'Covenants onshore'!$D$11))</f>
        <v>0</v>
      </c>
      <c r="Z23" s="291">
        <f ca="1">$B23*SUM(OFFSET('Operating quarterly onshore'!AH24,0,0,1,-'Covenants onshore'!$D$11))</f>
        <v>0</v>
      </c>
      <c r="AA23" s="291">
        <f ca="1">$B23*SUM(OFFSET('Operating quarterly onshore'!AI24,0,0,1,-'Covenants onshore'!$D$11))</f>
        <v>0</v>
      </c>
      <c r="AB23" s="291" t="e">
        <f ca="1">$B23*SUM(OFFSET('Operating quarterly onshore'!AJ24,0,0,1,-'Covenants onshore'!$D$11))</f>
        <v>#N/A</v>
      </c>
      <c r="AC23" s="291" t="e">
        <f ca="1">$B23*SUM(OFFSET('Operating quarterly onshore'!AK24,0,0,1,-'Covenants onshore'!$D$11))</f>
        <v>#N/A</v>
      </c>
      <c r="AD23" s="291" t="e">
        <f ca="1">$B23*SUM(OFFSET('Operating quarterly onshore'!AL24,0,0,1,-'Covenants onshore'!$D$11))</f>
        <v>#N/A</v>
      </c>
      <c r="AE23" s="291" t="e">
        <f ca="1">$B23*SUM(OFFSET('Operating quarterly onshore'!AM24,0,0,1,-'Covenants onshore'!$D$11))</f>
        <v>#N/A</v>
      </c>
      <c r="AF23" s="291" t="e">
        <f ca="1">$B23*SUM(OFFSET('Operating quarterly onshore'!AN24,0,0,1,-'Covenants onshore'!$D$11))</f>
        <v>#N/A</v>
      </c>
      <c r="AG23" s="291" t="e">
        <f ca="1">$B23*SUM(OFFSET('Operating quarterly onshore'!AO24,0,0,1,-'Covenants onshore'!$D$11))</f>
        <v>#N/A</v>
      </c>
    </row>
    <row r="24" spans="2:33">
      <c r="B24" s="197" t="b">
        <v>1</v>
      </c>
      <c r="C24" s="302" t="s">
        <v>864</v>
      </c>
      <c r="D24" s="291">
        <f>-'Financial Quarterly onshore'!D80</f>
        <v>0</v>
      </c>
      <c r="E24" s="291">
        <f ca="1">-'Financial Quarterly onshore'!E80</f>
        <v>0</v>
      </c>
      <c r="F24" s="291">
        <f ca="1">-'Financial Quarterly onshore'!F80</f>
        <v>0</v>
      </c>
      <c r="G24" s="291">
        <f ca="1">-'Financial Quarterly onshore'!G80</f>
        <v>0</v>
      </c>
      <c r="H24" s="291">
        <f ca="1">-'Financial Quarterly onshore'!H80</f>
        <v>0</v>
      </c>
      <c r="I24" s="291">
        <f ca="1">-'Financial Quarterly onshore'!I80</f>
        <v>0</v>
      </c>
      <c r="J24" s="291">
        <f ca="1">-'Financial Quarterly onshore'!J80</f>
        <v>0</v>
      </c>
      <c r="K24" s="291">
        <f ca="1">-'Financial Quarterly onshore'!K80</f>
        <v>0</v>
      </c>
      <c r="L24" s="291">
        <f ca="1">-'Financial Quarterly onshore'!L80</f>
        <v>0</v>
      </c>
      <c r="M24" s="291">
        <f ca="1">-'Financial Quarterly onshore'!M80</f>
        <v>0</v>
      </c>
      <c r="N24" s="291">
        <f ca="1">-'Financial Quarterly onshore'!N80</f>
        <v>0</v>
      </c>
      <c r="O24" s="291">
        <f ca="1">-'Financial Quarterly onshore'!O80</f>
        <v>0</v>
      </c>
      <c r="P24" s="291">
        <f ca="1">-'Financial Quarterly onshore'!P80</f>
        <v>0</v>
      </c>
      <c r="Q24" s="291">
        <f ca="1">-'Financial Quarterly onshore'!Q80</f>
        <v>0</v>
      </c>
      <c r="R24" s="291">
        <f ca="1">-'Financial Quarterly onshore'!R80</f>
        <v>0</v>
      </c>
      <c r="S24" s="291">
        <f ca="1">-'Financial Quarterly onshore'!S80</f>
        <v>0</v>
      </c>
      <c r="T24" s="291">
        <f ca="1">-'Financial Quarterly onshore'!T80</f>
        <v>0</v>
      </c>
      <c r="U24" s="291">
        <f ca="1">-'Financial Quarterly onshore'!U80</f>
        <v>0</v>
      </c>
      <c r="V24" s="291">
        <f ca="1">-'Financial Quarterly onshore'!V80</f>
        <v>0</v>
      </c>
      <c r="W24" s="291">
        <f ca="1">-'Financial Quarterly onshore'!W80</f>
        <v>0</v>
      </c>
      <c r="X24" s="291">
        <f ca="1">-'Financial Quarterly onshore'!X80</f>
        <v>0</v>
      </c>
      <c r="Y24" s="291">
        <f ca="1">-'Financial Quarterly onshore'!Y80</f>
        <v>0</v>
      </c>
      <c r="Z24" s="291">
        <f ca="1">-'Financial Quarterly onshore'!Z80</f>
        <v>0</v>
      </c>
      <c r="AA24" s="291">
        <f ca="1">-'Financial Quarterly onshore'!AA80</f>
        <v>0</v>
      </c>
      <c r="AB24" s="291" t="e">
        <f ca="1">-'Financial Quarterly onshore'!AB80</f>
        <v>#N/A</v>
      </c>
      <c r="AC24" s="291" t="e">
        <f ca="1">-'Financial Quarterly onshore'!AC80</f>
        <v>#N/A</v>
      </c>
      <c r="AD24" s="291" t="e">
        <f ca="1">-'Financial Quarterly onshore'!AD80</f>
        <v>#N/A</v>
      </c>
      <c r="AE24" s="291" t="e">
        <f ca="1">-'Financial Quarterly onshore'!AE80</f>
        <v>#N/A</v>
      </c>
      <c r="AF24" s="291" t="e">
        <f ca="1">-'Financial Quarterly onshore'!AF80</f>
        <v>#N/A</v>
      </c>
      <c r="AG24" s="291" t="e">
        <f ca="1">-'Financial Quarterly onshore'!AG80</f>
        <v>#N/A</v>
      </c>
    </row>
    <row r="25" spans="2:33">
      <c r="B25" s="197" t="b">
        <v>1</v>
      </c>
      <c r="C25" s="303"/>
      <c r="D25" s="291"/>
      <c r="E25" s="291"/>
      <c r="F25" s="291"/>
      <c r="G25" s="291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291"/>
      <c r="T25" s="291"/>
      <c r="U25" s="291"/>
      <c r="V25" s="291"/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</row>
    <row r="26" spans="2:33">
      <c r="C26" s="199" t="s">
        <v>806</v>
      </c>
      <c r="D26" s="199">
        <f ca="1">SUM(D13:D25)</f>
        <v>-20000000</v>
      </c>
      <c r="E26" s="199">
        <f t="shared" ref="E26:AF26" ca="1" si="6">SUM(E13:E25)</f>
        <v>-20000000</v>
      </c>
      <c r="F26" s="199">
        <f t="shared" ca="1" si="6"/>
        <v>-20000000</v>
      </c>
      <c r="G26" s="199">
        <f t="shared" ca="1" si="6"/>
        <v>-20000000</v>
      </c>
      <c r="H26" s="199">
        <f t="shared" ca="1" si="6"/>
        <v>-20000000</v>
      </c>
      <c r="I26" s="199">
        <f t="shared" ca="1" si="6"/>
        <v>-20000000</v>
      </c>
      <c r="J26" s="199">
        <f t="shared" ca="1" si="6"/>
        <v>-20000000</v>
      </c>
      <c r="K26" s="199">
        <f t="shared" ca="1" si="6"/>
        <v>-20000000</v>
      </c>
      <c r="L26" s="199">
        <f t="shared" ca="1" si="6"/>
        <v>-20000000</v>
      </c>
      <c r="M26" s="199">
        <f t="shared" ca="1" si="6"/>
        <v>-20000000</v>
      </c>
      <c r="N26" s="199">
        <f t="shared" ca="1" si="6"/>
        <v>-20000000</v>
      </c>
      <c r="O26" s="199">
        <f t="shared" ca="1" si="6"/>
        <v>-20000000</v>
      </c>
      <c r="P26" s="199">
        <f t="shared" ca="1" si="6"/>
        <v>-20000000</v>
      </c>
      <c r="Q26" s="199">
        <f t="shared" ca="1" si="6"/>
        <v>-20000000</v>
      </c>
      <c r="R26" s="199">
        <f t="shared" ca="1" si="6"/>
        <v>-20000000</v>
      </c>
      <c r="S26" s="199">
        <f t="shared" ca="1" si="6"/>
        <v>-20000000</v>
      </c>
      <c r="T26" s="199">
        <f t="shared" ca="1" si="6"/>
        <v>-20000000</v>
      </c>
      <c r="U26" s="199">
        <f t="shared" ca="1" si="6"/>
        <v>-20000000</v>
      </c>
      <c r="V26" s="199">
        <f t="shared" ca="1" si="6"/>
        <v>-20000000</v>
      </c>
      <c r="W26" s="199">
        <f t="shared" ca="1" si="6"/>
        <v>-20000000</v>
      </c>
      <c r="X26" s="199">
        <f t="shared" ca="1" si="6"/>
        <v>-20000000</v>
      </c>
      <c r="Y26" s="199">
        <f t="shared" ca="1" si="6"/>
        <v>-20000000</v>
      </c>
      <c r="Z26" s="199">
        <f t="shared" ca="1" si="6"/>
        <v>-20000000</v>
      </c>
      <c r="AA26" s="199">
        <f t="shared" ca="1" si="6"/>
        <v>-20000000</v>
      </c>
      <c r="AB26" s="199" t="e">
        <f t="shared" ca="1" si="6"/>
        <v>#VALUE!</v>
      </c>
      <c r="AC26" s="199" t="e">
        <f t="shared" ca="1" si="6"/>
        <v>#VALUE!</v>
      </c>
      <c r="AD26" s="199" t="e">
        <f t="shared" ca="1" si="6"/>
        <v>#VALUE!</v>
      </c>
      <c r="AE26" s="199" t="e">
        <f t="shared" ca="1" si="6"/>
        <v>#VALUE!</v>
      </c>
      <c r="AF26" s="199" t="e">
        <f t="shared" ca="1" si="6"/>
        <v>#VALUE!</v>
      </c>
      <c r="AG26" s="199" t="e">
        <f t="shared" ref="AG26" ca="1" si="7">SUM(AG13:AG25)</f>
        <v>#VALUE!</v>
      </c>
    </row>
    <row r="27" spans="2:33">
      <c r="C27" s="214" t="str">
        <f>'Financing assumptions onshore'!H64</f>
        <v>Senior Gross leverage</v>
      </c>
      <c r="D27" s="261" t="str">
        <f>INDEX('Covenants onshore'!D$43:D$87,MATCH('Financing assumptions onshore'!$H51,'Covenants onshore'!$C$43:$C$87,0))</f>
        <v>na</v>
      </c>
      <c r="E27" s="261" t="str">
        <f>INDEX('Covenants onshore'!E$43:E$87,MATCH('Financing assumptions onshore'!$H51,'Covenants onshore'!$C$43:$C$87,0))</f>
        <v>na</v>
      </c>
      <c r="F27" s="261" t="str">
        <f>INDEX('Covenants onshore'!F$43:F$87,MATCH('Financing assumptions onshore'!$H51,'Covenants onshore'!$C$43:$C$87,0))</f>
        <v>na</v>
      </c>
      <c r="G27" s="261" t="e">
        <f ca="1">INDEX('Covenants onshore'!G$43:G$87,MATCH('Financing assumptions onshore'!$H51,'Covenants onshore'!$C$43:$C$87,0))</f>
        <v>#DIV/0!</v>
      </c>
      <c r="H27" s="261" t="e">
        <f ca="1">INDEX('Covenants onshore'!H$43:H$87,MATCH('Financing assumptions onshore'!$H51,'Covenants onshore'!$C$43:$C$87,0))</f>
        <v>#DIV/0!</v>
      </c>
      <c r="I27" s="261" t="e">
        <f ca="1">INDEX('Covenants onshore'!I$43:I$87,MATCH('Financing assumptions onshore'!$H51,'Covenants onshore'!$C$43:$C$87,0))</f>
        <v>#DIV/0!</v>
      </c>
      <c r="J27" s="261" t="e">
        <f ca="1">INDEX('Covenants onshore'!J$43:J$87,MATCH('Financing assumptions onshore'!$H51,'Covenants onshore'!$C$43:$C$87,0))</f>
        <v>#DIV/0!</v>
      </c>
      <c r="K27" s="261" t="e">
        <f ca="1">INDEX('Covenants onshore'!K$43:K$87,MATCH('Financing assumptions onshore'!$H51,'Covenants onshore'!$C$43:$C$87,0))</f>
        <v>#DIV/0!</v>
      </c>
      <c r="L27" s="261" t="e">
        <f ca="1">INDEX('Covenants onshore'!L$43:L$87,MATCH('Financing assumptions onshore'!$H51,'Covenants onshore'!$C$43:$C$87,0))</f>
        <v>#DIV/0!</v>
      </c>
      <c r="M27" s="261" t="e">
        <f ca="1">INDEX('Covenants onshore'!M$43:M$87,MATCH('Financing assumptions onshore'!$H51,'Covenants onshore'!$C$43:$C$87,0))</f>
        <v>#DIV/0!</v>
      </c>
      <c r="N27" s="261" t="e">
        <f ca="1">INDEX('Covenants onshore'!N$43:N$87,MATCH('Financing assumptions onshore'!$H51,'Covenants onshore'!$C$43:$C$87,0))</f>
        <v>#DIV/0!</v>
      </c>
      <c r="O27" s="261" t="e">
        <f ca="1">INDEX('Covenants onshore'!O$43:O$87,MATCH('Financing assumptions onshore'!$H51,'Covenants onshore'!$C$43:$C$87,0))</f>
        <v>#DIV/0!</v>
      </c>
      <c r="P27" s="261" t="e">
        <f ca="1">INDEX('Covenants onshore'!P$43:P$87,MATCH('Financing assumptions onshore'!$H51,'Covenants onshore'!$C$43:$C$87,0))</f>
        <v>#DIV/0!</v>
      </c>
      <c r="Q27" s="261" t="e">
        <f ca="1">INDEX('Covenants onshore'!Q$43:Q$87,MATCH('Financing assumptions onshore'!$H51,'Covenants onshore'!$C$43:$C$87,0))</f>
        <v>#DIV/0!</v>
      </c>
      <c r="R27" s="261" t="e">
        <f ca="1">INDEX('Covenants onshore'!R$43:R$87,MATCH('Financing assumptions onshore'!$H51,'Covenants onshore'!$C$43:$C$87,0))</f>
        <v>#DIV/0!</v>
      </c>
      <c r="S27" s="261" t="e">
        <f ca="1">INDEX('Covenants onshore'!S$43:S$87,MATCH('Financing assumptions onshore'!$H51,'Covenants onshore'!$C$43:$C$87,0))</f>
        <v>#DIV/0!</v>
      </c>
      <c r="T27" s="261" t="e">
        <f ca="1">INDEX('Covenants onshore'!T$43:T$87,MATCH('Financing assumptions onshore'!$H51,'Covenants onshore'!$C$43:$C$87,0))</f>
        <v>#DIV/0!</v>
      </c>
      <c r="U27" s="261" t="e">
        <f ca="1">INDEX('Covenants onshore'!U$43:U$87,MATCH('Financing assumptions onshore'!$H51,'Covenants onshore'!$C$43:$C$87,0))</f>
        <v>#DIV/0!</v>
      </c>
      <c r="V27" s="261" t="e">
        <f ca="1">INDEX('Covenants onshore'!V$43:V$87,MATCH('Financing assumptions onshore'!$H51,'Covenants onshore'!$C$43:$C$87,0))</f>
        <v>#DIV/0!</v>
      </c>
      <c r="W27" s="261" t="e">
        <f ca="1">INDEX('Covenants onshore'!W$43:W$87,MATCH('Financing assumptions onshore'!$H51,'Covenants onshore'!$C$43:$C$87,0))</f>
        <v>#DIV/0!</v>
      </c>
      <c r="X27" s="261" t="e">
        <f ca="1">INDEX('Covenants onshore'!X$43:X$87,MATCH('Financing assumptions onshore'!$H51,'Covenants onshore'!$C$43:$C$87,0))</f>
        <v>#DIV/0!</v>
      </c>
      <c r="Y27" s="261" t="e">
        <f ca="1">INDEX('Covenants onshore'!Y$43:Y$87,MATCH('Financing assumptions onshore'!$H51,'Covenants onshore'!$C$43:$C$87,0))</f>
        <v>#DIV/0!</v>
      </c>
      <c r="Z27" s="261" t="e">
        <f ca="1">INDEX('Covenants onshore'!Z$43:Z$87,MATCH('Financing assumptions onshore'!$H51,'Covenants onshore'!$C$43:$C$87,0))</f>
        <v>#DIV/0!</v>
      </c>
      <c r="AA27" s="261" t="e">
        <f ca="1">INDEX('Covenants onshore'!AA$43:AA$87,MATCH('Financing assumptions onshore'!$H51,'Covenants onshore'!$C$43:$C$87,0))</f>
        <v>#DIV/0!</v>
      </c>
      <c r="AB27" s="261" t="e">
        <f ca="1">INDEX('Covenants onshore'!AB$43:AB$87,MATCH('Financing assumptions onshore'!$H51,'Covenants onshore'!$C$43:$C$87,0))</f>
        <v>#N/A</v>
      </c>
      <c r="AC27" s="261" t="e">
        <f ca="1">INDEX('Covenants onshore'!AC$43:AC$87,MATCH('Financing assumptions onshore'!$H51,'Covenants onshore'!$C$43:$C$87,0))</f>
        <v>#N/A</v>
      </c>
      <c r="AD27" s="261" t="e">
        <f ca="1">INDEX('Covenants onshore'!AD$43:AD$87,MATCH('Financing assumptions onshore'!$H51,'Covenants onshore'!$C$43:$C$87,0))</f>
        <v>#N/A</v>
      </c>
      <c r="AE27" s="261" t="e">
        <f ca="1">INDEX('Covenants onshore'!AE$43:AE$87,MATCH('Financing assumptions onshore'!$H51,'Covenants onshore'!$C$43:$C$87,0))</f>
        <v>#N/A</v>
      </c>
      <c r="AF27" s="261" t="e">
        <f ca="1">INDEX('Covenants onshore'!AF$43:AF$87,MATCH('Financing assumptions onshore'!$H51,'Covenants onshore'!$C$43:$C$87,0))</f>
        <v>#N/A</v>
      </c>
      <c r="AG27" s="261" t="e">
        <f ca="1">INDEX('Covenants onshore'!AG$43:AG$87,MATCH('Financing assumptions onshore'!$H51,'Covenants onshore'!$C$43:$C$87,0))</f>
        <v>#N/A</v>
      </c>
    </row>
    <row r="28" spans="2:33">
      <c r="C28" s="221" t="s">
        <v>807</v>
      </c>
      <c r="D28" s="185" t="str">
        <f>IFERROR(INDEX('Financing assumptions onshore'!$J$65:$J$68,MATCH('Cash sweep &amp; dividend onshore'!D27,'Financing assumptions onshore'!$I$65:$I$68,-1)),"na")</f>
        <v>na</v>
      </c>
      <c r="E28" s="185" t="str">
        <f>IFERROR(INDEX('Financing assumptions onshore'!$J$65:$J$68,MATCH('Cash sweep &amp; dividend onshore'!E27,'Financing assumptions onshore'!$I$65:$I$68,-1)),"na")</f>
        <v>na</v>
      </c>
      <c r="F28" s="185" t="str">
        <f>IFERROR(INDEX('Financing assumptions onshore'!$J$65:$J$68,MATCH('Cash sweep &amp; dividend onshore'!F27,'Financing assumptions onshore'!$I$65:$I$68,-1)),"na")</f>
        <v>na</v>
      </c>
      <c r="G28" s="185" t="str">
        <f ca="1">IFERROR(INDEX('Financing assumptions onshore'!$J$65:$J$68,MATCH('Cash sweep &amp; dividend onshore'!G27,'Financing assumptions onshore'!$I$65:$I$68,-1)),"na")</f>
        <v>na</v>
      </c>
      <c r="H28" s="185" t="str">
        <f ca="1">IFERROR(INDEX('Financing assumptions onshore'!$J$65:$J$68,MATCH('Cash sweep &amp; dividend onshore'!H27,'Financing assumptions onshore'!$I$65:$I$68,-1)),"na")</f>
        <v>na</v>
      </c>
      <c r="I28" s="185" t="str">
        <f ca="1">IFERROR(INDEX('Financing assumptions onshore'!$J$65:$J$68,MATCH('Cash sweep &amp; dividend onshore'!I27,'Financing assumptions onshore'!$I$65:$I$68,-1)),"na")</f>
        <v>na</v>
      </c>
      <c r="J28" s="185" t="str">
        <f ca="1">IFERROR(INDEX('Financing assumptions onshore'!$J$65:$J$68,MATCH('Cash sweep &amp; dividend onshore'!J27,'Financing assumptions onshore'!$I$65:$I$68,-1)),"na")</f>
        <v>na</v>
      </c>
      <c r="K28" s="185" t="str">
        <f ca="1">IFERROR(INDEX('Financing assumptions onshore'!$J$65:$J$68,MATCH('Cash sweep &amp; dividend onshore'!K27,'Financing assumptions onshore'!$I$65:$I$68,-1)),"na")</f>
        <v>na</v>
      </c>
      <c r="L28" s="185" t="str">
        <f ca="1">IFERROR(INDEX('Financing assumptions onshore'!$J$65:$J$68,MATCH('Cash sweep &amp; dividend onshore'!L27,'Financing assumptions onshore'!$I$65:$I$68,-1)),"na")</f>
        <v>na</v>
      </c>
      <c r="M28" s="185" t="str">
        <f ca="1">IFERROR(INDEX('Financing assumptions onshore'!$J$65:$J$68,MATCH('Cash sweep &amp; dividend onshore'!M27,'Financing assumptions onshore'!$I$65:$I$68,-1)),"na")</f>
        <v>na</v>
      </c>
      <c r="N28" s="185" t="str">
        <f ca="1">IFERROR(INDEX('Financing assumptions onshore'!$J$65:$J$68,MATCH('Cash sweep &amp; dividend onshore'!N27,'Financing assumptions onshore'!$I$65:$I$68,-1)),"na")</f>
        <v>na</v>
      </c>
      <c r="O28" s="185" t="str">
        <f ca="1">IFERROR(INDEX('Financing assumptions onshore'!$J$65:$J$68,MATCH('Cash sweep &amp; dividend onshore'!O27,'Financing assumptions onshore'!$I$65:$I$68,-1)),"na")</f>
        <v>na</v>
      </c>
      <c r="P28" s="185" t="str">
        <f ca="1">IFERROR(INDEX('Financing assumptions onshore'!$J$65:$J$68,MATCH('Cash sweep &amp; dividend onshore'!P27,'Financing assumptions onshore'!$I$65:$I$68,-1)),"na")</f>
        <v>na</v>
      </c>
      <c r="Q28" s="185" t="str">
        <f ca="1">IFERROR(INDEX('Financing assumptions onshore'!$J$65:$J$68,MATCH('Cash sweep &amp; dividend onshore'!Q27,'Financing assumptions onshore'!$I$65:$I$68,-1)),"na")</f>
        <v>na</v>
      </c>
      <c r="R28" s="185" t="str">
        <f ca="1">IFERROR(INDEX('Financing assumptions onshore'!$J$65:$J$68,MATCH('Cash sweep &amp; dividend onshore'!R27,'Financing assumptions onshore'!$I$65:$I$68,-1)),"na")</f>
        <v>na</v>
      </c>
      <c r="S28" s="185" t="str">
        <f ca="1">IFERROR(INDEX('Financing assumptions onshore'!$J$65:$J$68,MATCH('Cash sweep &amp; dividend onshore'!S27,'Financing assumptions onshore'!$I$65:$I$68,-1)),"na")</f>
        <v>na</v>
      </c>
      <c r="T28" s="185" t="str">
        <f ca="1">IFERROR(INDEX('Financing assumptions onshore'!$J$65:$J$68,MATCH('Cash sweep &amp; dividend onshore'!T27,'Financing assumptions onshore'!$I$65:$I$68,-1)),"na")</f>
        <v>na</v>
      </c>
      <c r="U28" s="185" t="str">
        <f ca="1">IFERROR(INDEX('Financing assumptions onshore'!$J$65:$J$68,MATCH('Cash sweep &amp; dividend onshore'!U27,'Financing assumptions onshore'!$I$65:$I$68,-1)),"na")</f>
        <v>na</v>
      </c>
      <c r="V28" s="185" t="str">
        <f ca="1">IFERROR(INDEX('Financing assumptions onshore'!$J$65:$J$68,MATCH('Cash sweep &amp; dividend onshore'!V27,'Financing assumptions onshore'!$I$65:$I$68,-1)),"na")</f>
        <v>na</v>
      </c>
      <c r="W28" s="185" t="str">
        <f ca="1">IFERROR(INDEX('Financing assumptions onshore'!$J$65:$J$68,MATCH('Cash sweep &amp; dividend onshore'!W27,'Financing assumptions onshore'!$I$65:$I$68,-1)),"na")</f>
        <v>na</v>
      </c>
      <c r="X28" s="185" t="str">
        <f ca="1">IFERROR(INDEX('Financing assumptions onshore'!$J$65:$J$68,MATCH('Cash sweep &amp; dividend onshore'!X27,'Financing assumptions onshore'!$I$65:$I$68,-1)),"na")</f>
        <v>na</v>
      </c>
      <c r="Y28" s="185" t="str">
        <f ca="1">IFERROR(INDEX('Financing assumptions onshore'!$J$65:$J$68,MATCH('Cash sweep &amp; dividend onshore'!Y27,'Financing assumptions onshore'!$I$65:$I$68,-1)),"na")</f>
        <v>na</v>
      </c>
      <c r="Z28" s="185" t="str">
        <f ca="1">IFERROR(INDEX('Financing assumptions onshore'!$J$65:$J$68,MATCH('Cash sweep &amp; dividend onshore'!Z27,'Financing assumptions onshore'!$I$65:$I$68,-1)),"na")</f>
        <v>na</v>
      </c>
      <c r="AA28" s="185" t="str">
        <f ca="1">IFERROR(INDEX('Financing assumptions onshore'!$J$65:$J$68,MATCH('Cash sweep &amp; dividend onshore'!AA27,'Financing assumptions onshore'!$I$65:$I$68,-1)),"na")</f>
        <v>na</v>
      </c>
      <c r="AB28" s="185" t="str">
        <f ca="1">IFERROR(INDEX('Financing assumptions onshore'!$J$65:$J$68,MATCH('Cash sweep &amp; dividend onshore'!AB27,'Financing assumptions onshore'!$I$65:$I$68,-1)),"na")</f>
        <v>na</v>
      </c>
      <c r="AC28" s="185" t="str">
        <f ca="1">IFERROR(INDEX('Financing assumptions onshore'!$J$65:$J$68,MATCH('Cash sweep &amp; dividend onshore'!AC27,'Financing assumptions onshore'!$I$65:$I$68,-1)),"na")</f>
        <v>na</v>
      </c>
      <c r="AD28" s="185" t="str">
        <f ca="1">IFERROR(INDEX('Financing assumptions onshore'!$J$65:$J$68,MATCH('Cash sweep &amp; dividend onshore'!AD27,'Financing assumptions onshore'!$I$65:$I$68,-1)),"na")</f>
        <v>na</v>
      </c>
      <c r="AE28" s="185" t="str">
        <f ca="1">IFERROR(INDEX('Financing assumptions onshore'!$J$65:$J$68,MATCH('Cash sweep &amp; dividend onshore'!AE27,'Financing assumptions onshore'!$I$65:$I$68,-1)),"na")</f>
        <v>na</v>
      </c>
      <c r="AF28" s="185" t="str">
        <f ca="1">IFERROR(INDEX('Financing assumptions onshore'!$J$65:$J$68,MATCH('Cash sweep &amp; dividend onshore'!AF27,'Financing assumptions onshore'!$I$65:$I$68,-1)),"na")</f>
        <v>na</v>
      </c>
      <c r="AG28" s="185" t="str">
        <f ca="1">IFERROR(INDEX('Financing assumptions onshore'!$J$65:$J$68,MATCH('Cash sweep &amp; dividend onshore'!AG27,'Financing assumptions onshore'!$I$65:$I$68,-1)),"na")</f>
        <v>na</v>
      </c>
    </row>
    <row r="29" spans="2:33">
      <c r="C29" s="180" t="s">
        <v>814</v>
      </c>
      <c r="D29" s="180">
        <f t="shared" ref="D29:AF29" ca="1" si="8">IFERROR(MAX(0,D28*D26*D7),0)</f>
        <v>0</v>
      </c>
      <c r="E29" s="180">
        <f t="shared" ca="1" si="8"/>
        <v>0</v>
      </c>
      <c r="F29" s="180">
        <f t="shared" ca="1" si="8"/>
        <v>0</v>
      </c>
      <c r="G29" s="180">
        <f t="shared" ca="1" si="8"/>
        <v>0</v>
      </c>
      <c r="H29" s="180">
        <f t="shared" ca="1" si="8"/>
        <v>0</v>
      </c>
      <c r="I29" s="180">
        <f t="shared" ca="1" si="8"/>
        <v>0</v>
      </c>
      <c r="J29" s="180">
        <f t="shared" ca="1" si="8"/>
        <v>0</v>
      </c>
      <c r="K29" s="180">
        <f t="shared" ca="1" si="8"/>
        <v>0</v>
      </c>
      <c r="L29" s="180">
        <f t="shared" ca="1" si="8"/>
        <v>0</v>
      </c>
      <c r="M29" s="180">
        <f t="shared" ca="1" si="8"/>
        <v>0</v>
      </c>
      <c r="N29" s="180">
        <f t="shared" ca="1" si="8"/>
        <v>0</v>
      </c>
      <c r="O29" s="180">
        <f t="shared" ca="1" si="8"/>
        <v>0</v>
      </c>
      <c r="P29" s="180">
        <f t="shared" ca="1" si="8"/>
        <v>0</v>
      </c>
      <c r="Q29" s="180">
        <f t="shared" ca="1" si="8"/>
        <v>0</v>
      </c>
      <c r="R29" s="180">
        <f t="shared" ca="1" si="8"/>
        <v>0</v>
      </c>
      <c r="S29" s="180">
        <f t="shared" ca="1" si="8"/>
        <v>0</v>
      </c>
      <c r="T29" s="180">
        <f t="shared" ca="1" si="8"/>
        <v>0</v>
      </c>
      <c r="U29" s="180">
        <f t="shared" ca="1" si="8"/>
        <v>0</v>
      </c>
      <c r="V29" s="180">
        <f t="shared" ca="1" si="8"/>
        <v>0</v>
      </c>
      <c r="W29" s="180">
        <f t="shared" ca="1" si="8"/>
        <v>0</v>
      </c>
      <c r="X29" s="180">
        <f t="shared" ca="1" si="8"/>
        <v>0</v>
      </c>
      <c r="Y29" s="180">
        <f t="shared" ca="1" si="8"/>
        <v>0</v>
      </c>
      <c r="Z29" s="180">
        <f t="shared" ca="1" si="8"/>
        <v>0</v>
      </c>
      <c r="AA29" s="180">
        <f t="shared" ca="1" si="8"/>
        <v>0</v>
      </c>
      <c r="AB29" s="180">
        <f t="shared" ca="1" si="8"/>
        <v>0</v>
      </c>
      <c r="AC29" s="180">
        <f t="shared" ca="1" si="8"/>
        <v>0</v>
      </c>
      <c r="AD29" s="180">
        <f t="shared" ca="1" si="8"/>
        <v>0</v>
      </c>
      <c r="AE29" s="180">
        <f t="shared" ca="1" si="8"/>
        <v>0</v>
      </c>
      <c r="AF29" s="180">
        <f t="shared" ca="1" si="8"/>
        <v>0</v>
      </c>
      <c r="AG29" s="180">
        <f t="shared" ref="AG29" ca="1" si="9">IFERROR(MAX(0,AG28*AG26*AG7),0)</f>
        <v>0</v>
      </c>
    </row>
    <row r="30" spans="2:33">
      <c r="C30" s="195" t="s">
        <v>1033</v>
      </c>
      <c r="D30" s="195"/>
      <c r="E30" s="195">
        <f ca="1">D29</f>
        <v>0</v>
      </c>
      <c r="F30" s="195">
        <f t="shared" ref="F30:AG30" ca="1" si="10">E29</f>
        <v>0</v>
      </c>
      <c r="G30" s="195">
        <f t="shared" ca="1" si="10"/>
        <v>0</v>
      </c>
      <c r="H30" s="195">
        <f t="shared" ca="1" si="10"/>
        <v>0</v>
      </c>
      <c r="I30" s="195">
        <f t="shared" ca="1" si="10"/>
        <v>0</v>
      </c>
      <c r="J30" s="195">
        <f t="shared" ca="1" si="10"/>
        <v>0</v>
      </c>
      <c r="K30" s="195">
        <f t="shared" ca="1" si="10"/>
        <v>0</v>
      </c>
      <c r="L30" s="195">
        <f t="shared" ca="1" si="10"/>
        <v>0</v>
      </c>
      <c r="M30" s="195">
        <f t="shared" ca="1" si="10"/>
        <v>0</v>
      </c>
      <c r="N30" s="195">
        <f t="shared" ca="1" si="10"/>
        <v>0</v>
      </c>
      <c r="O30" s="195">
        <f t="shared" ca="1" si="10"/>
        <v>0</v>
      </c>
      <c r="P30" s="195">
        <f t="shared" ca="1" si="10"/>
        <v>0</v>
      </c>
      <c r="Q30" s="195">
        <f t="shared" ca="1" si="10"/>
        <v>0</v>
      </c>
      <c r="R30" s="195">
        <f t="shared" ca="1" si="10"/>
        <v>0</v>
      </c>
      <c r="S30" s="195">
        <f t="shared" ca="1" si="10"/>
        <v>0</v>
      </c>
      <c r="T30" s="195">
        <f t="shared" ca="1" si="10"/>
        <v>0</v>
      </c>
      <c r="U30" s="195">
        <f t="shared" ca="1" si="10"/>
        <v>0</v>
      </c>
      <c r="V30" s="195">
        <f t="shared" ca="1" si="10"/>
        <v>0</v>
      </c>
      <c r="W30" s="195">
        <f t="shared" ca="1" si="10"/>
        <v>0</v>
      </c>
      <c r="X30" s="195">
        <f t="shared" ca="1" si="10"/>
        <v>0</v>
      </c>
      <c r="Y30" s="195">
        <f t="shared" ca="1" si="10"/>
        <v>0</v>
      </c>
      <c r="Z30" s="195">
        <f t="shared" ca="1" si="10"/>
        <v>0</v>
      </c>
      <c r="AA30" s="195">
        <f t="shared" ca="1" si="10"/>
        <v>0</v>
      </c>
      <c r="AB30" s="195">
        <f t="shared" ca="1" si="10"/>
        <v>0</v>
      </c>
      <c r="AC30" s="195">
        <f t="shared" ca="1" si="10"/>
        <v>0</v>
      </c>
      <c r="AD30" s="195">
        <f t="shared" ca="1" si="10"/>
        <v>0</v>
      </c>
      <c r="AE30" s="195">
        <f t="shared" ca="1" si="10"/>
        <v>0</v>
      </c>
      <c r="AF30" s="195">
        <f t="shared" ca="1" si="10"/>
        <v>0</v>
      </c>
      <c r="AG30" s="195">
        <f t="shared" ca="1" si="10"/>
        <v>0</v>
      </c>
    </row>
    <row r="32" spans="2:33">
      <c r="B32" s="209" t="s">
        <v>816</v>
      </c>
      <c r="C32" s="209"/>
      <c r="D32" s="305">
        <f>D12</f>
        <v>43555</v>
      </c>
      <c r="E32" s="305">
        <f t="shared" ref="E32:AF32" si="11">E12</f>
        <v>43646</v>
      </c>
      <c r="F32" s="305">
        <f t="shared" si="11"/>
        <v>43738</v>
      </c>
      <c r="G32" s="305">
        <f t="shared" si="11"/>
        <v>43830</v>
      </c>
      <c r="H32" s="305">
        <f t="shared" si="11"/>
        <v>43921</v>
      </c>
      <c r="I32" s="305">
        <f t="shared" si="11"/>
        <v>44012</v>
      </c>
      <c r="J32" s="305">
        <f t="shared" si="11"/>
        <v>44104</v>
      </c>
      <c r="K32" s="305">
        <f t="shared" si="11"/>
        <v>44196</v>
      </c>
      <c r="L32" s="305">
        <f t="shared" si="11"/>
        <v>44286</v>
      </c>
      <c r="M32" s="305">
        <f t="shared" si="11"/>
        <v>44377</v>
      </c>
      <c r="N32" s="305">
        <f t="shared" si="11"/>
        <v>44469</v>
      </c>
      <c r="O32" s="305">
        <f t="shared" si="11"/>
        <v>44561</v>
      </c>
      <c r="P32" s="305">
        <f t="shared" si="11"/>
        <v>44651</v>
      </c>
      <c r="Q32" s="305">
        <f t="shared" si="11"/>
        <v>44742</v>
      </c>
      <c r="R32" s="305">
        <f t="shared" si="11"/>
        <v>44834</v>
      </c>
      <c r="S32" s="305">
        <f t="shared" si="11"/>
        <v>44926</v>
      </c>
      <c r="T32" s="305">
        <f t="shared" si="11"/>
        <v>45016</v>
      </c>
      <c r="U32" s="305">
        <f t="shared" si="11"/>
        <v>45107</v>
      </c>
      <c r="V32" s="305">
        <f t="shared" si="11"/>
        <v>45199</v>
      </c>
      <c r="W32" s="305">
        <f t="shared" si="11"/>
        <v>45291</v>
      </c>
      <c r="X32" s="305">
        <f t="shared" si="11"/>
        <v>45382</v>
      </c>
      <c r="Y32" s="305">
        <f t="shared" si="11"/>
        <v>45473</v>
      </c>
      <c r="Z32" s="305">
        <f t="shared" si="11"/>
        <v>45565</v>
      </c>
      <c r="AA32" s="305">
        <f t="shared" si="11"/>
        <v>45657</v>
      </c>
      <c r="AB32" s="305">
        <f t="shared" si="11"/>
        <v>45747</v>
      </c>
      <c r="AC32" s="305">
        <f t="shared" si="11"/>
        <v>45838</v>
      </c>
      <c r="AD32" s="305">
        <f t="shared" si="11"/>
        <v>45930</v>
      </c>
      <c r="AE32" s="305">
        <f t="shared" si="11"/>
        <v>46022</v>
      </c>
      <c r="AF32" s="305">
        <f t="shared" si="11"/>
        <v>46112</v>
      </c>
      <c r="AG32" s="305">
        <f t="shared" ref="AG32" si="12">AG12</f>
        <v>46203</v>
      </c>
    </row>
    <row r="33" spans="3:33" s="183" customFormat="1" ht="13.7">
      <c r="C33" s="183" t="s">
        <v>790</v>
      </c>
      <c r="D33" s="183">
        <f>'Financing assumptions onshore'!$M$64</f>
        <v>1</v>
      </c>
      <c r="E33" s="183">
        <f>'Financing assumptions onshore'!$M$64</f>
        <v>1</v>
      </c>
      <c r="F33" s="183">
        <f>'Financing assumptions onshore'!$M$64</f>
        <v>1</v>
      </c>
      <c r="G33" s="183">
        <f>'Financing assumptions onshore'!$M$64</f>
        <v>1</v>
      </c>
      <c r="H33" s="183">
        <f>'Financing assumptions onshore'!$M$64</f>
        <v>1</v>
      </c>
      <c r="I33" s="183">
        <f>'Financing assumptions onshore'!$M$64</f>
        <v>1</v>
      </c>
      <c r="J33" s="183">
        <f>'Financing assumptions onshore'!$M$64</f>
        <v>1</v>
      </c>
      <c r="K33" s="183">
        <f>'Financing assumptions onshore'!$M$64</f>
        <v>1</v>
      </c>
      <c r="L33" s="183">
        <f>'Financing assumptions onshore'!$M$64</f>
        <v>1</v>
      </c>
      <c r="M33" s="183">
        <f>'Financing assumptions onshore'!$M$64</f>
        <v>1</v>
      </c>
      <c r="N33" s="183">
        <f>'Financing assumptions onshore'!$M$64</f>
        <v>1</v>
      </c>
      <c r="O33" s="183">
        <f>'Financing assumptions onshore'!$M$64</f>
        <v>1</v>
      </c>
      <c r="P33" s="183">
        <f>'Financing assumptions onshore'!$M$64</f>
        <v>1</v>
      </c>
      <c r="Q33" s="183">
        <f>'Financing assumptions onshore'!$M$64</f>
        <v>1</v>
      </c>
      <c r="R33" s="183">
        <f>'Financing assumptions onshore'!$M$64</f>
        <v>1</v>
      </c>
      <c r="S33" s="183">
        <f>'Financing assumptions onshore'!$M$64</f>
        <v>1</v>
      </c>
      <c r="T33" s="183">
        <f>'Financing assumptions onshore'!$M$64</f>
        <v>1</v>
      </c>
      <c r="U33" s="183">
        <f>'Financing assumptions onshore'!$M$64</f>
        <v>1</v>
      </c>
      <c r="V33" s="183">
        <f>'Financing assumptions onshore'!$M$64</f>
        <v>1</v>
      </c>
      <c r="W33" s="183">
        <f>'Financing assumptions onshore'!$M$64</f>
        <v>1</v>
      </c>
      <c r="X33" s="183">
        <f>'Financing assumptions onshore'!$M$64</f>
        <v>1</v>
      </c>
      <c r="Y33" s="183">
        <f>'Financing assumptions onshore'!$M$64</f>
        <v>1</v>
      </c>
      <c r="Z33" s="183">
        <f>'Financing assumptions onshore'!$M$64</f>
        <v>1</v>
      </c>
      <c r="AA33" s="183">
        <f>'Financing assumptions onshore'!$M$64</f>
        <v>1</v>
      </c>
      <c r="AB33" s="183">
        <f>'Financing assumptions onshore'!$M$64</f>
        <v>1</v>
      </c>
      <c r="AC33" s="183">
        <f>'Financing assumptions onshore'!$M$64</f>
        <v>1</v>
      </c>
      <c r="AD33" s="183">
        <f>'Financing assumptions onshore'!$M$64</f>
        <v>1</v>
      </c>
      <c r="AE33" s="183">
        <f>'Financing assumptions onshore'!$M$64</f>
        <v>1</v>
      </c>
      <c r="AF33" s="183">
        <f>'Financing assumptions onshore'!$M$64</f>
        <v>1</v>
      </c>
      <c r="AG33" s="183">
        <f>'Financing assumptions onshore'!$M$64</f>
        <v>1</v>
      </c>
    </row>
    <row r="34" spans="3:33" s="183" customFormat="1" ht="13.7">
      <c r="C34" s="183" t="s">
        <v>791</v>
      </c>
      <c r="D34" s="183">
        <f>'Financing assumptions onshore'!$M$65</f>
        <v>0</v>
      </c>
      <c r="E34" s="183">
        <f>'Financing assumptions onshore'!$M$65</f>
        <v>0</v>
      </c>
      <c r="F34" s="183">
        <f>'Financing assumptions onshore'!$M$65</f>
        <v>0</v>
      </c>
      <c r="G34" s="183">
        <f>'Financing assumptions onshore'!$M$65</f>
        <v>0</v>
      </c>
      <c r="H34" s="183">
        <f>'Financing assumptions onshore'!$M$65</f>
        <v>0</v>
      </c>
      <c r="I34" s="183">
        <f>'Financing assumptions onshore'!$M$65</f>
        <v>0</v>
      </c>
      <c r="J34" s="183">
        <f>'Financing assumptions onshore'!$M$65</f>
        <v>0</v>
      </c>
      <c r="K34" s="183">
        <f>'Financing assumptions onshore'!$M$65</f>
        <v>0</v>
      </c>
      <c r="L34" s="183">
        <f>'Financing assumptions onshore'!$M$65</f>
        <v>0</v>
      </c>
      <c r="M34" s="183">
        <f>'Financing assumptions onshore'!$M$65</f>
        <v>0</v>
      </c>
      <c r="N34" s="183">
        <f>'Financing assumptions onshore'!$M$65</f>
        <v>0</v>
      </c>
      <c r="O34" s="183">
        <f>'Financing assumptions onshore'!$M$65</f>
        <v>0</v>
      </c>
      <c r="P34" s="183">
        <f>'Financing assumptions onshore'!$M$65</f>
        <v>0</v>
      </c>
      <c r="Q34" s="183">
        <f>'Financing assumptions onshore'!$M$65</f>
        <v>0</v>
      </c>
      <c r="R34" s="183">
        <f>'Financing assumptions onshore'!$M$65</f>
        <v>0</v>
      </c>
      <c r="S34" s="183">
        <f>'Financing assumptions onshore'!$M$65</f>
        <v>0</v>
      </c>
      <c r="T34" s="183">
        <f>'Financing assumptions onshore'!$M$65</f>
        <v>0</v>
      </c>
      <c r="U34" s="183">
        <f>'Financing assumptions onshore'!$M$65</f>
        <v>0</v>
      </c>
      <c r="V34" s="183">
        <f>'Financing assumptions onshore'!$M$65</f>
        <v>0</v>
      </c>
      <c r="W34" s="183">
        <f>'Financing assumptions onshore'!$M$65</f>
        <v>0</v>
      </c>
      <c r="X34" s="183">
        <f>'Financing assumptions onshore'!$M$65</f>
        <v>0</v>
      </c>
      <c r="Y34" s="183">
        <f>'Financing assumptions onshore'!$M$65</f>
        <v>0</v>
      </c>
      <c r="Z34" s="183">
        <f>'Financing assumptions onshore'!$M$65</f>
        <v>0</v>
      </c>
      <c r="AA34" s="183">
        <f>'Financing assumptions onshore'!$M$65</f>
        <v>0</v>
      </c>
      <c r="AB34" s="183">
        <f>'Financing assumptions onshore'!$M$65</f>
        <v>0</v>
      </c>
      <c r="AC34" s="183">
        <f>'Financing assumptions onshore'!$M$65</f>
        <v>0</v>
      </c>
      <c r="AD34" s="183">
        <f>'Financing assumptions onshore'!$M$65</f>
        <v>0</v>
      </c>
      <c r="AE34" s="183">
        <f>'Financing assumptions onshore'!$M$65</f>
        <v>0</v>
      </c>
      <c r="AF34" s="183">
        <f>'Financing assumptions onshore'!$M$65</f>
        <v>0</v>
      </c>
      <c r="AG34" s="183">
        <f>'Financing assumptions onshore'!$M$65</f>
        <v>0</v>
      </c>
    </row>
    <row r="35" spans="3:33" s="183" customFormat="1" ht="13.7">
      <c r="C35" s="183" t="s">
        <v>792</v>
      </c>
      <c r="D35" s="183">
        <f>'Financing assumptions onshore'!$M$66</f>
        <v>0</v>
      </c>
      <c r="E35" s="183">
        <f>'Financing assumptions onshore'!$M$66</f>
        <v>0</v>
      </c>
      <c r="F35" s="183">
        <f>'Financing assumptions onshore'!$M$66</f>
        <v>0</v>
      </c>
      <c r="G35" s="183">
        <f>'Financing assumptions onshore'!$M$66</f>
        <v>0</v>
      </c>
      <c r="H35" s="183">
        <f>'Financing assumptions onshore'!$M$66</f>
        <v>0</v>
      </c>
      <c r="I35" s="183">
        <f>'Financing assumptions onshore'!$M$66</f>
        <v>0</v>
      </c>
      <c r="J35" s="183">
        <f>'Financing assumptions onshore'!$M$66</f>
        <v>0</v>
      </c>
      <c r="K35" s="183">
        <f>'Financing assumptions onshore'!$M$66</f>
        <v>0</v>
      </c>
      <c r="L35" s="183">
        <f>'Financing assumptions onshore'!$M$66</f>
        <v>0</v>
      </c>
      <c r="M35" s="183">
        <f>'Financing assumptions onshore'!$M$66</f>
        <v>0</v>
      </c>
      <c r="N35" s="183">
        <f>'Financing assumptions onshore'!$M$66</f>
        <v>0</v>
      </c>
      <c r="O35" s="183">
        <f>'Financing assumptions onshore'!$M$66</f>
        <v>0</v>
      </c>
      <c r="P35" s="183">
        <f>'Financing assumptions onshore'!$M$66</f>
        <v>0</v>
      </c>
      <c r="Q35" s="183">
        <f>'Financing assumptions onshore'!$M$66</f>
        <v>0</v>
      </c>
      <c r="R35" s="183">
        <f>'Financing assumptions onshore'!$M$66</f>
        <v>0</v>
      </c>
      <c r="S35" s="183">
        <f>'Financing assumptions onshore'!$M$66</f>
        <v>0</v>
      </c>
      <c r="T35" s="183">
        <f>'Financing assumptions onshore'!$M$66</f>
        <v>0</v>
      </c>
      <c r="U35" s="183">
        <f>'Financing assumptions onshore'!$M$66</f>
        <v>0</v>
      </c>
      <c r="V35" s="183">
        <f>'Financing assumptions onshore'!$M$66</f>
        <v>0</v>
      </c>
      <c r="W35" s="183">
        <f>'Financing assumptions onshore'!$M$66</f>
        <v>0</v>
      </c>
      <c r="X35" s="183">
        <f>'Financing assumptions onshore'!$M$66</f>
        <v>0</v>
      </c>
      <c r="Y35" s="183">
        <f>'Financing assumptions onshore'!$M$66</f>
        <v>0</v>
      </c>
      <c r="Z35" s="183">
        <f>'Financing assumptions onshore'!$M$66</f>
        <v>0</v>
      </c>
      <c r="AA35" s="183">
        <f>'Financing assumptions onshore'!$M$66</f>
        <v>0</v>
      </c>
      <c r="AB35" s="183">
        <f>'Financing assumptions onshore'!$M$66</f>
        <v>0</v>
      </c>
      <c r="AC35" s="183">
        <f>'Financing assumptions onshore'!$M$66</f>
        <v>0</v>
      </c>
      <c r="AD35" s="183">
        <f>'Financing assumptions onshore'!$M$66</f>
        <v>0</v>
      </c>
      <c r="AE35" s="183">
        <f>'Financing assumptions onshore'!$M$66</f>
        <v>0</v>
      </c>
      <c r="AF35" s="183">
        <f>'Financing assumptions onshore'!$M$66</f>
        <v>0</v>
      </c>
      <c r="AG35" s="183">
        <f>'Financing assumptions onshore'!$M$66</f>
        <v>0</v>
      </c>
    </row>
    <row r="36" spans="3:33" s="183" customFormat="1" ht="13.7">
      <c r="C36" s="183" t="s">
        <v>793</v>
      </c>
      <c r="D36" s="183">
        <f>'Financing assumptions onshore'!$M$67</f>
        <v>0</v>
      </c>
      <c r="E36" s="183">
        <f>'Financing assumptions onshore'!$M$67</f>
        <v>0</v>
      </c>
      <c r="F36" s="183">
        <f>'Financing assumptions onshore'!$M$67</f>
        <v>0</v>
      </c>
      <c r="G36" s="183">
        <f>'Financing assumptions onshore'!$M$67</f>
        <v>0</v>
      </c>
      <c r="H36" s="183">
        <f>'Financing assumptions onshore'!$M$67</f>
        <v>0</v>
      </c>
      <c r="I36" s="183">
        <f>'Financing assumptions onshore'!$M$67</f>
        <v>0</v>
      </c>
      <c r="J36" s="183">
        <f>'Financing assumptions onshore'!$M$67</f>
        <v>0</v>
      </c>
      <c r="K36" s="183">
        <f>'Financing assumptions onshore'!$M$67</f>
        <v>0</v>
      </c>
      <c r="L36" s="183">
        <f>'Financing assumptions onshore'!$M$67</f>
        <v>0</v>
      </c>
      <c r="M36" s="183">
        <f>'Financing assumptions onshore'!$M$67</f>
        <v>0</v>
      </c>
      <c r="N36" s="183">
        <f>'Financing assumptions onshore'!$M$67</f>
        <v>0</v>
      </c>
      <c r="O36" s="183">
        <f>'Financing assumptions onshore'!$M$67</f>
        <v>0</v>
      </c>
      <c r="P36" s="183">
        <f>'Financing assumptions onshore'!$M$67</f>
        <v>0</v>
      </c>
      <c r="Q36" s="183">
        <f>'Financing assumptions onshore'!$M$67</f>
        <v>0</v>
      </c>
      <c r="R36" s="183">
        <f>'Financing assumptions onshore'!$M$67</f>
        <v>0</v>
      </c>
      <c r="S36" s="183">
        <f>'Financing assumptions onshore'!$M$67</f>
        <v>0</v>
      </c>
      <c r="T36" s="183">
        <f>'Financing assumptions onshore'!$M$67</f>
        <v>0</v>
      </c>
      <c r="U36" s="183">
        <f>'Financing assumptions onshore'!$M$67</f>
        <v>0</v>
      </c>
      <c r="V36" s="183">
        <f>'Financing assumptions onshore'!$M$67</f>
        <v>0</v>
      </c>
      <c r="W36" s="183">
        <f>'Financing assumptions onshore'!$M$67</f>
        <v>0</v>
      </c>
      <c r="X36" s="183">
        <f>'Financing assumptions onshore'!$M$67</f>
        <v>0</v>
      </c>
      <c r="Y36" s="183">
        <f>'Financing assumptions onshore'!$M$67</f>
        <v>0</v>
      </c>
      <c r="Z36" s="183">
        <f>'Financing assumptions onshore'!$M$67</f>
        <v>0</v>
      </c>
      <c r="AA36" s="183">
        <f>'Financing assumptions onshore'!$M$67</f>
        <v>0</v>
      </c>
      <c r="AB36" s="183">
        <f>'Financing assumptions onshore'!$M$67</f>
        <v>0</v>
      </c>
      <c r="AC36" s="183">
        <f>'Financing assumptions onshore'!$M$67</f>
        <v>0</v>
      </c>
      <c r="AD36" s="183">
        <f>'Financing assumptions onshore'!$M$67</f>
        <v>0</v>
      </c>
      <c r="AE36" s="183">
        <f>'Financing assumptions onshore'!$M$67</f>
        <v>0</v>
      </c>
      <c r="AF36" s="183">
        <f>'Financing assumptions onshore'!$M$67</f>
        <v>0</v>
      </c>
      <c r="AG36" s="183">
        <f>'Financing assumptions onshore'!$M$67</f>
        <v>0</v>
      </c>
    </row>
    <row r="38" spans="3:33" s="291" customFormat="1" ht="13.7">
      <c r="C38" s="303" t="s">
        <v>817</v>
      </c>
      <c r="D38" s="291">
        <f>'Financial Quarterly onshore'!D18+'Financial Quarterly onshore'!D19+'Financial Quarterly onshore'!D20+'Financial Quarterly onshore'!D21+'Financial Quarterly onshore'!D24+'Financial Quarterly onshore'!D22</f>
        <v>0</v>
      </c>
      <c r="E38" s="291">
        <f>'Financial Quarterly onshore'!E18+'Financial Quarterly onshore'!E19+'Financial Quarterly onshore'!E20+'Financial Quarterly onshore'!E21+'Financial Quarterly onshore'!E24+'Financial Quarterly onshore'!E22</f>
        <v>0</v>
      </c>
      <c r="F38" s="291">
        <f ca="1">'Financial Quarterly onshore'!F18+'Financial Quarterly onshore'!F19+'Financial Quarterly onshore'!F20+'Financial Quarterly onshore'!F21+'Financial Quarterly onshore'!F24+'Financial Quarterly onshore'!F22</f>
        <v>0</v>
      </c>
      <c r="G38" s="291">
        <f ca="1">'Financial Quarterly onshore'!G18+'Financial Quarterly onshore'!G19+'Financial Quarterly onshore'!G20+'Financial Quarterly onshore'!G21+'Financial Quarterly onshore'!G24+'Financial Quarterly onshore'!G22</f>
        <v>0</v>
      </c>
      <c r="H38" s="291">
        <f ca="1">'Financial Quarterly onshore'!H18+'Financial Quarterly onshore'!H19+'Financial Quarterly onshore'!H20+'Financial Quarterly onshore'!H21+'Financial Quarterly onshore'!H24+'Financial Quarterly onshore'!H22</f>
        <v>0</v>
      </c>
      <c r="I38" s="291">
        <f ca="1">'Financial Quarterly onshore'!I18+'Financial Quarterly onshore'!I19+'Financial Quarterly onshore'!I20+'Financial Quarterly onshore'!I21+'Financial Quarterly onshore'!I24+'Financial Quarterly onshore'!I22</f>
        <v>0</v>
      </c>
      <c r="J38" s="291">
        <f ca="1">'Financial Quarterly onshore'!J18+'Financial Quarterly onshore'!J19+'Financial Quarterly onshore'!J20+'Financial Quarterly onshore'!J21+'Financial Quarterly onshore'!J24+'Financial Quarterly onshore'!J22</f>
        <v>0</v>
      </c>
      <c r="K38" s="291">
        <f ca="1">'Financial Quarterly onshore'!K18+'Financial Quarterly onshore'!K19+'Financial Quarterly onshore'!K20+'Financial Quarterly onshore'!K21+'Financial Quarterly onshore'!K24+'Financial Quarterly onshore'!K22</f>
        <v>0</v>
      </c>
      <c r="L38" s="291">
        <f ca="1">'Financial Quarterly onshore'!L18+'Financial Quarterly onshore'!L19+'Financial Quarterly onshore'!L20+'Financial Quarterly onshore'!L21+'Financial Quarterly onshore'!L24+'Financial Quarterly onshore'!L22</f>
        <v>0</v>
      </c>
      <c r="M38" s="291">
        <f ca="1">'Financial Quarterly onshore'!M18+'Financial Quarterly onshore'!M19+'Financial Quarterly onshore'!M20+'Financial Quarterly onshore'!M21+'Financial Quarterly onshore'!M24+'Financial Quarterly onshore'!M22</f>
        <v>0</v>
      </c>
      <c r="N38" s="291">
        <f ca="1">'Financial Quarterly onshore'!N18+'Financial Quarterly onshore'!N19+'Financial Quarterly onshore'!N20+'Financial Quarterly onshore'!N21+'Financial Quarterly onshore'!N24+'Financial Quarterly onshore'!N22</f>
        <v>0</v>
      </c>
      <c r="O38" s="291">
        <f ca="1">'Financial Quarterly onshore'!O18+'Financial Quarterly onshore'!O19+'Financial Quarterly onshore'!O20+'Financial Quarterly onshore'!O21+'Financial Quarterly onshore'!O24+'Financial Quarterly onshore'!O22</f>
        <v>0</v>
      </c>
      <c r="P38" s="291">
        <f ca="1">'Financial Quarterly onshore'!P18+'Financial Quarterly onshore'!P19+'Financial Quarterly onshore'!P20+'Financial Quarterly onshore'!P21+'Financial Quarterly onshore'!P24+'Financial Quarterly onshore'!P22</f>
        <v>0</v>
      </c>
      <c r="Q38" s="291">
        <f ca="1">'Financial Quarterly onshore'!Q18+'Financial Quarterly onshore'!Q19+'Financial Quarterly onshore'!Q20+'Financial Quarterly onshore'!Q21+'Financial Quarterly onshore'!Q24+'Financial Quarterly onshore'!Q22</f>
        <v>0</v>
      </c>
      <c r="R38" s="291">
        <f ca="1">'Financial Quarterly onshore'!R18+'Financial Quarterly onshore'!R19+'Financial Quarterly onshore'!R20+'Financial Quarterly onshore'!R21+'Financial Quarterly onshore'!R24+'Financial Quarterly onshore'!R22</f>
        <v>0</v>
      </c>
      <c r="S38" s="291">
        <f ca="1">'Financial Quarterly onshore'!S18+'Financial Quarterly onshore'!S19+'Financial Quarterly onshore'!S20+'Financial Quarterly onshore'!S21+'Financial Quarterly onshore'!S24+'Financial Quarterly onshore'!S22</f>
        <v>0</v>
      </c>
      <c r="T38" s="291">
        <f ca="1">'Financial Quarterly onshore'!T18+'Financial Quarterly onshore'!T19+'Financial Quarterly onshore'!T20+'Financial Quarterly onshore'!T21+'Financial Quarterly onshore'!T24+'Financial Quarterly onshore'!T22</f>
        <v>0</v>
      </c>
      <c r="U38" s="291">
        <f ca="1">'Financial Quarterly onshore'!U18+'Financial Quarterly onshore'!U19+'Financial Quarterly onshore'!U20+'Financial Quarterly onshore'!U21+'Financial Quarterly onshore'!U24+'Financial Quarterly onshore'!U22</f>
        <v>0</v>
      </c>
      <c r="V38" s="291">
        <f ca="1">'Financial Quarterly onshore'!V18+'Financial Quarterly onshore'!V19+'Financial Quarterly onshore'!V20+'Financial Quarterly onshore'!V21+'Financial Quarterly onshore'!V24+'Financial Quarterly onshore'!V22</f>
        <v>0</v>
      </c>
      <c r="W38" s="291">
        <f ca="1">'Financial Quarterly onshore'!W18+'Financial Quarterly onshore'!W19+'Financial Quarterly onshore'!W20+'Financial Quarterly onshore'!W21+'Financial Quarterly onshore'!W24+'Financial Quarterly onshore'!W22</f>
        <v>0</v>
      </c>
      <c r="X38" s="291">
        <f ca="1">'Financial Quarterly onshore'!X18+'Financial Quarterly onshore'!X19+'Financial Quarterly onshore'!X20+'Financial Quarterly onshore'!X21+'Financial Quarterly onshore'!X24+'Financial Quarterly onshore'!X22</f>
        <v>0</v>
      </c>
      <c r="Y38" s="291">
        <f ca="1">'Financial Quarterly onshore'!Y18+'Financial Quarterly onshore'!Y19+'Financial Quarterly onshore'!Y20+'Financial Quarterly onshore'!Y21+'Financial Quarterly onshore'!Y24+'Financial Quarterly onshore'!Y22</f>
        <v>0</v>
      </c>
      <c r="Z38" s="291">
        <f ca="1">'Financial Quarterly onshore'!Z18+'Financial Quarterly onshore'!Z19+'Financial Quarterly onshore'!Z20+'Financial Quarterly onshore'!Z21+'Financial Quarterly onshore'!Z24+'Financial Quarterly onshore'!Z22</f>
        <v>0</v>
      </c>
      <c r="AA38" s="291">
        <f ca="1">'Financial Quarterly onshore'!AA18+'Financial Quarterly onshore'!AA19+'Financial Quarterly onshore'!AA20+'Financial Quarterly onshore'!AA21+'Financial Quarterly onshore'!AA24+'Financial Quarterly onshore'!AA22</f>
        <v>0</v>
      </c>
      <c r="AB38" s="291">
        <f ca="1">'Financial Quarterly onshore'!AB18+'Financial Quarterly onshore'!AB19+'Financial Quarterly onshore'!AB20+'Financial Quarterly onshore'!AB21+'Financial Quarterly onshore'!AB24+'Financial Quarterly onshore'!AB22</f>
        <v>0</v>
      </c>
      <c r="AC38" s="291">
        <f ca="1">'Financial Quarterly onshore'!AC18+'Financial Quarterly onshore'!AC19+'Financial Quarterly onshore'!AC20+'Financial Quarterly onshore'!AC21+'Financial Quarterly onshore'!AC24+'Financial Quarterly onshore'!AC22</f>
        <v>0</v>
      </c>
      <c r="AD38" s="291">
        <f ca="1">'Financial Quarterly onshore'!AD18+'Financial Quarterly onshore'!AD19+'Financial Quarterly onshore'!AD20+'Financial Quarterly onshore'!AD21+'Financial Quarterly onshore'!AD24+'Financial Quarterly onshore'!AD22</f>
        <v>0</v>
      </c>
      <c r="AE38" s="291">
        <f ca="1">'Financial Quarterly onshore'!AE18+'Financial Quarterly onshore'!AE19+'Financial Quarterly onshore'!AE20+'Financial Quarterly onshore'!AE21+'Financial Quarterly onshore'!AE24+'Financial Quarterly onshore'!AE22</f>
        <v>0</v>
      </c>
      <c r="AF38" s="291">
        <f ca="1">'Financial Quarterly onshore'!AF18+'Financial Quarterly onshore'!AF19+'Financial Quarterly onshore'!AF20+'Financial Quarterly onshore'!AF21+'Financial Quarterly onshore'!AF24+'Financial Quarterly onshore'!AF22</f>
        <v>0</v>
      </c>
      <c r="AG38" s="291">
        <f ca="1">'Financial Quarterly onshore'!AG18+'Financial Quarterly onshore'!AG19+'Financial Quarterly onshore'!AG20+'Financial Quarterly onshore'!AG21+'Financial Quarterly onshore'!AG24+'Financial Quarterly onshore'!AG22</f>
        <v>0</v>
      </c>
    </row>
    <row r="39" spans="3:33" s="291" customFormat="1" ht="13.7">
      <c r="C39" s="303" t="s">
        <v>818</v>
      </c>
      <c r="D39" s="291">
        <f>MAX(-D33*D$30,-D38)</f>
        <v>0</v>
      </c>
      <c r="E39" s="291">
        <f t="shared" ref="E39:AF39" ca="1" si="13">MAX(-E33*E$30,-E38)</f>
        <v>0</v>
      </c>
      <c r="F39" s="291">
        <f t="shared" ca="1" si="13"/>
        <v>0</v>
      </c>
      <c r="G39" s="291">
        <f t="shared" ca="1" si="13"/>
        <v>0</v>
      </c>
      <c r="H39" s="291">
        <f t="shared" ca="1" si="13"/>
        <v>0</v>
      </c>
      <c r="I39" s="291">
        <f t="shared" ca="1" si="13"/>
        <v>0</v>
      </c>
      <c r="J39" s="291">
        <f t="shared" ca="1" si="13"/>
        <v>0</v>
      </c>
      <c r="K39" s="291">
        <f t="shared" ca="1" si="13"/>
        <v>0</v>
      </c>
      <c r="L39" s="291">
        <f t="shared" ca="1" si="13"/>
        <v>0</v>
      </c>
      <c r="M39" s="291">
        <f t="shared" ca="1" si="13"/>
        <v>0</v>
      </c>
      <c r="N39" s="291">
        <f t="shared" ca="1" si="13"/>
        <v>0</v>
      </c>
      <c r="O39" s="291">
        <f t="shared" ca="1" si="13"/>
        <v>0</v>
      </c>
      <c r="P39" s="291">
        <f t="shared" ca="1" si="13"/>
        <v>0</v>
      </c>
      <c r="Q39" s="291">
        <f t="shared" ca="1" si="13"/>
        <v>0</v>
      </c>
      <c r="R39" s="291">
        <f t="shared" ca="1" si="13"/>
        <v>0</v>
      </c>
      <c r="S39" s="291">
        <f t="shared" ca="1" si="13"/>
        <v>0</v>
      </c>
      <c r="T39" s="291">
        <f t="shared" ca="1" si="13"/>
        <v>0</v>
      </c>
      <c r="U39" s="291">
        <f t="shared" ca="1" si="13"/>
        <v>0</v>
      </c>
      <c r="V39" s="291">
        <f t="shared" ca="1" si="13"/>
        <v>0</v>
      </c>
      <c r="W39" s="291">
        <f t="shared" ca="1" si="13"/>
        <v>0</v>
      </c>
      <c r="X39" s="291">
        <f t="shared" ca="1" si="13"/>
        <v>0</v>
      </c>
      <c r="Y39" s="291">
        <f t="shared" ca="1" si="13"/>
        <v>0</v>
      </c>
      <c r="Z39" s="291">
        <f t="shared" ca="1" si="13"/>
        <v>0</v>
      </c>
      <c r="AA39" s="291">
        <f t="shared" ca="1" si="13"/>
        <v>0</v>
      </c>
      <c r="AB39" s="291">
        <f t="shared" ca="1" si="13"/>
        <v>0</v>
      </c>
      <c r="AC39" s="291">
        <f t="shared" ca="1" si="13"/>
        <v>0</v>
      </c>
      <c r="AD39" s="291">
        <f t="shared" ca="1" si="13"/>
        <v>0</v>
      </c>
      <c r="AE39" s="291">
        <f t="shared" ca="1" si="13"/>
        <v>0</v>
      </c>
      <c r="AF39" s="291">
        <f t="shared" ca="1" si="13"/>
        <v>0</v>
      </c>
      <c r="AG39" s="291">
        <f t="shared" ref="AG39" ca="1" si="14">MAX(-AG33*AG$30,-AG38)</f>
        <v>0</v>
      </c>
    </row>
    <row r="40" spans="3:33" s="291" customFormat="1" ht="13.7">
      <c r="C40" s="303" t="s">
        <v>819</v>
      </c>
      <c r="D40" s="291">
        <f>+'Financial Quarterly onshore'!D31+'Financial Quarterly onshore'!D32+'Financial Quarterly onshore'!D33+'Financial Quarterly onshore'!D34+'Financial Quarterly onshore'!D35+'Financial Quarterly onshore'!D37</f>
        <v>0</v>
      </c>
      <c r="E40" s="291">
        <f>+'Financial Quarterly onshore'!E31+'Financial Quarterly onshore'!E32+'Financial Quarterly onshore'!E33+'Financial Quarterly onshore'!E34+'Financial Quarterly onshore'!E35+'Financial Quarterly onshore'!E37</f>
        <v>0</v>
      </c>
      <c r="F40" s="291">
        <f ca="1">+'Financial Quarterly onshore'!F31+'Financial Quarterly onshore'!F32+'Financial Quarterly onshore'!F33+'Financial Quarterly onshore'!F34+'Financial Quarterly onshore'!F35+'Financial Quarterly onshore'!F37</f>
        <v>0</v>
      </c>
      <c r="G40" s="291">
        <f ca="1">+'Financial Quarterly onshore'!G31+'Financial Quarterly onshore'!G32+'Financial Quarterly onshore'!G33+'Financial Quarterly onshore'!G34+'Financial Quarterly onshore'!G35+'Financial Quarterly onshore'!G37</f>
        <v>0</v>
      </c>
      <c r="H40" s="291">
        <f ca="1">+'Financial Quarterly onshore'!H31+'Financial Quarterly onshore'!H32+'Financial Quarterly onshore'!H33+'Financial Quarterly onshore'!H34+'Financial Quarterly onshore'!H35+'Financial Quarterly onshore'!H37</f>
        <v>0</v>
      </c>
      <c r="I40" s="291">
        <f ca="1">+'Financial Quarterly onshore'!I31+'Financial Quarterly onshore'!I32+'Financial Quarterly onshore'!I33+'Financial Quarterly onshore'!I34+'Financial Quarterly onshore'!I35+'Financial Quarterly onshore'!I37</f>
        <v>0</v>
      </c>
      <c r="J40" s="291">
        <f ca="1">+'Financial Quarterly onshore'!J31+'Financial Quarterly onshore'!J32+'Financial Quarterly onshore'!J33+'Financial Quarterly onshore'!J34+'Financial Quarterly onshore'!J35+'Financial Quarterly onshore'!J37</f>
        <v>0</v>
      </c>
      <c r="K40" s="291">
        <f ca="1">+'Financial Quarterly onshore'!K31+'Financial Quarterly onshore'!K32+'Financial Quarterly onshore'!K33+'Financial Quarterly onshore'!K34+'Financial Quarterly onshore'!K35+'Financial Quarterly onshore'!K37</f>
        <v>0</v>
      </c>
      <c r="L40" s="291">
        <f ca="1">+'Financial Quarterly onshore'!L31+'Financial Quarterly onshore'!L32+'Financial Quarterly onshore'!L33+'Financial Quarterly onshore'!L34+'Financial Quarterly onshore'!L35+'Financial Quarterly onshore'!L37</f>
        <v>0</v>
      </c>
      <c r="M40" s="291">
        <f ca="1">+'Financial Quarterly onshore'!M31+'Financial Quarterly onshore'!M32+'Financial Quarterly onshore'!M33+'Financial Quarterly onshore'!M34+'Financial Quarterly onshore'!M35+'Financial Quarterly onshore'!M37</f>
        <v>0</v>
      </c>
      <c r="N40" s="291">
        <f ca="1">+'Financial Quarterly onshore'!N31+'Financial Quarterly onshore'!N32+'Financial Quarterly onshore'!N33+'Financial Quarterly onshore'!N34+'Financial Quarterly onshore'!N35+'Financial Quarterly onshore'!N37</f>
        <v>0</v>
      </c>
      <c r="O40" s="291">
        <f ca="1">+'Financial Quarterly onshore'!O31+'Financial Quarterly onshore'!O32+'Financial Quarterly onshore'!O33+'Financial Quarterly onshore'!O34+'Financial Quarterly onshore'!O35+'Financial Quarterly onshore'!O37</f>
        <v>0</v>
      </c>
      <c r="P40" s="291">
        <f ca="1">+'Financial Quarterly onshore'!P31+'Financial Quarterly onshore'!P32+'Financial Quarterly onshore'!P33+'Financial Quarterly onshore'!P34+'Financial Quarterly onshore'!P35+'Financial Quarterly onshore'!P37</f>
        <v>0</v>
      </c>
      <c r="Q40" s="291">
        <f ca="1">+'Financial Quarterly onshore'!Q31+'Financial Quarterly onshore'!Q32+'Financial Quarterly onshore'!Q33+'Financial Quarterly onshore'!Q34+'Financial Quarterly onshore'!Q35+'Financial Quarterly onshore'!Q37</f>
        <v>0</v>
      </c>
      <c r="R40" s="291">
        <f ca="1">+'Financial Quarterly onshore'!R31+'Financial Quarterly onshore'!R32+'Financial Quarterly onshore'!R33+'Financial Quarterly onshore'!R34+'Financial Quarterly onshore'!R35+'Financial Quarterly onshore'!R37</f>
        <v>0</v>
      </c>
      <c r="S40" s="291">
        <f ca="1">+'Financial Quarterly onshore'!S31+'Financial Quarterly onshore'!S32+'Financial Quarterly onshore'!S33+'Financial Quarterly onshore'!S34+'Financial Quarterly onshore'!S35+'Financial Quarterly onshore'!S37</f>
        <v>0</v>
      </c>
      <c r="T40" s="291">
        <f ca="1">+'Financial Quarterly onshore'!T31+'Financial Quarterly onshore'!T32+'Financial Quarterly onshore'!T33+'Financial Quarterly onshore'!T34+'Financial Quarterly onshore'!T35+'Financial Quarterly onshore'!T37</f>
        <v>0</v>
      </c>
      <c r="U40" s="291">
        <f ca="1">+'Financial Quarterly onshore'!U31+'Financial Quarterly onshore'!U32+'Financial Quarterly onshore'!U33+'Financial Quarterly onshore'!U34+'Financial Quarterly onshore'!U35+'Financial Quarterly onshore'!U37</f>
        <v>0</v>
      </c>
      <c r="V40" s="291">
        <f ca="1">+'Financial Quarterly onshore'!V31+'Financial Quarterly onshore'!V32+'Financial Quarterly onshore'!V33+'Financial Quarterly onshore'!V34+'Financial Quarterly onshore'!V35+'Financial Quarterly onshore'!V37</f>
        <v>0</v>
      </c>
      <c r="W40" s="291">
        <f ca="1">+'Financial Quarterly onshore'!W31+'Financial Quarterly onshore'!W32+'Financial Quarterly onshore'!W33+'Financial Quarterly onshore'!W34+'Financial Quarterly onshore'!W35+'Financial Quarterly onshore'!W37</f>
        <v>0</v>
      </c>
      <c r="X40" s="291">
        <f ca="1">+'Financial Quarterly onshore'!X31+'Financial Quarterly onshore'!X32+'Financial Quarterly onshore'!X33+'Financial Quarterly onshore'!X34+'Financial Quarterly onshore'!X35+'Financial Quarterly onshore'!X37</f>
        <v>0</v>
      </c>
      <c r="Y40" s="291">
        <f ca="1">+'Financial Quarterly onshore'!Y31+'Financial Quarterly onshore'!Y32+'Financial Quarterly onshore'!Y33+'Financial Quarterly onshore'!Y34+'Financial Quarterly onshore'!Y35+'Financial Quarterly onshore'!Y37</f>
        <v>0</v>
      </c>
      <c r="Z40" s="291">
        <f ca="1">+'Financial Quarterly onshore'!Z31+'Financial Quarterly onshore'!Z32+'Financial Quarterly onshore'!Z33+'Financial Quarterly onshore'!Z34+'Financial Quarterly onshore'!Z35+'Financial Quarterly onshore'!Z37</f>
        <v>0</v>
      </c>
      <c r="AA40" s="291">
        <f ca="1">+'Financial Quarterly onshore'!AA31+'Financial Quarterly onshore'!AA32+'Financial Quarterly onshore'!AA33+'Financial Quarterly onshore'!AA34+'Financial Quarterly onshore'!AA35+'Financial Quarterly onshore'!AA37</f>
        <v>0</v>
      </c>
      <c r="AB40" s="291">
        <f ca="1">+'Financial Quarterly onshore'!AB31+'Financial Quarterly onshore'!AB32+'Financial Quarterly onshore'!AB33+'Financial Quarterly onshore'!AB34+'Financial Quarterly onshore'!AB35+'Financial Quarterly onshore'!AB37</f>
        <v>0</v>
      </c>
      <c r="AC40" s="291">
        <f ca="1">+'Financial Quarterly onshore'!AC31+'Financial Quarterly onshore'!AC32+'Financial Quarterly onshore'!AC33+'Financial Quarterly onshore'!AC34+'Financial Quarterly onshore'!AC35+'Financial Quarterly onshore'!AC37</f>
        <v>0</v>
      </c>
      <c r="AD40" s="291">
        <f ca="1">+'Financial Quarterly onshore'!AD31+'Financial Quarterly onshore'!AD32+'Financial Quarterly onshore'!AD33+'Financial Quarterly onshore'!AD34+'Financial Quarterly onshore'!AD35+'Financial Quarterly onshore'!AD37</f>
        <v>0</v>
      </c>
      <c r="AE40" s="291">
        <f ca="1">+'Financial Quarterly onshore'!AE31+'Financial Quarterly onshore'!AE32+'Financial Quarterly onshore'!AE33+'Financial Quarterly onshore'!AE34+'Financial Quarterly onshore'!AE35+'Financial Quarterly onshore'!AE37</f>
        <v>0</v>
      </c>
      <c r="AF40" s="291">
        <f ca="1">+'Financial Quarterly onshore'!AF31+'Financial Quarterly onshore'!AF32+'Financial Quarterly onshore'!AF33+'Financial Quarterly onshore'!AF34+'Financial Quarterly onshore'!AF35+'Financial Quarterly onshore'!AF37</f>
        <v>0</v>
      </c>
      <c r="AG40" s="291">
        <f ca="1">+'Financial Quarterly onshore'!AG31+'Financial Quarterly onshore'!AG32+'Financial Quarterly onshore'!AG33+'Financial Quarterly onshore'!AG34+'Financial Quarterly onshore'!AG35+'Financial Quarterly onshore'!AG37</f>
        <v>0</v>
      </c>
    </row>
    <row r="41" spans="3:33" s="291" customFormat="1" ht="13.7">
      <c r="C41" s="303" t="s">
        <v>818</v>
      </c>
      <c r="D41" s="291">
        <f>IFERROR(MAX(-(D30+D39)*D34/(SUM(D34:D$36)),-D40),0)</f>
        <v>0</v>
      </c>
      <c r="E41" s="291">
        <f ca="1">IFERROR(MAX(-(E30+E39)*E34/(SUM(E34:E$36)),-E40),0)</f>
        <v>0</v>
      </c>
      <c r="F41" s="291">
        <f ca="1">IFERROR(MAX(-(F30+F39)*F34/(SUM(F34:F$36)),-F40),0)</f>
        <v>0</v>
      </c>
      <c r="G41" s="291">
        <f ca="1">IFERROR(MAX(-(G30+G39)*G34/(SUM(G34:G$36)),-G40),0)</f>
        <v>0</v>
      </c>
      <c r="H41" s="291">
        <f ca="1">IFERROR(MAX(-(H30+H39)*H34/(SUM(H34:H$36)),-H40),0)</f>
        <v>0</v>
      </c>
      <c r="I41" s="291">
        <f ca="1">IFERROR(MAX(-(I30+I39)*I34/(SUM(I34:I$36)),-I40),0)</f>
        <v>0</v>
      </c>
      <c r="J41" s="291">
        <f ca="1">IFERROR(MAX(-(J30+J39)*J34/(SUM(J34:J$36)),-J40),0)</f>
        <v>0</v>
      </c>
      <c r="K41" s="291">
        <f ca="1">IFERROR(MAX(-(K30+K39)*K34/(SUM(K34:K$36)),-K40),0)</f>
        <v>0</v>
      </c>
      <c r="L41" s="291">
        <f ca="1">IFERROR(MAX(-(L30+L39)*L34/(SUM(L34:L$36)),-L40),0)</f>
        <v>0</v>
      </c>
      <c r="M41" s="291">
        <f ca="1">IFERROR(MAX(-(M30+M39)*M34/(SUM(M34:M$36)),-M40),0)</f>
        <v>0</v>
      </c>
      <c r="N41" s="291">
        <f ca="1">IFERROR(MAX(-(N30+N39)*N34/(SUM(N34:N$36)),-N40),0)</f>
        <v>0</v>
      </c>
      <c r="O41" s="291">
        <f ca="1">IFERROR(MAX(-(O30+O39)*O34/(SUM(O34:O$36)),-O40),0)</f>
        <v>0</v>
      </c>
      <c r="P41" s="291">
        <f ca="1">IFERROR(MAX(-(P30+P39)*P34/(SUM(P34:P$36)),-P40),0)</f>
        <v>0</v>
      </c>
      <c r="Q41" s="291">
        <f ca="1">IFERROR(MAX(-(Q30+Q39)*Q34/(SUM(Q34:Q$36)),-Q40),0)</f>
        <v>0</v>
      </c>
      <c r="R41" s="291">
        <f ca="1">IFERROR(MAX(-(R30+R39)*R34/(SUM(R34:R$36)),-R40),0)</f>
        <v>0</v>
      </c>
      <c r="S41" s="291">
        <f ca="1">IFERROR(MAX(-(S30+S39)*S34/(SUM(S34:S$36)),-S40),0)</f>
        <v>0</v>
      </c>
      <c r="T41" s="291">
        <f ca="1">IFERROR(MAX(-(T30+T39)*T34/(SUM(T34:T$36)),-T40),0)</f>
        <v>0</v>
      </c>
      <c r="U41" s="291">
        <f ca="1">IFERROR(MAX(-(U30+U39)*U34/(SUM(U34:U$36)),-U40),0)</f>
        <v>0</v>
      </c>
      <c r="V41" s="291">
        <f ca="1">IFERROR(MAX(-(V30+V39)*V34/(SUM(V34:V$36)),-V40),0)</f>
        <v>0</v>
      </c>
      <c r="W41" s="291">
        <f ca="1">IFERROR(MAX(-(W30+W39)*W34/(SUM(W34:W$36)),-W40),0)</f>
        <v>0</v>
      </c>
      <c r="X41" s="291">
        <f ca="1">IFERROR(MAX(-(X30+X39)*X34/(SUM(X34:X$36)),-X40),0)</f>
        <v>0</v>
      </c>
      <c r="Y41" s="291">
        <f ca="1">IFERROR(MAX(-(Y30+Y39)*Y34/(SUM(Y34:Y$36)),-Y40),0)</f>
        <v>0</v>
      </c>
      <c r="Z41" s="291">
        <f ca="1">IFERROR(MAX(-(Z30+Z39)*Z34/(SUM(Z34:Z$36)),-Z40),0)</f>
        <v>0</v>
      </c>
      <c r="AA41" s="291">
        <f ca="1">IFERROR(MAX(-(AA30+AA39)*AA34/(SUM(AA34:AA$36)),-AA40),0)</f>
        <v>0</v>
      </c>
      <c r="AB41" s="291">
        <f ca="1">IFERROR(MAX(-(AB30+AB39)*AB34/(SUM(AB34:AB$36)),-AB40),0)</f>
        <v>0</v>
      </c>
      <c r="AC41" s="291">
        <f ca="1">IFERROR(MAX(-(AC30+AC39)*AC34/(SUM(AC34:AC$36)),-AC40),0)</f>
        <v>0</v>
      </c>
      <c r="AD41" s="291">
        <f ca="1">IFERROR(MAX(-(AD30+AD39)*AD34/(SUM(AD34:AD$36)),-AD40),0)</f>
        <v>0</v>
      </c>
      <c r="AE41" s="291">
        <f ca="1">IFERROR(MAX(-(AE30+AE39)*AE34/(SUM(AE34:AE$36)),-AE40),0)</f>
        <v>0</v>
      </c>
      <c r="AF41" s="291">
        <f ca="1">IFERROR(MAX(-(AF30+AF39)*AF34/(SUM(AF34:AF$36)),-AF40),0)</f>
        <v>0</v>
      </c>
      <c r="AG41" s="291">
        <f ca="1">IFERROR(MAX(-(AG30+AG39)*AG34/(SUM(AG34:AG$36)),-AG40),0)</f>
        <v>0</v>
      </c>
    </row>
    <row r="42" spans="3:33" s="291" customFormat="1" ht="13.7">
      <c r="C42" s="303" t="s">
        <v>820</v>
      </c>
      <c r="D42" s="291">
        <f>'Financial Quarterly onshore'!D44+'Financial Quarterly onshore'!D45+'Financial Quarterly onshore'!D46+'Financial Quarterly onshore'!D47+'Financial Quarterly onshore'!D48+'Financial Quarterly onshore'!D50</f>
        <v>0</v>
      </c>
      <c r="E42" s="291">
        <f>'Financial Quarterly onshore'!E44+'Financial Quarterly onshore'!E45+'Financial Quarterly onshore'!E46+'Financial Quarterly onshore'!E47+'Financial Quarterly onshore'!E48+'Financial Quarterly onshore'!E50</f>
        <v>0</v>
      </c>
      <c r="F42" s="291">
        <f ca="1">'Financial Quarterly onshore'!F44+'Financial Quarterly onshore'!F45+'Financial Quarterly onshore'!F46+'Financial Quarterly onshore'!F47+'Financial Quarterly onshore'!F48+'Financial Quarterly onshore'!F50</f>
        <v>0</v>
      </c>
      <c r="G42" s="291">
        <f ca="1">'Financial Quarterly onshore'!G44+'Financial Quarterly onshore'!G45+'Financial Quarterly onshore'!G46+'Financial Quarterly onshore'!G47+'Financial Quarterly onshore'!G48+'Financial Quarterly onshore'!G50</f>
        <v>0</v>
      </c>
      <c r="H42" s="291">
        <f ca="1">'Financial Quarterly onshore'!H44+'Financial Quarterly onshore'!H45+'Financial Quarterly onshore'!H46+'Financial Quarterly onshore'!H47+'Financial Quarterly onshore'!H48+'Financial Quarterly onshore'!H50</f>
        <v>0</v>
      </c>
      <c r="I42" s="291">
        <f ca="1">'Financial Quarterly onshore'!I44+'Financial Quarterly onshore'!I45+'Financial Quarterly onshore'!I46+'Financial Quarterly onshore'!I47+'Financial Quarterly onshore'!I48+'Financial Quarterly onshore'!I50</f>
        <v>0</v>
      </c>
      <c r="J42" s="291">
        <f ca="1">'Financial Quarterly onshore'!J44+'Financial Quarterly onshore'!J45+'Financial Quarterly onshore'!J46+'Financial Quarterly onshore'!J47+'Financial Quarterly onshore'!J48+'Financial Quarterly onshore'!J50</f>
        <v>0</v>
      </c>
      <c r="K42" s="291">
        <f ca="1">'Financial Quarterly onshore'!K44+'Financial Quarterly onshore'!K45+'Financial Quarterly onshore'!K46+'Financial Quarterly onshore'!K47+'Financial Quarterly onshore'!K48+'Financial Quarterly onshore'!K50</f>
        <v>0</v>
      </c>
      <c r="L42" s="291">
        <f ca="1">'Financial Quarterly onshore'!L44+'Financial Quarterly onshore'!L45+'Financial Quarterly onshore'!L46+'Financial Quarterly onshore'!L47+'Financial Quarterly onshore'!L48+'Financial Quarterly onshore'!L50</f>
        <v>0</v>
      </c>
      <c r="M42" s="291">
        <f ca="1">'Financial Quarterly onshore'!M44+'Financial Quarterly onshore'!M45+'Financial Quarterly onshore'!M46+'Financial Quarterly onshore'!M47+'Financial Quarterly onshore'!M48+'Financial Quarterly onshore'!M50</f>
        <v>0</v>
      </c>
      <c r="N42" s="291">
        <f ca="1">'Financial Quarterly onshore'!N44+'Financial Quarterly onshore'!N45+'Financial Quarterly onshore'!N46+'Financial Quarterly onshore'!N47+'Financial Quarterly onshore'!N48+'Financial Quarterly onshore'!N50</f>
        <v>0</v>
      </c>
      <c r="O42" s="291">
        <f ca="1">'Financial Quarterly onshore'!O44+'Financial Quarterly onshore'!O45+'Financial Quarterly onshore'!O46+'Financial Quarterly onshore'!O47+'Financial Quarterly onshore'!O48+'Financial Quarterly onshore'!O50</f>
        <v>0</v>
      </c>
      <c r="P42" s="291">
        <f ca="1">'Financial Quarterly onshore'!P44+'Financial Quarterly onshore'!P45+'Financial Quarterly onshore'!P46+'Financial Quarterly onshore'!P47+'Financial Quarterly onshore'!P48+'Financial Quarterly onshore'!P50</f>
        <v>0</v>
      </c>
      <c r="Q42" s="291">
        <f ca="1">'Financial Quarterly onshore'!Q44+'Financial Quarterly onshore'!Q45+'Financial Quarterly onshore'!Q46+'Financial Quarterly onshore'!Q47+'Financial Quarterly onshore'!Q48+'Financial Quarterly onshore'!Q50</f>
        <v>0</v>
      </c>
      <c r="R42" s="291">
        <f ca="1">'Financial Quarterly onshore'!R44+'Financial Quarterly onshore'!R45+'Financial Quarterly onshore'!R46+'Financial Quarterly onshore'!R47+'Financial Quarterly onshore'!R48+'Financial Quarterly onshore'!R50</f>
        <v>0</v>
      </c>
      <c r="S42" s="291">
        <f ca="1">'Financial Quarterly onshore'!S44+'Financial Quarterly onshore'!S45+'Financial Quarterly onshore'!S46+'Financial Quarterly onshore'!S47+'Financial Quarterly onshore'!S48+'Financial Quarterly onshore'!S50</f>
        <v>0</v>
      </c>
      <c r="T42" s="291">
        <f ca="1">'Financial Quarterly onshore'!T44+'Financial Quarterly onshore'!T45+'Financial Quarterly onshore'!T46+'Financial Quarterly onshore'!T47+'Financial Quarterly onshore'!T48+'Financial Quarterly onshore'!T50</f>
        <v>0</v>
      </c>
      <c r="U42" s="291">
        <f ca="1">'Financial Quarterly onshore'!U44+'Financial Quarterly onshore'!U45+'Financial Quarterly onshore'!U46+'Financial Quarterly onshore'!U47+'Financial Quarterly onshore'!U48+'Financial Quarterly onshore'!U50</f>
        <v>0</v>
      </c>
      <c r="V42" s="291">
        <f ca="1">'Financial Quarterly onshore'!V44+'Financial Quarterly onshore'!V45+'Financial Quarterly onshore'!V46+'Financial Quarterly onshore'!V47+'Financial Quarterly onshore'!V48+'Financial Quarterly onshore'!V50</f>
        <v>0</v>
      </c>
      <c r="W42" s="291">
        <f ca="1">'Financial Quarterly onshore'!W44+'Financial Quarterly onshore'!W45+'Financial Quarterly onshore'!W46+'Financial Quarterly onshore'!W47+'Financial Quarterly onshore'!W48+'Financial Quarterly onshore'!W50</f>
        <v>0</v>
      </c>
      <c r="X42" s="291">
        <f ca="1">'Financial Quarterly onshore'!X44+'Financial Quarterly onshore'!X45+'Financial Quarterly onshore'!X46+'Financial Quarterly onshore'!X47+'Financial Quarterly onshore'!X48+'Financial Quarterly onshore'!X50</f>
        <v>0</v>
      </c>
      <c r="Y42" s="291">
        <f ca="1">'Financial Quarterly onshore'!Y44+'Financial Quarterly onshore'!Y45+'Financial Quarterly onshore'!Y46+'Financial Quarterly onshore'!Y47+'Financial Quarterly onshore'!Y48+'Financial Quarterly onshore'!Y50</f>
        <v>0</v>
      </c>
      <c r="Z42" s="291">
        <f ca="1">'Financial Quarterly onshore'!Z44+'Financial Quarterly onshore'!Z45+'Financial Quarterly onshore'!Z46+'Financial Quarterly onshore'!Z47+'Financial Quarterly onshore'!Z48+'Financial Quarterly onshore'!Z50</f>
        <v>0</v>
      </c>
      <c r="AA42" s="291">
        <f ca="1">'Financial Quarterly onshore'!AA44+'Financial Quarterly onshore'!AA45+'Financial Quarterly onshore'!AA46+'Financial Quarterly onshore'!AA47+'Financial Quarterly onshore'!AA48+'Financial Quarterly onshore'!AA50</f>
        <v>0</v>
      </c>
      <c r="AB42" s="291">
        <f ca="1">'Financial Quarterly onshore'!AB44+'Financial Quarterly onshore'!AB45+'Financial Quarterly onshore'!AB46+'Financial Quarterly onshore'!AB47+'Financial Quarterly onshore'!AB48+'Financial Quarterly onshore'!AB50</f>
        <v>0</v>
      </c>
      <c r="AC42" s="291">
        <f ca="1">'Financial Quarterly onshore'!AC44+'Financial Quarterly onshore'!AC45+'Financial Quarterly onshore'!AC46+'Financial Quarterly onshore'!AC47+'Financial Quarterly onshore'!AC48+'Financial Quarterly onshore'!AC50</f>
        <v>0</v>
      </c>
      <c r="AD42" s="291">
        <f ca="1">'Financial Quarterly onshore'!AD44+'Financial Quarterly onshore'!AD45+'Financial Quarterly onshore'!AD46+'Financial Quarterly onshore'!AD47+'Financial Quarterly onshore'!AD48+'Financial Quarterly onshore'!AD50</f>
        <v>0</v>
      </c>
      <c r="AE42" s="291">
        <f ca="1">'Financial Quarterly onshore'!AE44+'Financial Quarterly onshore'!AE45+'Financial Quarterly onshore'!AE46+'Financial Quarterly onshore'!AE47+'Financial Quarterly onshore'!AE48+'Financial Quarterly onshore'!AE50</f>
        <v>0</v>
      </c>
      <c r="AF42" s="291">
        <f ca="1">'Financial Quarterly onshore'!AF44+'Financial Quarterly onshore'!AF45+'Financial Quarterly onshore'!AF46+'Financial Quarterly onshore'!AF47+'Financial Quarterly onshore'!AF48+'Financial Quarterly onshore'!AF50</f>
        <v>0</v>
      </c>
      <c r="AG42" s="291">
        <f ca="1">'Financial Quarterly onshore'!AG44+'Financial Quarterly onshore'!AG45+'Financial Quarterly onshore'!AG46+'Financial Quarterly onshore'!AG47+'Financial Quarterly onshore'!AG48+'Financial Quarterly onshore'!AG50</f>
        <v>0</v>
      </c>
    </row>
    <row r="43" spans="3:33" s="291" customFormat="1" ht="13.7">
      <c r="C43" s="303" t="s">
        <v>818</v>
      </c>
      <c r="D43" s="291">
        <f>IFERROR(MAX(-(D30+D39+D41)*D35/(SUM(D35:D$36)),-D42),0)</f>
        <v>0</v>
      </c>
      <c r="E43" s="291">
        <f ca="1">IFERROR(MAX(-(E30+E39+E41)*E35/(SUM(E35:E$36)),-E42),0)</f>
        <v>0</v>
      </c>
      <c r="F43" s="291">
        <f ca="1">IFERROR(MAX(-(F30+F39+F41)*F35/(SUM(F35:F$36)),-F42),0)</f>
        <v>0</v>
      </c>
      <c r="G43" s="291">
        <f ca="1">IFERROR(MAX(-(G30+G39+G41)*G35/(SUM(G35:G$36)),-G42),0)</f>
        <v>0</v>
      </c>
      <c r="H43" s="291">
        <f ca="1">IFERROR(MAX(-(H30+H39+H41)*H35/(SUM(H35:H$36)),-H42),0)</f>
        <v>0</v>
      </c>
      <c r="I43" s="291">
        <f ca="1">IFERROR(MAX(-(I30+I39+I41)*I35/(SUM(I35:I$36)),-I42),0)</f>
        <v>0</v>
      </c>
      <c r="J43" s="291">
        <f ca="1">IFERROR(MAX(-(J30+J39+J41)*J35/(SUM(J35:J$36)),-J42),0)</f>
        <v>0</v>
      </c>
      <c r="K43" s="291">
        <f ca="1">IFERROR(MAX(-(K30+K39+K41)*K35/(SUM(K35:K$36)),-K42),0)</f>
        <v>0</v>
      </c>
      <c r="L43" s="291">
        <f ca="1">IFERROR(MAX(-(L30+L39+L41)*L35/(SUM(L35:L$36)),-L42),0)</f>
        <v>0</v>
      </c>
      <c r="M43" s="291">
        <f ca="1">IFERROR(MAX(-(M30+M39+M41)*M35/(SUM(M35:M$36)),-M42),0)</f>
        <v>0</v>
      </c>
      <c r="N43" s="291">
        <f ca="1">IFERROR(MAX(-(N30+N39+N41)*N35/(SUM(N35:N$36)),-N42),0)</f>
        <v>0</v>
      </c>
      <c r="O43" s="291">
        <f ca="1">IFERROR(MAX(-(O30+O39+O41)*O35/(SUM(O35:O$36)),-O42),0)</f>
        <v>0</v>
      </c>
      <c r="P43" s="291">
        <f ca="1">IFERROR(MAX(-(P30+P39+P41)*P35/(SUM(P35:P$36)),-P42),0)</f>
        <v>0</v>
      </c>
      <c r="Q43" s="291">
        <f ca="1">IFERROR(MAX(-(Q30+Q39+Q41)*Q35/(SUM(Q35:Q$36)),-Q42),0)</f>
        <v>0</v>
      </c>
      <c r="R43" s="291">
        <f ca="1">IFERROR(MAX(-(R30+R39+R41)*R35/(SUM(R35:R$36)),-R42),0)</f>
        <v>0</v>
      </c>
      <c r="S43" s="291">
        <f ca="1">IFERROR(MAX(-(S30+S39+S41)*S35/(SUM(S35:S$36)),-S42),0)</f>
        <v>0</v>
      </c>
      <c r="T43" s="291">
        <f ca="1">IFERROR(MAX(-(T30+T39+T41)*T35/(SUM(T35:T$36)),-T42),0)</f>
        <v>0</v>
      </c>
      <c r="U43" s="291">
        <f ca="1">IFERROR(MAX(-(U30+U39+U41)*U35/(SUM(U35:U$36)),-U42),0)</f>
        <v>0</v>
      </c>
      <c r="V43" s="291">
        <f ca="1">IFERROR(MAX(-(V30+V39+V41)*V35/(SUM(V35:V$36)),-V42),0)</f>
        <v>0</v>
      </c>
      <c r="W43" s="291">
        <f ca="1">IFERROR(MAX(-(W30+W39+W41)*W35/(SUM(W35:W$36)),-W42),0)</f>
        <v>0</v>
      </c>
      <c r="X43" s="291">
        <f ca="1">IFERROR(MAX(-(X30+X39+X41)*X35/(SUM(X35:X$36)),-X42),0)</f>
        <v>0</v>
      </c>
      <c r="Y43" s="291">
        <f ca="1">IFERROR(MAX(-(Y30+Y39+Y41)*Y35/(SUM(Y35:Y$36)),-Y42),0)</f>
        <v>0</v>
      </c>
      <c r="Z43" s="291">
        <f ca="1">IFERROR(MAX(-(Z30+Z39+Z41)*Z35/(SUM(Z35:Z$36)),-Z42),0)</f>
        <v>0</v>
      </c>
      <c r="AA43" s="291">
        <f ca="1">IFERROR(MAX(-(AA30+AA39+AA41)*AA35/(SUM(AA35:AA$36)),-AA42),0)</f>
        <v>0</v>
      </c>
      <c r="AB43" s="291">
        <f ca="1">IFERROR(MAX(-(AB30+AB39+AB41)*AB35/(SUM(AB35:AB$36)),-AB42),0)</f>
        <v>0</v>
      </c>
      <c r="AC43" s="291">
        <f ca="1">IFERROR(MAX(-(AC30+AC39+AC41)*AC35/(SUM(AC35:AC$36)),-AC42),0)</f>
        <v>0</v>
      </c>
      <c r="AD43" s="291">
        <f ca="1">IFERROR(MAX(-(AD30+AD39+AD41)*AD35/(SUM(AD35:AD$36)),-AD42),0)</f>
        <v>0</v>
      </c>
      <c r="AE43" s="291">
        <f ca="1">IFERROR(MAX(-(AE30+AE39+AE41)*AE35/(SUM(AE35:AE$36)),-AE42),0)</f>
        <v>0</v>
      </c>
      <c r="AF43" s="291">
        <f ca="1">IFERROR(MAX(-(AF30+AF39+AF41)*AF35/(SUM(AF35:AF$36)),-AF42),0)</f>
        <v>0</v>
      </c>
      <c r="AG43" s="291">
        <f ca="1">IFERROR(MAX(-(AG30+AG39+AG41)*AG35/(SUM(AG35:AG$36)),-AG42),0)</f>
        <v>0</v>
      </c>
    </row>
    <row r="44" spans="3:33" s="291" customFormat="1" ht="13.7">
      <c r="C44" s="303" t="s">
        <v>821</v>
      </c>
      <c r="D44" s="291">
        <f>+'Financial Quarterly onshore'!D59+'Financial Quarterly onshore'!D60+'Financial Quarterly onshore'!D61+'Financial Quarterly onshore'!D62+'Financial Quarterly onshore'!D63+'Financial Quarterly onshore'!D65</f>
        <v>0</v>
      </c>
      <c r="E44" s="291">
        <f>+'Financial Quarterly onshore'!E59+'Financial Quarterly onshore'!E60+'Financial Quarterly onshore'!E61+'Financial Quarterly onshore'!E62+'Financial Quarterly onshore'!E63+'Financial Quarterly onshore'!E65</f>
        <v>0</v>
      </c>
      <c r="F44" s="291">
        <f ca="1">+'Financial Quarterly onshore'!F59+'Financial Quarterly onshore'!F60+'Financial Quarterly onshore'!F61+'Financial Quarterly onshore'!F62+'Financial Quarterly onshore'!F63+'Financial Quarterly onshore'!F65</f>
        <v>0</v>
      </c>
      <c r="G44" s="291">
        <f ca="1">+'Financial Quarterly onshore'!G59+'Financial Quarterly onshore'!G60+'Financial Quarterly onshore'!G61+'Financial Quarterly onshore'!G62+'Financial Quarterly onshore'!G63+'Financial Quarterly onshore'!G65</f>
        <v>0</v>
      </c>
      <c r="H44" s="291">
        <f ca="1">+'Financial Quarterly onshore'!H59+'Financial Quarterly onshore'!H60+'Financial Quarterly onshore'!H61+'Financial Quarterly onshore'!H62+'Financial Quarterly onshore'!H63+'Financial Quarterly onshore'!H65</f>
        <v>0</v>
      </c>
      <c r="I44" s="291">
        <f ca="1">+'Financial Quarterly onshore'!I59+'Financial Quarterly onshore'!I60+'Financial Quarterly onshore'!I61+'Financial Quarterly onshore'!I62+'Financial Quarterly onshore'!I63+'Financial Quarterly onshore'!I65</f>
        <v>0</v>
      </c>
      <c r="J44" s="291">
        <f ca="1">+'Financial Quarterly onshore'!J59+'Financial Quarterly onshore'!J60+'Financial Quarterly onshore'!J61+'Financial Quarterly onshore'!J62+'Financial Quarterly onshore'!J63+'Financial Quarterly onshore'!J65</f>
        <v>0</v>
      </c>
      <c r="K44" s="291">
        <f ca="1">+'Financial Quarterly onshore'!K59+'Financial Quarterly onshore'!K60+'Financial Quarterly onshore'!K61+'Financial Quarterly onshore'!K62+'Financial Quarterly onshore'!K63+'Financial Quarterly onshore'!K65</f>
        <v>0</v>
      </c>
      <c r="L44" s="291">
        <f ca="1">+'Financial Quarterly onshore'!L59+'Financial Quarterly onshore'!L60+'Financial Quarterly onshore'!L61+'Financial Quarterly onshore'!L62+'Financial Quarterly onshore'!L63+'Financial Quarterly onshore'!L65</f>
        <v>0</v>
      </c>
      <c r="M44" s="291">
        <f ca="1">+'Financial Quarterly onshore'!M59+'Financial Quarterly onshore'!M60+'Financial Quarterly onshore'!M61+'Financial Quarterly onshore'!M62+'Financial Quarterly onshore'!M63+'Financial Quarterly onshore'!M65</f>
        <v>0</v>
      </c>
      <c r="N44" s="291">
        <f ca="1">+'Financial Quarterly onshore'!N59+'Financial Quarterly onshore'!N60+'Financial Quarterly onshore'!N61+'Financial Quarterly onshore'!N62+'Financial Quarterly onshore'!N63+'Financial Quarterly onshore'!N65</f>
        <v>0</v>
      </c>
      <c r="O44" s="291">
        <f ca="1">+'Financial Quarterly onshore'!O59+'Financial Quarterly onshore'!O60+'Financial Quarterly onshore'!O61+'Financial Quarterly onshore'!O62+'Financial Quarterly onshore'!O63+'Financial Quarterly onshore'!O65</f>
        <v>0</v>
      </c>
      <c r="P44" s="291">
        <f ca="1">+'Financial Quarterly onshore'!P59+'Financial Quarterly onshore'!P60+'Financial Quarterly onshore'!P61+'Financial Quarterly onshore'!P62+'Financial Quarterly onshore'!P63+'Financial Quarterly onshore'!P65</f>
        <v>0</v>
      </c>
      <c r="Q44" s="291">
        <f ca="1">+'Financial Quarterly onshore'!Q59+'Financial Quarterly onshore'!Q60+'Financial Quarterly onshore'!Q61+'Financial Quarterly onshore'!Q62+'Financial Quarterly onshore'!Q63+'Financial Quarterly onshore'!Q65</f>
        <v>0</v>
      </c>
      <c r="R44" s="291">
        <f ca="1">+'Financial Quarterly onshore'!R59+'Financial Quarterly onshore'!R60+'Financial Quarterly onshore'!R61+'Financial Quarterly onshore'!R62+'Financial Quarterly onshore'!R63+'Financial Quarterly onshore'!R65</f>
        <v>0</v>
      </c>
      <c r="S44" s="291">
        <f ca="1">+'Financial Quarterly onshore'!S59+'Financial Quarterly onshore'!S60+'Financial Quarterly onshore'!S61+'Financial Quarterly onshore'!S62+'Financial Quarterly onshore'!S63+'Financial Quarterly onshore'!S65</f>
        <v>0</v>
      </c>
      <c r="T44" s="291">
        <f ca="1">+'Financial Quarterly onshore'!T59+'Financial Quarterly onshore'!T60+'Financial Quarterly onshore'!T61+'Financial Quarterly onshore'!T62+'Financial Quarterly onshore'!T63+'Financial Quarterly onshore'!T65</f>
        <v>0</v>
      </c>
      <c r="U44" s="291">
        <f ca="1">+'Financial Quarterly onshore'!U59+'Financial Quarterly onshore'!U60+'Financial Quarterly onshore'!U61+'Financial Quarterly onshore'!U62+'Financial Quarterly onshore'!U63+'Financial Quarterly onshore'!U65</f>
        <v>0</v>
      </c>
      <c r="V44" s="291">
        <f ca="1">+'Financial Quarterly onshore'!V59+'Financial Quarterly onshore'!V60+'Financial Quarterly onshore'!V61+'Financial Quarterly onshore'!V62+'Financial Quarterly onshore'!V63+'Financial Quarterly onshore'!V65</f>
        <v>0</v>
      </c>
      <c r="W44" s="291">
        <f ca="1">+'Financial Quarterly onshore'!W59+'Financial Quarterly onshore'!W60+'Financial Quarterly onshore'!W61+'Financial Quarterly onshore'!W62+'Financial Quarterly onshore'!W63+'Financial Quarterly onshore'!W65</f>
        <v>0</v>
      </c>
      <c r="X44" s="291">
        <f ca="1">+'Financial Quarterly onshore'!X59+'Financial Quarterly onshore'!X60+'Financial Quarterly onshore'!X61+'Financial Quarterly onshore'!X62+'Financial Quarterly onshore'!X63+'Financial Quarterly onshore'!X65</f>
        <v>0</v>
      </c>
      <c r="Y44" s="291">
        <f ca="1">+'Financial Quarterly onshore'!Y59+'Financial Quarterly onshore'!Y60+'Financial Quarterly onshore'!Y61+'Financial Quarterly onshore'!Y62+'Financial Quarterly onshore'!Y63+'Financial Quarterly onshore'!Y65</f>
        <v>0</v>
      </c>
      <c r="Z44" s="291">
        <f ca="1">+'Financial Quarterly onshore'!Z59+'Financial Quarterly onshore'!Z60+'Financial Quarterly onshore'!Z61+'Financial Quarterly onshore'!Z62+'Financial Quarterly onshore'!Z63+'Financial Quarterly onshore'!Z65</f>
        <v>0</v>
      </c>
      <c r="AA44" s="291">
        <f ca="1">+'Financial Quarterly onshore'!AA59+'Financial Quarterly onshore'!AA60+'Financial Quarterly onshore'!AA61+'Financial Quarterly onshore'!AA62+'Financial Quarterly onshore'!AA63+'Financial Quarterly onshore'!AA65</f>
        <v>0</v>
      </c>
      <c r="AB44" s="291">
        <f ca="1">+'Financial Quarterly onshore'!AB59+'Financial Quarterly onshore'!AB60+'Financial Quarterly onshore'!AB61+'Financial Quarterly onshore'!AB62+'Financial Quarterly onshore'!AB63+'Financial Quarterly onshore'!AB65</f>
        <v>0</v>
      </c>
      <c r="AC44" s="291" t="e">
        <f ca="1">+'Financial Quarterly onshore'!AC59+'Financial Quarterly onshore'!AC60+'Financial Quarterly onshore'!AC61+'Financial Quarterly onshore'!AC62+'Financial Quarterly onshore'!AC63+'Financial Quarterly onshore'!AC65</f>
        <v>#N/A</v>
      </c>
      <c r="AD44" s="291" t="e">
        <f ca="1">+'Financial Quarterly onshore'!AD59+'Financial Quarterly onshore'!AD60+'Financial Quarterly onshore'!AD61+'Financial Quarterly onshore'!AD62+'Financial Quarterly onshore'!AD63+'Financial Quarterly onshore'!AD65</f>
        <v>#N/A</v>
      </c>
      <c r="AE44" s="291" t="e">
        <f ca="1">+'Financial Quarterly onshore'!AE59+'Financial Quarterly onshore'!AE60+'Financial Quarterly onshore'!AE61+'Financial Quarterly onshore'!AE62+'Financial Quarterly onshore'!AE63+'Financial Quarterly onshore'!AE65</f>
        <v>#N/A</v>
      </c>
      <c r="AF44" s="291" t="e">
        <f ca="1">+'Financial Quarterly onshore'!AF59+'Financial Quarterly onshore'!AF60+'Financial Quarterly onshore'!AF61+'Financial Quarterly onshore'!AF62+'Financial Quarterly onshore'!AF63+'Financial Quarterly onshore'!AF65</f>
        <v>#N/A</v>
      </c>
      <c r="AG44" s="291" t="e">
        <f ca="1">+'Financial Quarterly onshore'!AG59+'Financial Quarterly onshore'!AG60+'Financial Quarterly onshore'!AG61+'Financial Quarterly onshore'!AG62+'Financial Quarterly onshore'!AG63+'Financial Quarterly onshore'!AG65</f>
        <v>#N/A</v>
      </c>
    </row>
    <row r="45" spans="3:33" s="291" customFormat="1" ht="13.7">
      <c r="C45" s="303" t="s">
        <v>818</v>
      </c>
      <c r="D45" s="291">
        <f>MAX(-(D30+D39+D41+D43),-D44)</f>
        <v>0</v>
      </c>
      <c r="E45" s="291">
        <f t="shared" ref="E45:AF45" ca="1" si="15">MAX(-(E30+E39+E41+E43),-E44)</f>
        <v>0</v>
      </c>
      <c r="F45" s="291">
        <f t="shared" ca="1" si="15"/>
        <v>0</v>
      </c>
      <c r="G45" s="291">
        <f t="shared" ca="1" si="15"/>
        <v>0</v>
      </c>
      <c r="H45" s="291">
        <f t="shared" ca="1" si="15"/>
        <v>0</v>
      </c>
      <c r="I45" s="291">
        <f t="shared" ca="1" si="15"/>
        <v>0</v>
      </c>
      <c r="J45" s="291">
        <f t="shared" ca="1" si="15"/>
        <v>0</v>
      </c>
      <c r="K45" s="291">
        <f t="shared" ca="1" si="15"/>
        <v>0</v>
      </c>
      <c r="L45" s="291">
        <f t="shared" ca="1" si="15"/>
        <v>0</v>
      </c>
      <c r="M45" s="291">
        <f t="shared" ca="1" si="15"/>
        <v>0</v>
      </c>
      <c r="N45" s="291">
        <f t="shared" ca="1" si="15"/>
        <v>0</v>
      </c>
      <c r="O45" s="291">
        <f t="shared" ca="1" si="15"/>
        <v>0</v>
      </c>
      <c r="P45" s="291">
        <f t="shared" ca="1" si="15"/>
        <v>0</v>
      </c>
      <c r="Q45" s="291">
        <f t="shared" ca="1" si="15"/>
        <v>0</v>
      </c>
      <c r="R45" s="291">
        <f t="shared" ca="1" si="15"/>
        <v>0</v>
      </c>
      <c r="S45" s="291">
        <f t="shared" ca="1" si="15"/>
        <v>0</v>
      </c>
      <c r="T45" s="291">
        <f t="shared" ca="1" si="15"/>
        <v>0</v>
      </c>
      <c r="U45" s="291">
        <f t="shared" ca="1" si="15"/>
        <v>0</v>
      </c>
      <c r="V45" s="291">
        <f t="shared" ca="1" si="15"/>
        <v>0</v>
      </c>
      <c r="W45" s="291">
        <f t="shared" ca="1" si="15"/>
        <v>0</v>
      </c>
      <c r="X45" s="291">
        <f t="shared" ca="1" si="15"/>
        <v>0</v>
      </c>
      <c r="Y45" s="291">
        <f t="shared" ca="1" si="15"/>
        <v>0</v>
      </c>
      <c r="Z45" s="291">
        <f t="shared" ca="1" si="15"/>
        <v>0</v>
      </c>
      <c r="AA45" s="291">
        <f t="shared" ca="1" si="15"/>
        <v>0</v>
      </c>
      <c r="AB45" s="291">
        <f t="shared" ca="1" si="15"/>
        <v>0</v>
      </c>
      <c r="AC45" s="291" t="e">
        <f t="shared" ca="1" si="15"/>
        <v>#N/A</v>
      </c>
      <c r="AD45" s="291" t="e">
        <f t="shared" ca="1" si="15"/>
        <v>#N/A</v>
      </c>
      <c r="AE45" s="291" t="e">
        <f t="shared" ca="1" si="15"/>
        <v>#N/A</v>
      </c>
      <c r="AF45" s="291" t="e">
        <f t="shared" ca="1" si="15"/>
        <v>#N/A</v>
      </c>
      <c r="AG45" s="291" t="e">
        <f t="shared" ref="AG45" ca="1" si="16">MAX(-(AG30+AG39+AG41+AG43),-AG44)</f>
        <v>#N/A</v>
      </c>
    </row>
    <row r="47" spans="3:33" s="291" customFormat="1" ht="13.7">
      <c r="C47" s="291" t="s">
        <v>815</v>
      </c>
      <c r="D47" s="291">
        <f>'Financing assumptions onshore'!$F$67*1000</f>
        <v>20000000</v>
      </c>
      <c r="E47" s="291">
        <f>'Financing assumptions onshore'!$F$67*1000</f>
        <v>20000000</v>
      </c>
      <c r="F47" s="291">
        <f>'Financing assumptions onshore'!$F$67*1000</f>
        <v>20000000</v>
      </c>
      <c r="G47" s="291">
        <f>'Financing assumptions onshore'!$F$67*1000</f>
        <v>20000000</v>
      </c>
      <c r="H47" s="291">
        <f>'Financing assumptions onshore'!$F$67*1000</f>
        <v>20000000</v>
      </c>
      <c r="I47" s="291">
        <f>'Financing assumptions onshore'!$F$67*1000</f>
        <v>20000000</v>
      </c>
      <c r="J47" s="291">
        <f>'Financing assumptions onshore'!$F$67*1000</f>
        <v>20000000</v>
      </c>
      <c r="K47" s="291">
        <f>'Financing assumptions onshore'!$F$67*1000</f>
        <v>20000000</v>
      </c>
      <c r="L47" s="291">
        <f>'Financing assumptions onshore'!$F$67*1000</f>
        <v>20000000</v>
      </c>
      <c r="M47" s="291">
        <f>'Financing assumptions onshore'!$F$67*1000</f>
        <v>20000000</v>
      </c>
      <c r="N47" s="291">
        <f>'Financing assumptions onshore'!$F$67*1000</f>
        <v>20000000</v>
      </c>
      <c r="O47" s="291">
        <f>'Financing assumptions onshore'!$F$67*1000</f>
        <v>20000000</v>
      </c>
      <c r="P47" s="291">
        <f>'Financing assumptions onshore'!$F$67*1000</f>
        <v>20000000</v>
      </c>
      <c r="Q47" s="291">
        <f>'Financing assumptions onshore'!$F$67*1000</f>
        <v>20000000</v>
      </c>
      <c r="R47" s="291">
        <f>'Financing assumptions onshore'!$F$67*1000</f>
        <v>20000000</v>
      </c>
      <c r="S47" s="291">
        <f>'Financing assumptions onshore'!$F$67*1000</f>
        <v>20000000</v>
      </c>
      <c r="T47" s="291">
        <f>'Financing assumptions onshore'!$F$67*1000</f>
        <v>20000000</v>
      </c>
      <c r="U47" s="291">
        <f>'Financing assumptions onshore'!$F$67*1000</f>
        <v>20000000</v>
      </c>
      <c r="V47" s="291">
        <f>'Financing assumptions onshore'!$F$67*1000</f>
        <v>20000000</v>
      </c>
      <c r="W47" s="291">
        <f>'Financing assumptions onshore'!$F$67*1000</f>
        <v>20000000</v>
      </c>
      <c r="X47" s="291">
        <f>'Financing assumptions onshore'!$F$67*1000</f>
        <v>20000000</v>
      </c>
      <c r="Y47" s="291">
        <f>'Financing assumptions onshore'!$F$67*1000</f>
        <v>20000000</v>
      </c>
      <c r="Z47" s="291">
        <f>'Financing assumptions onshore'!$F$67*1000</f>
        <v>20000000</v>
      </c>
      <c r="AA47" s="291">
        <f>'Financing assumptions onshore'!$F$67*1000</f>
        <v>20000000</v>
      </c>
      <c r="AB47" s="291">
        <f>'Financing assumptions onshore'!$F$67*1000</f>
        <v>20000000</v>
      </c>
      <c r="AC47" s="291">
        <f>'Financing assumptions onshore'!$F$67*1000</f>
        <v>20000000</v>
      </c>
      <c r="AD47" s="291">
        <f>'Financing assumptions onshore'!$F$67*1000</f>
        <v>20000000</v>
      </c>
      <c r="AE47" s="291">
        <f>'Financing assumptions onshore'!$F$67*1000</f>
        <v>20000000</v>
      </c>
      <c r="AF47" s="291">
        <f>'Financing assumptions onshore'!$F$67*1000</f>
        <v>20000000</v>
      </c>
      <c r="AG47" s="291">
        <f>'Financing assumptions onshore'!$F$67*1000</f>
        <v>20000000</v>
      </c>
    </row>
    <row r="48" spans="3:33" s="180" customFormat="1" ht="13.7">
      <c r="C48" s="180" t="s">
        <v>822</v>
      </c>
      <c r="D48" s="180">
        <f ca="1">MAX(+'Financial Quarterly onshore'!D93-'Cash sweep &amp; dividend onshore'!D47-'Financial Quarterly onshore'!D80,0)</f>
        <v>0</v>
      </c>
      <c r="E48" s="180">
        <f ca="1">MAX(+'Financial Quarterly onshore'!E93-'Cash sweep &amp; dividend onshore'!E47-'Financial Quarterly onshore'!E80,0)</f>
        <v>0</v>
      </c>
      <c r="F48" s="180">
        <f ca="1">MAX(+'Financial Quarterly onshore'!F93-'Cash sweep &amp; dividend onshore'!F47-'Financial Quarterly onshore'!F80,0)</f>
        <v>0</v>
      </c>
      <c r="G48" s="180">
        <f ca="1">MAX(+'Financial Quarterly onshore'!G93-'Cash sweep &amp; dividend onshore'!G47-'Financial Quarterly onshore'!G80,0)</f>
        <v>0</v>
      </c>
      <c r="H48" s="180">
        <f ca="1">MAX(+'Financial Quarterly onshore'!H93-'Cash sweep &amp; dividend onshore'!H47-'Financial Quarterly onshore'!H80,0)</f>
        <v>0</v>
      </c>
      <c r="I48" s="180">
        <f ca="1">MAX(+'Financial Quarterly onshore'!I93-'Cash sweep &amp; dividend onshore'!I47-'Financial Quarterly onshore'!I80,0)</f>
        <v>0</v>
      </c>
      <c r="J48" s="180">
        <f ca="1">MAX(+'Financial Quarterly onshore'!J93-'Cash sweep &amp; dividend onshore'!J47-'Financial Quarterly onshore'!J80,0)</f>
        <v>0</v>
      </c>
      <c r="K48" s="180">
        <f ca="1">MAX(+'Financial Quarterly onshore'!K93-'Cash sweep &amp; dividend onshore'!K47-'Financial Quarterly onshore'!K80,0)</f>
        <v>0</v>
      </c>
      <c r="L48" s="180">
        <f ca="1">MAX(+'Financial Quarterly onshore'!L93-'Cash sweep &amp; dividend onshore'!L47-'Financial Quarterly onshore'!L80,0)</f>
        <v>0</v>
      </c>
      <c r="M48" s="180">
        <f ca="1">MAX(+'Financial Quarterly onshore'!M93-'Cash sweep &amp; dividend onshore'!M47-'Financial Quarterly onshore'!M80,0)</f>
        <v>0</v>
      </c>
      <c r="N48" s="180">
        <f ca="1">MAX(+'Financial Quarterly onshore'!N93-'Cash sweep &amp; dividend onshore'!N47-'Financial Quarterly onshore'!N80,0)</f>
        <v>0</v>
      </c>
      <c r="O48" s="180">
        <f ca="1">MAX(+'Financial Quarterly onshore'!O93-'Cash sweep &amp; dividend onshore'!O47-'Financial Quarterly onshore'!O80,0)</f>
        <v>0</v>
      </c>
      <c r="P48" s="180">
        <f ca="1">MAX(+'Financial Quarterly onshore'!P93-'Cash sweep &amp; dividend onshore'!P47-'Financial Quarterly onshore'!P80,0)</f>
        <v>0</v>
      </c>
      <c r="Q48" s="180">
        <f ca="1">MAX(+'Financial Quarterly onshore'!Q93-'Cash sweep &amp; dividend onshore'!Q47-'Financial Quarterly onshore'!Q80,0)</f>
        <v>0</v>
      </c>
      <c r="R48" s="180">
        <f ca="1">MAX(+'Financial Quarterly onshore'!R93-'Cash sweep &amp; dividend onshore'!R47-'Financial Quarterly onshore'!R80,0)</f>
        <v>0</v>
      </c>
      <c r="S48" s="180">
        <f ca="1">MAX(+'Financial Quarterly onshore'!S93-'Cash sweep &amp; dividend onshore'!S47-'Financial Quarterly onshore'!S80,0)</f>
        <v>0</v>
      </c>
      <c r="T48" s="180">
        <f ca="1">MAX(+'Financial Quarterly onshore'!T93-'Cash sweep &amp; dividend onshore'!T47-'Financial Quarterly onshore'!T80,0)</f>
        <v>0</v>
      </c>
      <c r="U48" s="180">
        <f ca="1">MAX(+'Financial Quarterly onshore'!U93-'Cash sweep &amp; dividend onshore'!U47-'Financial Quarterly onshore'!U80,0)</f>
        <v>0</v>
      </c>
      <c r="V48" s="180">
        <f ca="1">MAX(+'Financial Quarterly onshore'!V93-'Cash sweep &amp; dividend onshore'!V47-'Financial Quarterly onshore'!V80,0)</f>
        <v>0</v>
      </c>
      <c r="W48" s="180">
        <f ca="1">MAX(+'Financial Quarterly onshore'!W93-'Cash sweep &amp; dividend onshore'!W47-'Financial Quarterly onshore'!W80,0)</f>
        <v>0</v>
      </c>
      <c r="X48" s="180">
        <f ca="1">MAX(+'Financial Quarterly onshore'!X93-'Cash sweep &amp; dividend onshore'!X47-'Financial Quarterly onshore'!X80,0)</f>
        <v>0</v>
      </c>
      <c r="Y48" s="180">
        <f ca="1">MAX(+'Financial Quarterly onshore'!Y93-'Cash sweep &amp; dividend onshore'!Y47-'Financial Quarterly onshore'!Y80,0)</f>
        <v>0</v>
      </c>
      <c r="Z48" s="180">
        <f ca="1">MAX(+'Financial Quarterly onshore'!Z93-'Cash sweep &amp; dividend onshore'!Z47-'Financial Quarterly onshore'!Z80,0)</f>
        <v>0</v>
      </c>
      <c r="AA48" s="180">
        <f ca="1">MAX(+'Financial Quarterly onshore'!AA93-'Cash sweep &amp; dividend onshore'!AA47-'Financial Quarterly onshore'!AA80,0)</f>
        <v>0</v>
      </c>
      <c r="AB48" s="180" t="e">
        <f ca="1">MAX(+'Financial Quarterly onshore'!AB93-'Cash sweep &amp; dividend onshore'!AB47-'Financial Quarterly onshore'!AB80,0)</f>
        <v>#N/A</v>
      </c>
      <c r="AC48" s="180" t="e">
        <f ca="1">MAX(+'Financial Quarterly onshore'!AC93-'Cash sweep &amp; dividend onshore'!AC47-'Financial Quarterly onshore'!AC80,0)</f>
        <v>#N/A</v>
      </c>
      <c r="AD48" s="180" t="e">
        <f ca="1">MAX(+'Financial Quarterly onshore'!AD93-'Cash sweep &amp; dividend onshore'!AD47-'Financial Quarterly onshore'!AD80,0)</f>
        <v>#N/A</v>
      </c>
      <c r="AE48" s="180" t="e">
        <f ca="1">MAX(+'Financial Quarterly onshore'!AE93-'Cash sweep &amp; dividend onshore'!AE47-'Financial Quarterly onshore'!AE80,0)</f>
        <v>#N/A</v>
      </c>
      <c r="AF48" s="180" t="e">
        <f ca="1">MAX(+'Financial Quarterly onshore'!AF93-'Cash sweep &amp; dividend onshore'!AF47-'Financial Quarterly onshore'!AF80,0)</f>
        <v>#N/A</v>
      </c>
      <c r="AG48" s="180" t="e">
        <f ca="1">MAX(+'Financial Quarterly onshore'!AG93-'Cash sweep &amp; dividend onshore'!AG47-'Financial Quarterly onshore'!AG80,0)</f>
        <v>#N/A</v>
      </c>
    </row>
    <row r="49" spans="3:33" s="180" customFormat="1" ht="13.7">
      <c r="C49" s="395" t="s">
        <v>1504</v>
      </c>
      <c r="D49" s="376">
        <f>SUMIF('IS onshore'!10:10,YEAR('Cash sweep &amp; dividend onshore'!D12)-1,'IS onshore'!90:90)</f>
        <v>0</v>
      </c>
      <c r="E49" s="376">
        <f>SUMIF('IS onshore'!10:10,YEAR('Cash sweep &amp; dividend onshore'!E12)-1,'IS onshore'!90:90)</f>
        <v>0</v>
      </c>
      <c r="F49" s="376">
        <f>SUMIF('IS onshore'!10:10,YEAR('Cash sweep &amp; dividend onshore'!F12)-1,'IS onshore'!90:90)</f>
        <v>0</v>
      </c>
      <c r="G49" s="376">
        <f>SUMIF('IS onshore'!10:10,YEAR('Cash sweep &amp; dividend onshore'!G12)-1,'IS onshore'!90:90)</f>
        <v>0</v>
      </c>
      <c r="H49" s="376">
        <f ca="1">SUMIF('IS onshore'!10:10,YEAR('Cash sweep &amp; dividend onshore'!H12)-1,'IS onshore'!90:90)</f>
        <v>0</v>
      </c>
      <c r="I49" s="376">
        <f ca="1">SUMIF('IS onshore'!10:10,YEAR('Cash sweep &amp; dividend onshore'!I12)-1,'IS onshore'!90:90)</f>
        <v>0</v>
      </c>
      <c r="J49" s="376">
        <f ca="1">SUMIF('IS onshore'!10:10,YEAR('Cash sweep &amp; dividend onshore'!J12)-1,'IS onshore'!90:90)</f>
        <v>0</v>
      </c>
      <c r="K49" s="376">
        <f ca="1">SUMIF('IS onshore'!10:10,YEAR('Cash sweep &amp; dividend onshore'!K12)-1,'IS onshore'!90:90)</f>
        <v>0</v>
      </c>
      <c r="L49" s="376">
        <f ca="1">SUMIF('IS onshore'!10:10,YEAR('Cash sweep &amp; dividend onshore'!L12)-1,'IS onshore'!90:90)</f>
        <v>0</v>
      </c>
      <c r="M49" s="376">
        <f ca="1">SUMIF('IS onshore'!10:10,YEAR('Cash sweep &amp; dividend onshore'!M12)-1,'IS onshore'!90:90)</f>
        <v>0</v>
      </c>
      <c r="N49" s="376">
        <f ca="1">SUMIF('IS onshore'!10:10,YEAR('Cash sweep &amp; dividend onshore'!N12)-1,'IS onshore'!90:90)</f>
        <v>0</v>
      </c>
      <c r="O49" s="376">
        <f ca="1">SUMIF('IS onshore'!10:10,YEAR('Cash sweep &amp; dividend onshore'!O12)-1,'IS onshore'!90:90)</f>
        <v>0</v>
      </c>
      <c r="P49" s="376">
        <f ca="1">SUMIF('IS onshore'!10:10,YEAR('Cash sweep &amp; dividend onshore'!P12)-1,'IS onshore'!90:90)</f>
        <v>0</v>
      </c>
      <c r="Q49" s="376">
        <f ca="1">SUMIF('IS onshore'!10:10,YEAR('Cash sweep &amp; dividend onshore'!Q12)-1,'IS onshore'!90:90)</f>
        <v>0</v>
      </c>
      <c r="R49" s="376">
        <f ca="1">SUMIF('IS onshore'!10:10,YEAR('Cash sweep &amp; dividend onshore'!R12)-1,'IS onshore'!90:90)</f>
        <v>0</v>
      </c>
      <c r="S49" s="376">
        <f ca="1">SUMIF('IS onshore'!10:10,YEAR('Cash sweep &amp; dividend onshore'!S12)-1,'IS onshore'!90:90)</f>
        <v>0</v>
      </c>
      <c r="T49" s="376">
        <f ca="1">SUMIF('IS onshore'!10:10,YEAR('Cash sweep &amp; dividend onshore'!T12)-1,'IS onshore'!90:90)</f>
        <v>0</v>
      </c>
      <c r="U49" s="376">
        <f ca="1">SUMIF('IS onshore'!10:10,YEAR('Cash sweep &amp; dividend onshore'!U12)-1,'IS onshore'!90:90)</f>
        <v>0</v>
      </c>
      <c r="V49" s="376">
        <f ca="1">SUMIF('IS onshore'!10:10,YEAR('Cash sweep &amp; dividend onshore'!V12)-1,'IS onshore'!90:90)</f>
        <v>0</v>
      </c>
      <c r="W49" s="376">
        <f ca="1">SUMIF('IS onshore'!10:10,YEAR('Cash sweep &amp; dividend onshore'!W12)-1,'IS onshore'!90:90)</f>
        <v>0</v>
      </c>
      <c r="X49" s="376">
        <f ca="1">SUMIF('IS onshore'!10:10,YEAR('Cash sweep &amp; dividend onshore'!X12)-1,'IS onshore'!90:90)</f>
        <v>0</v>
      </c>
      <c r="Y49" s="376">
        <f ca="1">SUMIF('IS onshore'!10:10,YEAR('Cash sweep &amp; dividend onshore'!Y12)-1,'IS onshore'!90:90)</f>
        <v>0</v>
      </c>
      <c r="Z49" s="376">
        <f ca="1">SUMIF('IS onshore'!10:10,YEAR('Cash sweep &amp; dividend onshore'!Z12)-1,'IS onshore'!90:90)</f>
        <v>0</v>
      </c>
      <c r="AA49" s="376">
        <f ca="1">SUMIF('IS onshore'!10:10,YEAR('Cash sweep &amp; dividend onshore'!AA12)-1,'IS onshore'!90:90)</f>
        <v>0</v>
      </c>
      <c r="AB49" s="376">
        <f ca="1">SUMIF('IS onshore'!10:10,YEAR('Cash sweep &amp; dividend onshore'!AB12)-1,'IS onshore'!90:90)</f>
        <v>0</v>
      </c>
      <c r="AC49" s="376">
        <f ca="1">SUMIF('IS onshore'!10:10,YEAR('Cash sweep &amp; dividend onshore'!AC12)-1,'IS onshore'!90:90)</f>
        <v>0</v>
      </c>
      <c r="AD49" s="376">
        <f ca="1">SUMIF('IS onshore'!10:10,YEAR('Cash sweep &amp; dividend onshore'!AD12)-1,'IS onshore'!90:90)</f>
        <v>0</v>
      </c>
      <c r="AE49" s="376">
        <f ca="1">SUMIF('IS onshore'!10:10,YEAR('Cash sweep &amp; dividend onshore'!AE12)-1,'IS onshore'!90:90)</f>
        <v>0</v>
      </c>
      <c r="AF49" s="376">
        <f>SUMIF('IS onshore'!10:10,YEAR('Cash sweep &amp; dividend onshore'!AF12)-1,'IS onshore'!90:90)</f>
        <v>0</v>
      </c>
      <c r="AG49" s="376">
        <f>SUMIF('IS onshore'!10:10,YEAR('Cash sweep &amp; dividend onshore'!AG12)-1,'IS onshore'!90:90)</f>
        <v>0</v>
      </c>
    </row>
    <row r="50" spans="3:33" s="180" customFormat="1" ht="13.7">
      <c r="C50" s="180" t="s">
        <v>1502</v>
      </c>
      <c r="D50" s="180">
        <f>INDEX(D48:D49,MATCH('Financing assumptions onshore'!$H$71,$C$48:$C$49,0))</f>
        <v>0</v>
      </c>
      <c r="E50" s="180">
        <f>INDEX(E48:E49,MATCH('Financing assumptions onshore'!$H$71,$C$48:$C$49,0))</f>
        <v>0</v>
      </c>
      <c r="F50" s="180">
        <f>INDEX(F48:F49,MATCH('Financing assumptions onshore'!$H$71,$C$48:$C$49,0))</f>
        <v>0</v>
      </c>
      <c r="G50" s="180">
        <f>INDEX(G48:G49,MATCH('Financing assumptions onshore'!$H$71,$C$48:$C$49,0))</f>
        <v>0</v>
      </c>
      <c r="H50" s="180">
        <f ca="1">INDEX(H48:H49,MATCH('Financing assumptions onshore'!$H$71,$C$48:$C$49,0))</f>
        <v>0</v>
      </c>
      <c r="I50" s="180">
        <f ca="1">INDEX(I48:I49,MATCH('Financing assumptions onshore'!$H$71,$C$48:$C$49,0))</f>
        <v>0</v>
      </c>
      <c r="J50" s="180">
        <f ca="1">INDEX(J48:J49,MATCH('Financing assumptions onshore'!$H$71,$C$48:$C$49,0))</f>
        <v>0</v>
      </c>
      <c r="K50" s="180">
        <f ca="1">INDEX(K48:K49,MATCH('Financing assumptions onshore'!$H$71,$C$48:$C$49,0))</f>
        <v>0</v>
      </c>
      <c r="L50" s="180">
        <f ca="1">INDEX(L48:L49,MATCH('Financing assumptions onshore'!$H$71,$C$48:$C$49,0))</f>
        <v>0</v>
      </c>
      <c r="M50" s="180">
        <f ca="1">INDEX(M48:M49,MATCH('Financing assumptions onshore'!$H$71,$C$48:$C$49,0))</f>
        <v>0</v>
      </c>
      <c r="N50" s="180">
        <f ca="1">INDEX(N48:N49,MATCH('Financing assumptions onshore'!$H$71,$C$48:$C$49,0))</f>
        <v>0</v>
      </c>
      <c r="O50" s="180">
        <f ca="1">INDEX(O48:O49,MATCH('Financing assumptions onshore'!$H$71,$C$48:$C$49,0))</f>
        <v>0</v>
      </c>
      <c r="P50" s="180">
        <f ca="1">INDEX(P48:P49,MATCH('Financing assumptions onshore'!$H$71,$C$48:$C$49,0))</f>
        <v>0</v>
      </c>
      <c r="Q50" s="180">
        <f ca="1">INDEX(Q48:Q49,MATCH('Financing assumptions onshore'!$H$71,$C$48:$C$49,0))</f>
        <v>0</v>
      </c>
      <c r="R50" s="180">
        <f ca="1">INDEX(R48:R49,MATCH('Financing assumptions onshore'!$H$71,$C$48:$C$49,0))</f>
        <v>0</v>
      </c>
      <c r="S50" s="180">
        <f ca="1">INDEX(S48:S49,MATCH('Financing assumptions onshore'!$H$71,$C$48:$C$49,0))</f>
        <v>0</v>
      </c>
      <c r="T50" s="180">
        <f ca="1">INDEX(T48:T49,MATCH('Financing assumptions onshore'!$H$71,$C$48:$C$49,0))</f>
        <v>0</v>
      </c>
      <c r="U50" s="180">
        <f ca="1">INDEX(U48:U49,MATCH('Financing assumptions onshore'!$H$71,$C$48:$C$49,0))</f>
        <v>0</v>
      </c>
      <c r="V50" s="180">
        <f ca="1">INDEX(V48:V49,MATCH('Financing assumptions onshore'!$H$71,$C$48:$C$49,0))</f>
        <v>0</v>
      </c>
      <c r="W50" s="180">
        <f ca="1">INDEX(W48:W49,MATCH('Financing assumptions onshore'!$H$71,$C$48:$C$49,0))</f>
        <v>0</v>
      </c>
      <c r="X50" s="180">
        <f ca="1">INDEX(X48:X49,MATCH('Financing assumptions onshore'!$H$71,$C$48:$C$49,0))</f>
        <v>0</v>
      </c>
      <c r="Y50" s="180">
        <f ca="1">INDEX(Y48:Y49,MATCH('Financing assumptions onshore'!$H$71,$C$48:$C$49,0))</f>
        <v>0</v>
      </c>
      <c r="Z50" s="180">
        <f ca="1">INDEX(Z48:Z49,MATCH('Financing assumptions onshore'!$H$71,$C$48:$C$49,0))</f>
        <v>0</v>
      </c>
      <c r="AA50" s="180">
        <f ca="1">INDEX(AA48:AA49,MATCH('Financing assumptions onshore'!$H$71,$C$48:$C$49,0))</f>
        <v>0</v>
      </c>
      <c r="AB50" s="180">
        <f ca="1">INDEX(AB48:AB49,MATCH('Financing assumptions onshore'!$H$71,$C$48:$C$49,0))</f>
        <v>0</v>
      </c>
      <c r="AC50" s="180">
        <f ca="1">INDEX(AC48:AC49,MATCH('Financing assumptions onshore'!$H$71,$C$48:$C$49,0))</f>
        <v>0</v>
      </c>
      <c r="AD50" s="180">
        <f ca="1">INDEX(AD48:AD49,MATCH('Financing assumptions onshore'!$H$71,$C$48:$C$49,0))</f>
        <v>0</v>
      </c>
      <c r="AE50" s="180">
        <f ca="1">INDEX(AE48:AE49,MATCH('Financing assumptions onshore'!$H$71,$C$48:$C$49,0))</f>
        <v>0</v>
      </c>
      <c r="AF50" s="180">
        <f>INDEX(AF48:AF49,MATCH('Financing assumptions onshore'!$H$71,$C$48:$C$49,0))</f>
        <v>0</v>
      </c>
      <c r="AG50" s="180">
        <f>INDEX(AG48:AG49,MATCH('Financing assumptions onshore'!$H$71,$C$48:$C$49,0))</f>
        <v>0</v>
      </c>
    </row>
    <row r="51" spans="3:33" s="183" customFormat="1" ht="13.7">
      <c r="C51" s="183" t="s">
        <v>808</v>
      </c>
      <c r="D51" s="183">
        <f>IFERROR('Financing assumptions onshore'!$F$71*OR(C7,NOT('Financing assumptions onshore'!$F$63)),0)</f>
        <v>0</v>
      </c>
      <c r="E51" s="183">
        <f ca="1">IFERROR('Financing assumptions onshore'!$F$71*OR(D7,NOT('Financing assumptions onshore'!$F$63)),0)</f>
        <v>0</v>
      </c>
      <c r="F51" s="183">
        <f ca="1">IFERROR('Financing assumptions onshore'!$F$71*OR(E7,NOT('Financing assumptions onshore'!$F$63)),0)</f>
        <v>0</v>
      </c>
      <c r="G51" s="183">
        <f ca="1">IFERROR('Financing assumptions onshore'!$F$71*OR(F7,NOT('Financing assumptions onshore'!$F$63)),0)</f>
        <v>0</v>
      </c>
      <c r="H51" s="183">
        <f ca="1">IFERROR('Financing assumptions onshore'!$F$71*OR(G7,NOT('Financing assumptions onshore'!$F$63)),0)</f>
        <v>0</v>
      </c>
      <c r="I51" s="183">
        <f ca="1">IFERROR('Financing assumptions onshore'!$F$71*OR(H7,NOT('Financing assumptions onshore'!$F$63)),0)</f>
        <v>0</v>
      </c>
      <c r="J51" s="183">
        <f ca="1">IFERROR('Financing assumptions onshore'!$F$71*OR(I7,NOT('Financing assumptions onshore'!$F$63)),0)</f>
        <v>0</v>
      </c>
      <c r="K51" s="183">
        <f ca="1">IFERROR('Financing assumptions onshore'!$F$71*OR(J7,NOT('Financing assumptions onshore'!$F$63)),0)</f>
        <v>0</v>
      </c>
      <c r="L51" s="183">
        <f ca="1">IFERROR('Financing assumptions onshore'!$F$71*OR(K7,NOT('Financing assumptions onshore'!$F$63)),0)</f>
        <v>0</v>
      </c>
      <c r="M51" s="183">
        <f ca="1">IFERROR('Financing assumptions onshore'!$F$71*OR(L7,NOT('Financing assumptions onshore'!$F$63)),0)</f>
        <v>0</v>
      </c>
      <c r="N51" s="183">
        <f ca="1">IFERROR('Financing assumptions onshore'!$F$71*OR(M7,NOT('Financing assumptions onshore'!$F$63)),0)</f>
        <v>0</v>
      </c>
      <c r="O51" s="183">
        <f ca="1">IFERROR('Financing assumptions onshore'!$F$71*OR(N7,NOT('Financing assumptions onshore'!$F$63)),0)</f>
        <v>0</v>
      </c>
      <c r="P51" s="183">
        <f ca="1">IFERROR('Financing assumptions onshore'!$F$71*OR(O7,NOT('Financing assumptions onshore'!$F$63)),0)</f>
        <v>0</v>
      </c>
      <c r="Q51" s="183">
        <f ca="1">IFERROR('Financing assumptions onshore'!$F$71*OR(P7,NOT('Financing assumptions onshore'!$F$63)),0)</f>
        <v>0</v>
      </c>
      <c r="R51" s="183">
        <f ca="1">IFERROR('Financing assumptions onshore'!$F$71*OR(Q7,NOT('Financing assumptions onshore'!$F$63)),0)</f>
        <v>0</v>
      </c>
      <c r="S51" s="183">
        <f ca="1">IFERROR('Financing assumptions onshore'!$F$71*OR(R7,NOT('Financing assumptions onshore'!$F$63)),0)</f>
        <v>0</v>
      </c>
      <c r="T51" s="183">
        <f ca="1">IFERROR('Financing assumptions onshore'!$F$71*OR(S7,NOT('Financing assumptions onshore'!$F$63)),0)</f>
        <v>0</v>
      </c>
      <c r="U51" s="183">
        <f ca="1">IFERROR('Financing assumptions onshore'!$F$71*OR(T7,NOT('Financing assumptions onshore'!$F$63)),0)</f>
        <v>0</v>
      </c>
      <c r="V51" s="183">
        <f ca="1">IFERROR('Financing assumptions onshore'!$F$71*OR(U7,NOT('Financing assumptions onshore'!$F$63)),0)</f>
        <v>0</v>
      </c>
      <c r="W51" s="183">
        <f ca="1">IFERROR('Financing assumptions onshore'!$F$71*OR(V7,NOT('Financing assumptions onshore'!$F$63)),0)</f>
        <v>0</v>
      </c>
      <c r="X51" s="183">
        <f ca="1">IFERROR('Financing assumptions onshore'!$F$71*OR(W7,NOT('Financing assumptions onshore'!$F$63)),0)</f>
        <v>0</v>
      </c>
      <c r="Y51" s="183">
        <f ca="1">IFERROR('Financing assumptions onshore'!$F$71*OR(X7,NOT('Financing assumptions onshore'!$F$63)),0)</f>
        <v>0</v>
      </c>
      <c r="Z51" s="183">
        <f ca="1">IFERROR('Financing assumptions onshore'!$F$71*OR(Y7,NOT('Financing assumptions onshore'!$F$63)),0)</f>
        <v>0</v>
      </c>
      <c r="AA51" s="183">
        <f ca="1">IFERROR('Financing assumptions onshore'!$F$71*OR(Z7,NOT('Financing assumptions onshore'!$F$63)),0)</f>
        <v>0</v>
      </c>
      <c r="AB51" s="183">
        <f ca="1">IFERROR('Financing assumptions onshore'!$F$71*OR(AA7,NOT('Financing assumptions onshore'!$F$63)),0)</f>
        <v>0</v>
      </c>
      <c r="AC51" s="183">
        <f ca="1">IFERROR('Financing assumptions onshore'!$F$71*OR(AB7,NOT('Financing assumptions onshore'!$F$63)),0)</f>
        <v>0</v>
      </c>
      <c r="AD51" s="183">
        <f ca="1">IFERROR('Financing assumptions onshore'!$F$71*OR(AC7,NOT('Financing assumptions onshore'!$F$63)),0)</f>
        <v>0</v>
      </c>
      <c r="AE51" s="183">
        <f ca="1">IFERROR('Financing assumptions onshore'!$F$71*OR(AD7,NOT('Financing assumptions onshore'!$F$63)),0)</f>
        <v>0</v>
      </c>
      <c r="AF51" s="183">
        <f ca="1">IFERROR('Financing assumptions onshore'!$F$71*OR(AE7,NOT('Financing assumptions onshore'!$F$63)),0)</f>
        <v>0</v>
      </c>
      <c r="AG51" s="183">
        <f ca="1">IFERROR('Financing assumptions onshore'!$F$71*OR(AF7,NOT('Financing assumptions onshore'!$F$63)),0)</f>
        <v>0</v>
      </c>
    </row>
    <row r="52" spans="3:33" s="195" customFormat="1" ht="13.7">
      <c r="C52" s="195" t="s">
        <v>1034</v>
      </c>
      <c r="D52" s="195">
        <f ca="1">MIN(D50*D51,D48)</f>
        <v>0</v>
      </c>
      <c r="E52" s="195">
        <f t="shared" ref="E52:AF52" ca="1" si="17">MIN(E50*E51,E48)</f>
        <v>0</v>
      </c>
      <c r="F52" s="195">
        <f t="shared" ca="1" si="17"/>
        <v>0</v>
      </c>
      <c r="G52" s="195">
        <f t="shared" ca="1" si="17"/>
        <v>0</v>
      </c>
      <c r="H52" s="195">
        <f t="shared" ca="1" si="17"/>
        <v>0</v>
      </c>
      <c r="I52" s="195">
        <f t="shared" ca="1" si="17"/>
        <v>0</v>
      </c>
      <c r="J52" s="195">
        <f t="shared" ca="1" si="17"/>
        <v>0</v>
      </c>
      <c r="K52" s="195">
        <f t="shared" ca="1" si="17"/>
        <v>0</v>
      </c>
      <c r="L52" s="195">
        <f t="shared" ca="1" si="17"/>
        <v>0</v>
      </c>
      <c r="M52" s="195">
        <f t="shared" ca="1" si="17"/>
        <v>0</v>
      </c>
      <c r="N52" s="195">
        <f t="shared" ca="1" si="17"/>
        <v>0</v>
      </c>
      <c r="O52" s="195">
        <f t="shared" ca="1" si="17"/>
        <v>0</v>
      </c>
      <c r="P52" s="195">
        <f t="shared" ca="1" si="17"/>
        <v>0</v>
      </c>
      <c r="Q52" s="195">
        <f t="shared" ca="1" si="17"/>
        <v>0</v>
      </c>
      <c r="R52" s="195">
        <f t="shared" ca="1" si="17"/>
        <v>0</v>
      </c>
      <c r="S52" s="195">
        <f t="shared" ca="1" si="17"/>
        <v>0</v>
      </c>
      <c r="T52" s="195">
        <f t="shared" ca="1" si="17"/>
        <v>0</v>
      </c>
      <c r="U52" s="195">
        <f t="shared" ca="1" si="17"/>
        <v>0</v>
      </c>
      <c r="V52" s="195">
        <f t="shared" ca="1" si="17"/>
        <v>0</v>
      </c>
      <c r="W52" s="195">
        <f t="shared" ca="1" si="17"/>
        <v>0</v>
      </c>
      <c r="X52" s="195">
        <f t="shared" ca="1" si="17"/>
        <v>0</v>
      </c>
      <c r="Y52" s="195">
        <f t="shared" ca="1" si="17"/>
        <v>0</v>
      </c>
      <c r="Z52" s="195">
        <f t="shared" ca="1" si="17"/>
        <v>0</v>
      </c>
      <c r="AA52" s="195">
        <f t="shared" ca="1" si="17"/>
        <v>0</v>
      </c>
      <c r="AB52" s="195" t="e">
        <f t="shared" ca="1" si="17"/>
        <v>#N/A</v>
      </c>
      <c r="AC52" s="195" t="e">
        <f t="shared" ca="1" si="17"/>
        <v>#N/A</v>
      </c>
      <c r="AD52" s="195" t="e">
        <f t="shared" ca="1" si="17"/>
        <v>#N/A</v>
      </c>
      <c r="AE52" s="195" t="e">
        <f t="shared" ca="1" si="17"/>
        <v>#N/A</v>
      </c>
      <c r="AF52" s="195" t="e">
        <f t="shared" ca="1" si="17"/>
        <v>#N/A</v>
      </c>
      <c r="AG52" s="195" t="e">
        <f t="shared" ref="AG52" ca="1" si="18">MIN(AG50*AG51,AG48)</f>
        <v>#N/A</v>
      </c>
    </row>
    <row r="54" spans="3:33">
      <c r="C54" s="394"/>
    </row>
  </sheetData>
  <phoneticPr fontId="52" type="noConversion"/>
  <conditionalFormatting sqref="D5:AF7">
    <cfRule type="cellIs" dxfId="32" priority="14" operator="equal">
      <formula>TRUE</formula>
    </cfRule>
  </conditionalFormatting>
  <conditionalFormatting sqref="D5:AF5">
    <cfRule type="cellIs" dxfId="31" priority="13" operator="equal">
      <formula>TRUE</formula>
    </cfRule>
  </conditionalFormatting>
  <conditionalFormatting sqref="D5:AF5">
    <cfRule type="cellIs" dxfId="30" priority="12" operator="equal">
      <formula>TRUE</formula>
    </cfRule>
  </conditionalFormatting>
  <conditionalFormatting sqref="D5:AF5">
    <cfRule type="cellIs" dxfId="29" priority="11" operator="equal">
      <formula>TRUE</formula>
    </cfRule>
  </conditionalFormatting>
  <conditionalFormatting sqref="D6:AF7">
    <cfRule type="cellIs" dxfId="28" priority="10" operator="equal">
      <formula>TRUE</formula>
    </cfRule>
  </conditionalFormatting>
  <conditionalFormatting sqref="D6:AF7">
    <cfRule type="cellIs" dxfId="27" priority="9" operator="equal">
      <formula>TRUE</formula>
    </cfRule>
  </conditionalFormatting>
  <conditionalFormatting sqref="D6:AF7">
    <cfRule type="cellIs" dxfId="26" priority="8" operator="equal">
      <formula>TRUE</formula>
    </cfRule>
  </conditionalFormatting>
  <conditionalFormatting sqref="AG5:AG7">
    <cfRule type="cellIs" dxfId="25" priority="7" operator="equal">
      <formula>TRUE</formula>
    </cfRule>
  </conditionalFormatting>
  <conditionalFormatting sqref="AG5">
    <cfRule type="cellIs" dxfId="24" priority="6" operator="equal">
      <formula>TRUE</formula>
    </cfRule>
  </conditionalFormatting>
  <conditionalFormatting sqref="AG5">
    <cfRule type="cellIs" dxfId="23" priority="5" operator="equal">
      <formula>TRUE</formula>
    </cfRule>
  </conditionalFormatting>
  <conditionalFormatting sqref="AG5">
    <cfRule type="cellIs" dxfId="22" priority="4" operator="equal">
      <formula>TRUE</formula>
    </cfRule>
  </conditionalFormatting>
  <conditionalFormatting sqref="AG6:AG7">
    <cfRule type="cellIs" dxfId="21" priority="3" operator="equal">
      <formula>TRUE</formula>
    </cfRule>
  </conditionalFormatting>
  <conditionalFormatting sqref="AG6:AG7">
    <cfRule type="cellIs" dxfId="20" priority="2" operator="equal">
      <formula>TRUE</formula>
    </cfRule>
  </conditionalFormatting>
  <conditionalFormatting sqref="AG6:AG7">
    <cfRule type="cellIs" dxfId="19" priority="1" operator="equal">
      <formula>TRUE</formula>
    </cfRule>
  </conditionalFormatting>
  <dataValidations count="1">
    <dataValidation type="list" allowBlank="1" showInputMessage="1" showErrorMessage="1" sqref="B13:B25">
      <formula1>"TRUE,FALSE"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9681" r:id="rId3" name="Drop Down 1">
              <controlPr defaultSize="0" autoLine="0" autoPict="0">
                <anchor moveWithCells="1">
                  <from>
                    <xdr:col>4</xdr:col>
                    <xdr:colOff>9144</xdr:colOff>
                    <xdr:row>10</xdr:row>
                    <xdr:rowOff>0</xdr:rowOff>
                  </from>
                  <to>
                    <xdr:col>5</xdr:col>
                    <xdr:colOff>155448</xdr:colOff>
                    <xdr:row>11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tabColor theme="0"/>
  </sheetPr>
  <dimension ref="B1:AG88"/>
  <sheetViews>
    <sheetView topLeftCell="D43" zoomScale="90" zoomScaleNormal="90" workbookViewId="0">
      <selection activeCell="K97" sqref="K97"/>
    </sheetView>
  </sheetViews>
  <sheetFormatPr defaultColWidth="9.140625" defaultRowHeight="13.7" outlineLevelRow="1" outlineLevelCol="1"/>
  <cols>
    <col min="1" max="1" width="4.85546875" style="52" customWidth="1"/>
    <col min="2" max="2" width="20" style="52" customWidth="1"/>
    <col min="3" max="3" width="28.42578125" style="52" customWidth="1"/>
    <col min="4" max="5" width="14.42578125" style="52" bestFit="1" customWidth="1" outlineLevel="1"/>
    <col min="6" max="6" width="16.85546875" style="52" bestFit="1" customWidth="1" outlineLevel="1"/>
    <col min="7" max="8" width="14.42578125" style="52" bestFit="1" customWidth="1"/>
    <col min="9" max="9" width="16" style="52" bestFit="1" customWidth="1"/>
    <col min="10" max="11" width="14.42578125" style="52" bestFit="1" customWidth="1"/>
    <col min="12" max="12" width="16.85546875" style="52" bestFit="1" customWidth="1"/>
    <col min="13" max="19" width="14.42578125" style="52" bestFit="1" customWidth="1"/>
    <col min="20" max="20" width="14.42578125" style="52" customWidth="1"/>
    <col min="21" max="23" width="14.42578125" style="52" bestFit="1" customWidth="1"/>
    <col min="24" max="26" width="11.5703125" style="52" bestFit="1" customWidth="1"/>
    <col min="27" max="27" width="12.85546875" style="52" bestFit="1" customWidth="1"/>
    <col min="28" max="28" width="11.5703125" style="52" bestFit="1" customWidth="1"/>
    <col min="29" max="31" width="9.140625" style="52"/>
    <col min="32" max="32" width="11" style="52" customWidth="1"/>
    <col min="33" max="33" width="13.28515625" style="52" customWidth="1"/>
    <col min="34" max="16384" width="9.140625" style="52"/>
  </cols>
  <sheetData>
    <row r="1" spans="3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33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3:33" s="1" customFormat="1" ht="14.6" hidden="1" customHeight="1" outlineLevel="1"/>
    <row r="4" spans="3:33" s="34" customFormat="1" ht="14.6" customHeight="1" collapsed="1">
      <c r="C4" s="307" t="s">
        <v>719</v>
      </c>
      <c r="D4" s="307">
        <f>EOMONTH('Control Panel'!B11,2)</f>
        <v>43555</v>
      </c>
      <c r="E4" s="307">
        <f>EOMONTH(D4,3)</f>
        <v>43646</v>
      </c>
      <c r="F4" s="307">
        <f t="shared" ref="F4:AG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si="0"/>
        <v>45838</v>
      </c>
      <c r="AD4" s="307">
        <f t="shared" si="0"/>
        <v>45930</v>
      </c>
      <c r="AE4" s="307">
        <f t="shared" si="0"/>
        <v>46022</v>
      </c>
      <c r="AF4" s="307">
        <f t="shared" si="0"/>
        <v>46112</v>
      </c>
      <c r="AG4" s="307">
        <f t="shared" si="0"/>
        <v>46203</v>
      </c>
    </row>
    <row r="5" spans="3:33" s="28" customFormat="1" ht="14.6" customHeight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3:33" s="28" customFormat="1" ht="14.6" customHeight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3:33" s="1" customFormat="1" ht="14.6" customHeight="1">
      <c r="C7" s="209"/>
      <c r="D7" s="413">
        <f>YEAR(D4)</f>
        <v>2019</v>
      </c>
      <c r="E7" s="413">
        <f t="shared" ref="E7:AF7" si="1">YEAR(E4)</f>
        <v>2019</v>
      </c>
      <c r="F7" s="413">
        <f t="shared" si="1"/>
        <v>2019</v>
      </c>
      <c r="G7" s="413">
        <f t="shared" si="1"/>
        <v>2019</v>
      </c>
      <c r="H7" s="413">
        <f t="shared" si="1"/>
        <v>2020</v>
      </c>
      <c r="I7" s="413">
        <f t="shared" si="1"/>
        <v>2020</v>
      </c>
      <c r="J7" s="413">
        <f t="shared" si="1"/>
        <v>2020</v>
      </c>
      <c r="K7" s="413">
        <f t="shared" si="1"/>
        <v>2020</v>
      </c>
      <c r="L7" s="413">
        <f t="shared" si="1"/>
        <v>2021</v>
      </c>
      <c r="M7" s="413">
        <f t="shared" si="1"/>
        <v>2021</v>
      </c>
      <c r="N7" s="413">
        <f t="shared" si="1"/>
        <v>2021</v>
      </c>
      <c r="O7" s="413">
        <f t="shared" si="1"/>
        <v>2021</v>
      </c>
      <c r="P7" s="413">
        <f t="shared" si="1"/>
        <v>2022</v>
      </c>
      <c r="Q7" s="413">
        <f t="shared" si="1"/>
        <v>2022</v>
      </c>
      <c r="R7" s="413">
        <f t="shared" si="1"/>
        <v>2022</v>
      </c>
      <c r="S7" s="413">
        <f t="shared" si="1"/>
        <v>2022</v>
      </c>
      <c r="T7" s="413">
        <f t="shared" si="1"/>
        <v>2023</v>
      </c>
      <c r="U7" s="413">
        <f t="shared" si="1"/>
        <v>2023</v>
      </c>
      <c r="V7" s="413">
        <f t="shared" si="1"/>
        <v>2023</v>
      </c>
      <c r="W7" s="413">
        <f t="shared" si="1"/>
        <v>2023</v>
      </c>
      <c r="X7" s="413">
        <f t="shared" si="1"/>
        <v>2024</v>
      </c>
      <c r="Y7" s="413">
        <f t="shared" si="1"/>
        <v>2024</v>
      </c>
      <c r="Z7" s="413">
        <f t="shared" si="1"/>
        <v>2024</v>
      </c>
      <c r="AA7" s="413">
        <f t="shared" si="1"/>
        <v>2024</v>
      </c>
      <c r="AB7" s="413">
        <f t="shared" si="1"/>
        <v>2025</v>
      </c>
      <c r="AC7" s="413">
        <f t="shared" si="1"/>
        <v>2025</v>
      </c>
      <c r="AD7" s="413">
        <f t="shared" si="1"/>
        <v>2025</v>
      </c>
      <c r="AE7" s="413">
        <f t="shared" si="1"/>
        <v>2025</v>
      </c>
      <c r="AF7" s="413">
        <f t="shared" si="1"/>
        <v>2026</v>
      </c>
      <c r="AG7" s="413">
        <f t="shared" ref="AG7" si="2">YEAR(AG4)</f>
        <v>2026</v>
      </c>
    </row>
    <row r="8" spans="3:33" s="1" customFormat="1" ht="14.6" customHeight="1">
      <c r="C8" s="209"/>
      <c r="D8" s="309">
        <f>M2</f>
        <v>1</v>
      </c>
      <c r="E8" s="309">
        <f>IF(D8=4,1,D8+1)</f>
        <v>2</v>
      </c>
      <c r="F8" s="309">
        <f>IF(E8=4,1,E8+1)</f>
        <v>3</v>
      </c>
      <c r="G8" s="309">
        <f>IF(F8=4,1,F8+1)</f>
        <v>4</v>
      </c>
      <c r="H8" s="309">
        <f>IF(G8=4,1,G8+1)</f>
        <v>1</v>
      </c>
      <c r="I8" s="309">
        <f t="shared" ref="I8:AG8" si="3">IF(H8=4,1,H8+1)</f>
        <v>2</v>
      </c>
      <c r="J8" s="309">
        <f t="shared" si="3"/>
        <v>3</v>
      </c>
      <c r="K8" s="309">
        <f t="shared" si="3"/>
        <v>4</v>
      </c>
      <c r="L8" s="309">
        <f t="shared" si="3"/>
        <v>1</v>
      </c>
      <c r="M8" s="309">
        <f t="shared" si="3"/>
        <v>2</v>
      </c>
      <c r="N8" s="309">
        <f t="shared" si="3"/>
        <v>3</v>
      </c>
      <c r="O8" s="309">
        <f t="shared" si="3"/>
        <v>4</v>
      </c>
      <c r="P8" s="309">
        <f t="shared" si="3"/>
        <v>1</v>
      </c>
      <c r="Q8" s="309">
        <f t="shared" si="3"/>
        <v>2</v>
      </c>
      <c r="R8" s="309">
        <f t="shared" si="3"/>
        <v>3</v>
      </c>
      <c r="S8" s="309">
        <f t="shared" si="3"/>
        <v>4</v>
      </c>
      <c r="T8" s="309">
        <f t="shared" si="3"/>
        <v>1</v>
      </c>
      <c r="U8" s="309">
        <f t="shared" si="3"/>
        <v>2</v>
      </c>
      <c r="V8" s="309">
        <f t="shared" si="3"/>
        <v>3</v>
      </c>
      <c r="W8" s="309">
        <f t="shared" si="3"/>
        <v>4</v>
      </c>
      <c r="X8" s="309">
        <f t="shared" si="3"/>
        <v>1</v>
      </c>
      <c r="Y8" s="309">
        <f t="shared" si="3"/>
        <v>2</v>
      </c>
      <c r="Z8" s="309">
        <f t="shared" si="3"/>
        <v>3</v>
      </c>
      <c r="AA8" s="309">
        <f t="shared" si="3"/>
        <v>4</v>
      </c>
      <c r="AB8" s="309">
        <f t="shared" si="3"/>
        <v>1</v>
      </c>
      <c r="AC8" s="309">
        <f t="shared" si="3"/>
        <v>2</v>
      </c>
      <c r="AD8" s="309">
        <f t="shared" si="3"/>
        <v>3</v>
      </c>
      <c r="AE8" s="309">
        <f t="shared" si="3"/>
        <v>4</v>
      </c>
      <c r="AF8" s="309">
        <f t="shared" si="3"/>
        <v>1</v>
      </c>
      <c r="AG8" s="309">
        <f t="shared" si="3"/>
        <v>2</v>
      </c>
    </row>
    <row r="9" spans="3:33" outlineLevel="1"/>
    <row r="10" spans="3:33" outlineLevel="1">
      <c r="C10" s="209" t="s">
        <v>784</v>
      </c>
      <c r="D10" s="209"/>
    </row>
    <row r="11" spans="3:33" ht="14.4" outlineLevel="1">
      <c r="C11" s="1" t="s">
        <v>785</v>
      </c>
      <c r="D11" s="197">
        <v>1</v>
      </c>
    </row>
    <row r="12" spans="3:33" ht="14.4" outlineLevel="1">
      <c r="C12" s="1" t="s">
        <v>786</v>
      </c>
      <c r="D12" s="283">
        <f>G4</f>
        <v>43830</v>
      </c>
    </row>
    <row r="13" spans="3:33" outlineLevel="1"/>
    <row r="14" spans="3:33" outlineLevel="1">
      <c r="C14" s="209" t="s">
        <v>967</v>
      </c>
      <c r="D14" s="209"/>
      <c r="E14" s="209"/>
      <c r="F14" s="209"/>
      <c r="G14" s="209"/>
      <c r="H14" s="209"/>
      <c r="I14" s="209"/>
      <c r="J14" s="209"/>
      <c r="K14" s="209"/>
      <c r="L14" s="209"/>
      <c r="M14" s="209"/>
      <c r="N14" s="209"/>
      <c r="O14" s="209"/>
      <c r="P14" s="209"/>
      <c r="Q14" s="209"/>
      <c r="R14" s="209"/>
      <c r="S14" s="209"/>
      <c r="T14" s="209"/>
      <c r="U14" s="209"/>
      <c r="V14" s="209"/>
      <c r="W14" s="209"/>
      <c r="X14" s="209"/>
      <c r="Y14" s="209"/>
      <c r="Z14" s="209"/>
      <c r="AA14" s="209"/>
      <c r="AB14" s="209"/>
      <c r="AC14" s="209"/>
      <c r="AD14" s="209"/>
      <c r="AE14" s="209"/>
      <c r="AF14" s="209"/>
      <c r="AG14" s="209"/>
    </row>
    <row r="15" spans="3:33" outlineLevel="1">
      <c r="C15" s="291" t="s">
        <v>761</v>
      </c>
      <c r="D15" s="291">
        <f>'Financial Quarterly onshore'!D25+'Financial Quarterly onshore'!D38+'Financial Quarterly onshore'!D51+'Financial Quarterly onshore'!D80</f>
        <v>0</v>
      </c>
      <c r="E15" s="291">
        <f ca="1">'Financial Quarterly onshore'!E25+'Financial Quarterly onshore'!E38+'Financial Quarterly onshore'!E51+'Financial Quarterly onshore'!E80</f>
        <v>0</v>
      </c>
      <c r="F15" s="291">
        <f ca="1">'Financial Quarterly onshore'!F25+'Financial Quarterly onshore'!F38+'Financial Quarterly onshore'!F51+'Financial Quarterly onshore'!F80</f>
        <v>0</v>
      </c>
      <c r="G15" s="291">
        <f ca="1">'Financial Quarterly onshore'!G25+'Financial Quarterly onshore'!G38+'Financial Quarterly onshore'!G51+'Financial Quarterly onshore'!G80</f>
        <v>0</v>
      </c>
      <c r="H15" s="291">
        <f ca="1">'Financial Quarterly onshore'!H25+'Financial Quarterly onshore'!H38+'Financial Quarterly onshore'!H51+'Financial Quarterly onshore'!H80</f>
        <v>0</v>
      </c>
      <c r="I15" s="291">
        <f ca="1">'Financial Quarterly onshore'!I25+'Financial Quarterly onshore'!I38+'Financial Quarterly onshore'!I51+'Financial Quarterly onshore'!I80</f>
        <v>0</v>
      </c>
      <c r="J15" s="291">
        <f ca="1">'Financial Quarterly onshore'!J25+'Financial Quarterly onshore'!J38+'Financial Quarterly onshore'!J51+'Financial Quarterly onshore'!J80</f>
        <v>0</v>
      </c>
      <c r="K15" s="291">
        <f ca="1">'Financial Quarterly onshore'!K25+'Financial Quarterly onshore'!K38+'Financial Quarterly onshore'!K51+'Financial Quarterly onshore'!K80</f>
        <v>0</v>
      </c>
      <c r="L15" s="291">
        <f ca="1">'Financial Quarterly onshore'!L25+'Financial Quarterly onshore'!L38+'Financial Quarterly onshore'!L51+'Financial Quarterly onshore'!L80</f>
        <v>0</v>
      </c>
      <c r="M15" s="291">
        <f ca="1">'Financial Quarterly onshore'!M25+'Financial Quarterly onshore'!M38+'Financial Quarterly onshore'!M51+'Financial Quarterly onshore'!M80</f>
        <v>0</v>
      </c>
      <c r="N15" s="291">
        <f ca="1">'Financial Quarterly onshore'!N25+'Financial Quarterly onshore'!N38+'Financial Quarterly onshore'!N51+'Financial Quarterly onshore'!N80</f>
        <v>0</v>
      </c>
      <c r="O15" s="291">
        <f ca="1">'Financial Quarterly onshore'!O25+'Financial Quarterly onshore'!O38+'Financial Quarterly onshore'!O51+'Financial Quarterly onshore'!O80</f>
        <v>0</v>
      </c>
      <c r="P15" s="291">
        <f ca="1">'Financial Quarterly onshore'!P25+'Financial Quarterly onshore'!P38+'Financial Quarterly onshore'!P51+'Financial Quarterly onshore'!P80</f>
        <v>0</v>
      </c>
      <c r="Q15" s="291">
        <f ca="1">'Financial Quarterly onshore'!Q25+'Financial Quarterly onshore'!Q38+'Financial Quarterly onshore'!Q51+'Financial Quarterly onshore'!Q80</f>
        <v>0</v>
      </c>
      <c r="R15" s="291">
        <f ca="1">'Financial Quarterly onshore'!R25+'Financial Quarterly onshore'!R38+'Financial Quarterly onshore'!R51+'Financial Quarterly onshore'!R80</f>
        <v>0</v>
      </c>
      <c r="S15" s="291">
        <f ca="1">'Financial Quarterly onshore'!S25+'Financial Quarterly onshore'!S38+'Financial Quarterly onshore'!S51+'Financial Quarterly onshore'!S80</f>
        <v>0</v>
      </c>
      <c r="T15" s="291">
        <f ca="1">'Financial Quarterly onshore'!T25+'Financial Quarterly onshore'!T38+'Financial Quarterly onshore'!T51+'Financial Quarterly onshore'!T80</f>
        <v>0</v>
      </c>
      <c r="U15" s="291">
        <f ca="1">'Financial Quarterly onshore'!U25+'Financial Quarterly onshore'!U38+'Financial Quarterly onshore'!U51+'Financial Quarterly onshore'!U80</f>
        <v>0</v>
      </c>
      <c r="V15" s="291">
        <f ca="1">'Financial Quarterly onshore'!V25+'Financial Quarterly onshore'!V38+'Financial Quarterly onshore'!V51+'Financial Quarterly onshore'!V80</f>
        <v>0</v>
      </c>
      <c r="W15" s="291">
        <f ca="1">'Financial Quarterly onshore'!W25+'Financial Quarterly onshore'!W38+'Financial Quarterly onshore'!W51+'Financial Quarterly onshore'!W80</f>
        <v>0</v>
      </c>
      <c r="X15" s="291">
        <f ca="1">'Financial Quarterly onshore'!X25+'Financial Quarterly onshore'!X38+'Financial Quarterly onshore'!X51+'Financial Quarterly onshore'!X80</f>
        <v>0</v>
      </c>
      <c r="Y15" s="291">
        <f ca="1">'Financial Quarterly onshore'!Y25+'Financial Quarterly onshore'!Y38+'Financial Quarterly onshore'!Y51+'Financial Quarterly onshore'!Y80</f>
        <v>0</v>
      </c>
      <c r="Z15" s="291">
        <f ca="1">'Financial Quarterly onshore'!Z25+'Financial Quarterly onshore'!Z38+'Financial Quarterly onshore'!Z51+'Financial Quarterly onshore'!Z80</f>
        <v>0</v>
      </c>
      <c r="AA15" s="291">
        <f ca="1">'Financial Quarterly onshore'!AA25+'Financial Quarterly onshore'!AA38+'Financial Quarterly onshore'!AA51+'Financial Quarterly onshore'!AA80</f>
        <v>0</v>
      </c>
      <c r="AB15" s="291" t="e">
        <f ca="1">'Financial Quarterly onshore'!AB25+'Financial Quarterly onshore'!AB38+'Financial Quarterly onshore'!AB51+'Financial Quarterly onshore'!AB80</f>
        <v>#N/A</v>
      </c>
      <c r="AC15" s="291" t="e">
        <f ca="1">'Financial Quarterly onshore'!AC25+'Financial Quarterly onshore'!AC38+'Financial Quarterly onshore'!AC51+'Financial Quarterly onshore'!AC80</f>
        <v>#N/A</v>
      </c>
      <c r="AD15" s="291" t="e">
        <f ca="1">'Financial Quarterly onshore'!AD25+'Financial Quarterly onshore'!AD38+'Financial Quarterly onshore'!AD51+'Financial Quarterly onshore'!AD80</f>
        <v>#N/A</v>
      </c>
      <c r="AE15" s="291" t="e">
        <f ca="1">'Financial Quarterly onshore'!AE25+'Financial Quarterly onshore'!AE38+'Financial Quarterly onshore'!AE51+'Financial Quarterly onshore'!AE80</f>
        <v>#N/A</v>
      </c>
      <c r="AF15" s="291" t="e">
        <f ca="1">'Financial Quarterly onshore'!AF25+'Financial Quarterly onshore'!AF38+'Financial Quarterly onshore'!AF51+'Financial Quarterly onshore'!AF80</f>
        <v>#N/A</v>
      </c>
      <c r="AG15" s="291" t="e">
        <f ca="1">'Financial Quarterly onshore'!AG25+'Financial Quarterly onshore'!AG38+'Financial Quarterly onshore'!AG51+'Financial Quarterly onshore'!AG80</f>
        <v>#N/A</v>
      </c>
    </row>
    <row r="16" spans="3:33" outlineLevel="1">
      <c r="C16" s="291" t="s">
        <v>762</v>
      </c>
      <c r="D16" s="291">
        <f>+'Financial Quarterly onshore'!D67</f>
        <v>0</v>
      </c>
      <c r="E16" s="291">
        <f ca="1">+'Financial Quarterly onshore'!E67</f>
        <v>0</v>
      </c>
      <c r="F16" s="291">
        <f ca="1">+'Financial Quarterly onshore'!F67</f>
        <v>0</v>
      </c>
      <c r="G16" s="291">
        <f ca="1">+'Financial Quarterly onshore'!G67</f>
        <v>0</v>
      </c>
      <c r="H16" s="291">
        <f ca="1">+'Financial Quarterly onshore'!H67</f>
        <v>0</v>
      </c>
      <c r="I16" s="291">
        <f ca="1">+'Financial Quarterly onshore'!I67</f>
        <v>0</v>
      </c>
      <c r="J16" s="291">
        <f ca="1">+'Financial Quarterly onshore'!J67</f>
        <v>0</v>
      </c>
      <c r="K16" s="291">
        <f ca="1">+'Financial Quarterly onshore'!K67</f>
        <v>0</v>
      </c>
      <c r="L16" s="291">
        <f ca="1">+'Financial Quarterly onshore'!L67</f>
        <v>0</v>
      </c>
      <c r="M16" s="291">
        <f ca="1">+'Financial Quarterly onshore'!M67</f>
        <v>0</v>
      </c>
      <c r="N16" s="291">
        <f ca="1">+'Financial Quarterly onshore'!N67</f>
        <v>0</v>
      </c>
      <c r="O16" s="291">
        <f ca="1">+'Financial Quarterly onshore'!O67</f>
        <v>0</v>
      </c>
      <c r="P16" s="291">
        <f ca="1">+'Financial Quarterly onshore'!P67</f>
        <v>0</v>
      </c>
      <c r="Q16" s="291">
        <f ca="1">+'Financial Quarterly onshore'!Q67</f>
        <v>0</v>
      </c>
      <c r="R16" s="291">
        <f ca="1">+'Financial Quarterly onshore'!R67</f>
        <v>0</v>
      </c>
      <c r="S16" s="291">
        <f ca="1">+'Financial Quarterly onshore'!S67</f>
        <v>0</v>
      </c>
      <c r="T16" s="291">
        <f ca="1">+'Financial Quarterly onshore'!T67</f>
        <v>0</v>
      </c>
      <c r="U16" s="291">
        <f ca="1">+'Financial Quarterly onshore'!U67</f>
        <v>0</v>
      </c>
      <c r="V16" s="291">
        <f ca="1">+'Financial Quarterly onshore'!V67</f>
        <v>0</v>
      </c>
      <c r="W16" s="291">
        <f ca="1">+'Financial Quarterly onshore'!W67</f>
        <v>0</v>
      </c>
      <c r="X16" s="291">
        <f ca="1">+'Financial Quarterly onshore'!X67</f>
        <v>0</v>
      </c>
      <c r="Y16" s="291">
        <f ca="1">+'Financial Quarterly onshore'!Y67</f>
        <v>0</v>
      </c>
      <c r="Z16" s="291">
        <f ca="1">+'Financial Quarterly onshore'!Z67</f>
        <v>0</v>
      </c>
      <c r="AA16" s="291">
        <f ca="1">+'Financial Quarterly onshore'!AA67</f>
        <v>0</v>
      </c>
      <c r="AB16" s="291" t="e">
        <f ca="1">+'Financial Quarterly onshore'!AB67</f>
        <v>#N/A</v>
      </c>
      <c r="AC16" s="291" t="e">
        <f ca="1">+'Financial Quarterly onshore'!AC67</f>
        <v>#N/A</v>
      </c>
      <c r="AD16" s="291" t="e">
        <f ca="1">+'Financial Quarterly onshore'!AD67</f>
        <v>#N/A</v>
      </c>
      <c r="AE16" s="291" t="e">
        <f ca="1">+'Financial Quarterly onshore'!AE67</f>
        <v>#N/A</v>
      </c>
      <c r="AF16" s="291" t="e">
        <f ca="1">+'Financial Quarterly onshore'!AF67</f>
        <v>#N/A</v>
      </c>
      <c r="AG16" s="291" t="e">
        <f ca="1">+'Financial Quarterly onshore'!AG67</f>
        <v>#N/A</v>
      </c>
    </row>
    <row r="17" spans="3:33" outlineLevel="1">
      <c r="C17" s="180" t="s">
        <v>763</v>
      </c>
      <c r="D17" s="180">
        <f>SUM(D15:D16)</f>
        <v>0</v>
      </c>
      <c r="E17" s="180">
        <f t="shared" ref="E17:AF17" ca="1" si="4">SUM(E15:E16)</f>
        <v>0</v>
      </c>
      <c r="F17" s="180">
        <f t="shared" ca="1" si="4"/>
        <v>0</v>
      </c>
      <c r="G17" s="180">
        <f t="shared" ca="1" si="4"/>
        <v>0</v>
      </c>
      <c r="H17" s="180">
        <f t="shared" ca="1" si="4"/>
        <v>0</v>
      </c>
      <c r="I17" s="180">
        <f t="shared" ca="1" si="4"/>
        <v>0</v>
      </c>
      <c r="J17" s="180">
        <f t="shared" ca="1" si="4"/>
        <v>0</v>
      </c>
      <c r="K17" s="180">
        <f t="shared" ca="1" si="4"/>
        <v>0</v>
      </c>
      <c r="L17" s="180">
        <f t="shared" ca="1" si="4"/>
        <v>0</v>
      </c>
      <c r="M17" s="180">
        <f t="shared" ca="1" si="4"/>
        <v>0</v>
      </c>
      <c r="N17" s="180">
        <f t="shared" ca="1" si="4"/>
        <v>0</v>
      </c>
      <c r="O17" s="180">
        <f t="shared" ca="1" si="4"/>
        <v>0</v>
      </c>
      <c r="P17" s="180">
        <f t="shared" ca="1" si="4"/>
        <v>0</v>
      </c>
      <c r="Q17" s="180">
        <f t="shared" ca="1" si="4"/>
        <v>0</v>
      </c>
      <c r="R17" s="180">
        <f t="shared" ca="1" si="4"/>
        <v>0</v>
      </c>
      <c r="S17" s="180">
        <f t="shared" ca="1" si="4"/>
        <v>0</v>
      </c>
      <c r="T17" s="180">
        <f t="shared" ca="1" si="4"/>
        <v>0</v>
      </c>
      <c r="U17" s="180">
        <f t="shared" ca="1" si="4"/>
        <v>0</v>
      </c>
      <c r="V17" s="180">
        <f t="shared" ca="1" si="4"/>
        <v>0</v>
      </c>
      <c r="W17" s="180">
        <f t="shared" ca="1" si="4"/>
        <v>0</v>
      </c>
      <c r="X17" s="180">
        <f t="shared" ca="1" si="4"/>
        <v>0</v>
      </c>
      <c r="Y17" s="180">
        <f t="shared" ca="1" si="4"/>
        <v>0</v>
      </c>
      <c r="Z17" s="180">
        <f t="shared" ca="1" si="4"/>
        <v>0</v>
      </c>
      <c r="AA17" s="180">
        <f t="shared" ca="1" si="4"/>
        <v>0</v>
      </c>
      <c r="AB17" s="180" t="e">
        <f t="shared" ca="1" si="4"/>
        <v>#N/A</v>
      </c>
      <c r="AC17" s="180" t="e">
        <f t="shared" ca="1" si="4"/>
        <v>#N/A</v>
      </c>
      <c r="AD17" s="180" t="e">
        <f t="shared" ca="1" si="4"/>
        <v>#N/A</v>
      </c>
      <c r="AE17" s="180" t="e">
        <f t="shared" ca="1" si="4"/>
        <v>#N/A</v>
      </c>
      <c r="AF17" s="180" t="e">
        <f t="shared" ca="1" si="4"/>
        <v>#N/A</v>
      </c>
      <c r="AG17" s="180" t="e">
        <f t="shared" ref="AG17" ca="1" si="5">SUM(AG15:AG16)</f>
        <v>#N/A</v>
      </c>
    </row>
    <row r="18" spans="3:33" outlineLevel="1">
      <c r="C18" s="180" t="s">
        <v>703</v>
      </c>
      <c r="D18" s="180">
        <f>'Financial Quarterly onshore'!D13</f>
        <v>0</v>
      </c>
      <c r="E18" s="180">
        <f ca="1">'Financial Quarterly onshore'!E13</f>
        <v>0</v>
      </c>
      <c r="F18" s="180">
        <f ca="1">'Financial Quarterly onshore'!F13</f>
        <v>0</v>
      </c>
      <c r="G18" s="180">
        <f ca="1">'Financial Quarterly onshore'!G13</f>
        <v>0</v>
      </c>
      <c r="H18" s="180">
        <f ca="1">'Financial Quarterly onshore'!H13</f>
        <v>0</v>
      </c>
      <c r="I18" s="180">
        <f ca="1">'Financial Quarterly onshore'!I13</f>
        <v>0</v>
      </c>
      <c r="J18" s="180">
        <f ca="1">'Financial Quarterly onshore'!J13</f>
        <v>0</v>
      </c>
      <c r="K18" s="180">
        <f ca="1">'Financial Quarterly onshore'!K13</f>
        <v>0</v>
      </c>
      <c r="L18" s="180">
        <f ca="1">'Financial Quarterly onshore'!L13</f>
        <v>0</v>
      </c>
      <c r="M18" s="180">
        <f ca="1">'Financial Quarterly onshore'!M13</f>
        <v>0</v>
      </c>
      <c r="N18" s="180">
        <f ca="1">'Financial Quarterly onshore'!N13</f>
        <v>0</v>
      </c>
      <c r="O18" s="180">
        <f ca="1">'Financial Quarterly onshore'!O13</f>
        <v>0</v>
      </c>
      <c r="P18" s="180">
        <f ca="1">'Financial Quarterly onshore'!P13</f>
        <v>0</v>
      </c>
      <c r="Q18" s="180">
        <f ca="1">'Financial Quarterly onshore'!Q13</f>
        <v>0</v>
      </c>
      <c r="R18" s="180">
        <f ca="1">'Financial Quarterly onshore'!R13</f>
        <v>0</v>
      </c>
      <c r="S18" s="180">
        <f ca="1">'Financial Quarterly onshore'!S13</f>
        <v>0</v>
      </c>
      <c r="T18" s="180">
        <f ca="1">'Financial Quarterly onshore'!T13</f>
        <v>0</v>
      </c>
      <c r="U18" s="180">
        <f ca="1">'Financial Quarterly onshore'!U13</f>
        <v>0</v>
      </c>
      <c r="V18" s="180">
        <f ca="1">'Financial Quarterly onshore'!V13</f>
        <v>0</v>
      </c>
      <c r="W18" s="180">
        <f ca="1">'Financial Quarterly onshore'!W13</f>
        <v>0</v>
      </c>
      <c r="X18" s="180">
        <f ca="1">'Financial Quarterly onshore'!X13</f>
        <v>0</v>
      </c>
      <c r="Y18" s="180">
        <f ca="1">'Financial Quarterly onshore'!Y13</f>
        <v>0</v>
      </c>
      <c r="Z18" s="180">
        <f ca="1">'Financial Quarterly onshore'!Z13</f>
        <v>0</v>
      </c>
      <c r="AA18" s="180">
        <f ca="1">'Financial Quarterly onshore'!AA13</f>
        <v>0</v>
      </c>
      <c r="AB18" s="180">
        <f ca="1">'Financial Quarterly onshore'!AB13</f>
        <v>0</v>
      </c>
      <c r="AC18" s="180" t="e">
        <f ca="1">'Financial Quarterly onshore'!AC13</f>
        <v>#N/A</v>
      </c>
      <c r="AD18" s="180" t="e">
        <f ca="1">'Financial Quarterly onshore'!AD13</f>
        <v>#N/A</v>
      </c>
      <c r="AE18" s="180" t="e">
        <f ca="1">'Financial Quarterly onshore'!AE13</f>
        <v>#N/A</v>
      </c>
      <c r="AF18" s="180" t="e">
        <f ca="1">'Financial Quarterly onshore'!AF13</f>
        <v>#N/A</v>
      </c>
      <c r="AG18" s="180" t="e">
        <f ca="1">'Financial Quarterly onshore'!AG13</f>
        <v>#N/A</v>
      </c>
    </row>
    <row r="19" spans="3:33" outlineLevel="1">
      <c r="C19" s="180" t="s">
        <v>704</v>
      </c>
      <c r="D19" s="180">
        <f ca="1">'Financial Quarterly onshore'!D95</f>
        <v>0</v>
      </c>
      <c r="E19" s="180">
        <f ca="1">'Financial Quarterly onshore'!E95</f>
        <v>0</v>
      </c>
      <c r="F19" s="180">
        <f ca="1">'Financial Quarterly onshore'!F95</f>
        <v>0</v>
      </c>
      <c r="G19" s="180">
        <f ca="1">'Financial Quarterly onshore'!G95</f>
        <v>0</v>
      </c>
      <c r="H19" s="180">
        <f ca="1">'Financial Quarterly onshore'!H95</f>
        <v>0</v>
      </c>
      <c r="I19" s="180">
        <f ca="1">'Financial Quarterly onshore'!I95</f>
        <v>0</v>
      </c>
      <c r="J19" s="180">
        <f ca="1">'Financial Quarterly onshore'!J95</f>
        <v>0</v>
      </c>
      <c r="K19" s="180">
        <f ca="1">'Financial Quarterly onshore'!K95</f>
        <v>0</v>
      </c>
      <c r="L19" s="180">
        <f ca="1">'Financial Quarterly onshore'!L95</f>
        <v>0</v>
      </c>
      <c r="M19" s="180">
        <f ca="1">'Financial Quarterly onshore'!M95</f>
        <v>0</v>
      </c>
      <c r="N19" s="180">
        <f ca="1">'Financial Quarterly onshore'!N95</f>
        <v>0</v>
      </c>
      <c r="O19" s="180">
        <f ca="1">'Financial Quarterly onshore'!O95</f>
        <v>0</v>
      </c>
      <c r="P19" s="180">
        <f ca="1">'Financial Quarterly onshore'!P95</f>
        <v>0</v>
      </c>
      <c r="Q19" s="180">
        <f ca="1">'Financial Quarterly onshore'!Q95</f>
        <v>0</v>
      </c>
      <c r="R19" s="180">
        <f ca="1">'Financial Quarterly onshore'!R95</f>
        <v>0</v>
      </c>
      <c r="S19" s="180">
        <f ca="1">'Financial Quarterly onshore'!S95</f>
        <v>0</v>
      </c>
      <c r="T19" s="180">
        <f ca="1">'Financial Quarterly onshore'!T95</f>
        <v>0</v>
      </c>
      <c r="U19" s="180">
        <f ca="1">'Financial Quarterly onshore'!U95</f>
        <v>0</v>
      </c>
      <c r="V19" s="180">
        <f ca="1">'Financial Quarterly onshore'!V95</f>
        <v>0</v>
      </c>
      <c r="W19" s="180">
        <f ca="1">'Financial Quarterly onshore'!W95</f>
        <v>0</v>
      </c>
      <c r="X19" s="180">
        <f ca="1">'Financial Quarterly onshore'!X95</f>
        <v>0</v>
      </c>
      <c r="Y19" s="180">
        <f ca="1">'Financial Quarterly onshore'!Y95</f>
        <v>0</v>
      </c>
      <c r="Z19" s="180">
        <f ca="1">'Financial Quarterly onshore'!Z95</f>
        <v>0</v>
      </c>
      <c r="AA19" s="180">
        <f ca="1">'Financial Quarterly onshore'!AA95</f>
        <v>0</v>
      </c>
      <c r="AB19" s="180" t="e">
        <f ca="1">'Financial Quarterly onshore'!AB95</f>
        <v>#N/A</v>
      </c>
      <c r="AC19" s="180" t="e">
        <f ca="1">'Financial Quarterly onshore'!AC95</f>
        <v>#N/A</v>
      </c>
      <c r="AD19" s="180" t="e">
        <f ca="1">'Financial Quarterly onshore'!AD95</f>
        <v>#N/A</v>
      </c>
      <c r="AE19" s="180" t="e">
        <f ca="1">'Financial Quarterly onshore'!AE95</f>
        <v>#N/A</v>
      </c>
      <c r="AF19" s="180" t="e">
        <f ca="1">'Financial Quarterly onshore'!AF95</f>
        <v>#N/A</v>
      </c>
      <c r="AG19" s="180" t="e">
        <f ca="1">'Financial Quarterly onshore'!AG95</f>
        <v>#N/A</v>
      </c>
    </row>
    <row r="20" spans="3:33" ht="14.4" outlineLevel="1">
      <c r="C20" s="34"/>
    </row>
    <row r="21" spans="3:33" outlineLevel="1">
      <c r="C21" s="291" t="s">
        <v>770</v>
      </c>
      <c r="D21" s="291">
        <f ca="1">'Operating quarterly onshore'!L27+'Financial Quarterly onshore'!D88</f>
        <v>0</v>
      </c>
      <c r="E21" s="291">
        <f ca="1">'Operating quarterly onshore'!M27+'Financial Quarterly onshore'!E88</f>
        <v>0</v>
      </c>
      <c r="F21" s="291">
        <f ca="1">'Operating quarterly onshore'!N27+'Financial Quarterly onshore'!F88</f>
        <v>0</v>
      </c>
      <c r="G21" s="291">
        <f ca="1">'Operating quarterly onshore'!O27+'Financial Quarterly onshore'!G88</f>
        <v>0</v>
      </c>
      <c r="H21" s="291">
        <f ca="1">'Operating quarterly onshore'!P27+'Financial Quarterly onshore'!H88</f>
        <v>0</v>
      </c>
      <c r="I21" s="291">
        <f ca="1">'Operating quarterly onshore'!Q27+'Financial Quarterly onshore'!I88</f>
        <v>0</v>
      </c>
      <c r="J21" s="291">
        <f ca="1">'Operating quarterly onshore'!R27+'Financial Quarterly onshore'!J88</f>
        <v>0</v>
      </c>
      <c r="K21" s="291">
        <f ca="1">'Operating quarterly onshore'!S27+'Financial Quarterly onshore'!K88</f>
        <v>0</v>
      </c>
      <c r="L21" s="291">
        <f ca="1">'Operating quarterly onshore'!T27+'Financial Quarterly onshore'!L88</f>
        <v>0</v>
      </c>
      <c r="M21" s="291">
        <f ca="1">'Operating quarterly onshore'!U27+'Financial Quarterly onshore'!M88</f>
        <v>0</v>
      </c>
      <c r="N21" s="291">
        <f ca="1">'Operating quarterly onshore'!V27+'Financial Quarterly onshore'!N88</f>
        <v>0</v>
      </c>
      <c r="O21" s="291">
        <f ca="1">'Operating quarterly onshore'!W27+'Financial Quarterly onshore'!O88</f>
        <v>0</v>
      </c>
      <c r="P21" s="291">
        <f ca="1">'Operating quarterly onshore'!X27+'Financial Quarterly onshore'!P88</f>
        <v>0</v>
      </c>
      <c r="Q21" s="291">
        <f ca="1">'Operating quarterly onshore'!Y27+'Financial Quarterly onshore'!Q88</f>
        <v>0</v>
      </c>
      <c r="R21" s="291">
        <f ca="1">'Operating quarterly onshore'!Z27+'Financial Quarterly onshore'!R88</f>
        <v>0</v>
      </c>
      <c r="S21" s="291">
        <f ca="1">'Operating quarterly onshore'!AA27+'Financial Quarterly onshore'!S88</f>
        <v>0</v>
      </c>
      <c r="T21" s="291">
        <f ca="1">'Operating quarterly onshore'!AB27+'Financial Quarterly onshore'!T88</f>
        <v>0</v>
      </c>
      <c r="U21" s="291">
        <f ca="1">'Operating quarterly onshore'!AC27+'Financial Quarterly onshore'!U88</f>
        <v>0</v>
      </c>
      <c r="V21" s="291">
        <f ca="1">'Operating quarterly onshore'!AD27+'Financial Quarterly onshore'!V88</f>
        <v>0</v>
      </c>
      <c r="W21" s="291">
        <f ca="1">'Operating quarterly onshore'!AE27+'Financial Quarterly onshore'!W88</f>
        <v>0</v>
      </c>
      <c r="X21" s="291">
        <f ca="1">'Operating quarterly onshore'!AF27+'Financial Quarterly onshore'!X88</f>
        <v>0</v>
      </c>
      <c r="Y21" s="291">
        <f ca="1">'Operating quarterly onshore'!AG27+'Financial Quarterly onshore'!Y88</f>
        <v>0</v>
      </c>
      <c r="Z21" s="291">
        <f ca="1">'Operating quarterly onshore'!AH27+'Financial Quarterly onshore'!Z88</f>
        <v>0</v>
      </c>
      <c r="AA21" s="291">
        <f ca="1">'Operating quarterly onshore'!AI27+'Financial Quarterly onshore'!AA88</f>
        <v>0</v>
      </c>
      <c r="AB21" s="291" t="e">
        <f ca="1">'Operating quarterly onshore'!AJ27+'Financial Quarterly onshore'!AB88</f>
        <v>#N/A</v>
      </c>
      <c r="AC21" s="291" t="e">
        <f ca="1">'Operating quarterly onshore'!AK27+'Financial Quarterly onshore'!AC88</f>
        <v>#N/A</v>
      </c>
      <c r="AD21" s="291" t="e">
        <f ca="1">'Operating quarterly onshore'!AL27+'Financial Quarterly onshore'!AD88</f>
        <v>#N/A</v>
      </c>
      <c r="AE21" s="291" t="e">
        <f ca="1">'Operating quarterly onshore'!AM27+'Financial Quarterly onshore'!AE88</f>
        <v>#N/A</v>
      </c>
      <c r="AF21" s="291" t="e">
        <f ca="1">'Operating quarterly onshore'!AN27+'Financial Quarterly onshore'!AF88</f>
        <v>#N/A</v>
      </c>
      <c r="AG21" s="291" t="e">
        <f ca="1">'Operating quarterly onshore'!AO27+'Financial Quarterly onshore'!AG88</f>
        <v>#N/A</v>
      </c>
    </row>
    <row r="22" spans="3:33" outlineLevel="1">
      <c r="C22" s="291" t="s">
        <v>783</v>
      </c>
      <c r="D22" s="291">
        <f ca="1">'Operating quarterly onshore'!L30</f>
        <v>0</v>
      </c>
      <c r="E22" s="291">
        <f ca="1">'Operating quarterly onshore'!M30</f>
        <v>0</v>
      </c>
      <c r="F22" s="291">
        <f ca="1">'Operating quarterly onshore'!N30</f>
        <v>0</v>
      </c>
      <c r="G22" s="291">
        <f ca="1">'Operating quarterly onshore'!O30</f>
        <v>0</v>
      </c>
      <c r="H22" s="291">
        <f ca="1">'Operating quarterly onshore'!P30</f>
        <v>0</v>
      </c>
      <c r="I22" s="291">
        <f ca="1">'Operating quarterly onshore'!Q30</f>
        <v>0</v>
      </c>
      <c r="J22" s="291">
        <f ca="1">'Operating quarterly onshore'!R30</f>
        <v>0</v>
      </c>
      <c r="K22" s="291">
        <f ca="1">'Operating quarterly onshore'!S30</f>
        <v>0</v>
      </c>
      <c r="L22" s="291">
        <f ca="1">'Operating quarterly onshore'!T30</f>
        <v>0</v>
      </c>
      <c r="M22" s="291">
        <f ca="1">'Operating quarterly onshore'!U30</f>
        <v>0</v>
      </c>
      <c r="N22" s="291">
        <f ca="1">'Operating quarterly onshore'!V30</f>
        <v>0</v>
      </c>
      <c r="O22" s="291">
        <f ca="1">'Operating quarterly onshore'!W30</f>
        <v>0</v>
      </c>
      <c r="P22" s="291">
        <f ca="1">'Operating quarterly onshore'!X30</f>
        <v>0</v>
      </c>
      <c r="Q22" s="291">
        <f ca="1">'Operating quarterly onshore'!Y30</f>
        <v>0</v>
      </c>
      <c r="R22" s="291">
        <f ca="1">'Operating quarterly onshore'!Z30</f>
        <v>0</v>
      </c>
      <c r="S22" s="291">
        <f ca="1">'Operating quarterly onshore'!AA30</f>
        <v>0</v>
      </c>
      <c r="T22" s="291">
        <f ca="1">'Operating quarterly onshore'!AB30</f>
        <v>0</v>
      </c>
      <c r="U22" s="291">
        <f ca="1">'Operating quarterly onshore'!AC30</f>
        <v>0</v>
      </c>
      <c r="V22" s="291">
        <f ca="1">'Operating quarterly onshore'!AD30</f>
        <v>0</v>
      </c>
      <c r="W22" s="291">
        <f ca="1">'Operating quarterly onshore'!AE30</f>
        <v>0</v>
      </c>
      <c r="X22" s="291">
        <f ca="1">'Operating quarterly onshore'!AF30</f>
        <v>0</v>
      </c>
      <c r="Y22" s="291">
        <f ca="1">'Operating quarterly onshore'!AG30</f>
        <v>0</v>
      </c>
      <c r="Z22" s="291">
        <f ca="1">'Operating quarterly onshore'!AH30</f>
        <v>0</v>
      </c>
      <c r="AA22" s="291">
        <f ca="1">'Operating quarterly onshore'!AI30</f>
        <v>0</v>
      </c>
      <c r="AB22" s="291" t="e">
        <f>'Operating quarterly onshore'!AJ30</f>
        <v>#N/A</v>
      </c>
      <c r="AC22" s="291" t="e">
        <f>'Operating quarterly onshore'!AK30</f>
        <v>#N/A</v>
      </c>
      <c r="AD22" s="291" t="e">
        <f>'Operating quarterly onshore'!AL30</f>
        <v>#N/A</v>
      </c>
      <c r="AE22" s="291" t="e">
        <f>'Operating quarterly onshore'!AM30</f>
        <v>#N/A</v>
      </c>
      <c r="AF22" s="291" t="e">
        <f>'Operating quarterly onshore'!AN30</f>
        <v>#N/A</v>
      </c>
      <c r="AG22" s="291" t="e">
        <f>'Operating quarterly onshore'!AO30</f>
        <v>#N/A</v>
      </c>
    </row>
    <row r="23" spans="3:33" outlineLevel="1">
      <c r="C23" s="291" t="s">
        <v>684</v>
      </c>
      <c r="D23" s="291">
        <f>'Operating quarterly onshore'!L23</f>
        <v>0</v>
      </c>
      <c r="E23" s="291">
        <f>'Operating quarterly onshore'!M23</f>
        <v>0</v>
      </c>
      <c r="F23" s="291">
        <f>'Operating quarterly onshore'!N23</f>
        <v>0</v>
      </c>
      <c r="G23" s="291">
        <f>'Operating quarterly onshore'!O23</f>
        <v>0</v>
      </c>
      <c r="H23" s="291">
        <f>'Operating quarterly onshore'!P23</f>
        <v>0</v>
      </c>
      <c r="I23" s="291">
        <f>'Operating quarterly onshore'!Q23</f>
        <v>0</v>
      </c>
      <c r="J23" s="291">
        <f>'Operating quarterly onshore'!R23</f>
        <v>0</v>
      </c>
      <c r="K23" s="291">
        <f>'Operating quarterly onshore'!S23</f>
        <v>0</v>
      </c>
      <c r="L23" s="291">
        <f>'Operating quarterly onshore'!T23</f>
        <v>0</v>
      </c>
      <c r="M23" s="291">
        <f>'Operating quarterly onshore'!U23</f>
        <v>0</v>
      </c>
      <c r="N23" s="291">
        <f>'Operating quarterly onshore'!V23</f>
        <v>0</v>
      </c>
      <c r="O23" s="291">
        <f>'Operating quarterly onshore'!W23</f>
        <v>0</v>
      </c>
      <c r="P23" s="291">
        <f>'Operating quarterly onshore'!X23</f>
        <v>0</v>
      </c>
      <c r="Q23" s="291">
        <f>'Operating quarterly onshore'!Y23</f>
        <v>0</v>
      </c>
      <c r="R23" s="291">
        <f>'Operating quarterly onshore'!Z23</f>
        <v>0</v>
      </c>
      <c r="S23" s="291">
        <f>'Operating quarterly onshore'!AA23</f>
        <v>0</v>
      </c>
      <c r="T23" s="291">
        <f>'Operating quarterly onshore'!AB23</f>
        <v>0</v>
      </c>
      <c r="U23" s="291">
        <f>'Operating quarterly onshore'!AC23</f>
        <v>0</v>
      </c>
      <c r="V23" s="291">
        <f>'Operating quarterly onshore'!AD23</f>
        <v>0</v>
      </c>
      <c r="W23" s="291">
        <f>'Operating quarterly onshore'!AE23</f>
        <v>0</v>
      </c>
      <c r="X23" s="291">
        <f>'Operating quarterly onshore'!AF23</f>
        <v>0</v>
      </c>
      <c r="Y23" s="291">
        <f>'Operating quarterly onshore'!AG23</f>
        <v>0</v>
      </c>
      <c r="Z23" s="291">
        <f>'Operating quarterly onshore'!AH23</f>
        <v>0</v>
      </c>
      <c r="AA23" s="291">
        <f>'Operating quarterly onshore'!AI23</f>
        <v>0</v>
      </c>
      <c r="AB23" s="291" t="e">
        <f>'Operating quarterly onshore'!AJ23</f>
        <v>#N/A</v>
      </c>
      <c r="AC23" s="291" t="e">
        <f>'Operating quarterly onshore'!AK23</f>
        <v>#N/A</v>
      </c>
      <c r="AD23" s="291" t="e">
        <f>'Operating quarterly onshore'!AL23</f>
        <v>#N/A</v>
      </c>
      <c r="AE23" s="291" t="e">
        <f>'Operating quarterly onshore'!AM23</f>
        <v>#N/A</v>
      </c>
      <c r="AF23" s="291" t="e">
        <f>'Operating quarterly onshore'!AN23</f>
        <v>#N/A</v>
      </c>
      <c r="AG23" s="291" t="e">
        <f>'Operating quarterly onshore'!AO23</f>
        <v>#N/A</v>
      </c>
    </row>
    <row r="24" spans="3:33" outlineLevel="1">
      <c r="C24" s="291" t="s">
        <v>776</v>
      </c>
      <c r="D24" s="291">
        <f>-(+'Operating quarterly onshore'!L28)</f>
        <v>0</v>
      </c>
      <c r="E24" s="291">
        <f>-(+'Operating quarterly onshore'!M28)</f>
        <v>0</v>
      </c>
      <c r="F24" s="291">
        <f>-(+'Operating quarterly onshore'!N28)</f>
        <v>0</v>
      </c>
      <c r="G24" s="291">
        <f>-(+'Operating quarterly onshore'!O28)</f>
        <v>0</v>
      </c>
      <c r="H24" s="291">
        <f>-(+'Operating quarterly onshore'!P28)</f>
        <v>0</v>
      </c>
      <c r="I24" s="291">
        <f>-(+'Operating quarterly onshore'!Q28)</f>
        <v>0</v>
      </c>
      <c r="J24" s="291">
        <f>-(+'Operating quarterly onshore'!R28)</f>
        <v>0</v>
      </c>
      <c r="K24" s="291">
        <f>-(+'Operating quarterly onshore'!S28)</f>
        <v>0</v>
      </c>
      <c r="L24" s="291">
        <f>-(+'Operating quarterly onshore'!T28)</f>
        <v>0</v>
      </c>
      <c r="M24" s="291">
        <f>-(+'Operating quarterly onshore'!U28)</f>
        <v>0</v>
      </c>
      <c r="N24" s="291">
        <f>-(+'Operating quarterly onshore'!V28)</f>
        <v>0</v>
      </c>
      <c r="O24" s="291">
        <f>-(+'Operating quarterly onshore'!W28)</f>
        <v>0</v>
      </c>
      <c r="P24" s="291">
        <f>-(+'Operating quarterly onshore'!X28)</f>
        <v>0</v>
      </c>
      <c r="Q24" s="291">
        <f>-(+'Operating quarterly onshore'!Y28)</f>
        <v>0</v>
      </c>
      <c r="R24" s="291">
        <f>-(+'Operating quarterly onshore'!Z28)</f>
        <v>0</v>
      </c>
      <c r="S24" s="291">
        <f>-(+'Operating quarterly onshore'!AA28)</f>
        <v>0</v>
      </c>
      <c r="T24" s="291">
        <f>-(+'Operating quarterly onshore'!AB28)</f>
        <v>0</v>
      </c>
      <c r="U24" s="291">
        <f>-(+'Operating quarterly onshore'!AC28)</f>
        <v>0</v>
      </c>
      <c r="V24" s="291">
        <f>-(+'Operating quarterly onshore'!AD28)</f>
        <v>0</v>
      </c>
      <c r="W24" s="291">
        <f>-(+'Operating quarterly onshore'!AE28)</f>
        <v>0</v>
      </c>
      <c r="X24" s="291">
        <f>-(+'Operating quarterly onshore'!AF28)</f>
        <v>0</v>
      </c>
      <c r="Y24" s="291">
        <f>-(+'Operating quarterly onshore'!AG28)</f>
        <v>0</v>
      </c>
      <c r="Z24" s="291">
        <f>-(+'Operating quarterly onshore'!AH28)</f>
        <v>0</v>
      </c>
      <c r="AA24" s="291">
        <f>-(+'Operating quarterly onshore'!AI28)</f>
        <v>0</v>
      </c>
      <c r="AB24" s="291" t="e">
        <f>-(+'Operating quarterly onshore'!AJ28)</f>
        <v>#N/A</v>
      </c>
      <c r="AC24" s="291" t="e">
        <f>-(+'Operating quarterly onshore'!AK28)</f>
        <v>#N/A</v>
      </c>
      <c r="AD24" s="291" t="e">
        <f>-(+'Operating quarterly onshore'!AL28)</f>
        <v>#N/A</v>
      </c>
      <c r="AE24" s="291" t="e">
        <f>-(+'Operating quarterly onshore'!AM28)</f>
        <v>#N/A</v>
      </c>
      <c r="AF24" s="291" t="e">
        <f>-(+'Operating quarterly onshore'!AN28)</f>
        <v>#N/A</v>
      </c>
      <c r="AG24" s="291" t="e">
        <f>-(+'Operating quarterly onshore'!AO28)</f>
        <v>#N/A</v>
      </c>
    </row>
    <row r="25" spans="3:33" outlineLevel="1">
      <c r="C25" s="291" t="s">
        <v>772</v>
      </c>
      <c r="D25" s="291">
        <f>-('Financial Quarterly onshore'!D24+'Financial Quarterly onshore'!D37+'Financial Quarterly onshore'!D50+'Financial Quarterly onshore'!D79)</f>
        <v>0</v>
      </c>
      <c r="E25" s="291">
        <f>-('Financial Quarterly onshore'!E24+'Financial Quarterly onshore'!E37+'Financial Quarterly onshore'!E50+'Financial Quarterly onshore'!E79)</f>
        <v>0</v>
      </c>
      <c r="F25" s="291">
        <f ca="1">-('Financial Quarterly onshore'!F24+'Financial Quarterly onshore'!F37+'Financial Quarterly onshore'!F50+'Financial Quarterly onshore'!F79)</f>
        <v>0</v>
      </c>
      <c r="G25" s="291">
        <f ca="1">-('Financial Quarterly onshore'!G24+'Financial Quarterly onshore'!G37+'Financial Quarterly onshore'!G50+'Financial Quarterly onshore'!G79)</f>
        <v>0</v>
      </c>
      <c r="H25" s="291">
        <f ca="1">-('Financial Quarterly onshore'!H24+'Financial Quarterly onshore'!H37+'Financial Quarterly onshore'!H50+'Financial Quarterly onshore'!H79)</f>
        <v>0</v>
      </c>
      <c r="I25" s="291">
        <f ca="1">-('Financial Quarterly onshore'!I24+'Financial Quarterly onshore'!I37+'Financial Quarterly onshore'!I50+'Financial Quarterly onshore'!I79)</f>
        <v>0</v>
      </c>
      <c r="J25" s="291">
        <f ca="1">-('Financial Quarterly onshore'!J24+'Financial Quarterly onshore'!J37+'Financial Quarterly onshore'!J50+'Financial Quarterly onshore'!J79)</f>
        <v>0</v>
      </c>
      <c r="K25" s="291">
        <f ca="1">-('Financial Quarterly onshore'!K24+'Financial Quarterly onshore'!K37+'Financial Quarterly onshore'!K50+'Financial Quarterly onshore'!K79)</f>
        <v>0</v>
      </c>
      <c r="L25" s="291">
        <f ca="1">-('Financial Quarterly onshore'!L24+'Financial Quarterly onshore'!L37+'Financial Quarterly onshore'!L50+'Financial Quarterly onshore'!L79)</f>
        <v>0</v>
      </c>
      <c r="M25" s="291">
        <f ca="1">-('Financial Quarterly onshore'!M24+'Financial Quarterly onshore'!M37+'Financial Quarterly onshore'!M50+'Financial Quarterly onshore'!M79)</f>
        <v>0</v>
      </c>
      <c r="N25" s="291">
        <f ca="1">-('Financial Quarterly onshore'!N24+'Financial Quarterly onshore'!N37+'Financial Quarterly onshore'!N50+'Financial Quarterly onshore'!N79)</f>
        <v>0</v>
      </c>
      <c r="O25" s="291">
        <f ca="1">-('Financial Quarterly onshore'!O24+'Financial Quarterly onshore'!O37+'Financial Quarterly onshore'!O50+'Financial Quarterly onshore'!O79)</f>
        <v>0</v>
      </c>
      <c r="P25" s="291">
        <f ca="1">-('Financial Quarterly onshore'!P24+'Financial Quarterly onshore'!P37+'Financial Quarterly onshore'!P50+'Financial Quarterly onshore'!P79)</f>
        <v>0</v>
      </c>
      <c r="Q25" s="291">
        <f ca="1">-('Financial Quarterly onshore'!Q24+'Financial Quarterly onshore'!Q37+'Financial Quarterly onshore'!Q50+'Financial Quarterly onshore'!Q79)</f>
        <v>0</v>
      </c>
      <c r="R25" s="291">
        <f ca="1">-('Financial Quarterly onshore'!R24+'Financial Quarterly onshore'!R37+'Financial Quarterly onshore'!R50+'Financial Quarterly onshore'!R79)</f>
        <v>0</v>
      </c>
      <c r="S25" s="291">
        <f ca="1">-('Financial Quarterly onshore'!S24+'Financial Quarterly onshore'!S37+'Financial Quarterly onshore'!S50+'Financial Quarterly onshore'!S79)</f>
        <v>0</v>
      </c>
      <c r="T25" s="291">
        <f ca="1">-('Financial Quarterly onshore'!T24+'Financial Quarterly onshore'!T37+'Financial Quarterly onshore'!T50+'Financial Quarterly onshore'!T79)</f>
        <v>0</v>
      </c>
      <c r="U25" s="291">
        <f ca="1">-('Financial Quarterly onshore'!U24+'Financial Quarterly onshore'!U37+'Financial Quarterly onshore'!U50+'Financial Quarterly onshore'!U79)</f>
        <v>0</v>
      </c>
      <c r="V25" s="291">
        <f ca="1">-('Financial Quarterly onshore'!V24+'Financial Quarterly onshore'!V37+'Financial Quarterly onshore'!V50+'Financial Quarterly onshore'!V79)</f>
        <v>0</v>
      </c>
      <c r="W25" s="291">
        <f ca="1">-('Financial Quarterly onshore'!W24+'Financial Quarterly onshore'!W37+'Financial Quarterly onshore'!W50+'Financial Quarterly onshore'!W79)</f>
        <v>0</v>
      </c>
      <c r="X25" s="291">
        <f ca="1">-('Financial Quarterly onshore'!X24+'Financial Quarterly onshore'!X37+'Financial Quarterly onshore'!X50+'Financial Quarterly onshore'!X79)</f>
        <v>0</v>
      </c>
      <c r="Y25" s="291">
        <f ca="1">-('Financial Quarterly onshore'!Y24+'Financial Quarterly onshore'!Y37+'Financial Quarterly onshore'!Y50+'Financial Quarterly onshore'!Y79)</f>
        <v>0</v>
      </c>
      <c r="Z25" s="291">
        <f ca="1">-('Financial Quarterly onshore'!Z24+'Financial Quarterly onshore'!Z37+'Financial Quarterly onshore'!Z50+'Financial Quarterly onshore'!Z79)</f>
        <v>0</v>
      </c>
      <c r="AA25" s="291">
        <f ca="1">-('Financial Quarterly onshore'!AA24+'Financial Quarterly onshore'!AA37+'Financial Quarterly onshore'!AA50+'Financial Quarterly onshore'!AA79)</f>
        <v>0</v>
      </c>
      <c r="AB25" s="291">
        <f ca="1">-('Financial Quarterly onshore'!AB24+'Financial Quarterly onshore'!AB37+'Financial Quarterly onshore'!AB50+'Financial Quarterly onshore'!AB79)</f>
        <v>0</v>
      </c>
      <c r="AC25" s="291" t="e">
        <f ca="1">-('Financial Quarterly onshore'!AC24+'Financial Quarterly onshore'!AC37+'Financial Quarterly onshore'!AC50+'Financial Quarterly onshore'!AC79)</f>
        <v>#N/A</v>
      </c>
      <c r="AD25" s="291" t="e">
        <f ca="1">-('Financial Quarterly onshore'!AD24+'Financial Quarterly onshore'!AD37+'Financial Quarterly onshore'!AD50+'Financial Quarterly onshore'!AD79)</f>
        <v>#N/A</v>
      </c>
      <c r="AE25" s="291" t="e">
        <f ca="1">-('Financial Quarterly onshore'!AE24+'Financial Quarterly onshore'!AE37+'Financial Quarterly onshore'!AE50+'Financial Quarterly onshore'!AE79)</f>
        <v>#N/A</v>
      </c>
      <c r="AF25" s="291" t="e">
        <f ca="1">-('Financial Quarterly onshore'!AF24+'Financial Quarterly onshore'!AF37+'Financial Quarterly onshore'!AF50+'Financial Quarterly onshore'!AF79)</f>
        <v>#N/A</v>
      </c>
      <c r="AG25" s="291" t="e">
        <f ca="1">-('Financial Quarterly onshore'!AG24+'Financial Quarterly onshore'!AG37+'Financial Quarterly onshore'!AG50+'Financial Quarterly onshore'!AG79)</f>
        <v>#N/A</v>
      </c>
    </row>
    <row r="26" spans="3:33" outlineLevel="1">
      <c r="C26" s="291" t="s">
        <v>773</v>
      </c>
      <c r="D26" s="291">
        <f>+D25-'Financial Quarterly onshore'!D65</f>
        <v>0</v>
      </c>
      <c r="E26" s="291">
        <f>+E25-'Financial Quarterly onshore'!E65</f>
        <v>0</v>
      </c>
      <c r="F26" s="291">
        <f ca="1">+F25-'Financial Quarterly onshore'!F65</f>
        <v>0</v>
      </c>
      <c r="G26" s="291">
        <f ca="1">+G25-'Financial Quarterly onshore'!G65</f>
        <v>0</v>
      </c>
      <c r="H26" s="291">
        <f ca="1">+H25-'Financial Quarterly onshore'!H65</f>
        <v>0</v>
      </c>
      <c r="I26" s="291">
        <f ca="1">+I25-'Financial Quarterly onshore'!I65</f>
        <v>0</v>
      </c>
      <c r="J26" s="291">
        <f ca="1">+J25-'Financial Quarterly onshore'!J65</f>
        <v>0</v>
      </c>
      <c r="K26" s="291">
        <f ca="1">+K25-'Financial Quarterly onshore'!K65</f>
        <v>0</v>
      </c>
      <c r="L26" s="291">
        <f ca="1">+L25-'Financial Quarterly onshore'!L65</f>
        <v>0</v>
      </c>
      <c r="M26" s="291">
        <f ca="1">+M25-'Financial Quarterly onshore'!M65</f>
        <v>0</v>
      </c>
      <c r="N26" s="291">
        <f ca="1">+N25-'Financial Quarterly onshore'!N65</f>
        <v>0</v>
      </c>
      <c r="O26" s="291">
        <f ca="1">+O25-'Financial Quarterly onshore'!O65</f>
        <v>0</v>
      </c>
      <c r="P26" s="291">
        <f ca="1">+P25-'Financial Quarterly onshore'!P65</f>
        <v>0</v>
      </c>
      <c r="Q26" s="291">
        <f ca="1">+Q25-'Financial Quarterly onshore'!Q65</f>
        <v>0</v>
      </c>
      <c r="R26" s="291">
        <f ca="1">+R25-'Financial Quarterly onshore'!R65</f>
        <v>0</v>
      </c>
      <c r="S26" s="291">
        <f ca="1">+S25-'Financial Quarterly onshore'!S65</f>
        <v>0</v>
      </c>
      <c r="T26" s="291">
        <f ca="1">+T25-'Financial Quarterly onshore'!T65</f>
        <v>0</v>
      </c>
      <c r="U26" s="291">
        <f ca="1">+U25-'Financial Quarterly onshore'!U65</f>
        <v>0</v>
      </c>
      <c r="V26" s="291">
        <f ca="1">+V25-'Financial Quarterly onshore'!V65</f>
        <v>0</v>
      </c>
      <c r="W26" s="291">
        <f ca="1">+W25-'Financial Quarterly onshore'!W65</f>
        <v>0</v>
      </c>
      <c r="X26" s="291">
        <f ca="1">+X25-'Financial Quarterly onshore'!X65</f>
        <v>0</v>
      </c>
      <c r="Y26" s="291">
        <f ca="1">+Y25-'Financial Quarterly onshore'!Y65</f>
        <v>0</v>
      </c>
      <c r="Z26" s="291">
        <f ca="1">+Z25-'Financial Quarterly onshore'!Z65</f>
        <v>0</v>
      </c>
      <c r="AA26" s="291">
        <f ca="1">+AA25-'Financial Quarterly onshore'!AA65</f>
        <v>0</v>
      </c>
      <c r="AB26" s="291">
        <f ca="1">+AB25-'Financial Quarterly onshore'!AB65</f>
        <v>0</v>
      </c>
      <c r="AC26" s="291" t="e">
        <f ca="1">+AC25-'Financial Quarterly onshore'!AC65</f>
        <v>#N/A</v>
      </c>
      <c r="AD26" s="291" t="e">
        <f ca="1">+AD25-'Financial Quarterly onshore'!AD65</f>
        <v>#N/A</v>
      </c>
      <c r="AE26" s="291" t="e">
        <f ca="1">+AE25-'Financial Quarterly onshore'!AE65</f>
        <v>#N/A</v>
      </c>
      <c r="AF26" s="291" t="e">
        <f ca="1">+AF25-'Financial Quarterly onshore'!AF65</f>
        <v>#N/A</v>
      </c>
      <c r="AG26" s="291" t="e">
        <f ca="1">+AG25-'Financial Quarterly onshore'!AG65</f>
        <v>#N/A</v>
      </c>
    </row>
    <row r="27" spans="3:33" outlineLevel="1">
      <c r="C27" s="291" t="s">
        <v>774</v>
      </c>
      <c r="D27" s="291">
        <f>-(+'Financial Quarterly onshore'!D21+'Financial Quarterly onshore'!D22+'Financial Quarterly onshore'!D34+'Financial Quarterly onshore'!D35+'Financial Quarterly onshore'!D47+'Financial Quarterly onshore'!D48)</f>
        <v>0</v>
      </c>
      <c r="E27" s="291">
        <f>-(+'Financial Quarterly onshore'!E21+'Financial Quarterly onshore'!E22+'Financial Quarterly onshore'!E34+'Financial Quarterly onshore'!E35+'Financial Quarterly onshore'!E47+'Financial Quarterly onshore'!E48)</f>
        <v>0</v>
      </c>
      <c r="F27" s="291">
        <f ca="1">-(+'Financial Quarterly onshore'!F21+'Financial Quarterly onshore'!F22+'Financial Quarterly onshore'!F34+'Financial Quarterly onshore'!F35+'Financial Quarterly onshore'!F47+'Financial Quarterly onshore'!F48)</f>
        <v>0</v>
      </c>
      <c r="G27" s="291">
        <f ca="1">-(+'Financial Quarterly onshore'!G21+'Financial Quarterly onshore'!G22+'Financial Quarterly onshore'!G34+'Financial Quarterly onshore'!G35+'Financial Quarterly onshore'!G47+'Financial Quarterly onshore'!G48)</f>
        <v>0</v>
      </c>
      <c r="H27" s="291">
        <f ca="1">-(+'Financial Quarterly onshore'!H21+'Financial Quarterly onshore'!H22+'Financial Quarterly onshore'!H34+'Financial Quarterly onshore'!H35+'Financial Quarterly onshore'!H47+'Financial Quarterly onshore'!H48)</f>
        <v>0</v>
      </c>
      <c r="I27" s="291">
        <f ca="1">-(+'Financial Quarterly onshore'!I21+'Financial Quarterly onshore'!I22+'Financial Quarterly onshore'!I34+'Financial Quarterly onshore'!I35+'Financial Quarterly onshore'!I47+'Financial Quarterly onshore'!I48)</f>
        <v>0</v>
      </c>
      <c r="J27" s="291">
        <f ca="1">-(+'Financial Quarterly onshore'!J21+'Financial Quarterly onshore'!J22+'Financial Quarterly onshore'!J34+'Financial Quarterly onshore'!J35+'Financial Quarterly onshore'!J47+'Financial Quarterly onshore'!J48)</f>
        <v>0</v>
      </c>
      <c r="K27" s="291">
        <f ca="1">-(+'Financial Quarterly onshore'!K21+'Financial Quarterly onshore'!K22+'Financial Quarterly onshore'!K34+'Financial Quarterly onshore'!K35+'Financial Quarterly onshore'!K47+'Financial Quarterly onshore'!K48)</f>
        <v>0</v>
      </c>
      <c r="L27" s="291">
        <f ca="1">-(+'Financial Quarterly onshore'!L21+'Financial Quarterly onshore'!L22+'Financial Quarterly onshore'!L34+'Financial Quarterly onshore'!L35+'Financial Quarterly onshore'!L47+'Financial Quarterly onshore'!L48)</f>
        <v>0</v>
      </c>
      <c r="M27" s="291">
        <f ca="1">-(+'Financial Quarterly onshore'!M21+'Financial Quarterly onshore'!M22+'Financial Quarterly onshore'!M34+'Financial Quarterly onshore'!M35+'Financial Quarterly onshore'!M47+'Financial Quarterly onshore'!M48)</f>
        <v>0</v>
      </c>
      <c r="N27" s="291">
        <f ca="1">-(+'Financial Quarterly onshore'!N21+'Financial Quarterly onshore'!N22+'Financial Quarterly onshore'!N34+'Financial Quarterly onshore'!N35+'Financial Quarterly onshore'!N47+'Financial Quarterly onshore'!N48)</f>
        <v>0</v>
      </c>
      <c r="O27" s="291">
        <f ca="1">-(+'Financial Quarterly onshore'!O21+'Financial Quarterly onshore'!O22+'Financial Quarterly onshore'!O34+'Financial Quarterly onshore'!O35+'Financial Quarterly onshore'!O47+'Financial Quarterly onshore'!O48)</f>
        <v>0</v>
      </c>
      <c r="P27" s="291">
        <f ca="1">-(+'Financial Quarterly onshore'!P21+'Financial Quarterly onshore'!P22+'Financial Quarterly onshore'!P34+'Financial Quarterly onshore'!P35+'Financial Quarterly onshore'!P47+'Financial Quarterly onshore'!P48)</f>
        <v>0</v>
      </c>
      <c r="Q27" s="291">
        <f ca="1">-(+'Financial Quarterly onshore'!Q21+'Financial Quarterly onshore'!Q22+'Financial Quarterly onshore'!Q34+'Financial Quarterly onshore'!Q35+'Financial Quarterly onshore'!Q47+'Financial Quarterly onshore'!Q48)</f>
        <v>0</v>
      </c>
      <c r="R27" s="291">
        <f ca="1">-(+'Financial Quarterly onshore'!R21+'Financial Quarterly onshore'!R22+'Financial Quarterly onshore'!R34+'Financial Quarterly onshore'!R35+'Financial Quarterly onshore'!R47+'Financial Quarterly onshore'!R48)</f>
        <v>0</v>
      </c>
      <c r="S27" s="291">
        <f ca="1">-(+'Financial Quarterly onshore'!S21+'Financial Quarterly onshore'!S22+'Financial Quarterly onshore'!S34+'Financial Quarterly onshore'!S35+'Financial Quarterly onshore'!S47+'Financial Quarterly onshore'!S48)</f>
        <v>0</v>
      </c>
      <c r="T27" s="291">
        <f ca="1">-(+'Financial Quarterly onshore'!T21+'Financial Quarterly onshore'!T22+'Financial Quarterly onshore'!T34+'Financial Quarterly onshore'!T35+'Financial Quarterly onshore'!T47+'Financial Quarterly onshore'!T48)</f>
        <v>0</v>
      </c>
      <c r="U27" s="291">
        <f ca="1">-(+'Financial Quarterly onshore'!U21+'Financial Quarterly onshore'!U22+'Financial Quarterly onshore'!U34+'Financial Quarterly onshore'!U35+'Financial Quarterly onshore'!U47+'Financial Quarterly onshore'!U48)</f>
        <v>0</v>
      </c>
      <c r="V27" s="291">
        <f ca="1">-(+'Financial Quarterly onshore'!V21+'Financial Quarterly onshore'!V22+'Financial Quarterly onshore'!V34+'Financial Quarterly onshore'!V35+'Financial Quarterly onshore'!V47+'Financial Quarterly onshore'!V48)</f>
        <v>0</v>
      </c>
      <c r="W27" s="291">
        <f ca="1">-(+'Financial Quarterly onshore'!W21+'Financial Quarterly onshore'!W22+'Financial Quarterly onshore'!W34+'Financial Quarterly onshore'!W35+'Financial Quarterly onshore'!W47+'Financial Quarterly onshore'!W48)</f>
        <v>0</v>
      </c>
      <c r="X27" s="291">
        <f ca="1">-(+'Financial Quarterly onshore'!X21+'Financial Quarterly onshore'!X22+'Financial Quarterly onshore'!X34+'Financial Quarterly onshore'!X35+'Financial Quarterly onshore'!X47+'Financial Quarterly onshore'!X48)</f>
        <v>0</v>
      </c>
      <c r="Y27" s="291">
        <f ca="1">-(+'Financial Quarterly onshore'!Y21+'Financial Quarterly onshore'!Y22+'Financial Quarterly onshore'!Y34+'Financial Quarterly onshore'!Y35+'Financial Quarterly onshore'!Y47+'Financial Quarterly onshore'!Y48)</f>
        <v>0</v>
      </c>
      <c r="Z27" s="291">
        <f ca="1">-(+'Financial Quarterly onshore'!Z21+'Financial Quarterly onshore'!Z22+'Financial Quarterly onshore'!Z34+'Financial Quarterly onshore'!Z35+'Financial Quarterly onshore'!Z47+'Financial Quarterly onshore'!Z48)</f>
        <v>0</v>
      </c>
      <c r="AA27" s="291">
        <f ca="1">-(+'Financial Quarterly onshore'!AA21+'Financial Quarterly onshore'!AA22+'Financial Quarterly onshore'!AA34+'Financial Quarterly onshore'!AA35+'Financial Quarterly onshore'!AA47+'Financial Quarterly onshore'!AA48)</f>
        <v>0</v>
      </c>
      <c r="AB27" s="291">
        <f ca="1">-(+'Financial Quarterly onshore'!AB21+'Financial Quarterly onshore'!AB22+'Financial Quarterly onshore'!AB34+'Financial Quarterly onshore'!AB35+'Financial Quarterly onshore'!AB47+'Financial Quarterly onshore'!AB48)</f>
        <v>0</v>
      </c>
      <c r="AC27" s="291">
        <f ca="1">-(+'Financial Quarterly onshore'!AC21+'Financial Quarterly onshore'!AC22+'Financial Quarterly onshore'!AC34+'Financial Quarterly onshore'!AC35+'Financial Quarterly onshore'!AC47+'Financial Quarterly onshore'!AC48)</f>
        <v>0</v>
      </c>
      <c r="AD27" s="291">
        <f ca="1">-(+'Financial Quarterly onshore'!AD21+'Financial Quarterly onshore'!AD22+'Financial Quarterly onshore'!AD34+'Financial Quarterly onshore'!AD35+'Financial Quarterly onshore'!AD47+'Financial Quarterly onshore'!AD48)</f>
        <v>0</v>
      </c>
      <c r="AE27" s="291">
        <f ca="1">-(+'Financial Quarterly onshore'!AE21+'Financial Quarterly onshore'!AE22+'Financial Quarterly onshore'!AE34+'Financial Quarterly onshore'!AE35+'Financial Quarterly onshore'!AE47+'Financial Quarterly onshore'!AE48)</f>
        <v>0</v>
      </c>
      <c r="AF27" s="291">
        <f ca="1">-(+'Financial Quarterly onshore'!AF21+'Financial Quarterly onshore'!AF22+'Financial Quarterly onshore'!AF34+'Financial Quarterly onshore'!AF35+'Financial Quarterly onshore'!AF47+'Financial Quarterly onshore'!AF48)</f>
        <v>0</v>
      </c>
      <c r="AG27" s="291">
        <f ca="1">-(+'Financial Quarterly onshore'!AG21+'Financial Quarterly onshore'!AG22+'Financial Quarterly onshore'!AG34+'Financial Quarterly onshore'!AG35+'Financial Quarterly onshore'!AG47+'Financial Quarterly onshore'!AG48)</f>
        <v>0</v>
      </c>
    </row>
    <row r="28" spans="3:33" outlineLevel="1">
      <c r="C28" s="291" t="s">
        <v>775</v>
      </c>
      <c r="D28" s="291">
        <f>-(+'Financial Quarterly onshore'!D62+'Financial Quarterly onshore'!D63)</f>
        <v>0</v>
      </c>
      <c r="E28" s="291">
        <f>-(+'Financial Quarterly onshore'!E62+'Financial Quarterly onshore'!E63)</f>
        <v>0</v>
      </c>
      <c r="F28" s="291">
        <f ca="1">-(+'Financial Quarterly onshore'!F62+'Financial Quarterly onshore'!F63)</f>
        <v>0</v>
      </c>
      <c r="G28" s="291">
        <f ca="1">-(+'Financial Quarterly onshore'!G62+'Financial Quarterly onshore'!G63)</f>
        <v>0</v>
      </c>
      <c r="H28" s="291">
        <f ca="1">-(+'Financial Quarterly onshore'!H62+'Financial Quarterly onshore'!H63)</f>
        <v>0</v>
      </c>
      <c r="I28" s="291">
        <f ca="1">-(+'Financial Quarterly onshore'!I62+'Financial Quarterly onshore'!I63)</f>
        <v>0</v>
      </c>
      <c r="J28" s="291">
        <f ca="1">-(+'Financial Quarterly onshore'!J62+'Financial Quarterly onshore'!J63)</f>
        <v>0</v>
      </c>
      <c r="K28" s="291">
        <f ca="1">-(+'Financial Quarterly onshore'!K62+'Financial Quarterly onshore'!K63)</f>
        <v>0</v>
      </c>
      <c r="L28" s="291">
        <f ca="1">-(+'Financial Quarterly onshore'!L62+'Financial Quarterly onshore'!L63)</f>
        <v>0</v>
      </c>
      <c r="M28" s="291">
        <f ca="1">-(+'Financial Quarterly onshore'!M62+'Financial Quarterly onshore'!M63)</f>
        <v>0</v>
      </c>
      <c r="N28" s="291">
        <f ca="1">-(+'Financial Quarterly onshore'!N62+'Financial Quarterly onshore'!N63)</f>
        <v>0</v>
      </c>
      <c r="O28" s="291">
        <f ca="1">-(+'Financial Quarterly onshore'!O62+'Financial Quarterly onshore'!O63)</f>
        <v>0</v>
      </c>
      <c r="P28" s="291">
        <f ca="1">-(+'Financial Quarterly onshore'!P62+'Financial Quarterly onshore'!P63)</f>
        <v>0</v>
      </c>
      <c r="Q28" s="291">
        <f ca="1">-(+'Financial Quarterly onshore'!Q62+'Financial Quarterly onshore'!Q63)</f>
        <v>0</v>
      </c>
      <c r="R28" s="291">
        <f ca="1">-(+'Financial Quarterly onshore'!R62+'Financial Quarterly onshore'!R63)</f>
        <v>0</v>
      </c>
      <c r="S28" s="291">
        <f ca="1">-(+'Financial Quarterly onshore'!S62+'Financial Quarterly onshore'!S63)</f>
        <v>0</v>
      </c>
      <c r="T28" s="291">
        <f ca="1">-(+'Financial Quarterly onshore'!T62+'Financial Quarterly onshore'!T63)</f>
        <v>0</v>
      </c>
      <c r="U28" s="291">
        <f ca="1">-(+'Financial Quarterly onshore'!U62+'Financial Quarterly onshore'!U63)</f>
        <v>0</v>
      </c>
      <c r="V28" s="291">
        <f ca="1">-(+'Financial Quarterly onshore'!V62+'Financial Quarterly onshore'!V63)</f>
        <v>0</v>
      </c>
      <c r="W28" s="291">
        <f ca="1">-(+'Financial Quarterly onshore'!W62+'Financial Quarterly onshore'!W63)</f>
        <v>0</v>
      </c>
      <c r="X28" s="291">
        <f ca="1">-(+'Financial Quarterly onshore'!X62+'Financial Quarterly onshore'!X63)</f>
        <v>0</v>
      </c>
      <c r="Y28" s="291">
        <f ca="1">-(+'Financial Quarterly onshore'!Y62+'Financial Quarterly onshore'!Y63)</f>
        <v>0</v>
      </c>
      <c r="Z28" s="291">
        <f ca="1">-(+'Financial Quarterly onshore'!Z62+'Financial Quarterly onshore'!Z63)</f>
        <v>0</v>
      </c>
      <c r="AA28" s="291">
        <f ca="1">-(+'Financial Quarterly onshore'!AA62+'Financial Quarterly onshore'!AA63)</f>
        <v>0</v>
      </c>
      <c r="AB28" s="291">
        <f ca="1">-(+'Financial Quarterly onshore'!AB62+'Financial Quarterly onshore'!AB63)</f>
        <v>0</v>
      </c>
      <c r="AC28" s="291" t="e">
        <f ca="1">-(+'Financial Quarterly onshore'!AC62+'Financial Quarterly onshore'!AC63)</f>
        <v>#N/A</v>
      </c>
      <c r="AD28" s="291" t="e">
        <f ca="1">-(+'Financial Quarterly onshore'!AD62+'Financial Quarterly onshore'!AD63)</f>
        <v>#N/A</v>
      </c>
      <c r="AE28" s="291" t="e">
        <f ca="1">-(+'Financial Quarterly onshore'!AE62+'Financial Quarterly onshore'!AE63)</f>
        <v>#N/A</v>
      </c>
      <c r="AF28" s="291" t="e">
        <f ca="1">-(+'Financial Quarterly onshore'!AF62+'Financial Quarterly onshore'!AF63)</f>
        <v>#N/A</v>
      </c>
      <c r="AG28" s="291" t="e">
        <f ca="1">-(+'Financial Quarterly onshore'!AG62+'Financial Quarterly onshore'!AG63)</f>
        <v>#N/A</v>
      </c>
    </row>
    <row r="29" spans="3:33" ht="14.4" outlineLevel="1">
      <c r="C29" s="34"/>
    </row>
    <row r="30" spans="3:33" outlineLevel="1">
      <c r="C30" s="209" t="str">
        <f>CONCATENATE("Last ",D11," quarters")</f>
        <v>Last 1 quarters</v>
      </c>
      <c r="D30" s="209"/>
      <c r="E30" s="209"/>
      <c r="F30" s="209"/>
      <c r="G30" s="209"/>
      <c r="H30" s="209"/>
      <c r="I30" s="209"/>
      <c r="J30" s="209"/>
      <c r="K30" s="209"/>
      <c r="L30" s="209"/>
      <c r="M30" s="209"/>
      <c r="N30" s="209"/>
      <c r="O30" s="209"/>
      <c r="P30" s="209"/>
      <c r="Q30" s="209"/>
      <c r="R30" s="209"/>
      <c r="S30" s="209"/>
      <c r="T30" s="209"/>
      <c r="U30" s="209"/>
      <c r="V30" s="209"/>
      <c r="W30" s="209"/>
      <c r="X30" s="209"/>
      <c r="Y30" s="209"/>
      <c r="Z30" s="209"/>
      <c r="AA30" s="209"/>
      <c r="AB30" s="209"/>
      <c r="AC30" s="209"/>
      <c r="AD30" s="209"/>
      <c r="AE30" s="209"/>
      <c r="AF30" s="209"/>
      <c r="AG30" s="209"/>
    </row>
    <row r="31" spans="3:33" outlineLevel="1">
      <c r="C31" s="291" t="s">
        <v>789</v>
      </c>
      <c r="D31" s="291">
        <f ca="1">IFERROR(OFFSET(D18,0,-$D$11+1,1,1)*1,"na")</f>
        <v>0</v>
      </c>
      <c r="E31" s="291">
        <f t="shared" ref="E31:AF31" ca="1" si="6">IFERROR(OFFSET(E18,0,-$D$11+1,1,1)*1,"na")</f>
        <v>0</v>
      </c>
      <c r="F31" s="291">
        <f t="shared" ca="1" si="6"/>
        <v>0</v>
      </c>
      <c r="G31" s="291">
        <f t="shared" ca="1" si="6"/>
        <v>0</v>
      </c>
      <c r="H31" s="291">
        <f t="shared" ca="1" si="6"/>
        <v>0</v>
      </c>
      <c r="I31" s="291">
        <f t="shared" ca="1" si="6"/>
        <v>0</v>
      </c>
      <c r="J31" s="291">
        <f t="shared" ca="1" si="6"/>
        <v>0</v>
      </c>
      <c r="K31" s="291">
        <f t="shared" ca="1" si="6"/>
        <v>0</v>
      </c>
      <c r="L31" s="291">
        <f t="shared" ca="1" si="6"/>
        <v>0</v>
      </c>
      <c r="M31" s="291">
        <f t="shared" ca="1" si="6"/>
        <v>0</v>
      </c>
      <c r="N31" s="291">
        <f t="shared" ca="1" si="6"/>
        <v>0</v>
      </c>
      <c r="O31" s="291">
        <f t="shared" ca="1" si="6"/>
        <v>0</v>
      </c>
      <c r="P31" s="291">
        <f t="shared" ca="1" si="6"/>
        <v>0</v>
      </c>
      <c r="Q31" s="291">
        <f t="shared" ca="1" si="6"/>
        <v>0</v>
      </c>
      <c r="R31" s="291">
        <f t="shared" ca="1" si="6"/>
        <v>0</v>
      </c>
      <c r="S31" s="291">
        <f t="shared" ca="1" si="6"/>
        <v>0</v>
      </c>
      <c r="T31" s="291">
        <f t="shared" ca="1" si="6"/>
        <v>0</v>
      </c>
      <c r="U31" s="291">
        <f t="shared" ca="1" si="6"/>
        <v>0</v>
      </c>
      <c r="V31" s="291">
        <f t="shared" ca="1" si="6"/>
        <v>0</v>
      </c>
      <c r="W31" s="291">
        <f t="shared" ca="1" si="6"/>
        <v>0</v>
      </c>
      <c r="X31" s="291">
        <f t="shared" ca="1" si="6"/>
        <v>0</v>
      </c>
      <c r="Y31" s="291">
        <f t="shared" ca="1" si="6"/>
        <v>0</v>
      </c>
      <c r="Z31" s="291">
        <f t="shared" ca="1" si="6"/>
        <v>0</v>
      </c>
      <c r="AA31" s="291">
        <f t="shared" ca="1" si="6"/>
        <v>0</v>
      </c>
      <c r="AB31" s="291">
        <f t="shared" ca="1" si="6"/>
        <v>0</v>
      </c>
      <c r="AC31" s="291" t="str">
        <f t="shared" ca="1" si="6"/>
        <v>na</v>
      </c>
      <c r="AD31" s="291" t="str">
        <f t="shared" ca="1" si="6"/>
        <v>na</v>
      </c>
      <c r="AE31" s="291" t="str">
        <f t="shared" ca="1" si="6"/>
        <v>na</v>
      </c>
      <c r="AF31" s="291" t="str">
        <f t="shared" ca="1" si="6"/>
        <v>na</v>
      </c>
      <c r="AG31" s="291" t="str">
        <f t="shared" ref="AG31" ca="1" si="7">IFERROR(OFFSET(AG18,0,-$D$11+1,1,1)*1,"na")</f>
        <v>na</v>
      </c>
    </row>
    <row r="32" spans="3:33" outlineLevel="1">
      <c r="C32" s="291" t="s">
        <v>770</v>
      </c>
      <c r="D32" s="291">
        <f t="shared" ref="D32:D39" ca="1" si="8">IFERROR(SUM(OFFSET(D21,0,0,1,-$D$11)),"na")</f>
        <v>0</v>
      </c>
      <c r="E32" s="291">
        <f t="shared" ref="E32:AB32" ca="1" si="9">IFERROR(SUM(OFFSET(E21,0,0,1,-$D$11)),"na")</f>
        <v>0</v>
      </c>
      <c r="F32" s="291">
        <f t="shared" ca="1" si="9"/>
        <v>0</v>
      </c>
      <c r="G32" s="291">
        <f t="shared" ca="1" si="9"/>
        <v>0</v>
      </c>
      <c r="H32" s="291">
        <f t="shared" ca="1" si="9"/>
        <v>0</v>
      </c>
      <c r="I32" s="291">
        <f t="shared" ca="1" si="9"/>
        <v>0</v>
      </c>
      <c r="J32" s="291">
        <f t="shared" ca="1" si="9"/>
        <v>0</v>
      </c>
      <c r="K32" s="291">
        <f t="shared" ca="1" si="9"/>
        <v>0</v>
      </c>
      <c r="L32" s="291">
        <f t="shared" ca="1" si="9"/>
        <v>0</v>
      </c>
      <c r="M32" s="291">
        <f t="shared" ca="1" si="9"/>
        <v>0</v>
      </c>
      <c r="N32" s="291">
        <f t="shared" ca="1" si="9"/>
        <v>0</v>
      </c>
      <c r="O32" s="291">
        <f t="shared" ca="1" si="9"/>
        <v>0</v>
      </c>
      <c r="P32" s="291">
        <f t="shared" ca="1" si="9"/>
        <v>0</v>
      </c>
      <c r="Q32" s="291">
        <f t="shared" ca="1" si="9"/>
        <v>0</v>
      </c>
      <c r="R32" s="291">
        <f t="shared" ca="1" si="9"/>
        <v>0</v>
      </c>
      <c r="S32" s="291">
        <f t="shared" ca="1" si="9"/>
        <v>0</v>
      </c>
      <c r="T32" s="291">
        <f t="shared" ca="1" si="9"/>
        <v>0</v>
      </c>
      <c r="U32" s="291">
        <f t="shared" ca="1" si="9"/>
        <v>0</v>
      </c>
      <c r="V32" s="291">
        <f t="shared" ca="1" si="9"/>
        <v>0</v>
      </c>
      <c r="W32" s="291">
        <f t="shared" ca="1" si="9"/>
        <v>0</v>
      </c>
      <c r="X32" s="291">
        <f t="shared" ca="1" si="9"/>
        <v>0</v>
      </c>
      <c r="Y32" s="291">
        <f t="shared" ca="1" si="9"/>
        <v>0</v>
      </c>
      <c r="Z32" s="291">
        <f t="shared" ca="1" si="9"/>
        <v>0</v>
      </c>
      <c r="AA32" s="291">
        <f t="shared" ca="1" si="9"/>
        <v>0</v>
      </c>
      <c r="AB32" s="291" t="str">
        <f t="shared" ca="1" si="9"/>
        <v>na</v>
      </c>
      <c r="AC32" s="291" t="str">
        <f t="shared" ref="AC32:AF39" ca="1" si="10">IFERROR(SUM(OFFSET(AC21,0,0,1,-$D$11)),"na")</f>
        <v>na</v>
      </c>
      <c r="AD32" s="291" t="str">
        <f t="shared" ca="1" si="10"/>
        <v>na</v>
      </c>
      <c r="AE32" s="291" t="str">
        <f t="shared" ca="1" si="10"/>
        <v>na</v>
      </c>
      <c r="AF32" s="291" t="str">
        <f t="shared" ca="1" si="10"/>
        <v>na</v>
      </c>
      <c r="AG32" s="291" t="str">
        <f t="shared" ref="AG32" ca="1" si="11">IFERROR(SUM(OFFSET(AG21,0,0,1,-$D$11)),"na")</f>
        <v>na</v>
      </c>
    </row>
    <row r="33" spans="2:33" outlineLevel="1">
      <c r="C33" s="291" t="s">
        <v>783</v>
      </c>
      <c r="D33" s="291">
        <f t="shared" ca="1" si="8"/>
        <v>0</v>
      </c>
      <c r="E33" s="291">
        <f t="shared" ref="E33:AB39" ca="1" si="12">IFERROR(SUM(OFFSET(E22,0,0,1,-$D$11)),"na")</f>
        <v>0</v>
      </c>
      <c r="F33" s="291">
        <f t="shared" ca="1" si="12"/>
        <v>0</v>
      </c>
      <c r="G33" s="291">
        <f t="shared" ca="1" si="12"/>
        <v>0</v>
      </c>
      <c r="H33" s="291">
        <f t="shared" ca="1" si="12"/>
        <v>0</v>
      </c>
      <c r="I33" s="291">
        <f t="shared" ca="1" si="12"/>
        <v>0</v>
      </c>
      <c r="J33" s="291">
        <f t="shared" ca="1" si="12"/>
        <v>0</v>
      </c>
      <c r="K33" s="291">
        <f t="shared" ca="1" si="12"/>
        <v>0</v>
      </c>
      <c r="L33" s="291">
        <f t="shared" ca="1" si="12"/>
        <v>0</v>
      </c>
      <c r="M33" s="291">
        <f t="shared" ca="1" si="12"/>
        <v>0</v>
      </c>
      <c r="N33" s="291">
        <f t="shared" ca="1" si="12"/>
        <v>0</v>
      </c>
      <c r="O33" s="291">
        <f t="shared" ca="1" si="12"/>
        <v>0</v>
      </c>
      <c r="P33" s="291">
        <f t="shared" ca="1" si="12"/>
        <v>0</v>
      </c>
      <c r="Q33" s="291">
        <f t="shared" ca="1" si="12"/>
        <v>0</v>
      </c>
      <c r="R33" s="291">
        <f t="shared" ca="1" si="12"/>
        <v>0</v>
      </c>
      <c r="S33" s="291">
        <f t="shared" ca="1" si="12"/>
        <v>0</v>
      </c>
      <c r="T33" s="291">
        <f t="shared" ca="1" si="12"/>
        <v>0</v>
      </c>
      <c r="U33" s="291">
        <f t="shared" ca="1" si="12"/>
        <v>0</v>
      </c>
      <c r="V33" s="291">
        <f t="shared" ca="1" si="12"/>
        <v>0</v>
      </c>
      <c r="W33" s="291">
        <f t="shared" ca="1" si="12"/>
        <v>0</v>
      </c>
      <c r="X33" s="291">
        <f t="shared" ca="1" si="12"/>
        <v>0</v>
      </c>
      <c r="Y33" s="291">
        <f t="shared" ca="1" si="12"/>
        <v>0</v>
      </c>
      <c r="Z33" s="291">
        <f t="shared" ca="1" si="12"/>
        <v>0</v>
      </c>
      <c r="AA33" s="291">
        <f t="shared" ca="1" si="12"/>
        <v>0</v>
      </c>
      <c r="AB33" s="291" t="str">
        <f t="shared" ca="1" si="12"/>
        <v>na</v>
      </c>
      <c r="AC33" s="291" t="str">
        <f t="shared" ca="1" si="10"/>
        <v>na</v>
      </c>
      <c r="AD33" s="291" t="str">
        <f t="shared" ca="1" si="10"/>
        <v>na</v>
      </c>
      <c r="AE33" s="291" t="str">
        <f t="shared" ca="1" si="10"/>
        <v>na</v>
      </c>
      <c r="AF33" s="291" t="str">
        <f t="shared" ca="1" si="10"/>
        <v>na</v>
      </c>
      <c r="AG33" s="291" t="str">
        <f t="shared" ref="AG33" ca="1" si="13">IFERROR(SUM(OFFSET(AG22,0,0,1,-$D$11)),"na")</f>
        <v>na</v>
      </c>
    </row>
    <row r="34" spans="2:33" outlineLevel="1">
      <c r="C34" s="291" t="s">
        <v>684</v>
      </c>
      <c r="D34" s="291">
        <f t="shared" ca="1" si="8"/>
        <v>0</v>
      </c>
      <c r="E34" s="291">
        <f t="shared" ca="1" si="12"/>
        <v>0</v>
      </c>
      <c r="F34" s="291">
        <f t="shared" ca="1" si="12"/>
        <v>0</v>
      </c>
      <c r="G34" s="291">
        <f t="shared" ca="1" si="12"/>
        <v>0</v>
      </c>
      <c r="H34" s="291">
        <f t="shared" ca="1" si="12"/>
        <v>0</v>
      </c>
      <c r="I34" s="291">
        <f t="shared" ca="1" si="12"/>
        <v>0</v>
      </c>
      <c r="J34" s="291">
        <f t="shared" ca="1" si="12"/>
        <v>0</v>
      </c>
      <c r="K34" s="291">
        <f t="shared" ca="1" si="12"/>
        <v>0</v>
      </c>
      <c r="L34" s="291">
        <f t="shared" ca="1" si="12"/>
        <v>0</v>
      </c>
      <c r="M34" s="291">
        <f t="shared" ca="1" si="12"/>
        <v>0</v>
      </c>
      <c r="N34" s="291">
        <f t="shared" ca="1" si="12"/>
        <v>0</v>
      </c>
      <c r="O34" s="291">
        <f t="shared" ca="1" si="12"/>
        <v>0</v>
      </c>
      <c r="P34" s="291">
        <f t="shared" ca="1" si="12"/>
        <v>0</v>
      </c>
      <c r="Q34" s="291">
        <f t="shared" ca="1" si="12"/>
        <v>0</v>
      </c>
      <c r="R34" s="291">
        <f t="shared" ca="1" si="12"/>
        <v>0</v>
      </c>
      <c r="S34" s="291">
        <f t="shared" ca="1" si="12"/>
        <v>0</v>
      </c>
      <c r="T34" s="291">
        <f t="shared" ca="1" si="12"/>
        <v>0</v>
      </c>
      <c r="U34" s="291">
        <f t="shared" ca="1" si="12"/>
        <v>0</v>
      </c>
      <c r="V34" s="291">
        <f t="shared" ca="1" si="12"/>
        <v>0</v>
      </c>
      <c r="W34" s="291">
        <f t="shared" ca="1" si="12"/>
        <v>0</v>
      </c>
      <c r="X34" s="291">
        <f t="shared" ca="1" si="12"/>
        <v>0</v>
      </c>
      <c r="Y34" s="291">
        <f t="shared" ca="1" si="12"/>
        <v>0</v>
      </c>
      <c r="Z34" s="291">
        <f t="shared" ca="1" si="12"/>
        <v>0</v>
      </c>
      <c r="AA34" s="291">
        <f t="shared" ca="1" si="12"/>
        <v>0</v>
      </c>
      <c r="AB34" s="291" t="str">
        <f t="shared" ca="1" si="12"/>
        <v>na</v>
      </c>
      <c r="AC34" s="291" t="str">
        <f t="shared" ca="1" si="10"/>
        <v>na</v>
      </c>
      <c r="AD34" s="291" t="str">
        <f t="shared" ca="1" si="10"/>
        <v>na</v>
      </c>
      <c r="AE34" s="291" t="str">
        <f t="shared" ca="1" si="10"/>
        <v>na</v>
      </c>
      <c r="AF34" s="291" t="str">
        <f t="shared" ca="1" si="10"/>
        <v>na</v>
      </c>
      <c r="AG34" s="291" t="str">
        <f t="shared" ref="AG34" ca="1" si="14">IFERROR(SUM(OFFSET(AG23,0,0,1,-$D$11)),"na")</f>
        <v>na</v>
      </c>
    </row>
    <row r="35" spans="2:33" outlineLevel="1">
      <c r="C35" s="291" t="s">
        <v>776</v>
      </c>
      <c r="D35" s="291">
        <f t="shared" ca="1" si="8"/>
        <v>0</v>
      </c>
      <c r="E35" s="291">
        <f t="shared" ca="1" si="12"/>
        <v>0</v>
      </c>
      <c r="F35" s="291">
        <f t="shared" ca="1" si="12"/>
        <v>0</v>
      </c>
      <c r="G35" s="291">
        <f t="shared" ca="1" si="12"/>
        <v>0</v>
      </c>
      <c r="H35" s="291">
        <f t="shared" ca="1" si="12"/>
        <v>0</v>
      </c>
      <c r="I35" s="291">
        <f t="shared" ca="1" si="12"/>
        <v>0</v>
      </c>
      <c r="J35" s="291">
        <f t="shared" ca="1" si="12"/>
        <v>0</v>
      </c>
      <c r="K35" s="291">
        <f t="shared" ca="1" si="12"/>
        <v>0</v>
      </c>
      <c r="L35" s="291">
        <f t="shared" ca="1" si="12"/>
        <v>0</v>
      </c>
      <c r="M35" s="291">
        <f t="shared" ca="1" si="12"/>
        <v>0</v>
      </c>
      <c r="N35" s="291">
        <f t="shared" ca="1" si="12"/>
        <v>0</v>
      </c>
      <c r="O35" s="291">
        <f t="shared" ca="1" si="12"/>
        <v>0</v>
      </c>
      <c r="P35" s="291">
        <f t="shared" ca="1" si="12"/>
        <v>0</v>
      </c>
      <c r="Q35" s="291">
        <f t="shared" ca="1" si="12"/>
        <v>0</v>
      </c>
      <c r="R35" s="291">
        <f t="shared" ca="1" si="12"/>
        <v>0</v>
      </c>
      <c r="S35" s="291">
        <f t="shared" ca="1" si="12"/>
        <v>0</v>
      </c>
      <c r="T35" s="291">
        <f t="shared" ca="1" si="12"/>
        <v>0</v>
      </c>
      <c r="U35" s="291">
        <f t="shared" ca="1" si="12"/>
        <v>0</v>
      </c>
      <c r="V35" s="291">
        <f t="shared" ca="1" si="12"/>
        <v>0</v>
      </c>
      <c r="W35" s="291">
        <f t="shared" ca="1" si="12"/>
        <v>0</v>
      </c>
      <c r="X35" s="291">
        <f t="shared" ca="1" si="12"/>
        <v>0</v>
      </c>
      <c r="Y35" s="291">
        <f t="shared" ca="1" si="12"/>
        <v>0</v>
      </c>
      <c r="Z35" s="291">
        <f t="shared" ca="1" si="12"/>
        <v>0</v>
      </c>
      <c r="AA35" s="291">
        <f t="shared" ca="1" si="12"/>
        <v>0</v>
      </c>
      <c r="AB35" s="291" t="str">
        <f t="shared" ca="1" si="12"/>
        <v>na</v>
      </c>
      <c r="AC35" s="291" t="str">
        <f t="shared" ca="1" si="10"/>
        <v>na</v>
      </c>
      <c r="AD35" s="291" t="str">
        <f t="shared" ca="1" si="10"/>
        <v>na</v>
      </c>
      <c r="AE35" s="291" t="str">
        <f t="shared" ca="1" si="10"/>
        <v>na</v>
      </c>
      <c r="AF35" s="291" t="str">
        <f t="shared" ca="1" si="10"/>
        <v>na</v>
      </c>
      <c r="AG35" s="291" t="str">
        <f t="shared" ref="AG35" ca="1" si="15">IFERROR(SUM(OFFSET(AG24,0,0,1,-$D$11)),"na")</f>
        <v>na</v>
      </c>
    </row>
    <row r="36" spans="2:33" outlineLevel="1">
      <c r="C36" s="291" t="s">
        <v>772</v>
      </c>
      <c r="D36" s="291">
        <f t="shared" ca="1" si="8"/>
        <v>0</v>
      </c>
      <c r="E36" s="291">
        <f t="shared" ca="1" si="12"/>
        <v>0</v>
      </c>
      <c r="F36" s="291">
        <f t="shared" ca="1" si="12"/>
        <v>0</v>
      </c>
      <c r="G36" s="291">
        <f t="shared" ca="1" si="12"/>
        <v>0</v>
      </c>
      <c r="H36" s="291">
        <f t="shared" ca="1" si="12"/>
        <v>0</v>
      </c>
      <c r="I36" s="291">
        <f t="shared" ca="1" si="12"/>
        <v>0</v>
      </c>
      <c r="J36" s="291">
        <f t="shared" ca="1" si="12"/>
        <v>0</v>
      </c>
      <c r="K36" s="291">
        <f t="shared" ca="1" si="12"/>
        <v>0</v>
      </c>
      <c r="L36" s="291">
        <f t="shared" ca="1" si="12"/>
        <v>0</v>
      </c>
      <c r="M36" s="291">
        <f t="shared" ca="1" si="12"/>
        <v>0</v>
      </c>
      <c r="N36" s="291">
        <f t="shared" ca="1" si="12"/>
        <v>0</v>
      </c>
      <c r="O36" s="291">
        <f t="shared" ca="1" si="12"/>
        <v>0</v>
      </c>
      <c r="P36" s="291">
        <f t="shared" ca="1" si="12"/>
        <v>0</v>
      </c>
      <c r="Q36" s="291">
        <f t="shared" ca="1" si="12"/>
        <v>0</v>
      </c>
      <c r="R36" s="291">
        <f t="shared" ca="1" si="12"/>
        <v>0</v>
      </c>
      <c r="S36" s="291">
        <f t="shared" ca="1" si="12"/>
        <v>0</v>
      </c>
      <c r="T36" s="291">
        <f t="shared" ca="1" si="12"/>
        <v>0</v>
      </c>
      <c r="U36" s="291">
        <f t="shared" ca="1" si="12"/>
        <v>0</v>
      </c>
      <c r="V36" s="291">
        <f t="shared" ca="1" si="12"/>
        <v>0</v>
      </c>
      <c r="W36" s="291">
        <f t="shared" ca="1" si="12"/>
        <v>0</v>
      </c>
      <c r="X36" s="291">
        <f t="shared" ca="1" si="12"/>
        <v>0</v>
      </c>
      <c r="Y36" s="291">
        <f t="shared" ca="1" si="12"/>
        <v>0</v>
      </c>
      <c r="Z36" s="291">
        <f t="shared" ca="1" si="12"/>
        <v>0</v>
      </c>
      <c r="AA36" s="291">
        <f t="shared" ca="1" si="12"/>
        <v>0</v>
      </c>
      <c r="AB36" s="291">
        <f t="shared" ca="1" si="12"/>
        <v>0</v>
      </c>
      <c r="AC36" s="291" t="str">
        <f t="shared" ca="1" si="10"/>
        <v>na</v>
      </c>
      <c r="AD36" s="291" t="str">
        <f t="shared" ca="1" si="10"/>
        <v>na</v>
      </c>
      <c r="AE36" s="291" t="str">
        <f t="shared" ca="1" si="10"/>
        <v>na</v>
      </c>
      <c r="AF36" s="291" t="str">
        <f t="shared" ca="1" si="10"/>
        <v>na</v>
      </c>
      <c r="AG36" s="291" t="str">
        <f t="shared" ref="AG36" ca="1" si="16">IFERROR(SUM(OFFSET(AG25,0,0,1,-$D$11)),"na")</f>
        <v>na</v>
      </c>
    </row>
    <row r="37" spans="2:33" outlineLevel="1">
      <c r="C37" s="291" t="s">
        <v>773</v>
      </c>
      <c r="D37" s="291">
        <f t="shared" ca="1" si="8"/>
        <v>0</v>
      </c>
      <c r="E37" s="291">
        <f t="shared" ca="1" si="12"/>
        <v>0</v>
      </c>
      <c r="F37" s="291">
        <f t="shared" ca="1" si="12"/>
        <v>0</v>
      </c>
      <c r="G37" s="291">
        <f t="shared" ca="1" si="12"/>
        <v>0</v>
      </c>
      <c r="H37" s="291">
        <f t="shared" ca="1" si="12"/>
        <v>0</v>
      </c>
      <c r="I37" s="291">
        <f t="shared" ca="1" si="12"/>
        <v>0</v>
      </c>
      <c r="J37" s="291">
        <f t="shared" ca="1" si="12"/>
        <v>0</v>
      </c>
      <c r="K37" s="291">
        <f t="shared" ca="1" si="12"/>
        <v>0</v>
      </c>
      <c r="L37" s="291">
        <f t="shared" ca="1" si="12"/>
        <v>0</v>
      </c>
      <c r="M37" s="291">
        <f t="shared" ca="1" si="12"/>
        <v>0</v>
      </c>
      <c r="N37" s="291">
        <f t="shared" ca="1" si="12"/>
        <v>0</v>
      </c>
      <c r="O37" s="291">
        <f t="shared" ca="1" si="12"/>
        <v>0</v>
      </c>
      <c r="P37" s="291">
        <f t="shared" ca="1" si="12"/>
        <v>0</v>
      </c>
      <c r="Q37" s="291">
        <f t="shared" ca="1" si="12"/>
        <v>0</v>
      </c>
      <c r="R37" s="291">
        <f t="shared" ca="1" si="12"/>
        <v>0</v>
      </c>
      <c r="S37" s="291">
        <f t="shared" ca="1" si="12"/>
        <v>0</v>
      </c>
      <c r="T37" s="291">
        <f t="shared" ca="1" si="12"/>
        <v>0</v>
      </c>
      <c r="U37" s="291">
        <f t="shared" ca="1" si="12"/>
        <v>0</v>
      </c>
      <c r="V37" s="291">
        <f t="shared" ca="1" si="12"/>
        <v>0</v>
      </c>
      <c r="W37" s="291">
        <f t="shared" ca="1" si="12"/>
        <v>0</v>
      </c>
      <c r="X37" s="291">
        <f t="shared" ca="1" si="12"/>
        <v>0</v>
      </c>
      <c r="Y37" s="291">
        <f t="shared" ca="1" si="12"/>
        <v>0</v>
      </c>
      <c r="Z37" s="291">
        <f t="shared" ca="1" si="12"/>
        <v>0</v>
      </c>
      <c r="AA37" s="291">
        <f t="shared" ca="1" si="12"/>
        <v>0</v>
      </c>
      <c r="AB37" s="291">
        <f t="shared" ca="1" si="12"/>
        <v>0</v>
      </c>
      <c r="AC37" s="291" t="str">
        <f t="shared" ca="1" si="10"/>
        <v>na</v>
      </c>
      <c r="AD37" s="291" t="str">
        <f t="shared" ca="1" si="10"/>
        <v>na</v>
      </c>
      <c r="AE37" s="291" t="str">
        <f t="shared" ca="1" si="10"/>
        <v>na</v>
      </c>
      <c r="AF37" s="291" t="str">
        <f t="shared" ca="1" si="10"/>
        <v>na</v>
      </c>
      <c r="AG37" s="291" t="str">
        <f t="shared" ref="AG37" ca="1" si="17">IFERROR(SUM(OFFSET(AG26,0,0,1,-$D$11)),"na")</f>
        <v>na</v>
      </c>
    </row>
    <row r="38" spans="2:33" outlineLevel="1">
      <c r="C38" s="291" t="s">
        <v>774</v>
      </c>
      <c r="D38" s="291">
        <f t="shared" ca="1" si="8"/>
        <v>0</v>
      </c>
      <c r="E38" s="291">
        <f t="shared" ca="1" si="12"/>
        <v>0</v>
      </c>
      <c r="F38" s="291">
        <f t="shared" ca="1" si="12"/>
        <v>0</v>
      </c>
      <c r="G38" s="291">
        <f t="shared" ca="1" si="12"/>
        <v>0</v>
      </c>
      <c r="H38" s="291">
        <f t="shared" ca="1" si="12"/>
        <v>0</v>
      </c>
      <c r="I38" s="291">
        <f t="shared" ca="1" si="12"/>
        <v>0</v>
      </c>
      <c r="J38" s="291">
        <f t="shared" ca="1" si="12"/>
        <v>0</v>
      </c>
      <c r="K38" s="291">
        <f t="shared" ca="1" si="12"/>
        <v>0</v>
      </c>
      <c r="L38" s="291">
        <f t="shared" ca="1" si="12"/>
        <v>0</v>
      </c>
      <c r="M38" s="291">
        <f t="shared" ca="1" si="12"/>
        <v>0</v>
      </c>
      <c r="N38" s="291">
        <f t="shared" ca="1" si="12"/>
        <v>0</v>
      </c>
      <c r="O38" s="291">
        <f t="shared" ca="1" si="12"/>
        <v>0</v>
      </c>
      <c r="P38" s="291">
        <f t="shared" ca="1" si="12"/>
        <v>0</v>
      </c>
      <c r="Q38" s="291">
        <f t="shared" ca="1" si="12"/>
        <v>0</v>
      </c>
      <c r="R38" s="291">
        <f t="shared" ca="1" si="12"/>
        <v>0</v>
      </c>
      <c r="S38" s="291">
        <f t="shared" ca="1" si="12"/>
        <v>0</v>
      </c>
      <c r="T38" s="291">
        <f t="shared" ca="1" si="12"/>
        <v>0</v>
      </c>
      <c r="U38" s="291">
        <f t="shared" ca="1" si="12"/>
        <v>0</v>
      </c>
      <c r="V38" s="291">
        <f t="shared" ca="1" si="12"/>
        <v>0</v>
      </c>
      <c r="W38" s="291">
        <f t="shared" ca="1" si="12"/>
        <v>0</v>
      </c>
      <c r="X38" s="291">
        <f t="shared" ca="1" si="12"/>
        <v>0</v>
      </c>
      <c r="Y38" s="291">
        <f t="shared" ca="1" si="12"/>
        <v>0</v>
      </c>
      <c r="Z38" s="291">
        <f t="shared" ca="1" si="12"/>
        <v>0</v>
      </c>
      <c r="AA38" s="291">
        <f t="shared" ca="1" si="12"/>
        <v>0</v>
      </c>
      <c r="AB38" s="291">
        <f t="shared" ca="1" si="12"/>
        <v>0</v>
      </c>
      <c r="AC38" s="291">
        <f t="shared" ca="1" si="10"/>
        <v>0</v>
      </c>
      <c r="AD38" s="291">
        <f t="shared" ca="1" si="10"/>
        <v>0</v>
      </c>
      <c r="AE38" s="291">
        <f t="shared" ca="1" si="10"/>
        <v>0</v>
      </c>
      <c r="AF38" s="291">
        <f t="shared" ca="1" si="10"/>
        <v>0</v>
      </c>
      <c r="AG38" s="291">
        <f t="shared" ref="AG38" ca="1" si="18">IFERROR(SUM(OFFSET(AG27,0,0,1,-$D$11)),"na")</f>
        <v>0</v>
      </c>
    </row>
    <row r="39" spans="2:33" outlineLevel="1">
      <c r="C39" s="291" t="s">
        <v>775</v>
      </c>
      <c r="D39" s="291">
        <f t="shared" ca="1" si="8"/>
        <v>0</v>
      </c>
      <c r="E39" s="291">
        <f t="shared" ca="1" si="12"/>
        <v>0</v>
      </c>
      <c r="F39" s="291">
        <f t="shared" ca="1" si="12"/>
        <v>0</v>
      </c>
      <c r="G39" s="291">
        <f t="shared" ca="1" si="12"/>
        <v>0</v>
      </c>
      <c r="H39" s="291">
        <f t="shared" ca="1" si="12"/>
        <v>0</v>
      </c>
      <c r="I39" s="291">
        <f t="shared" ca="1" si="12"/>
        <v>0</v>
      </c>
      <c r="J39" s="291">
        <f t="shared" ca="1" si="12"/>
        <v>0</v>
      </c>
      <c r="K39" s="291">
        <f t="shared" ca="1" si="12"/>
        <v>0</v>
      </c>
      <c r="L39" s="291">
        <f t="shared" ca="1" si="12"/>
        <v>0</v>
      </c>
      <c r="M39" s="291">
        <f t="shared" ca="1" si="12"/>
        <v>0</v>
      </c>
      <c r="N39" s="291">
        <f t="shared" ca="1" si="12"/>
        <v>0</v>
      </c>
      <c r="O39" s="291">
        <f t="shared" ca="1" si="12"/>
        <v>0</v>
      </c>
      <c r="P39" s="291">
        <f t="shared" ca="1" si="12"/>
        <v>0</v>
      </c>
      <c r="Q39" s="291">
        <f t="shared" ca="1" si="12"/>
        <v>0</v>
      </c>
      <c r="R39" s="291">
        <f t="shared" ca="1" si="12"/>
        <v>0</v>
      </c>
      <c r="S39" s="291">
        <f t="shared" ca="1" si="12"/>
        <v>0</v>
      </c>
      <c r="T39" s="291">
        <f t="shared" ca="1" si="12"/>
        <v>0</v>
      </c>
      <c r="U39" s="291">
        <f t="shared" ca="1" si="12"/>
        <v>0</v>
      </c>
      <c r="V39" s="291">
        <f t="shared" ca="1" si="12"/>
        <v>0</v>
      </c>
      <c r="W39" s="291">
        <f t="shared" ca="1" si="12"/>
        <v>0</v>
      </c>
      <c r="X39" s="291">
        <f t="shared" ca="1" si="12"/>
        <v>0</v>
      </c>
      <c r="Y39" s="291">
        <f t="shared" ca="1" si="12"/>
        <v>0</v>
      </c>
      <c r="Z39" s="291">
        <f t="shared" ca="1" si="12"/>
        <v>0</v>
      </c>
      <c r="AA39" s="291">
        <f t="shared" ca="1" si="12"/>
        <v>0</v>
      </c>
      <c r="AB39" s="291">
        <f t="shared" ca="1" si="12"/>
        <v>0</v>
      </c>
      <c r="AC39" s="291" t="str">
        <f t="shared" ca="1" si="10"/>
        <v>na</v>
      </c>
      <c r="AD39" s="291" t="str">
        <f t="shared" ca="1" si="10"/>
        <v>na</v>
      </c>
      <c r="AE39" s="291" t="str">
        <f t="shared" ca="1" si="10"/>
        <v>na</v>
      </c>
      <c r="AF39" s="291" t="str">
        <f t="shared" ca="1" si="10"/>
        <v>na</v>
      </c>
      <c r="AG39" s="291" t="str">
        <f t="shared" ref="AG39" ca="1" si="19">IFERROR(SUM(OFFSET(AG28,0,0,1,-$D$11)),"na")</f>
        <v>na</v>
      </c>
    </row>
    <row r="40" spans="2:33" ht="14.4" outlineLevel="1">
      <c r="C40" s="1"/>
      <c r="D40" s="96"/>
      <c r="E40" s="96"/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</row>
    <row r="41" spans="2:33" ht="16.600000000000001">
      <c r="B41" s="196" t="str">
        <f>CONCATENATE("Project ",project_name," covenant testing")</f>
        <v>Project  covenant testing</v>
      </c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</row>
    <row r="42" spans="2:33">
      <c r="B42" s="198" t="s">
        <v>1036</v>
      </c>
      <c r="C42" s="198"/>
      <c r="D42" s="198">
        <f>D$4</f>
        <v>43555</v>
      </c>
      <c r="E42" s="198">
        <f t="shared" ref="E42:AG42" si="20">E$4</f>
        <v>43646</v>
      </c>
      <c r="F42" s="198">
        <f t="shared" si="20"/>
        <v>43738</v>
      </c>
      <c r="G42" s="198">
        <f t="shared" si="20"/>
        <v>43830</v>
      </c>
      <c r="H42" s="198">
        <f t="shared" si="20"/>
        <v>43921</v>
      </c>
      <c r="I42" s="198">
        <f t="shared" si="20"/>
        <v>44012</v>
      </c>
      <c r="J42" s="198">
        <f t="shared" si="20"/>
        <v>44104</v>
      </c>
      <c r="K42" s="198">
        <f t="shared" si="20"/>
        <v>44196</v>
      </c>
      <c r="L42" s="198">
        <f t="shared" si="20"/>
        <v>44286</v>
      </c>
      <c r="M42" s="198">
        <f t="shared" si="20"/>
        <v>44377</v>
      </c>
      <c r="N42" s="198">
        <f t="shared" si="20"/>
        <v>44469</v>
      </c>
      <c r="O42" s="198">
        <f t="shared" si="20"/>
        <v>44561</v>
      </c>
      <c r="P42" s="198">
        <f t="shared" si="20"/>
        <v>44651</v>
      </c>
      <c r="Q42" s="198">
        <f t="shared" si="20"/>
        <v>44742</v>
      </c>
      <c r="R42" s="198">
        <f t="shared" si="20"/>
        <v>44834</v>
      </c>
      <c r="S42" s="198">
        <f t="shared" si="20"/>
        <v>44926</v>
      </c>
      <c r="T42" s="198">
        <f t="shared" si="20"/>
        <v>45016</v>
      </c>
      <c r="U42" s="198">
        <f t="shared" si="20"/>
        <v>45107</v>
      </c>
      <c r="V42" s="198">
        <f t="shared" si="20"/>
        <v>45199</v>
      </c>
      <c r="W42" s="198">
        <f t="shared" si="20"/>
        <v>45291</v>
      </c>
      <c r="X42" s="198">
        <f t="shared" si="20"/>
        <v>45382</v>
      </c>
      <c r="Y42" s="198">
        <f t="shared" si="20"/>
        <v>45473</v>
      </c>
      <c r="Z42" s="198">
        <f t="shared" si="20"/>
        <v>45565</v>
      </c>
      <c r="AA42" s="198">
        <f t="shared" si="20"/>
        <v>45657</v>
      </c>
      <c r="AB42" s="198">
        <f t="shared" si="20"/>
        <v>45747</v>
      </c>
      <c r="AC42" s="198">
        <f t="shared" si="20"/>
        <v>45838</v>
      </c>
      <c r="AD42" s="198">
        <f t="shared" si="20"/>
        <v>45930</v>
      </c>
      <c r="AE42" s="198">
        <f t="shared" si="20"/>
        <v>46022</v>
      </c>
      <c r="AF42" s="198">
        <f t="shared" si="20"/>
        <v>46112</v>
      </c>
      <c r="AG42" s="198">
        <f t="shared" si="20"/>
        <v>46203</v>
      </c>
    </row>
    <row r="43" spans="2:33" s="107" customFormat="1" ht="15.15">
      <c r="B43" s="180" t="s">
        <v>1035</v>
      </c>
      <c r="C43" s="180" t="s">
        <v>767</v>
      </c>
      <c r="D43" s="261" t="str">
        <f>IF($D$12&gt;D$4,"na",(D15-(D19&lt;0)*D19)/INDEX(D$32:D$34,MATCH($B44,$C$32:$C$34,0)))</f>
        <v>na</v>
      </c>
      <c r="E43" s="261" t="str">
        <f t="shared" ref="E43:AF43" si="21">IF($D$12&gt;E$4,"na",(E15-(E19&lt;0)*E19)/INDEX(E$32:E$34,MATCH($B44,$C$32:$C$34,0)))</f>
        <v>na</v>
      </c>
      <c r="F43" s="261" t="str">
        <f t="shared" si="21"/>
        <v>na</v>
      </c>
      <c r="G43" s="261" t="e">
        <f t="shared" ca="1" si="21"/>
        <v>#DIV/0!</v>
      </c>
      <c r="H43" s="261" t="e">
        <f t="shared" ca="1" si="21"/>
        <v>#DIV/0!</v>
      </c>
      <c r="I43" s="261" t="e">
        <f t="shared" ca="1" si="21"/>
        <v>#DIV/0!</v>
      </c>
      <c r="J43" s="261" t="e">
        <f t="shared" ca="1" si="21"/>
        <v>#DIV/0!</v>
      </c>
      <c r="K43" s="261" t="e">
        <f t="shared" ca="1" si="21"/>
        <v>#DIV/0!</v>
      </c>
      <c r="L43" s="261" t="e">
        <f t="shared" ca="1" si="21"/>
        <v>#DIV/0!</v>
      </c>
      <c r="M43" s="261" t="e">
        <f t="shared" ca="1" si="21"/>
        <v>#DIV/0!</v>
      </c>
      <c r="N43" s="261" t="e">
        <f t="shared" ca="1" si="21"/>
        <v>#DIV/0!</v>
      </c>
      <c r="O43" s="261" t="e">
        <f t="shared" ca="1" si="21"/>
        <v>#DIV/0!</v>
      </c>
      <c r="P43" s="261" t="e">
        <f t="shared" ca="1" si="21"/>
        <v>#DIV/0!</v>
      </c>
      <c r="Q43" s="261" t="e">
        <f t="shared" ca="1" si="21"/>
        <v>#DIV/0!</v>
      </c>
      <c r="R43" s="261" t="e">
        <f t="shared" ca="1" si="21"/>
        <v>#DIV/0!</v>
      </c>
      <c r="S43" s="261" t="e">
        <f t="shared" ca="1" si="21"/>
        <v>#DIV/0!</v>
      </c>
      <c r="T43" s="261" t="e">
        <f t="shared" ca="1" si="21"/>
        <v>#DIV/0!</v>
      </c>
      <c r="U43" s="261" t="e">
        <f t="shared" ca="1" si="21"/>
        <v>#DIV/0!</v>
      </c>
      <c r="V43" s="261" t="e">
        <f t="shared" ca="1" si="21"/>
        <v>#DIV/0!</v>
      </c>
      <c r="W43" s="261" t="e">
        <f t="shared" ca="1" si="21"/>
        <v>#DIV/0!</v>
      </c>
      <c r="X43" s="261" t="e">
        <f t="shared" ca="1" si="21"/>
        <v>#DIV/0!</v>
      </c>
      <c r="Y43" s="261" t="e">
        <f t="shared" ca="1" si="21"/>
        <v>#DIV/0!</v>
      </c>
      <c r="Z43" s="261" t="e">
        <f t="shared" ca="1" si="21"/>
        <v>#DIV/0!</v>
      </c>
      <c r="AA43" s="261" t="e">
        <f t="shared" ca="1" si="21"/>
        <v>#DIV/0!</v>
      </c>
      <c r="AB43" s="261" t="e">
        <f t="shared" ca="1" si="21"/>
        <v>#N/A</v>
      </c>
      <c r="AC43" s="261" t="e">
        <f t="shared" ca="1" si="21"/>
        <v>#N/A</v>
      </c>
      <c r="AD43" s="261" t="e">
        <f t="shared" ca="1" si="21"/>
        <v>#N/A</v>
      </c>
      <c r="AE43" s="261" t="e">
        <f t="shared" ca="1" si="21"/>
        <v>#N/A</v>
      </c>
      <c r="AF43" s="261" t="e">
        <f t="shared" ca="1" si="21"/>
        <v>#N/A</v>
      </c>
      <c r="AG43" s="261" t="e">
        <f t="shared" ref="AG43" ca="1" si="22">IF($D$12&gt;AG$4,"na",(AG15-(AG19&lt;0)*AG19)/INDEX(AG$32:AG$34,MATCH($B44,$C$32:$C$34,0)))</f>
        <v>#N/A</v>
      </c>
    </row>
    <row r="44" spans="2:33" s="106" customFormat="1" ht="15.15">
      <c r="B44" s="197" t="s">
        <v>771</v>
      </c>
      <c r="C44" s="28" t="s">
        <v>765</v>
      </c>
      <c r="D44" s="306">
        <v>5</v>
      </c>
      <c r="E44" s="306">
        <v>5</v>
      </c>
      <c r="F44" s="306">
        <v>5</v>
      </c>
      <c r="G44" s="306">
        <v>5.5</v>
      </c>
      <c r="H44" s="306">
        <v>5.5</v>
      </c>
      <c r="I44" s="306">
        <v>5.5</v>
      </c>
      <c r="J44" s="306">
        <v>5.25</v>
      </c>
      <c r="K44" s="306">
        <v>4.75</v>
      </c>
      <c r="L44" s="306">
        <v>4.75</v>
      </c>
      <c r="M44" s="306">
        <v>4.5</v>
      </c>
      <c r="N44" s="306">
        <v>4.5</v>
      </c>
      <c r="O44" s="306">
        <v>4.25</v>
      </c>
      <c r="P44" s="306">
        <v>4.25</v>
      </c>
      <c r="Q44" s="306">
        <v>4.25</v>
      </c>
      <c r="R44" s="306">
        <v>4</v>
      </c>
      <c r="S44" s="306">
        <v>3.75</v>
      </c>
      <c r="T44" s="306">
        <v>3</v>
      </c>
      <c r="U44" s="306">
        <v>3</v>
      </c>
      <c r="V44" s="306">
        <v>3</v>
      </c>
      <c r="W44" s="306">
        <v>3</v>
      </c>
      <c r="X44" s="306">
        <v>3</v>
      </c>
      <c r="Y44" s="306">
        <v>3</v>
      </c>
      <c r="Z44" s="306">
        <v>3</v>
      </c>
      <c r="AA44" s="306">
        <v>3</v>
      </c>
      <c r="AB44" s="306">
        <v>3</v>
      </c>
      <c r="AC44" s="306">
        <v>3</v>
      </c>
      <c r="AD44" s="306">
        <v>3</v>
      </c>
      <c r="AE44" s="306">
        <v>3</v>
      </c>
      <c r="AF44" s="306">
        <v>3</v>
      </c>
      <c r="AG44" s="306">
        <v>3</v>
      </c>
    </row>
    <row r="45" spans="2:33" s="108" customFormat="1" ht="15.15">
      <c r="B45" s="28"/>
      <c r="C45" s="183" t="s">
        <v>766</v>
      </c>
      <c r="D45" s="185" t="str">
        <f>IFERROR(D44/D43-1,"na")</f>
        <v>na</v>
      </c>
      <c r="E45" s="185" t="str">
        <f t="shared" ref="E45:AF45" si="23">IFERROR(E44/E43-1,"na")</f>
        <v>na</v>
      </c>
      <c r="F45" s="185" t="str">
        <f t="shared" si="23"/>
        <v>na</v>
      </c>
      <c r="G45" s="183" t="str">
        <f t="shared" ca="1" si="23"/>
        <v>na</v>
      </c>
      <c r="H45" s="183" t="str">
        <f t="shared" ca="1" si="23"/>
        <v>na</v>
      </c>
      <c r="I45" s="183" t="str">
        <f t="shared" ca="1" si="23"/>
        <v>na</v>
      </c>
      <c r="J45" s="183" t="str">
        <f t="shared" ca="1" si="23"/>
        <v>na</v>
      </c>
      <c r="K45" s="183" t="str">
        <f t="shared" ca="1" si="23"/>
        <v>na</v>
      </c>
      <c r="L45" s="183" t="str">
        <f t="shared" ca="1" si="23"/>
        <v>na</v>
      </c>
      <c r="M45" s="183" t="str">
        <f t="shared" ca="1" si="23"/>
        <v>na</v>
      </c>
      <c r="N45" s="183" t="str">
        <f t="shared" ca="1" si="23"/>
        <v>na</v>
      </c>
      <c r="O45" s="183" t="str">
        <f t="shared" ca="1" si="23"/>
        <v>na</v>
      </c>
      <c r="P45" s="183" t="str">
        <f t="shared" ca="1" si="23"/>
        <v>na</v>
      </c>
      <c r="Q45" s="183" t="str">
        <f t="shared" ca="1" si="23"/>
        <v>na</v>
      </c>
      <c r="R45" s="183" t="str">
        <f t="shared" ca="1" si="23"/>
        <v>na</v>
      </c>
      <c r="S45" s="183" t="str">
        <f t="shared" ca="1" si="23"/>
        <v>na</v>
      </c>
      <c r="T45" s="183" t="str">
        <f t="shared" ca="1" si="23"/>
        <v>na</v>
      </c>
      <c r="U45" s="183" t="str">
        <f t="shared" ca="1" si="23"/>
        <v>na</v>
      </c>
      <c r="V45" s="183" t="str">
        <f t="shared" ca="1" si="23"/>
        <v>na</v>
      </c>
      <c r="W45" s="183" t="str">
        <f t="shared" ca="1" si="23"/>
        <v>na</v>
      </c>
      <c r="X45" s="183" t="str">
        <f t="shared" ca="1" si="23"/>
        <v>na</v>
      </c>
      <c r="Y45" s="183" t="str">
        <f t="shared" ca="1" si="23"/>
        <v>na</v>
      </c>
      <c r="Z45" s="183" t="str">
        <f t="shared" ca="1" si="23"/>
        <v>na</v>
      </c>
      <c r="AA45" s="183" t="str">
        <f t="shared" ca="1" si="23"/>
        <v>na</v>
      </c>
      <c r="AB45" s="183" t="str">
        <f t="shared" ca="1" si="23"/>
        <v>na</v>
      </c>
      <c r="AC45" s="183" t="str">
        <f t="shared" ca="1" si="23"/>
        <v>na</v>
      </c>
      <c r="AD45" s="183" t="str">
        <f t="shared" ca="1" si="23"/>
        <v>na</v>
      </c>
      <c r="AE45" s="183" t="str">
        <f t="shared" ca="1" si="23"/>
        <v>na</v>
      </c>
      <c r="AF45" s="183" t="str">
        <f t="shared" ca="1" si="23"/>
        <v>na</v>
      </c>
      <c r="AG45" s="183" t="str">
        <f t="shared" ref="AG45" ca="1" si="24">IFERROR(AG44/AG43-1,"na")</f>
        <v>na</v>
      </c>
    </row>
    <row r="46" spans="2:33" ht="14.4" hidden="1" outlineLevel="1">
      <c r="B46" s="1"/>
      <c r="C46" s="34"/>
    </row>
    <row r="47" spans="2:33" s="107" customFormat="1" ht="15.15" hidden="1" outlineLevel="1">
      <c r="B47" s="180"/>
      <c r="C47" s="180" t="s">
        <v>764</v>
      </c>
      <c r="D47" s="261" t="str">
        <f t="shared" ref="D47:AF47" si="25">IF($D$12&gt;D$4,"na",(D15-D19)/INDEX(D$32:D$34,MATCH($B48,$C$32:$C$34,0)))</f>
        <v>na</v>
      </c>
      <c r="E47" s="261" t="str">
        <f t="shared" si="25"/>
        <v>na</v>
      </c>
      <c r="F47" s="261" t="str">
        <f t="shared" si="25"/>
        <v>na</v>
      </c>
      <c r="G47" s="261" t="e">
        <f t="shared" ca="1" si="25"/>
        <v>#DIV/0!</v>
      </c>
      <c r="H47" s="261" t="e">
        <f t="shared" ca="1" si="25"/>
        <v>#DIV/0!</v>
      </c>
      <c r="I47" s="261" t="e">
        <f t="shared" ca="1" si="25"/>
        <v>#DIV/0!</v>
      </c>
      <c r="J47" s="261" t="e">
        <f t="shared" ca="1" si="25"/>
        <v>#DIV/0!</v>
      </c>
      <c r="K47" s="261" t="e">
        <f t="shared" ca="1" si="25"/>
        <v>#DIV/0!</v>
      </c>
      <c r="L47" s="261" t="e">
        <f t="shared" ca="1" si="25"/>
        <v>#DIV/0!</v>
      </c>
      <c r="M47" s="261" t="e">
        <f t="shared" ca="1" si="25"/>
        <v>#DIV/0!</v>
      </c>
      <c r="N47" s="261" t="e">
        <f t="shared" ca="1" si="25"/>
        <v>#DIV/0!</v>
      </c>
      <c r="O47" s="261" t="e">
        <f t="shared" ca="1" si="25"/>
        <v>#DIV/0!</v>
      </c>
      <c r="P47" s="261" t="e">
        <f t="shared" ca="1" si="25"/>
        <v>#DIV/0!</v>
      </c>
      <c r="Q47" s="261" t="e">
        <f t="shared" ca="1" si="25"/>
        <v>#DIV/0!</v>
      </c>
      <c r="R47" s="261" t="e">
        <f t="shared" ca="1" si="25"/>
        <v>#DIV/0!</v>
      </c>
      <c r="S47" s="261" t="e">
        <f t="shared" ca="1" si="25"/>
        <v>#DIV/0!</v>
      </c>
      <c r="T47" s="261" t="e">
        <f t="shared" ca="1" si="25"/>
        <v>#DIV/0!</v>
      </c>
      <c r="U47" s="261" t="e">
        <f t="shared" ca="1" si="25"/>
        <v>#DIV/0!</v>
      </c>
      <c r="V47" s="261" t="e">
        <f t="shared" ca="1" si="25"/>
        <v>#DIV/0!</v>
      </c>
      <c r="W47" s="261" t="e">
        <f t="shared" ca="1" si="25"/>
        <v>#DIV/0!</v>
      </c>
      <c r="X47" s="261" t="e">
        <f t="shared" ca="1" si="25"/>
        <v>#DIV/0!</v>
      </c>
      <c r="Y47" s="261" t="e">
        <f t="shared" ca="1" si="25"/>
        <v>#DIV/0!</v>
      </c>
      <c r="Z47" s="261" t="e">
        <f t="shared" ca="1" si="25"/>
        <v>#DIV/0!</v>
      </c>
      <c r="AA47" s="261" t="e">
        <f t="shared" ca="1" si="25"/>
        <v>#DIV/0!</v>
      </c>
      <c r="AB47" s="261" t="e">
        <f t="shared" ca="1" si="25"/>
        <v>#N/A</v>
      </c>
      <c r="AC47" s="261" t="e">
        <f t="shared" ca="1" si="25"/>
        <v>#N/A</v>
      </c>
      <c r="AD47" s="261" t="e">
        <f t="shared" ca="1" si="25"/>
        <v>#N/A</v>
      </c>
      <c r="AE47" s="261" t="e">
        <f t="shared" ca="1" si="25"/>
        <v>#N/A</v>
      </c>
      <c r="AF47" s="261" t="e">
        <f t="shared" ca="1" si="25"/>
        <v>#N/A</v>
      </c>
      <c r="AG47" s="261" t="e">
        <f t="shared" ref="AG47" ca="1" si="26">IF($D$12&gt;AG$4,"na",(AG15-AG19)/INDEX(AG$32:AG$34,MATCH($B48,$C$32:$C$34,0)))</f>
        <v>#N/A</v>
      </c>
    </row>
    <row r="48" spans="2:33" s="106" customFormat="1" ht="15.15" hidden="1" outlineLevel="1">
      <c r="B48" s="197" t="s">
        <v>771</v>
      </c>
      <c r="C48" s="94" t="s">
        <v>765</v>
      </c>
      <c r="D48" s="306">
        <v>1</v>
      </c>
      <c r="E48" s="306">
        <v>1</v>
      </c>
      <c r="F48" s="306">
        <v>1</v>
      </c>
      <c r="G48" s="306">
        <v>1</v>
      </c>
      <c r="H48" s="306">
        <v>1</v>
      </c>
      <c r="I48" s="306">
        <v>1</v>
      </c>
      <c r="J48" s="306">
        <v>1</v>
      </c>
      <c r="K48" s="306">
        <v>1</v>
      </c>
      <c r="L48" s="306">
        <v>1</v>
      </c>
      <c r="M48" s="306">
        <v>1</v>
      </c>
      <c r="N48" s="306">
        <v>1</v>
      </c>
      <c r="O48" s="306">
        <v>1</v>
      </c>
      <c r="P48" s="306">
        <v>1</v>
      </c>
      <c r="Q48" s="306">
        <v>1</v>
      </c>
      <c r="R48" s="306">
        <v>1</v>
      </c>
      <c r="S48" s="306">
        <v>1</v>
      </c>
      <c r="T48" s="306">
        <v>1</v>
      </c>
      <c r="U48" s="306">
        <v>1</v>
      </c>
      <c r="V48" s="306">
        <v>1</v>
      </c>
      <c r="W48" s="306">
        <v>1</v>
      </c>
      <c r="X48" s="306">
        <v>1</v>
      </c>
      <c r="Y48" s="306">
        <v>1</v>
      </c>
      <c r="Z48" s="306">
        <v>1</v>
      </c>
      <c r="AA48" s="306">
        <v>1</v>
      </c>
      <c r="AB48" s="306">
        <v>1</v>
      </c>
      <c r="AC48" s="306">
        <v>1</v>
      </c>
      <c r="AD48" s="306">
        <v>1</v>
      </c>
      <c r="AE48" s="306">
        <v>1</v>
      </c>
      <c r="AF48" s="306">
        <v>1</v>
      </c>
      <c r="AG48" s="306">
        <v>1</v>
      </c>
    </row>
    <row r="49" spans="2:33" s="108" customFormat="1" ht="15.15" hidden="1" outlineLevel="1">
      <c r="B49" s="28"/>
      <c r="C49" s="183" t="s">
        <v>766</v>
      </c>
      <c r="D49" s="185" t="str">
        <f t="shared" ref="D49:AF49" si="27">IFERROR(D48/D47-1,"na")</f>
        <v>na</v>
      </c>
      <c r="E49" s="185" t="str">
        <f t="shared" si="27"/>
        <v>na</v>
      </c>
      <c r="F49" s="185" t="str">
        <f t="shared" si="27"/>
        <v>na</v>
      </c>
      <c r="G49" s="183" t="str">
        <f t="shared" ca="1" si="27"/>
        <v>na</v>
      </c>
      <c r="H49" s="183" t="str">
        <f t="shared" ca="1" si="27"/>
        <v>na</v>
      </c>
      <c r="I49" s="183" t="str">
        <f t="shared" ca="1" si="27"/>
        <v>na</v>
      </c>
      <c r="J49" s="183" t="str">
        <f t="shared" ca="1" si="27"/>
        <v>na</v>
      </c>
      <c r="K49" s="183" t="str">
        <f t="shared" ca="1" si="27"/>
        <v>na</v>
      </c>
      <c r="L49" s="183" t="str">
        <f t="shared" ca="1" si="27"/>
        <v>na</v>
      </c>
      <c r="M49" s="183" t="str">
        <f t="shared" ca="1" si="27"/>
        <v>na</v>
      </c>
      <c r="N49" s="183" t="str">
        <f t="shared" ca="1" si="27"/>
        <v>na</v>
      </c>
      <c r="O49" s="183" t="str">
        <f t="shared" ca="1" si="27"/>
        <v>na</v>
      </c>
      <c r="P49" s="183" t="str">
        <f t="shared" ca="1" si="27"/>
        <v>na</v>
      </c>
      <c r="Q49" s="183" t="str">
        <f t="shared" ca="1" si="27"/>
        <v>na</v>
      </c>
      <c r="R49" s="183" t="str">
        <f t="shared" ca="1" si="27"/>
        <v>na</v>
      </c>
      <c r="S49" s="183" t="str">
        <f t="shared" ca="1" si="27"/>
        <v>na</v>
      </c>
      <c r="T49" s="183" t="str">
        <f t="shared" ca="1" si="27"/>
        <v>na</v>
      </c>
      <c r="U49" s="183" t="str">
        <f t="shared" ca="1" si="27"/>
        <v>na</v>
      </c>
      <c r="V49" s="183" t="str">
        <f t="shared" ca="1" si="27"/>
        <v>na</v>
      </c>
      <c r="W49" s="183" t="str">
        <f t="shared" ca="1" si="27"/>
        <v>na</v>
      </c>
      <c r="X49" s="183" t="str">
        <f t="shared" ca="1" si="27"/>
        <v>na</v>
      </c>
      <c r="Y49" s="183" t="str">
        <f t="shared" ca="1" si="27"/>
        <v>na</v>
      </c>
      <c r="Z49" s="183" t="str">
        <f t="shared" ca="1" si="27"/>
        <v>na</v>
      </c>
      <c r="AA49" s="183" t="str">
        <f t="shared" ca="1" si="27"/>
        <v>na</v>
      </c>
      <c r="AB49" s="183" t="str">
        <f t="shared" ca="1" si="27"/>
        <v>na</v>
      </c>
      <c r="AC49" s="183" t="str">
        <f t="shared" ca="1" si="27"/>
        <v>na</v>
      </c>
      <c r="AD49" s="183" t="str">
        <f t="shared" ca="1" si="27"/>
        <v>na</v>
      </c>
      <c r="AE49" s="183" t="str">
        <f t="shared" ca="1" si="27"/>
        <v>na</v>
      </c>
      <c r="AF49" s="183" t="str">
        <f t="shared" ca="1" si="27"/>
        <v>na</v>
      </c>
      <c r="AG49" s="183" t="str">
        <f t="shared" ref="AG49" ca="1" si="28">IFERROR(AG48/AG47-1,"na")</f>
        <v>na</v>
      </c>
    </row>
    <row r="50" spans="2:33" ht="14.4" collapsed="1">
      <c r="B50" s="1"/>
      <c r="C50" s="1"/>
    </row>
    <row r="51" spans="2:33">
      <c r="B51" s="198" t="s">
        <v>1037</v>
      </c>
      <c r="C51" s="198"/>
      <c r="D51" s="198">
        <f>D$4</f>
        <v>43555</v>
      </c>
      <c r="E51" s="198">
        <f t="shared" ref="E51:AG51" si="29">E$4</f>
        <v>43646</v>
      </c>
      <c r="F51" s="198">
        <f t="shared" si="29"/>
        <v>43738</v>
      </c>
      <c r="G51" s="198">
        <f t="shared" si="29"/>
        <v>43830</v>
      </c>
      <c r="H51" s="198">
        <f t="shared" si="29"/>
        <v>43921</v>
      </c>
      <c r="I51" s="198">
        <f t="shared" si="29"/>
        <v>44012</v>
      </c>
      <c r="J51" s="198">
        <f t="shared" si="29"/>
        <v>44104</v>
      </c>
      <c r="K51" s="198">
        <f t="shared" si="29"/>
        <v>44196</v>
      </c>
      <c r="L51" s="198">
        <f t="shared" si="29"/>
        <v>44286</v>
      </c>
      <c r="M51" s="198">
        <f t="shared" si="29"/>
        <v>44377</v>
      </c>
      <c r="N51" s="198">
        <f t="shared" si="29"/>
        <v>44469</v>
      </c>
      <c r="O51" s="198">
        <f t="shared" si="29"/>
        <v>44561</v>
      </c>
      <c r="P51" s="198">
        <f t="shared" si="29"/>
        <v>44651</v>
      </c>
      <c r="Q51" s="198">
        <f t="shared" si="29"/>
        <v>44742</v>
      </c>
      <c r="R51" s="198">
        <f t="shared" si="29"/>
        <v>44834</v>
      </c>
      <c r="S51" s="198">
        <f t="shared" si="29"/>
        <v>44926</v>
      </c>
      <c r="T51" s="198">
        <f t="shared" si="29"/>
        <v>45016</v>
      </c>
      <c r="U51" s="198">
        <f t="shared" si="29"/>
        <v>45107</v>
      </c>
      <c r="V51" s="198">
        <f t="shared" si="29"/>
        <v>45199</v>
      </c>
      <c r="W51" s="198">
        <f t="shared" si="29"/>
        <v>45291</v>
      </c>
      <c r="X51" s="198">
        <f t="shared" si="29"/>
        <v>45382</v>
      </c>
      <c r="Y51" s="198">
        <f t="shared" si="29"/>
        <v>45473</v>
      </c>
      <c r="Z51" s="198">
        <f t="shared" si="29"/>
        <v>45565</v>
      </c>
      <c r="AA51" s="198">
        <f t="shared" si="29"/>
        <v>45657</v>
      </c>
      <c r="AB51" s="198">
        <f t="shared" si="29"/>
        <v>45747</v>
      </c>
      <c r="AC51" s="198">
        <f t="shared" si="29"/>
        <v>45838</v>
      </c>
      <c r="AD51" s="198">
        <f t="shared" si="29"/>
        <v>45930</v>
      </c>
      <c r="AE51" s="198">
        <f t="shared" si="29"/>
        <v>46022</v>
      </c>
      <c r="AF51" s="198">
        <f t="shared" si="29"/>
        <v>46112</v>
      </c>
      <c r="AG51" s="198">
        <f t="shared" si="29"/>
        <v>46203</v>
      </c>
    </row>
    <row r="52" spans="2:33" s="107" customFormat="1" ht="15.15">
      <c r="B52" s="180" t="s">
        <v>1035</v>
      </c>
      <c r="C52" s="180" t="s">
        <v>768</v>
      </c>
      <c r="D52" s="261" t="str">
        <f>IF($D$12&gt;D$4,"na",(D17-(D19&lt;0)*D19)/INDEX(D$32:D$34,MATCH($B53,$C$32:$C$34,0)))</f>
        <v>na</v>
      </c>
      <c r="E52" s="261" t="str">
        <f t="shared" ref="E52:AF52" si="30">IF($D$12&gt;E$4,"na",(E17-(E19&lt;0)*E19)/INDEX(E$32:E$34,MATCH($B53,$C$32:$C$34,0)))</f>
        <v>na</v>
      </c>
      <c r="F52" s="261" t="str">
        <f t="shared" si="30"/>
        <v>na</v>
      </c>
      <c r="G52" s="261" t="e">
        <f t="shared" ca="1" si="30"/>
        <v>#DIV/0!</v>
      </c>
      <c r="H52" s="261" t="e">
        <f t="shared" ca="1" si="30"/>
        <v>#DIV/0!</v>
      </c>
      <c r="I52" s="261" t="e">
        <f t="shared" ca="1" si="30"/>
        <v>#DIV/0!</v>
      </c>
      <c r="J52" s="261" t="e">
        <f t="shared" ca="1" si="30"/>
        <v>#DIV/0!</v>
      </c>
      <c r="K52" s="261" t="e">
        <f t="shared" ca="1" si="30"/>
        <v>#DIV/0!</v>
      </c>
      <c r="L52" s="261" t="e">
        <f t="shared" ca="1" si="30"/>
        <v>#DIV/0!</v>
      </c>
      <c r="M52" s="261" t="e">
        <f t="shared" ca="1" si="30"/>
        <v>#DIV/0!</v>
      </c>
      <c r="N52" s="261" t="e">
        <f t="shared" ca="1" si="30"/>
        <v>#DIV/0!</v>
      </c>
      <c r="O52" s="261" t="e">
        <f t="shared" ca="1" si="30"/>
        <v>#DIV/0!</v>
      </c>
      <c r="P52" s="261" t="e">
        <f t="shared" ca="1" si="30"/>
        <v>#DIV/0!</v>
      </c>
      <c r="Q52" s="261" t="e">
        <f t="shared" ca="1" si="30"/>
        <v>#DIV/0!</v>
      </c>
      <c r="R52" s="261" t="e">
        <f t="shared" ca="1" si="30"/>
        <v>#DIV/0!</v>
      </c>
      <c r="S52" s="261" t="e">
        <f t="shared" ca="1" si="30"/>
        <v>#DIV/0!</v>
      </c>
      <c r="T52" s="261" t="e">
        <f t="shared" ca="1" si="30"/>
        <v>#DIV/0!</v>
      </c>
      <c r="U52" s="261" t="e">
        <f t="shared" ca="1" si="30"/>
        <v>#DIV/0!</v>
      </c>
      <c r="V52" s="261" t="e">
        <f t="shared" ca="1" si="30"/>
        <v>#DIV/0!</v>
      </c>
      <c r="W52" s="261" t="e">
        <f t="shared" ca="1" si="30"/>
        <v>#DIV/0!</v>
      </c>
      <c r="X52" s="261" t="e">
        <f t="shared" ca="1" si="30"/>
        <v>#DIV/0!</v>
      </c>
      <c r="Y52" s="261" t="e">
        <f t="shared" ca="1" si="30"/>
        <v>#DIV/0!</v>
      </c>
      <c r="Z52" s="261" t="e">
        <f t="shared" ca="1" si="30"/>
        <v>#DIV/0!</v>
      </c>
      <c r="AA52" s="261" t="e">
        <f t="shared" ca="1" si="30"/>
        <v>#DIV/0!</v>
      </c>
      <c r="AB52" s="261" t="e">
        <f t="shared" ca="1" si="30"/>
        <v>#N/A</v>
      </c>
      <c r="AC52" s="261" t="e">
        <f t="shared" ca="1" si="30"/>
        <v>#N/A</v>
      </c>
      <c r="AD52" s="261" t="e">
        <f t="shared" ca="1" si="30"/>
        <v>#N/A</v>
      </c>
      <c r="AE52" s="261" t="e">
        <f t="shared" ca="1" si="30"/>
        <v>#N/A</v>
      </c>
      <c r="AF52" s="261" t="e">
        <f t="shared" ca="1" si="30"/>
        <v>#N/A</v>
      </c>
      <c r="AG52" s="261" t="e">
        <f t="shared" ref="AG52" ca="1" si="31">IF($D$12&gt;AG$4,"na",(AG17-(AG19&lt;0)*AG19)/INDEX(AG$32:AG$34,MATCH($B53,$C$32:$C$34,0)))</f>
        <v>#N/A</v>
      </c>
    </row>
    <row r="53" spans="2:33" s="106" customFormat="1" ht="15.15">
      <c r="B53" s="197" t="s">
        <v>771</v>
      </c>
      <c r="C53" s="28" t="s">
        <v>765</v>
      </c>
      <c r="D53" s="306">
        <v>5</v>
      </c>
      <c r="E53" s="306">
        <v>5</v>
      </c>
      <c r="F53" s="306">
        <v>5</v>
      </c>
      <c r="G53" s="306">
        <v>5</v>
      </c>
      <c r="H53" s="306">
        <v>5</v>
      </c>
      <c r="I53" s="306">
        <v>4.5</v>
      </c>
      <c r="J53" s="306">
        <v>4.5</v>
      </c>
      <c r="K53" s="306">
        <v>4</v>
      </c>
      <c r="L53" s="306">
        <v>4</v>
      </c>
      <c r="M53" s="306">
        <v>3.75</v>
      </c>
      <c r="N53" s="306">
        <v>3.75</v>
      </c>
      <c r="O53" s="306">
        <v>3.5</v>
      </c>
      <c r="P53" s="306">
        <v>3.25</v>
      </c>
      <c r="Q53" s="306">
        <v>3.25</v>
      </c>
      <c r="R53" s="306">
        <v>3</v>
      </c>
      <c r="S53" s="306">
        <v>3</v>
      </c>
      <c r="T53" s="306">
        <v>3</v>
      </c>
      <c r="U53" s="306">
        <v>3</v>
      </c>
      <c r="V53" s="306">
        <v>3</v>
      </c>
      <c r="W53" s="306">
        <v>3</v>
      </c>
      <c r="X53" s="306">
        <v>3</v>
      </c>
      <c r="Y53" s="306">
        <v>3</v>
      </c>
      <c r="Z53" s="306">
        <v>3</v>
      </c>
      <c r="AA53" s="306">
        <v>3</v>
      </c>
      <c r="AB53" s="306">
        <v>3</v>
      </c>
      <c r="AC53" s="306">
        <v>3</v>
      </c>
      <c r="AD53" s="306">
        <v>3</v>
      </c>
      <c r="AE53" s="306">
        <v>3</v>
      </c>
      <c r="AF53" s="306">
        <v>3</v>
      </c>
      <c r="AG53" s="306">
        <v>3</v>
      </c>
    </row>
    <row r="54" spans="2:33" s="108" customFormat="1" ht="15.15">
      <c r="B54" s="28"/>
      <c r="C54" s="183" t="s">
        <v>766</v>
      </c>
      <c r="D54" s="185" t="str">
        <f t="shared" ref="D54:AF54" si="32">IFERROR(D53/D52-1,"na")</f>
        <v>na</v>
      </c>
      <c r="E54" s="185" t="str">
        <f t="shared" si="32"/>
        <v>na</v>
      </c>
      <c r="F54" s="185" t="str">
        <f t="shared" si="32"/>
        <v>na</v>
      </c>
      <c r="G54" s="183" t="str">
        <f t="shared" ca="1" si="32"/>
        <v>na</v>
      </c>
      <c r="H54" s="183" t="str">
        <f t="shared" ca="1" si="32"/>
        <v>na</v>
      </c>
      <c r="I54" s="183" t="str">
        <f t="shared" ca="1" si="32"/>
        <v>na</v>
      </c>
      <c r="J54" s="183" t="str">
        <f t="shared" ca="1" si="32"/>
        <v>na</v>
      </c>
      <c r="K54" s="183" t="str">
        <f t="shared" ca="1" si="32"/>
        <v>na</v>
      </c>
      <c r="L54" s="183" t="str">
        <f t="shared" ca="1" si="32"/>
        <v>na</v>
      </c>
      <c r="M54" s="183" t="str">
        <f t="shared" ca="1" si="32"/>
        <v>na</v>
      </c>
      <c r="N54" s="183" t="str">
        <f t="shared" ca="1" si="32"/>
        <v>na</v>
      </c>
      <c r="O54" s="183" t="str">
        <f t="shared" ca="1" si="32"/>
        <v>na</v>
      </c>
      <c r="P54" s="183" t="str">
        <f t="shared" ca="1" si="32"/>
        <v>na</v>
      </c>
      <c r="Q54" s="183" t="str">
        <f t="shared" ca="1" si="32"/>
        <v>na</v>
      </c>
      <c r="R54" s="183" t="str">
        <f t="shared" ca="1" si="32"/>
        <v>na</v>
      </c>
      <c r="S54" s="183" t="str">
        <f t="shared" ca="1" si="32"/>
        <v>na</v>
      </c>
      <c r="T54" s="183" t="str">
        <f t="shared" ca="1" si="32"/>
        <v>na</v>
      </c>
      <c r="U54" s="183" t="str">
        <f t="shared" ca="1" si="32"/>
        <v>na</v>
      </c>
      <c r="V54" s="183" t="str">
        <f t="shared" ca="1" si="32"/>
        <v>na</v>
      </c>
      <c r="W54" s="183" t="str">
        <f t="shared" ca="1" si="32"/>
        <v>na</v>
      </c>
      <c r="X54" s="183" t="str">
        <f t="shared" ca="1" si="32"/>
        <v>na</v>
      </c>
      <c r="Y54" s="183" t="str">
        <f t="shared" ca="1" si="32"/>
        <v>na</v>
      </c>
      <c r="Z54" s="183" t="str">
        <f t="shared" ca="1" si="32"/>
        <v>na</v>
      </c>
      <c r="AA54" s="183" t="str">
        <f t="shared" ca="1" si="32"/>
        <v>na</v>
      </c>
      <c r="AB54" s="183" t="str">
        <f t="shared" ca="1" si="32"/>
        <v>na</v>
      </c>
      <c r="AC54" s="183" t="str">
        <f t="shared" ca="1" si="32"/>
        <v>na</v>
      </c>
      <c r="AD54" s="183" t="str">
        <f t="shared" ca="1" si="32"/>
        <v>na</v>
      </c>
      <c r="AE54" s="183" t="str">
        <f t="shared" ca="1" si="32"/>
        <v>na</v>
      </c>
      <c r="AF54" s="183" t="str">
        <f t="shared" ca="1" si="32"/>
        <v>na</v>
      </c>
      <c r="AG54" s="183" t="str">
        <f t="shared" ref="AG54" ca="1" si="33">IFERROR(AG53/AG52-1,"na")</f>
        <v>na</v>
      </c>
    </row>
    <row r="55" spans="2:33" ht="14.4" hidden="1" outlineLevel="1">
      <c r="B55" s="1"/>
      <c r="C55" s="34"/>
    </row>
    <row r="56" spans="2:33" s="107" customFormat="1" ht="15.15" hidden="1" outlineLevel="1">
      <c r="B56" s="180"/>
      <c r="C56" s="180" t="s">
        <v>769</v>
      </c>
      <c r="D56" s="261" t="str">
        <f t="shared" ref="D56:AF56" si="34">IF($D$12&gt;D$4,"na",(D17-D19)/INDEX(D$32:D$34,MATCH($B57,$C$32:$C$34,0)))</f>
        <v>na</v>
      </c>
      <c r="E56" s="261" t="str">
        <f t="shared" si="34"/>
        <v>na</v>
      </c>
      <c r="F56" s="261" t="str">
        <f t="shared" si="34"/>
        <v>na</v>
      </c>
      <c r="G56" s="261" t="e">
        <f t="shared" ca="1" si="34"/>
        <v>#DIV/0!</v>
      </c>
      <c r="H56" s="261" t="e">
        <f t="shared" ca="1" si="34"/>
        <v>#DIV/0!</v>
      </c>
      <c r="I56" s="261" t="e">
        <f t="shared" ca="1" si="34"/>
        <v>#DIV/0!</v>
      </c>
      <c r="J56" s="261" t="e">
        <f t="shared" ca="1" si="34"/>
        <v>#DIV/0!</v>
      </c>
      <c r="K56" s="261" t="e">
        <f t="shared" ca="1" si="34"/>
        <v>#DIV/0!</v>
      </c>
      <c r="L56" s="261" t="e">
        <f t="shared" ca="1" si="34"/>
        <v>#DIV/0!</v>
      </c>
      <c r="M56" s="261" t="e">
        <f t="shared" ca="1" si="34"/>
        <v>#DIV/0!</v>
      </c>
      <c r="N56" s="261" t="e">
        <f t="shared" ca="1" si="34"/>
        <v>#DIV/0!</v>
      </c>
      <c r="O56" s="261" t="e">
        <f t="shared" ca="1" si="34"/>
        <v>#DIV/0!</v>
      </c>
      <c r="P56" s="261" t="e">
        <f t="shared" ca="1" si="34"/>
        <v>#DIV/0!</v>
      </c>
      <c r="Q56" s="261" t="e">
        <f t="shared" ca="1" si="34"/>
        <v>#DIV/0!</v>
      </c>
      <c r="R56" s="261" t="e">
        <f t="shared" ca="1" si="34"/>
        <v>#DIV/0!</v>
      </c>
      <c r="S56" s="261" t="e">
        <f t="shared" ca="1" si="34"/>
        <v>#DIV/0!</v>
      </c>
      <c r="T56" s="261" t="e">
        <f t="shared" ca="1" si="34"/>
        <v>#DIV/0!</v>
      </c>
      <c r="U56" s="261" t="e">
        <f t="shared" ca="1" si="34"/>
        <v>#DIV/0!</v>
      </c>
      <c r="V56" s="261" t="e">
        <f t="shared" ca="1" si="34"/>
        <v>#DIV/0!</v>
      </c>
      <c r="W56" s="261" t="e">
        <f t="shared" ca="1" si="34"/>
        <v>#DIV/0!</v>
      </c>
      <c r="X56" s="261" t="e">
        <f t="shared" ca="1" si="34"/>
        <v>#DIV/0!</v>
      </c>
      <c r="Y56" s="261" t="e">
        <f t="shared" ca="1" si="34"/>
        <v>#DIV/0!</v>
      </c>
      <c r="Z56" s="261" t="e">
        <f t="shared" ca="1" si="34"/>
        <v>#DIV/0!</v>
      </c>
      <c r="AA56" s="261" t="e">
        <f t="shared" ca="1" si="34"/>
        <v>#DIV/0!</v>
      </c>
      <c r="AB56" s="261" t="e">
        <f t="shared" ca="1" si="34"/>
        <v>#N/A</v>
      </c>
      <c r="AC56" s="261" t="e">
        <f t="shared" ca="1" si="34"/>
        <v>#N/A</v>
      </c>
      <c r="AD56" s="261" t="e">
        <f t="shared" ca="1" si="34"/>
        <v>#N/A</v>
      </c>
      <c r="AE56" s="261" t="e">
        <f t="shared" ca="1" si="34"/>
        <v>#N/A</v>
      </c>
      <c r="AF56" s="261" t="e">
        <f t="shared" ca="1" si="34"/>
        <v>#N/A</v>
      </c>
      <c r="AG56" s="261" t="e">
        <f t="shared" ref="AG56" ca="1" si="35">IF($D$12&gt;AG$4,"na",(AG17-AG19)/INDEX(AG$32:AG$34,MATCH($B57,$C$32:$C$34,0)))</f>
        <v>#N/A</v>
      </c>
    </row>
    <row r="57" spans="2:33" s="106" customFormat="1" ht="15.15" hidden="1" outlineLevel="1">
      <c r="B57" s="197" t="s">
        <v>771</v>
      </c>
      <c r="C57" s="94" t="s">
        <v>765</v>
      </c>
      <c r="D57" s="306">
        <v>1</v>
      </c>
      <c r="E57" s="306">
        <v>1</v>
      </c>
      <c r="F57" s="306">
        <v>1</v>
      </c>
      <c r="G57" s="306">
        <v>1</v>
      </c>
      <c r="H57" s="306">
        <v>1</v>
      </c>
      <c r="I57" s="306">
        <v>1</v>
      </c>
      <c r="J57" s="306">
        <v>1</v>
      </c>
      <c r="K57" s="306">
        <v>1</v>
      </c>
      <c r="L57" s="306">
        <v>1</v>
      </c>
      <c r="M57" s="306">
        <v>1</v>
      </c>
      <c r="N57" s="306">
        <v>1</v>
      </c>
      <c r="O57" s="306">
        <v>1</v>
      </c>
      <c r="P57" s="306">
        <v>1</v>
      </c>
      <c r="Q57" s="306">
        <v>1</v>
      </c>
      <c r="R57" s="306">
        <v>1</v>
      </c>
      <c r="S57" s="306">
        <v>1</v>
      </c>
      <c r="T57" s="306">
        <v>1</v>
      </c>
      <c r="U57" s="306">
        <v>1</v>
      </c>
      <c r="V57" s="306">
        <v>1</v>
      </c>
      <c r="W57" s="306">
        <v>1</v>
      </c>
      <c r="X57" s="306">
        <v>1</v>
      </c>
      <c r="Y57" s="306">
        <v>1</v>
      </c>
      <c r="Z57" s="306">
        <v>1</v>
      </c>
      <c r="AA57" s="306">
        <v>1</v>
      </c>
      <c r="AB57" s="306">
        <v>1</v>
      </c>
      <c r="AC57" s="306">
        <v>1</v>
      </c>
      <c r="AD57" s="306">
        <v>1</v>
      </c>
      <c r="AE57" s="306">
        <v>1</v>
      </c>
      <c r="AF57" s="306">
        <v>1</v>
      </c>
      <c r="AG57" s="306">
        <v>1</v>
      </c>
    </row>
    <row r="58" spans="2:33" s="108" customFormat="1" ht="15.15" hidden="1" outlineLevel="1">
      <c r="B58" s="28"/>
      <c r="C58" s="183" t="s">
        <v>766</v>
      </c>
      <c r="D58" s="185" t="str">
        <f t="shared" ref="D58:AF58" si="36">IFERROR(D57/D56-1,"na")</f>
        <v>na</v>
      </c>
      <c r="E58" s="185" t="str">
        <f t="shared" si="36"/>
        <v>na</v>
      </c>
      <c r="F58" s="185" t="str">
        <f t="shared" si="36"/>
        <v>na</v>
      </c>
      <c r="G58" s="183" t="str">
        <f t="shared" ca="1" si="36"/>
        <v>na</v>
      </c>
      <c r="H58" s="183" t="str">
        <f t="shared" ca="1" si="36"/>
        <v>na</v>
      </c>
      <c r="I58" s="183" t="str">
        <f t="shared" ca="1" si="36"/>
        <v>na</v>
      </c>
      <c r="J58" s="183" t="str">
        <f t="shared" ca="1" si="36"/>
        <v>na</v>
      </c>
      <c r="K58" s="183" t="str">
        <f t="shared" ca="1" si="36"/>
        <v>na</v>
      </c>
      <c r="L58" s="183" t="str">
        <f t="shared" ca="1" si="36"/>
        <v>na</v>
      </c>
      <c r="M58" s="183" t="str">
        <f t="shared" ca="1" si="36"/>
        <v>na</v>
      </c>
      <c r="N58" s="183" t="str">
        <f t="shared" ca="1" si="36"/>
        <v>na</v>
      </c>
      <c r="O58" s="183" t="str">
        <f t="shared" ca="1" si="36"/>
        <v>na</v>
      </c>
      <c r="P58" s="183" t="str">
        <f t="shared" ca="1" si="36"/>
        <v>na</v>
      </c>
      <c r="Q58" s="183" t="str">
        <f t="shared" ca="1" si="36"/>
        <v>na</v>
      </c>
      <c r="R58" s="183" t="str">
        <f t="shared" ca="1" si="36"/>
        <v>na</v>
      </c>
      <c r="S58" s="183" t="str">
        <f t="shared" ca="1" si="36"/>
        <v>na</v>
      </c>
      <c r="T58" s="183" t="str">
        <f t="shared" ca="1" si="36"/>
        <v>na</v>
      </c>
      <c r="U58" s="183" t="str">
        <f t="shared" ca="1" si="36"/>
        <v>na</v>
      </c>
      <c r="V58" s="183" t="str">
        <f t="shared" ca="1" si="36"/>
        <v>na</v>
      </c>
      <c r="W58" s="183" t="str">
        <f t="shared" ca="1" si="36"/>
        <v>na</v>
      </c>
      <c r="X58" s="183" t="str">
        <f t="shared" ca="1" si="36"/>
        <v>na</v>
      </c>
      <c r="Y58" s="183" t="str">
        <f t="shared" ca="1" si="36"/>
        <v>na</v>
      </c>
      <c r="Z58" s="183" t="str">
        <f t="shared" ca="1" si="36"/>
        <v>na</v>
      </c>
      <c r="AA58" s="183" t="str">
        <f t="shared" ca="1" si="36"/>
        <v>na</v>
      </c>
      <c r="AB58" s="183" t="str">
        <f t="shared" ca="1" si="36"/>
        <v>na</v>
      </c>
      <c r="AC58" s="183" t="str">
        <f t="shared" ca="1" si="36"/>
        <v>na</v>
      </c>
      <c r="AD58" s="183" t="str">
        <f t="shared" ca="1" si="36"/>
        <v>na</v>
      </c>
      <c r="AE58" s="183" t="str">
        <f t="shared" ca="1" si="36"/>
        <v>na</v>
      </c>
      <c r="AF58" s="183" t="str">
        <f t="shared" ca="1" si="36"/>
        <v>na</v>
      </c>
      <c r="AG58" s="183" t="str">
        <f t="shared" ref="AG58" ca="1" si="37">IFERROR(AG57/AG56-1,"na")</f>
        <v>na</v>
      </c>
    </row>
    <row r="59" spans="2:33" ht="14.4" collapsed="1">
      <c r="B59" s="1"/>
      <c r="C59" s="109"/>
    </row>
    <row r="60" spans="2:33">
      <c r="B60" s="198" t="s">
        <v>1038</v>
      </c>
      <c r="C60" s="198"/>
      <c r="D60" s="198">
        <f>D$4</f>
        <v>43555</v>
      </c>
      <c r="E60" s="198">
        <f t="shared" ref="E60:AG60" si="38">E$4</f>
        <v>43646</v>
      </c>
      <c r="F60" s="198">
        <f t="shared" si="38"/>
        <v>43738</v>
      </c>
      <c r="G60" s="198">
        <f t="shared" si="38"/>
        <v>43830</v>
      </c>
      <c r="H60" s="198">
        <f t="shared" si="38"/>
        <v>43921</v>
      </c>
      <c r="I60" s="198">
        <f t="shared" si="38"/>
        <v>44012</v>
      </c>
      <c r="J60" s="198">
        <f t="shared" si="38"/>
        <v>44104</v>
      </c>
      <c r="K60" s="198">
        <f t="shared" si="38"/>
        <v>44196</v>
      </c>
      <c r="L60" s="198">
        <f t="shared" si="38"/>
        <v>44286</v>
      </c>
      <c r="M60" s="198">
        <f t="shared" si="38"/>
        <v>44377</v>
      </c>
      <c r="N60" s="198">
        <f t="shared" si="38"/>
        <v>44469</v>
      </c>
      <c r="O60" s="198">
        <f t="shared" si="38"/>
        <v>44561</v>
      </c>
      <c r="P60" s="198">
        <f t="shared" si="38"/>
        <v>44651</v>
      </c>
      <c r="Q60" s="198">
        <f t="shared" si="38"/>
        <v>44742</v>
      </c>
      <c r="R60" s="198">
        <f t="shared" si="38"/>
        <v>44834</v>
      </c>
      <c r="S60" s="198">
        <f t="shared" si="38"/>
        <v>44926</v>
      </c>
      <c r="T60" s="198">
        <f t="shared" si="38"/>
        <v>45016</v>
      </c>
      <c r="U60" s="198">
        <f t="shared" si="38"/>
        <v>45107</v>
      </c>
      <c r="V60" s="198">
        <f t="shared" si="38"/>
        <v>45199</v>
      </c>
      <c r="W60" s="198">
        <f t="shared" si="38"/>
        <v>45291</v>
      </c>
      <c r="X60" s="198">
        <f t="shared" si="38"/>
        <v>45382</v>
      </c>
      <c r="Y60" s="198">
        <f t="shared" si="38"/>
        <v>45473</v>
      </c>
      <c r="Z60" s="198">
        <f t="shared" si="38"/>
        <v>45565</v>
      </c>
      <c r="AA60" s="198">
        <f t="shared" si="38"/>
        <v>45657</v>
      </c>
      <c r="AB60" s="198">
        <f t="shared" si="38"/>
        <v>45747</v>
      </c>
      <c r="AC60" s="198">
        <f t="shared" si="38"/>
        <v>45838</v>
      </c>
      <c r="AD60" s="198">
        <f t="shared" si="38"/>
        <v>45930</v>
      </c>
      <c r="AE60" s="198">
        <f t="shared" si="38"/>
        <v>46022</v>
      </c>
      <c r="AF60" s="198">
        <f t="shared" si="38"/>
        <v>46112</v>
      </c>
      <c r="AG60" s="198">
        <f t="shared" si="38"/>
        <v>46203</v>
      </c>
    </row>
    <row r="61" spans="2:33" s="107" customFormat="1" ht="15.15">
      <c r="B61" s="180" t="s">
        <v>1035</v>
      </c>
      <c r="C61" s="180" t="s">
        <v>777</v>
      </c>
      <c r="D61" s="261" t="str">
        <f t="shared" ref="D61:AF61" si="39">IF($D$12&gt;D$4,"na",INDEX(D$32:D$34,MATCH($B62,$C$32:$C$34,0))/D36)</f>
        <v>na</v>
      </c>
      <c r="E61" s="261" t="str">
        <f t="shared" si="39"/>
        <v>na</v>
      </c>
      <c r="F61" s="261" t="str">
        <f t="shared" si="39"/>
        <v>na</v>
      </c>
      <c r="G61" s="261" t="e">
        <f t="shared" ca="1" si="39"/>
        <v>#DIV/0!</v>
      </c>
      <c r="H61" s="261" t="e">
        <f t="shared" ca="1" si="39"/>
        <v>#DIV/0!</v>
      </c>
      <c r="I61" s="261" t="e">
        <f t="shared" ca="1" si="39"/>
        <v>#DIV/0!</v>
      </c>
      <c r="J61" s="261" t="e">
        <f t="shared" ca="1" si="39"/>
        <v>#DIV/0!</v>
      </c>
      <c r="K61" s="261" t="e">
        <f t="shared" ca="1" si="39"/>
        <v>#DIV/0!</v>
      </c>
      <c r="L61" s="261" t="e">
        <f t="shared" ca="1" si="39"/>
        <v>#DIV/0!</v>
      </c>
      <c r="M61" s="261" t="e">
        <f t="shared" ca="1" si="39"/>
        <v>#DIV/0!</v>
      </c>
      <c r="N61" s="261" t="e">
        <f t="shared" ca="1" si="39"/>
        <v>#DIV/0!</v>
      </c>
      <c r="O61" s="261" t="e">
        <f t="shared" ca="1" si="39"/>
        <v>#DIV/0!</v>
      </c>
      <c r="P61" s="261" t="e">
        <f t="shared" ca="1" si="39"/>
        <v>#DIV/0!</v>
      </c>
      <c r="Q61" s="261" t="e">
        <f t="shared" ca="1" si="39"/>
        <v>#DIV/0!</v>
      </c>
      <c r="R61" s="261" t="e">
        <f t="shared" ca="1" si="39"/>
        <v>#DIV/0!</v>
      </c>
      <c r="S61" s="261" t="e">
        <f t="shared" ca="1" si="39"/>
        <v>#DIV/0!</v>
      </c>
      <c r="T61" s="261" t="e">
        <f t="shared" ca="1" si="39"/>
        <v>#DIV/0!</v>
      </c>
      <c r="U61" s="261" t="e">
        <f t="shared" ca="1" si="39"/>
        <v>#DIV/0!</v>
      </c>
      <c r="V61" s="261" t="e">
        <f t="shared" ca="1" si="39"/>
        <v>#DIV/0!</v>
      </c>
      <c r="W61" s="261" t="e">
        <f t="shared" ca="1" si="39"/>
        <v>#DIV/0!</v>
      </c>
      <c r="X61" s="261" t="e">
        <f t="shared" ca="1" si="39"/>
        <v>#DIV/0!</v>
      </c>
      <c r="Y61" s="261" t="e">
        <f t="shared" ca="1" si="39"/>
        <v>#DIV/0!</v>
      </c>
      <c r="Z61" s="261" t="e">
        <f t="shared" ca="1" si="39"/>
        <v>#DIV/0!</v>
      </c>
      <c r="AA61" s="261" t="e">
        <f t="shared" ca="1" si="39"/>
        <v>#DIV/0!</v>
      </c>
      <c r="AB61" s="261" t="e">
        <f t="shared" ca="1" si="39"/>
        <v>#VALUE!</v>
      </c>
      <c r="AC61" s="261" t="e">
        <f t="shared" ca="1" si="39"/>
        <v>#VALUE!</v>
      </c>
      <c r="AD61" s="261" t="e">
        <f t="shared" ca="1" si="39"/>
        <v>#VALUE!</v>
      </c>
      <c r="AE61" s="261" t="e">
        <f t="shared" ca="1" si="39"/>
        <v>#VALUE!</v>
      </c>
      <c r="AF61" s="261" t="e">
        <f t="shared" ca="1" si="39"/>
        <v>#VALUE!</v>
      </c>
      <c r="AG61" s="261" t="e">
        <f t="shared" ref="AG61" ca="1" si="40">IF($D$12&gt;AG$4,"na",INDEX(AG$32:AG$34,MATCH($B62,$C$32:$C$34,0))/AG36)</f>
        <v>#VALUE!</v>
      </c>
    </row>
    <row r="62" spans="2:33" s="106" customFormat="1" ht="15.15">
      <c r="B62" s="197" t="s">
        <v>771</v>
      </c>
      <c r="C62" s="28" t="s">
        <v>765</v>
      </c>
      <c r="D62" s="306">
        <v>2</v>
      </c>
      <c r="E62" s="306">
        <v>2</v>
      </c>
      <c r="F62" s="306">
        <v>2</v>
      </c>
      <c r="G62" s="306">
        <v>2</v>
      </c>
      <c r="H62" s="306">
        <v>2</v>
      </c>
      <c r="I62" s="306">
        <v>2</v>
      </c>
      <c r="J62" s="306">
        <v>2</v>
      </c>
      <c r="K62" s="306">
        <v>2</v>
      </c>
      <c r="L62" s="306">
        <v>2</v>
      </c>
      <c r="M62" s="306">
        <v>2</v>
      </c>
      <c r="N62" s="306">
        <v>2</v>
      </c>
      <c r="O62" s="306">
        <v>2</v>
      </c>
      <c r="P62" s="306">
        <v>2</v>
      </c>
      <c r="Q62" s="306">
        <v>2</v>
      </c>
      <c r="R62" s="306">
        <v>2</v>
      </c>
      <c r="S62" s="306">
        <v>2</v>
      </c>
      <c r="T62" s="306">
        <v>2</v>
      </c>
      <c r="U62" s="306">
        <v>2</v>
      </c>
      <c r="V62" s="306">
        <v>2</v>
      </c>
      <c r="W62" s="306">
        <v>2</v>
      </c>
      <c r="X62" s="306">
        <v>2</v>
      </c>
      <c r="Y62" s="306">
        <v>2</v>
      </c>
      <c r="Z62" s="306">
        <v>2</v>
      </c>
      <c r="AA62" s="306">
        <v>2</v>
      </c>
      <c r="AB62" s="306">
        <v>2</v>
      </c>
      <c r="AC62" s="306">
        <v>2</v>
      </c>
      <c r="AD62" s="306">
        <v>2</v>
      </c>
      <c r="AE62" s="306">
        <v>2</v>
      </c>
      <c r="AF62" s="306">
        <v>2</v>
      </c>
      <c r="AG62" s="306">
        <v>2</v>
      </c>
    </row>
    <row r="63" spans="2:33" s="108" customFormat="1" ht="15.15">
      <c r="B63" s="28"/>
      <c r="C63" s="183" t="s">
        <v>766</v>
      </c>
      <c r="D63" s="185" t="str">
        <f>IFERROR(D61/D62-1,"na")</f>
        <v>na</v>
      </c>
      <c r="E63" s="185" t="str">
        <f t="shared" ref="E63:AF63" si="41">IFERROR(E61/E62-1,"na")</f>
        <v>na</v>
      </c>
      <c r="F63" s="185" t="str">
        <f t="shared" si="41"/>
        <v>na</v>
      </c>
      <c r="G63" s="183" t="str">
        <f t="shared" ca="1" si="41"/>
        <v>na</v>
      </c>
      <c r="H63" s="183" t="str">
        <f t="shared" ca="1" si="41"/>
        <v>na</v>
      </c>
      <c r="I63" s="183" t="str">
        <f t="shared" ca="1" si="41"/>
        <v>na</v>
      </c>
      <c r="J63" s="183" t="str">
        <f t="shared" ca="1" si="41"/>
        <v>na</v>
      </c>
      <c r="K63" s="183" t="str">
        <f t="shared" ca="1" si="41"/>
        <v>na</v>
      </c>
      <c r="L63" s="183" t="str">
        <f t="shared" ca="1" si="41"/>
        <v>na</v>
      </c>
      <c r="M63" s="183" t="str">
        <f t="shared" ca="1" si="41"/>
        <v>na</v>
      </c>
      <c r="N63" s="183" t="str">
        <f t="shared" ca="1" si="41"/>
        <v>na</v>
      </c>
      <c r="O63" s="183" t="str">
        <f t="shared" ca="1" si="41"/>
        <v>na</v>
      </c>
      <c r="P63" s="183" t="str">
        <f t="shared" ca="1" si="41"/>
        <v>na</v>
      </c>
      <c r="Q63" s="183" t="str">
        <f t="shared" ca="1" si="41"/>
        <v>na</v>
      </c>
      <c r="R63" s="183" t="str">
        <f t="shared" ca="1" si="41"/>
        <v>na</v>
      </c>
      <c r="S63" s="183" t="str">
        <f t="shared" ca="1" si="41"/>
        <v>na</v>
      </c>
      <c r="T63" s="183" t="str">
        <f t="shared" ca="1" si="41"/>
        <v>na</v>
      </c>
      <c r="U63" s="183" t="str">
        <f t="shared" ca="1" si="41"/>
        <v>na</v>
      </c>
      <c r="V63" s="183" t="str">
        <f t="shared" ca="1" si="41"/>
        <v>na</v>
      </c>
      <c r="W63" s="183" t="str">
        <f t="shared" ca="1" si="41"/>
        <v>na</v>
      </c>
      <c r="X63" s="183" t="str">
        <f t="shared" ca="1" si="41"/>
        <v>na</v>
      </c>
      <c r="Y63" s="183" t="str">
        <f t="shared" ca="1" si="41"/>
        <v>na</v>
      </c>
      <c r="Z63" s="183" t="str">
        <f t="shared" ca="1" si="41"/>
        <v>na</v>
      </c>
      <c r="AA63" s="183" t="str">
        <f t="shared" ca="1" si="41"/>
        <v>na</v>
      </c>
      <c r="AB63" s="183" t="str">
        <f t="shared" ca="1" si="41"/>
        <v>na</v>
      </c>
      <c r="AC63" s="183" t="str">
        <f t="shared" ca="1" si="41"/>
        <v>na</v>
      </c>
      <c r="AD63" s="183" t="str">
        <f t="shared" ca="1" si="41"/>
        <v>na</v>
      </c>
      <c r="AE63" s="183" t="str">
        <f t="shared" ca="1" si="41"/>
        <v>na</v>
      </c>
      <c r="AF63" s="183" t="str">
        <f t="shared" ca="1" si="41"/>
        <v>na</v>
      </c>
      <c r="AG63" s="183" t="str">
        <f t="shared" ref="AG63" ca="1" si="42">IFERROR(AG61/AG62-1,"na")</f>
        <v>na</v>
      </c>
    </row>
    <row r="64" spans="2:33" ht="14.4">
      <c r="B64" s="1"/>
      <c r="C64" s="34"/>
    </row>
    <row r="65" spans="2:33" s="107" customFormat="1" ht="15.15">
      <c r="B65" s="180"/>
      <c r="C65" s="180" t="s">
        <v>779</v>
      </c>
      <c r="D65" s="261" t="str">
        <f t="shared" ref="D65:AF65" si="43">IF($D$12&gt;D$4,"na",INDEX(D$32:D$34,MATCH($B66,$C$32:$C$34,0))/(D36+D38))</f>
        <v>na</v>
      </c>
      <c r="E65" s="261" t="str">
        <f t="shared" si="43"/>
        <v>na</v>
      </c>
      <c r="F65" s="261" t="str">
        <f t="shared" si="43"/>
        <v>na</v>
      </c>
      <c r="G65" s="261" t="e">
        <f t="shared" ca="1" si="43"/>
        <v>#DIV/0!</v>
      </c>
      <c r="H65" s="261" t="e">
        <f t="shared" ca="1" si="43"/>
        <v>#DIV/0!</v>
      </c>
      <c r="I65" s="261" t="e">
        <f t="shared" ca="1" si="43"/>
        <v>#DIV/0!</v>
      </c>
      <c r="J65" s="261" t="e">
        <f t="shared" ca="1" si="43"/>
        <v>#DIV/0!</v>
      </c>
      <c r="K65" s="261" t="e">
        <f t="shared" ca="1" si="43"/>
        <v>#DIV/0!</v>
      </c>
      <c r="L65" s="261" t="e">
        <f t="shared" ca="1" si="43"/>
        <v>#DIV/0!</v>
      </c>
      <c r="M65" s="261" t="e">
        <f t="shared" ca="1" si="43"/>
        <v>#DIV/0!</v>
      </c>
      <c r="N65" s="261" t="e">
        <f t="shared" ca="1" si="43"/>
        <v>#DIV/0!</v>
      </c>
      <c r="O65" s="261" t="e">
        <f t="shared" ca="1" si="43"/>
        <v>#DIV/0!</v>
      </c>
      <c r="P65" s="261" t="e">
        <f t="shared" ca="1" si="43"/>
        <v>#DIV/0!</v>
      </c>
      <c r="Q65" s="261" t="e">
        <f t="shared" ca="1" si="43"/>
        <v>#DIV/0!</v>
      </c>
      <c r="R65" s="261" t="e">
        <f t="shared" ca="1" si="43"/>
        <v>#DIV/0!</v>
      </c>
      <c r="S65" s="261" t="e">
        <f t="shared" ca="1" si="43"/>
        <v>#DIV/0!</v>
      </c>
      <c r="T65" s="261" t="e">
        <f t="shared" ca="1" si="43"/>
        <v>#DIV/0!</v>
      </c>
      <c r="U65" s="261" t="e">
        <f t="shared" ca="1" si="43"/>
        <v>#DIV/0!</v>
      </c>
      <c r="V65" s="261" t="e">
        <f t="shared" ca="1" si="43"/>
        <v>#DIV/0!</v>
      </c>
      <c r="W65" s="261" t="e">
        <f t="shared" ca="1" si="43"/>
        <v>#DIV/0!</v>
      </c>
      <c r="X65" s="261" t="e">
        <f t="shared" ca="1" si="43"/>
        <v>#DIV/0!</v>
      </c>
      <c r="Y65" s="261" t="e">
        <f t="shared" ca="1" si="43"/>
        <v>#DIV/0!</v>
      </c>
      <c r="Z65" s="261" t="e">
        <f t="shared" ca="1" si="43"/>
        <v>#DIV/0!</v>
      </c>
      <c r="AA65" s="261" t="e">
        <f t="shared" ca="1" si="43"/>
        <v>#DIV/0!</v>
      </c>
      <c r="AB65" s="261" t="e">
        <f t="shared" ca="1" si="43"/>
        <v>#VALUE!</v>
      </c>
      <c r="AC65" s="261" t="e">
        <f t="shared" ca="1" si="43"/>
        <v>#VALUE!</v>
      </c>
      <c r="AD65" s="261" t="e">
        <f t="shared" ca="1" si="43"/>
        <v>#VALUE!</v>
      </c>
      <c r="AE65" s="261" t="e">
        <f t="shared" ca="1" si="43"/>
        <v>#VALUE!</v>
      </c>
      <c r="AF65" s="261" t="e">
        <f t="shared" ca="1" si="43"/>
        <v>#VALUE!</v>
      </c>
      <c r="AG65" s="261" t="e">
        <f t="shared" ref="AG65" ca="1" si="44">IF($D$12&gt;AG$4,"na",INDEX(AG$32:AG$34,MATCH($B66,$C$32:$C$34,0))/(AG36+AG38))</f>
        <v>#VALUE!</v>
      </c>
    </row>
    <row r="66" spans="2:33" s="106" customFormat="1" ht="15.15">
      <c r="B66" s="197" t="s">
        <v>782</v>
      </c>
      <c r="C66" s="28" t="s">
        <v>765</v>
      </c>
      <c r="D66" s="306">
        <v>1.1000000000000001</v>
      </c>
      <c r="E66" s="306">
        <v>1.1000000000000001</v>
      </c>
      <c r="F66" s="306">
        <v>1.1000000000000001</v>
      </c>
      <c r="G66" s="306">
        <v>1.1000000000000001</v>
      </c>
      <c r="H66" s="306">
        <v>1.1000000000000001</v>
      </c>
      <c r="I66" s="306">
        <v>1.1000000000000001</v>
      </c>
      <c r="J66" s="306">
        <v>1.1000000000000001</v>
      </c>
      <c r="K66" s="306">
        <v>1.1000000000000001</v>
      </c>
      <c r="L66" s="306">
        <v>1.1000000000000001</v>
      </c>
      <c r="M66" s="306">
        <v>1.1000000000000001</v>
      </c>
      <c r="N66" s="306">
        <v>1.1000000000000001</v>
      </c>
      <c r="O66" s="306">
        <v>1.1000000000000001</v>
      </c>
      <c r="P66" s="306">
        <v>1.1000000000000001</v>
      </c>
      <c r="Q66" s="306">
        <v>1.1000000000000001</v>
      </c>
      <c r="R66" s="306">
        <v>1.1000000000000001</v>
      </c>
      <c r="S66" s="306">
        <v>1.1000000000000001</v>
      </c>
      <c r="T66" s="306">
        <v>1.1000000000000001</v>
      </c>
      <c r="U66" s="306">
        <v>1.1000000000000001</v>
      </c>
      <c r="V66" s="306">
        <v>1.1000000000000001</v>
      </c>
      <c r="W66" s="306">
        <v>1.1000000000000001</v>
      </c>
      <c r="X66" s="306">
        <v>1.1000000000000001</v>
      </c>
      <c r="Y66" s="306">
        <v>1.1000000000000001</v>
      </c>
      <c r="Z66" s="306">
        <v>1.1000000000000001</v>
      </c>
      <c r="AA66" s="306">
        <v>1.1000000000000001</v>
      </c>
      <c r="AB66" s="306">
        <v>1.1000000000000001</v>
      </c>
      <c r="AC66" s="306">
        <v>1.1000000000000001</v>
      </c>
      <c r="AD66" s="306">
        <v>1.1000000000000001</v>
      </c>
      <c r="AE66" s="306">
        <v>1.1000000000000001</v>
      </c>
      <c r="AF66" s="306">
        <v>1.1000000000000001</v>
      </c>
      <c r="AG66" s="306">
        <v>1.1000000000000001</v>
      </c>
    </row>
    <row r="67" spans="2:33" s="108" customFormat="1" ht="15.15">
      <c r="B67" s="28"/>
      <c r="C67" s="183" t="s">
        <v>766</v>
      </c>
      <c r="D67" s="185" t="str">
        <f>IFERROR(D65/D66-1,"na")</f>
        <v>na</v>
      </c>
      <c r="E67" s="185" t="str">
        <f t="shared" ref="E67:AF67" si="45">IFERROR(E65/E66-1,"na")</f>
        <v>na</v>
      </c>
      <c r="F67" s="185" t="str">
        <f t="shared" si="45"/>
        <v>na</v>
      </c>
      <c r="G67" s="183" t="str">
        <f t="shared" ca="1" si="45"/>
        <v>na</v>
      </c>
      <c r="H67" s="183" t="str">
        <f t="shared" ca="1" si="45"/>
        <v>na</v>
      </c>
      <c r="I67" s="183" t="str">
        <f t="shared" ca="1" si="45"/>
        <v>na</v>
      </c>
      <c r="J67" s="183" t="str">
        <f t="shared" ca="1" si="45"/>
        <v>na</v>
      </c>
      <c r="K67" s="183" t="str">
        <f t="shared" ca="1" si="45"/>
        <v>na</v>
      </c>
      <c r="L67" s="183" t="str">
        <f t="shared" ca="1" si="45"/>
        <v>na</v>
      </c>
      <c r="M67" s="183" t="str">
        <f t="shared" ca="1" si="45"/>
        <v>na</v>
      </c>
      <c r="N67" s="183" t="str">
        <f t="shared" ca="1" si="45"/>
        <v>na</v>
      </c>
      <c r="O67" s="183" t="str">
        <f t="shared" ca="1" si="45"/>
        <v>na</v>
      </c>
      <c r="P67" s="183" t="str">
        <f t="shared" ca="1" si="45"/>
        <v>na</v>
      </c>
      <c r="Q67" s="183" t="str">
        <f t="shared" ca="1" si="45"/>
        <v>na</v>
      </c>
      <c r="R67" s="183" t="str">
        <f t="shared" ca="1" si="45"/>
        <v>na</v>
      </c>
      <c r="S67" s="183" t="str">
        <f t="shared" ca="1" si="45"/>
        <v>na</v>
      </c>
      <c r="T67" s="183" t="str">
        <f t="shared" ca="1" si="45"/>
        <v>na</v>
      </c>
      <c r="U67" s="183" t="str">
        <f t="shared" ca="1" si="45"/>
        <v>na</v>
      </c>
      <c r="V67" s="183" t="str">
        <f t="shared" ca="1" si="45"/>
        <v>na</v>
      </c>
      <c r="W67" s="183" t="str">
        <f t="shared" ca="1" si="45"/>
        <v>na</v>
      </c>
      <c r="X67" s="183" t="str">
        <f t="shared" ca="1" si="45"/>
        <v>na</v>
      </c>
      <c r="Y67" s="183" t="str">
        <f t="shared" ca="1" si="45"/>
        <v>na</v>
      </c>
      <c r="Z67" s="183" t="str">
        <f t="shared" ca="1" si="45"/>
        <v>na</v>
      </c>
      <c r="AA67" s="183" t="str">
        <f t="shared" ca="1" si="45"/>
        <v>na</v>
      </c>
      <c r="AB67" s="183" t="str">
        <f t="shared" ca="1" si="45"/>
        <v>na</v>
      </c>
      <c r="AC67" s="183" t="str">
        <f t="shared" ca="1" si="45"/>
        <v>na</v>
      </c>
      <c r="AD67" s="183" t="str">
        <f t="shared" ca="1" si="45"/>
        <v>na</v>
      </c>
      <c r="AE67" s="183" t="str">
        <f t="shared" ca="1" si="45"/>
        <v>na</v>
      </c>
      <c r="AF67" s="183" t="str">
        <f t="shared" ca="1" si="45"/>
        <v>na</v>
      </c>
      <c r="AG67" s="183" t="str">
        <f t="shared" ref="AG67" ca="1" si="46">IFERROR(AG65/AG66-1,"na")</f>
        <v>na</v>
      </c>
    </row>
    <row r="68" spans="2:33" ht="14.4">
      <c r="B68" s="1"/>
    </row>
    <row r="69" spans="2:33" s="107" customFormat="1" ht="15.15" hidden="1" outlineLevel="1">
      <c r="B69" s="180"/>
      <c r="C69" s="180" t="s">
        <v>787</v>
      </c>
      <c r="D69" s="261" t="str">
        <f t="shared" ref="D69:AF69" si="47">IF($D$12&gt;D$4,"na",(INDEX(D$32:D$34,MATCH($B70,$C$32:$C$34,0))+D31)/(D36+D38))</f>
        <v>na</v>
      </c>
      <c r="E69" s="261" t="str">
        <f t="shared" si="47"/>
        <v>na</v>
      </c>
      <c r="F69" s="261" t="str">
        <f t="shared" si="47"/>
        <v>na</v>
      </c>
      <c r="G69" s="261" t="e">
        <f t="shared" ca="1" si="47"/>
        <v>#DIV/0!</v>
      </c>
      <c r="H69" s="261" t="e">
        <f t="shared" ca="1" si="47"/>
        <v>#DIV/0!</v>
      </c>
      <c r="I69" s="261" t="e">
        <f t="shared" ca="1" si="47"/>
        <v>#DIV/0!</v>
      </c>
      <c r="J69" s="261" t="e">
        <f t="shared" ca="1" si="47"/>
        <v>#DIV/0!</v>
      </c>
      <c r="K69" s="261" t="e">
        <f t="shared" ca="1" si="47"/>
        <v>#DIV/0!</v>
      </c>
      <c r="L69" s="261" t="e">
        <f t="shared" ca="1" si="47"/>
        <v>#DIV/0!</v>
      </c>
      <c r="M69" s="261" t="e">
        <f t="shared" ca="1" si="47"/>
        <v>#DIV/0!</v>
      </c>
      <c r="N69" s="261" t="e">
        <f t="shared" ca="1" si="47"/>
        <v>#DIV/0!</v>
      </c>
      <c r="O69" s="261" t="e">
        <f t="shared" ca="1" si="47"/>
        <v>#DIV/0!</v>
      </c>
      <c r="P69" s="261" t="e">
        <f t="shared" ca="1" si="47"/>
        <v>#DIV/0!</v>
      </c>
      <c r="Q69" s="261" t="e">
        <f t="shared" ca="1" si="47"/>
        <v>#DIV/0!</v>
      </c>
      <c r="R69" s="261" t="e">
        <f t="shared" ca="1" si="47"/>
        <v>#DIV/0!</v>
      </c>
      <c r="S69" s="261" t="e">
        <f t="shared" ca="1" si="47"/>
        <v>#DIV/0!</v>
      </c>
      <c r="T69" s="261" t="e">
        <f t="shared" ca="1" si="47"/>
        <v>#DIV/0!</v>
      </c>
      <c r="U69" s="261" t="e">
        <f t="shared" ca="1" si="47"/>
        <v>#DIV/0!</v>
      </c>
      <c r="V69" s="261" t="e">
        <f t="shared" ca="1" si="47"/>
        <v>#DIV/0!</v>
      </c>
      <c r="W69" s="261" t="e">
        <f t="shared" ca="1" si="47"/>
        <v>#DIV/0!</v>
      </c>
      <c r="X69" s="261" t="e">
        <f t="shared" ca="1" si="47"/>
        <v>#DIV/0!</v>
      </c>
      <c r="Y69" s="261" t="e">
        <f t="shared" ca="1" si="47"/>
        <v>#DIV/0!</v>
      </c>
      <c r="Z69" s="261" t="e">
        <f t="shared" ca="1" si="47"/>
        <v>#DIV/0!</v>
      </c>
      <c r="AA69" s="261" t="e">
        <f t="shared" ca="1" si="47"/>
        <v>#DIV/0!</v>
      </c>
      <c r="AB69" s="261" t="e">
        <f t="shared" ca="1" si="47"/>
        <v>#VALUE!</v>
      </c>
      <c r="AC69" s="261" t="e">
        <f t="shared" ca="1" si="47"/>
        <v>#VALUE!</v>
      </c>
      <c r="AD69" s="261" t="e">
        <f t="shared" ca="1" si="47"/>
        <v>#VALUE!</v>
      </c>
      <c r="AE69" s="261" t="e">
        <f t="shared" ca="1" si="47"/>
        <v>#VALUE!</v>
      </c>
      <c r="AF69" s="261" t="e">
        <f t="shared" ca="1" si="47"/>
        <v>#VALUE!</v>
      </c>
      <c r="AG69" s="261" t="e">
        <f t="shared" ref="AG69" ca="1" si="48">IF($D$12&gt;AG$4,"na",(INDEX(AG$32:AG$34,MATCH($B70,$C$32:$C$34,0))+AG31)/(AG36+AG38))</f>
        <v>#VALUE!</v>
      </c>
    </row>
    <row r="70" spans="2:33" s="106" customFormat="1" ht="15.15" hidden="1" outlineLevel="1">
      <c r="B70" s="197" t="s">
        <v>771</v>
      </c>
      <c r="C70" s="28" t="s">
        <v>765</v>
      </c>
      <c r="D70" s="306">
        <v>0</v>
      </c>
      <c r="E70" s="306">
        <v>0</v>
      </c>
      <c r="F70" s="306">
        <v>0</v>
      </c>
      <c r="G70" s="306">
        <v>0</v>
      </c>
      <c r="H70" s="306">
        <v>0</v>
      </c>
      <c r="I70" s="306">
        <v>0</v>
      </c>
      <c r="J70" s="306">
        <v>0</v>
      </c>
      <c r="K70" s="306">
        <v>0</v>
      </c>
      <c r="L70" s="306">
        <v>0</v>
      </c>
      <c r="M70" s="306">
        <v>0</v>
      </c>
      <c r="N70" s="306">
        <v>0</v>
      </c>
      <c r="O70" s="306">
        <v>0</v>
      </c>
      <c r="P70" s="306">
        <v>0</v>
      </c>
      <c r="Q70" s="306">
        <v>0</v>
      </c>
      <c r="R70" s="306">
        <v>0</v>
      </c>
      <c r="S70" s="306">
        <v>0</v>
      </c>
      <c r="T70" s="306">
        <v>1.1000000000000001</v>
      </c>
      <c r="U70" s="306">
        <v>1.1000000000000001</v>
      </c>
      <c r="V70" s="306">
        <v>1.1000000000000001</v>
      </c>
      <c r="W70" s="306">
        <v>1.1000000000000001</v>
      </c>
      <c r="X70" s="306">
        <v>1.1000000000000001</v>
      </c>
      <c r="Y70" s="306">
        <v>1.1000000000000001</v>
      </c>
      <c r="Z70" s="306">
        <v>1.1000000000000001</v>
      </c>
      <c r="AA70" s="306">
        <v>1.1000000000000001</v>
      </c>
      <c r="AB70" s="306">
        <v>1.1000000000000001</v>
      </c>
      <c r="AC70" s="306">
        <v>1.1000000000000001</v>
      </c>
      <c r="AD70" s="306">
        <v>1.1000000000000001</v>
      </c>
      <c r="AE70" s="306">
        <v>1.1000000000000001</v>
      </c>
      <c r="AF70" s="306">
        <v>1.1000000000000001</v>
      </c>
      <c r="AG70" s="306">
        <v>1.1000000000000001</v>
      </c>
    </row>
    <row r="71" spans="2:33" s="108" customFormat="1" ht="15.15" hidden="1" outlineLevel="1">
      <c r="B71" s="28"/>
      <c r="C71" s="183" t="s">
        <v>766</v>
      </c>
      <c r="D71" s="185" t="str">
        <f>IFERROR(D69/D70-1,"na")</f>
        <v>na</v>
      </c>
      <c r="E71" s="185" t="str">
        <f t="shared" ref="E71:AF71" si="49">IFERROR(E69/E70-1,"na")</f>
        <v>na</v>
      </c>
      <c r="F71" s="185" t="str">
        <f t="shared" si="49"/>
        <v>na</v>
      </c>
      <c r="G71" s="183" t="str">
        <f t="shared" ca="1" si="49"/>
        <v>na</v>
      </c>
      <c r="H71" s="183" t="str">
        <f t="shared" ca="1" si="49"/>
        <v>na</v>
      </c>
      <c r="I71" s="183" t="str">
        <f t="shared" ca="1" si="49"/>
        <v>na</v>
      </c>
      <c r="J71" s="183" t="str">
        <f t="shared" ca="1" si="49"/>
        <v>na</v>
      </c>
      <c r="K71" s="183" t="str">
        <f t="shared" ca="1" si="49"/>
        <v>na</v>
      </c>
      <c r="L71" s="183" t="str">
        <f t="shared" ca="1" si="49"/>
        <v>na</v>
      </c>
      <c r="M71" s="183" t="str">
        <f t="shared" ca="1" si="49"/>
        <v>na</v>
      </c>
      <c r="N71" s="183" t="str">
        <f t="shared" ca="1" si="49"/>
        <v>na</v>
      </c>
      <c r="O71" s="183" t="str">
        <f t="shared" ca="1" si="49"/>
        <v>na</v>
      </c>
      <c r="P71" s="183" t="str">
        <f t="shared" ca="1" si="49"/>
        <v>na</v>
      </c>
      <c r="Q71" s="183" t="str">
        <f t="shared" ca="1" si="49"/>
        <v>na</v>
      </c>
      <c r="R71" s="183" t="str">
        <f t="shared" ca="1" si="49"/>
        <v>na</v>
      </c>
      <c r="S71" s="183" t="str">
        <f t="shared" ca="1" si="49"/>
        <v>na</v>
      </c>
      <c r="T71" s="183" t="str">
        <f t="shared" ca="1" si="49"/>
        <v>na</v>
      </c>
      <c r="U71" s="183" t="str">
        <f t="shared" ca="1" si="49"/>
        <v>na</v>
      </c>
      <c r="V71" s="183" t="str">
        <f t="shared" ca="1" si="49"/>
        <v>na</v>
      </c>
      <c r="W71" s="183" t="str">
        <f t="shared" ca="1" si="49"/>
        <v>na</v>
      </c>
      <c r="X71" s="183" t="str">
        <f t="shared" ca="1" si="49"/>
        <v>na</v>
      </c>
      <c r="Y71" s="183" t="str">
        <f t="shared" ca="1" si="49"/>
        <v>na</v>
      </c>
      <c r="Z71" s="183" t="str">
        <f t="shared" ca="1" si="49"/>
        <v>na</v>
      </c>
      <c r="AA71" s="183" t="str">
        <f t="shared" ca="1" si="49"/>
        <v>na</v>
      </c>
      <c r="AB71" s="183" t="str">
        <f t="shared" ca="1" si="49"/>
        <v>na</v>
      </c>
      <c r="AC71" s="183" t="str">
        <f t="shared" ca="1" si="49"/>
        <v>na</v>
      </c>
      <c r="AD71" s="183" t="str">
        <f t="shared" ca="1" si="49"/>
        <v>na</v>
      </c>
      <c r="AE71" s="183" t="str">
        <f t="shared" ca="1" si="49"/>
        <v>na</v>
      </c>
      <c r="AF71" s="183" t="str">
        <f t="shared" ca="1" si="49"/>
        <v>na</v>
      </c>
      <c r="AG71" s="183" t="str">
        <f t="shared" ref="AG71" ca="1" si="50">IFERROR(AG69/AG70-1,"na")</f>
        <v>na</v>
      </c>
    </row>
    <row r="72" spans="2:33" s="28" customFormat="1" hidden="1" outlineLevel="1"/>
    <row r="73" spans="2:33" s="107" customFormat="1" ht="15.15" hidden="1" outlineLevel="1">
      <c r="B73" s="180"/>
      <c r="C73" s="180" t="s">
        <v>778</v>
      </c>
      <c r="D73" s="261" t="str">
        <f t="shared" ref="D73:AF73" si="51">IF($D$12&gt;D$4,"na",INDEX(D$32:D$34,MATCH($B74,$C$32:$C$34,0))/(D37))</f>
        <v>na</v>
      </c>
      <c r="E73" s="261" t="str">
        <f t="shared" si="51"/>
        <v>na</v>
      </c>
      <c r="F73" s="261" t="str">
        <f t="shared" si="51"/>
        <v>na</v>
      </c>
      <c r="G73" s="261" t="e">
        <f t="shared" ca="1" si="51"/>
        <v>#DIV/0!</v>
      </c>
      <c r="H73" s="261" t="e">
        <f t="shared" ca="1" si="51"/>
        <v>#DIV/0!</v>
      </c>
      <c r="I73" s="261" t="e">
        <f t="shared" ca="1" si="51"/>
        <v>#DIV/0!</v>
      </c>
      <c r="J73" s="261" t="e">
        <f t="shared" ca="1" si="51"/>
        <v>#DIV/0!</v>
      </c>
      <c r="K73" s="261" t="e">
        <f t="shared" ca="1" si="51"/>
        <v>#DIV/0!</v>
      </c>
      <c r="L73" s="261" t="e">
        <f t="shared" ca="1" si="51"/>
        <v>#DIV/0!</v>
      </c>
      <c r="M73" s="261" t="e">
        <f t="shared" ca="1" si="51"/>
        <v>#DIV/0!</v>
      </c>
      <c r="N73" s="261" t="e">
        <f t="shared" ca="1" si="51"/>
        <v>#DIV/0!</v>
      </c>
      <c r="O73" s="261" t="e">
        <f t="shared" ca="1" si="51"/>
        <v>#DIV/0!</v>
      </c>
      <c r="P73" s="261" t="e">
        <f t="shared" ca="1" si="51"/>
        <v>#DIV/0!</v>
      </c>
      <c r="Q73" s="261" t="e">
        <f t="shared" ca="1" si="51"/>
        <v>#DIV/0!</v>
      </c>
      <c r="R73" s="261" t="e">
        <f t="shared" ca="1" si="51"/>
        <v>#DIV/0!</v>
      </c>
      <c r="S73" s="261" t="e">
        <f t="shared" ca="1" si="51"/>
        <v>#DIV/0!</v>
      </c>
      <c r="T73" s="261" t="e">
        <f t="shared" ca="1" si="51"/>
        <v>#DIV/0!</v>
      </c>
      <c r="U73" s="261" t="e">
        <f t="shared" ca="1" si="51"/>
        <v>#DIV/0!</v>
      </c>
      <c r="V73" s="261" t="e">
        <f t="shared" ca="1" si="51"/>
        <v>#DIV/0!</v>
      </c>
      <c r="W73" s="261" t="e">
        <f t="shared" ca="1" si="51"/>
        <v>#DIV/0!</v>
      </c>
      <c r="X73" s="261" t="e">
        <f t="shared" ca="1" si="51"/>
        <v>#DIV/0!</v>
      </c>
      <c r="Y73" s="261" t="e">
        <f t="shared" ca="1" si="51"/>
        <v>#DIV/0!</v>
      </c>
      <c r="Z73" s="261" t="e">
        <f t="shared" ca="1" si="51"/>
        <v>#DIV/0!</v>
      </c>
      <c r="AA73" s="261" t="e">
        <f t="shared" ca="1" si="51"/>
        <v>#DIV/0!</v>
      </c>
      <c r="AB73" s="261" t="e">
        <f t="shared" ca="1" si="51"/>
        <v>#VALUE!</v>
      </c>
      <c r="AC73" s="261" t="e">
        <f t="shared" ca="1" si="51"/>
        <v>#VALUE!</v>
      </c>
      <c r="AD73" s="261" t="e">
        <f t="shared" ca="1" si="51"/>
        <v>#VALUE!</v>
      </c>
      <c r="AE73" s="261" t="e">
        <f t="shared" ca="1" si="51"/>
        <v>#VALUE!</v>
      </c>
      <c r="AF73" s="261" t="e">
        <f t="shared" ca="1" si="51"/>
        <v>#VALUE!</v>
      </c>
      <c r="AG73" s="261" t="e">
        <f t="shared" ref="AG73" ca="1" si="52">IF($D$12&gt;AG$4,"na",INDEX(AG$32:AG$34,MATCH($B74,$C$32:$C$34,0))/(AG37))</f>
        <v>#VALUE!</v>
      </c>
    </row>
    <row r="74" spans="2:33" s="106" customFormat="1" ht="15.15" hidden="1" outlineLevel="1">
      <c r="B74" s="197" t="s">
        <v>771</v>
      </c>
      <c r="C74" s="28" t="s">
        <v>765</v>
      </c>
      <c r="D74" s="306">
        <v>5</v>
      </c>
      <c r="E74" s="306">
        <v>5</v>
      </c>
      <c r="F74" s="306">
        <v>5</v>
      </c>
      <c r="G74" s="306">
        <v>5</v>
      </c>
      <c r="H74" s="306">
        <v>5</v>
      </c>
      <c r="I74" s="306">
        <v>5</v>
      </c>
      <c r="J74" s="306">
        <v>5</v>
      </c>
      <c r="K74" s="306">
        <v>5</v>
      </c>
      <c r="L74" s="306">
        <v>5</v>
      </c>
      <c r="M74" s="306">
        <v>5</v>
      </c>
      <c r="N74" s="306">
        <v>5</v>
      </c>
      <c r="O74" s="306">
        <v>5</v>
      </c>
      <c r="P74" s="306">
        <v>5</v>
      </c>
      <c r="Q74" s="306">
        <v>5</v>
      </c>
      <c r="R74" s="306">
        <v>5</v>
      </c>
      <c r="S74" s="306">
        <v>5</v>
      </c>
      <c r="T74" s="306">
        <v>5</v>
      </c>
      <c r="U74" s="306">
        <v>5</v>
      </c>
      <c r="V74" s="306">
        <v>5</v>
      </c>
      <c r="W74" s="306">
        <v>5</v>
      </c>
      <c r="X74" s="306">
        <v>5</v>
      </c>
      <c r="Y74" s="306">
        <v>5</v>
      </c>
      <c r="Z74" s="306">
        <v>5</v>
      </c>
      <c r="AA74" s="306">
        <v>5</v>
      </c>
      <c r="AB74" s="306">
        <v>5</v>
      </c>
      <c r="AC74" s="306">
        <v>5</v>
      </c>
      <c r="AD74" s="306">
        <v>5</v>
      </c>
      <c r="AE74" s="306">
        <v>5</v>
      </c>
      <c r="AF74" s="306">
        <v>5</v>
      </c>
      <c r="AG74" s="306">
        <v>5</v>
      </c>
    </row>
    <row r="75" spans="2:33" s="108" customFormat="1" ht="15.15" hidden="1" outlineLevel="1">
      <c r="B75" s="28"/>
      <c r="C75" s="183" t="s">
        <v>766</v>
      </c>
      <c r="D75" s="185" t="str">
        <f>IFERROR(D73/D74-1,"na")</f>
        <v>na</v>
      </c>
      <c r="E75" s="185" t="str">
        <f t="shared" ref="E75:AF75" si="53">IFERROR(E73/E74-1,"na")</f>
        <v>na</v>
      </c>
      <c r="F75" s="185" t="str">
        <f t="shared" si="53"/>
        <v>na</v>
      </c>
      <c r="G75" s="183" t="str">
        <f t="shared" ca="1" si="53"/>
        <v>na</v>
      </c>
      <c r="H75" s="183" t="str">
        <f t="shared" ca="1" si="53"/>
        <v>na</v>
      </c>
      <c r="I75" s="183" t="str">
        <f t="shared" ca="1" si="53"/>
        <v>na</v>
      </c>
      <c r="J75" s="183" t="str">
        <f t="shared" ca="1" si="53"/>
        <v>na</v>
      </c>
      <c r="K75" s="183" t="str">
        <f t="shared" ca="1" si="53"/>
        <v>na</v>
      </c>
      <c r="L75" s="183" t="str">
        <f t="shared" ca="1" si="53"/>
        <v>na</v>
      </c>
      <c r="M75" s="183" t="str">
        <f t="shared" ca="1" si="53"/>
        <v>na</v>
      </c>
      <c r="N75" s="183" t="str">
        <f t="shared" ca="1" si="53"/>
        <v>na</v>
      </c>
      <c r="O75" s="183" t="str">
        <f t="shared" ca="1" si="53"/>
        <v>na</v>
      </c>
      <c r="P75" s="183" t="str">
        <f t="shared" ca="1" si="53"/>
        <v>na</v>
      </c>
      <c r="Q75" s="183" t="str">
        <f t="shared" ca="1" si="53"/>
        <v>na</v>
      </c>
      <c r="R75" s="183" t="str">
        <f t="shared" ca="1" si="53"/>
        <v>na</v>
      </c>
      <c r="S75" s="183" t="str">
        <f t="shared" ca="1" si="53"/>
        <v>na</v>
      </c>
      <c r="T75" s="183" t="str">
        <f t="shared" ca="1" si="53"/>
        <v>na</v>
      </c>
      <c r="U75" s="183" t="str">
        <f t="shared" ca="1" si="53"/>
        <v>na</v>
      </c>
      <c r="V75" s="183" t="str">
        <f t="shared" ca="1" si="53"/>
        <v>na</v>
      </c>
      <c r="W75" s="183" t="str">
        <f t="shared" ca="1" si="53"/>
        <v>na</v>
      </c>
      <c r="X75" s="183" t="str">
        <f t="shared" ca="1" si="53"/>
        <v>na</v>
      </c>
      <c r="Y75" s="183" t="str">
        <f t="shared" ca="1" si="53"/>
        <v>na</v>
      </c>
      <c r="Z75" s="183" t="str">
        <f t="shared" ca="1" si="53"/>
        <v>na</v>
      </c>
      <c r="AA75" s="183" t="str">
        <f t="shared" ca="1" si="53"/>
        <v>na</v>
      </c>
      <c r="AB75" s="183" t="str">
        <f t="shared" ca="1" si="53"/>
        <v>na</v>
      </c>
      <c r="AC75" s="183" t="str">
        <f t="shared" ca="1" si="53"/>
        <v>na</v>
      </c>
      <c r="AD75" s="183" t="str">
        <f t="shared" ca="1" si="53"/>
        <v>na</v>
      </c>
      <c r="AE75" s="183" t="str">
        <f t="shared" ca="1" si="53"/>
        <v>na</v>
      </c>
      <c r="AF75" s="183" t="str">
        <f t="shared" ca="1" si="53"/>
        <v>na</v>
      </c>
      <c r="AG75" s="183" t="str">
        <f t="shared" ref="AG75" ca="1" si="54">IFERROR(AG73/AG74-1,"na")</f>
        <v>na</v>
      </c>
    </row>
    <row r="76" spans="2:33" ht="14.4" collapsed="1">
      <c r="B76" s="1"/>
    </row>
    <row r="77" spans="2:33" s="107" customFormat="1" ht="15.15" hidden="1" outlineLevel="1">
      <c r="B77" s="180"/>
      <c r="C77" s="180" t="s">
        <v>780</v>
      </c>
      <c r="D77" s="261" t="str">
        <f t="shared" ref="D77:AF77" si="55">IF($D$12&gt;D$4,"na",INDEX(D$32:D$34,MATCH($B78,$C$32:$C$34,0))/(D37+D38+D39))</f>
        <v>na</v>
      </c>
      <c r="E77" s="261" t="str">
        <f t="shared" si="55"/>
        <v>na</v>
      </c>
      <c r="F77" s="261" t="str">
        <f t="shared" si="55"/>
        <v>na</v>
      </c>
      <c r="G77" s="261" t="e">
        <f t="shared" ca="1" si="55"/>
        <v>#DIV/0!</v>
      </c>
      <c r="H77" s="261" t="e">
        <f t="shared" ca="1" si="55"/>
        <v>#DIV/0!</v>
      </c>
      <c r="I77" s="261" t="e">
        <f t="shared" ca="1" si="55"/>
        <v>#DIV/0!</v>
      </c>
      <c r="J77" s="261" t="e">
        <f t="shared" ca="1" si="55"/>
        <v>#DIV/0!</v>
      </c>
      <c r="K77" s="261" t="e">
        <f t="shared" ca="1" si="55"/>
        <v>#DIV/0!</v>
      </c>
      <c r="L77" s="261" t="e">
        <f t="shared" ca="1" si="55"/>
        <v>#DIV/0!</v>
      </c>
      <c r="M77" s="261" t="e">
        <f t="shared" ca="1" si="55"/>
        <v>#DIV/0!</v>
      </c>
      <c r="N77" s="261" t="e">
        <f t="shared" ca="1" si="55"/>
        <v>#DIV/0!</v>
      </c>
      <c r="O77" s="261" t="e">
        <f t="shared" ca="1" si="55"/>
        <v>#DIV/0!</v>
      </c>
      <c r="P77" s="261" t="e">
        <f t="shared" ca="1" si="55"/>
        <v>#DIV/0!</v>
      </c>
      <c r="Q77" s="261" t="e">
        <f t="shared" ca="1" si="55"/>
        <v>#DIV/0!</v>
      </c>
      <c r="R77" s="261" t="e">
        <f t="shared" ca="1" si="55"/>
        <v>#DIV/0!</v>
      </c>
      <c r="S77" s="261" t="e">
        <f t="shared" ca="1" si="55"/>
        <v>#DIV/0!</v>
      </c>
      <c r="T77" s="261" t="e">
        <f t="shared" ca="1" si="55"/>
        <v>#DIV/0!</v>
      </c>
      <c r="U77" s="261" t="e">
        <f t="shared" ca="1" si="55"/>
        <v>#DIV/0!</v>
      </c>
      <c r="V77" s="261" t="e">
        <f t="shared" ca="1" si="55"/>
        <v>#DIV/0!</v>
      </c>
      <c r="W77" s="261" t="e">
        <f t="shared" ca="1" si="55"/>
        <v>#DIV/0!</v>
      </c>
      <c r="X77" s="261" t="e">
        <f t="shared" ca="1" si="55"/>
        <v>#DIV/0!</v>
      </c>
      <c r="Y77" s="261" t="e">
        <f t="shared" ca="1" si="55"/>
        <v>#DIV/0!</v>
      </c>
      <c r="Z77" s="261" t="e">
        <f t="shared" ca="1" si="55"/>
        <v>#DIV/0!</v>
      </c>
      <c r="AA77" s="261" t="e">
        <f t="shared" ca="1" si="55"/>
        <v>#DIV/0!</v>
      </c>
      <c r="AB77" s="261" t="e">
        <f t="shared" ca="1" si="55"/>
        <v>#VALUE!</v>
      </c>
      <c r="AC77" s="261" t="e">
        <f t="shared" ca="1" si="55"/>
        <v>#VALUE!</v>
      </c>
      <c r="AD77" s="261" t="e">
        <f t="shared" ca="1" si="55"/>
        <v>#VALUE!</v>
      </c>
      <c r="AE77" s="261" t="e">
        <f t="shared" ca="1" si="55"/>
        <v>#VALUE!</v>
      </c>
      <c r="AF77" s="261" t="e">
        <f t="shared" ca="1" si="55"/>
        <v>#VALUE!</v>
      </c>
      <c r="AG77" s="261" t="e">
        <f t="shared" ref="AG77" ca="1" si="56">IF($D$12&gt;AG$4,"na",INDEX(AG$32:AG$34,MATCH($B78,$C$32:$C$34,0))/(AG37+AG38+AG39))</f>
        <v>#VALUE!</v>
      </c>
    </row>
    <row r="78" spans="2:33" s="106" customFormat="1" ht="15.15" hidden="1" outlineLevel="1">
      <c r="B78" s="197" t="s">
        <v>771</v>
      </c>
      <c r="C78" s="94" t="s">
        <v>765</v>
      </c>
      <c r="D78" s="306">
        <v>1.5</v>
      </c>
      <c r="E78" s="306">
        <v>1.5</v>
      </c>
      <c r="F78" s="306">
        <v>1.5</v>
      </c>
      <c r="G78" s="306">
        <v>1.5</v>
      </c>
      <c r="H78" s="306">
        <v>1.5</v>
      </c>
      <c r="I78" s="306">
        <v>1.5</v>
      </c>
      <c r="J78" s="306">
        <v>1.5</v>
      </c>
      <c r="K78" s="306">
        <v>1.5</v>
      </c>
      <c r="L78" s="306">
        <v>1.5</v>
      </c>
      <c r="M78" s="306">
        <v>1.5</v>
      </c>
      <c r="N78" s="306">
        <v>1.5</v>
      </c>
      <c r="O78" s="306">
        <v>1.5</v>
      </c>
      <c r="P78" s="306">
        <v>1.5</v>
      </c>
      <c r="Q78" s="306">
        <v>1.5</v>
      </c>
      <c r="R78" s="306">
        <v>1.5</v>
      </c>
      <c r="S78" s="306">
        <v>1.5</v>
      </c>
      <c r="T78" s="306">
        <v>1.5</v>
      </c>
      <c r="U78" s="306">
        <v>1.5</v>
      </c>
      <c r="V78" s="306">
        <v>1.5</v>
      </c>
      <c r="W78" s="306">
        <v>1.5</v>
      </c>
      <c r="X78" s="306">
        <v>1.5</v>
      </c>
      <c r="Y78" s="306">
        <v>1.5</v>
      </c>
      <c r="Z78" s="306">
        <v>1.5</v>
      </c>
      <c r="AA78" s="306">
        <v>1.5</v>
      </c>
      <c r="AB78" s="306">
        <v>1.5</v>
      </c>
      <c r="AC78" s="306">
        <v>1.5</v>
      </c>
      <c r="AD78" s="306">
        <v>1.5</v>
      </c>
      <c r="AE78" s="306">
        <v>1.5</v>
      </c>
      <c r="AF78" s="306">
        <v>1.5</v>
      </c>
      <c r="AG78" s="306">
        <v>1.5</v>
      </c>
    </row>
    <row r="79" spans="2:33" s="108" customFormat="1" ht="15.15" hidden="1" outlineLevel="1">
      <c r="B79" s="28"/>
      <c r="C79" s="183" t="s">
        <v>766</v>
      </c>
      <c r="D79" s="185" t="str">
        <f>IFERROR(D77/D78-1,"na")</f>
        <v>na</v>
      </c>
      <c r="E79" s="185" t="str">
        <f t="shared" ref="E79:AF79" si="57">IFERROR(E77/E78-1,"na")</f>
        <v>na</v>
      </c>
      <c r="F79" s="185" t="str">
        <f t="shared" si="57"/>
        <v>na</v>
      </c>
      <c r="G79" s="183" t="str">
        <f t="shared" ca="1" si="57"/>
        <v>na</v>
      </c>
      <c r="H79" s="183" t="str">
        <f t="shared" ca="1" si="57"/>
        <v>na</v>
      </c>
      <c r="I79" s="183" t="str">
        <f t="shared" ca="1" si="57"/>
        <v>na</v>
      </c>
      <c r="J79" s="183" t="str">
        <f t="shared" ca="1" si="57"/>
        <v>na</v>
      </c>
      <c r="K79" s="183" t="str">
        <f t="shared" ca="1" si="57"/>
        <v>na</v>
      </c>
      <c r="L79" s="183" t="str">
        <f t="shared" ca="1" si="57"/>
        <v>na</v>
      </c>
      <c r="M79" s="183" t="str">
        <f t="shared" ca="1" si="57"/>
        <v>na</v>
      </c>
      <c r="N79" s="183" t="str">
        <f t="shared" ca="1" si="57"/>
        <v>na</v>
      </c>
      <c r="O79" s="183" t="str">
        <f t="shared" ca="1" si="57"/>
        <v>na</v>
      </c>
      <c r="P79" s="183" t="str">
        <f t="shared" ca="1" si="57"/>
        <v>na</v>
      </c>
      <c r="Q79" s="183" t="str">
        <f t="shared" ca="1" si="57"/>
        <v>na</v>
      </c>
      <c r="R79" s="183" t="str">
        <f t="shared" ca="1" si="57"/>
        <v>na</v>
      </c>
      <c r="S79" s="183" t="str">
        <f t="shared" ca="1" si="57"/>
        <v>na</v>
      </c>
      <c r="T79" s="183" t="str">
        <f t="shared" ca="1" si="57"/>
        <v>na</v>
      </c>
      <c r="U79" s="183" t="str">
        <f t="shared" ca="1" si="57"/>
        <v>na</v>
      </c>
      <c r="V79" s="183" t="str">
        <f t="shared" ca="1" si="57"/>
        <v>na</v>
      </c>
      <c r="W79" s="183" t="str">
        <f t="shared" ca="1" si="57"/>
        <v>na</v>
      </c>
      <c r="X79" s="183" t="str">
        <f t="shared" ca="1" si="57"/>
        <v>na</v>
      </c>
      <c r="Y79" s="183" t="str">
        <f t="shared" ca="1" si="57"/>
        <v>na</v>
      </c>
      <c r="Z79" s="183" t="str">
        <f t="shared" ca="1" si="57"/>
        <v>na</v>
      </c>
      <c r="AA79" s="183" t="str">
        <f t="shared" ca="1" si="57"/>
        <v>na</v>
      </c>
      <c r="AB79" s="183" t="str">
        <f t="shared" ca="1" si="57"/>
        <v>na</v>
      </c>
      <c r="AC79" s="183" t="str">
        <f t="shared" ca="1" si="57"/>
        <v>na</v>
      </c>
      <c r="AD79" s="183" t="str">
        <f t="shared" ca="1" si="57"/>
        <v>na</v>
      </c>
      <c r="AE79" s="183" t="str">
        <f t="shared" ca="1" si="57"/>
        <v>na</v>
      </c>
      <c r="AF79" s="183" t="str">
        <f t="shared" ca="1" si="57"/>
        <v>na</v>
      </c>
      <c r="AG79" s="183" t="str">
        <f t="shared" ref="AG79" ca="1" si="58">IFERROR(AG77/AG78-1,"na")</f>
        <v>na</v>
      </c>
    </row>
    <row r="80" spans="2:33" ht="14.4" hidden="1" outlineLevel="1">
      <c r="B80" s="1"/>
    </row>
    <row r="81" spans="2:33" s="107" customFormat="1" ht="15.15" hidden="1" outlineLevel="1">
      <c r="B81" s="180"/>
      <c r="C81" s="180" t="s">
        <v>788</v>
      </c>
      <c r="D81" s="261" t="str">
        <f t="shared" ref="D81:AF81" si="59">IF($D$12&gt;D$4,"na",(INDEX(D$32:D$34,MATCH($B82,$C$32:$C$34,0))+D31)/(D37+D38+D39))</f>
        <v>na</v>
      </c>
      <c r="E81" s="261" t="str">
        <f t="shared" si="59"/>
        <v>na</v>
      </c>
      <c r="F81" s="261" t="str">
        <f t="shared" si="59"/>
        <v>na</v>
      </c>
      <c r="G81" s="261" t="e">
        <f t="shared" ca="1" si="59"/>
        <v>#DIV/0!</v>
      </c>
      <c r="H81" s="261" t="e">
        <f t="shared" ca="1" si="59"/>
        <v>#DIV/0!</v>
      </c>
      <c r="I81" s="261" t="e">
        <f t="shared" ca="1" si="59"/>
        <v>#DIV/0!</v>
      </c>
      <c r="J81" s="261" t="e">
        <f t="shared" ca="1" si="59"/>
        <v>#DIV/0!</v>
      </c>
      <c r="K81" s="261" t="e">
        <f t="shared" ca="1" si="59"/>
        <v>#DIV/0!</v>
      </c>
      <c r="L81" s="261" t="e">
        <f t="shared" ca="1" si="59"/>
        <v>#DIV/0!</v>
      </c>
      <c r="M81" s="261" t="e">
        <f t="shared" ca="1" si="59"/>
        <v>#DIV/0!</v>
      </c>
      <c r="N81" s="261" t="e">
        <f t="shared" ca="1" si="59"/>
        <v>#DIV/0!</v>
      </c>
      <c r="O81" s="261" t="e">
        <f t="shared" ca="1" si="59"/>
        <v>#DIV/0!</v>
      </c>
      <c r="P81" s="261" t="e">
        <f t="shared" ca="1" si="59"/>
        <v>#DIV/0!</v>
      </c>
      <c r="Q81" s="261" t="e">
        <f t="shared" ca="1" si="59"/>
        <v>#DIV/0!</v>
      </c>
      <c r="R81" s="261" t="e">
        <f t="shared" ca="1" si="59"/>
        <v>#DIV/0!</v>
      </c>
      <c r="S81" s="261" t="e">
        <f t="shared" ca="1" si="59"/>
        <v>#DIV/0!</v>
      </c>
      <c r="T81" s="261" t="e">
        <f t="shared" ca="1" si="59"/>
        <v>#DIV/0!</v>
      </c>
      <c r="U81" s="261" t="e">
        <f t="shared" ca="1" si="59"/>
        <v>#DIV/0!</v>
      </c>
      <c r="V81" s="261" t="e">
        <f t="shared" ca="1" si="59"/>
        <v>#DIV/0!</v>
      </c>
      <c r="W81" s="261" t="e">
        <f t="shared" ca="1" si="59"/>
        <v>#DIV/0!</v>
      </c>
      <c r="X81" s="261" t="e">
        <f t="shared" ca="1" si="59"/>
        <v>#DIV/0!</v>
      </c>
      <c r="Y81" s="261" t="e">
        <f t="shared" ca="1" si="59"/>
        <v>#DIV/0!</v>
      </c>
      <c r="Z81" s="261" t="e">
        <f t="shared" ca="1" si="59"/>
        <v>#DIV/0!</v>
      </c>
      <c r="AA81" s="261" t="e">
        <f t="shared" ca="1" si="59"/>
        <v>#DIV/0!</v>
      </c>
      <c r="AB81" s="261" t="e">
        <f t="shared" ca="1" si="59"/>
        <v>#VALUE!</v>
      </c>
      <c r="AC81" s="261" t="e">
        <f t="shared" ca="1" si="59"/>
        <v>#VALUE!</v>
      </c>
      <c r="AD81" s="261" t="e">
        <f t="shared" ca="1" si="59"/>
        <v>#VALUE!</v>
      </c>
      <c r="AE81" s="261" t="e">
        <f t="shared" ca="1" si="59"/>
        <v>#VALUE!</v>
      </c>
      <c r="AF81" s="261" t="e">
        <f t="shared" ca="1" si="59"/>
        <v>#VALUE!</v>
      </c>
      <c r="AG81" s="261" t="e">
        <f t="shared" ref="AG81" ca="1" si="60">IF($D$12&gt;AG$4,"na",(INDEX(AG$32:AG$34,MATCH($B82,$C$32:$C$34,0))+AG31)/(AG37+AG38+AG39))</f>
        <v>#VALUE!</v>
      </c>
    </row>
    <row r="82" spans="2:33" s="106" customFormat="1" ht="15.15" hidden="1" outlineLevel="1">
      <c r="B82" s="197" t="s">
        <v>782</v>
      </c>
      <c r="C82" s="94" t="s">
        <v>765</v>
      </c>
      <c r="D82" s="306">
        <v>1.5</v>
      </c>
      <c r="E82" s="306">
        <v>1.5</v>
      </c>
      <c r="F82" s="306">
        <v>1.5</v>
      </c>
      <c r="G82" s="306">
        <v>1.5</v>
      </c>
      <c r="H82" s="306">
        <v>1.5</v>
      </c>
      <c r="I82" s="306">
        <v>1.5</v>
      </c>
      <c r="J82" s="306">
        <v>1.5</v>
      </c>
      <c r="K82" s="306">
        <v>1.5</v>
      </c>
      <c r="L82" s="306">
        <v>1.5</v>
      </c>
      <c r="M82" s="306">
        <v>1.5</v>
      </c>
      <c r="N82" s="306">
        <v>1.5</v>
      </c>
      <c r="O82" s="306">
        <v>1.5</v>
      </c>
      <c r="P82" s="306">
        <v>1.5</v>
      </c>
      <c r="Q82" s="306">
        <v>1.5</v>
      </c>
      <c r="R82" s="306">
        <v>1.5</v>
      </c>
      <c r="S82" s="306">
        <v>1.5</v>
      </c>
      <c r="T82" s="306">
        <v>1.5</v>
      </c>
      <c r="U82" s="306">
        <v>1.5</v>
      </c>
      <c r="V82" s="306">
        <v>1.5</v>
      </c>
      <c r="W82" s="306">
        <v>1.5</v>
      </c>
      <c r="X82" s="306">
        <v>1.5</v>
      </c>
      <c r="Y82" s="306">
        <v>1.5</v>
      </c>
      <c r="Z82" s="306">
        <v>1.5</v>
      </c>
      <c r="AA82" s="306">
        <v>1.5</v>
      </c>
      <c r="AB82" s="306">
        <v>1.5</v>
      </c>
      <c r="AC82" s="306">
        <v>1.5</v>
      </c>
      <c r="AD82" s="306">
        <v>1.5</v>
      </c>
      <c r="AE82" s="306">
        <v>1.5</v>
      </c>
      <c r="AF82" s="306">
        <v>1.5</v>
      </c>
      <c r="AG82" s="306">
        <v>1.5</v>
      </c>
    </row>
    <row r="83" spans="2:33" s="108" customFormat="1" ht="15.15" hidden="1" outlineLevel="1">
      <c r="B83" s="28"/>
      <c r="C83" s="183" t="s">
        <v>766</v>
      </c>
      <c r="D83" s="185" t="str">
        <f>IFERROR(D81/D82-1,"na")</f>
        <v>na</v>
      </c>
      <c r="E83" s="185" t="str">
        <f t="shared" ref="E83:AF83" si="61">IFERROR(E81/E82-1,"na")</f>
        <v>na</v>
      </c>
      <c r="F83" s="185" t="str">
        <f t="shared" si="61"/>
        <v>na</v>
      </c>
      <c r="G83" s="183" t="str">
        <f t="shared" ca="1" si="61"/>
        <v>na</v>
      </c>
      <c r="H83" s="183" t="str">
        <f t="shared" ca="1" si="61"/>
        <v>na</v>
      </c>
      <c r="I83" s="183" t="str">
        <f t="shared" ca="1" si="61"/>
        <v>na</v>
      </c>
      <c r="J83" s="183" t="str">
        <f t="shared" ca="1" si="61"/>
        <v>na</v>
      </c>
      <c r="K83" s="183" t="str">
        <f t="shared" ca="1" si="61"/>
        <v>na</v>
      </c>
      <c r="L83" s="183" t="str">
        <f t="shared" ca="1" si="61"/>
        <v>na</v>
      </c>
      <c r="M83" s="183" t="str">
        <f t="shared" ca="1" si="61"/>
        <v>na</v>
      </c>
      <c r="N83" s="183" t="str">
        <f t="shared" ca="1" si="61"/>
        <v>na</v>
      </c>
      <c r="O83" s="183" t="str">
        <f t="shared" ca="1" si="61"/>
        <v>na</v>
      </c>
      <c r="P83" s="183" t="str">
        <f t="shared" ca="1" si="61"/>
        <v>na</v>
      </c>
      <c r="Q83" s="183" t="str">
        <f t="shared" ca="1" si="61"/>
        <v>na</v>
      </c>
      <c r="R83" s="183" t="str">
        <f t="shared" ca="1" si="61"/>
        <v>na</v>
      </c>
      <c r="S83" s="183" t="str">
        <f t="shared" ca="1" si="61"/>
        <v>na</v>
      </c>
      <c r="T83" s="183" t="str">
        <f t="shared" ca="1" si="61"/>
        <v>na</v>
      </c>
      <c r="U83" s="183" t="str">
        <f t="shared" ca="1" si="61"/>
        <v>na</v>
      </c>
      <c r="V83" s="183" t="str">
        <f t="shared" ca="1" si="61"/>
        <v>na</v>
      </c>
      <c r="W83" s="183" t="str">
        <f t="shared" ca="1" si="61"/>
        <v>na</v>
      </c>
      <c r="X83" s="183" t="str">
        <f t="shared" ca="1" si="61"/>
        <v>na</v>
      </c>
      <c r="Y83" s="183" t="str">
        <f t="shared" ca="1" si="61"/>
        <v>na</v>
      </c>
      <c r="Z83" s="183" t="str">
        <f t="shared" ca="1" si="61"/>
        <v>na</v>
      </c>
      <c r="AA83" s="183" t="str">
        <f t="shared" ca="1" si="61"/>
        <v>na</v>
      </c>
      <c r="AB83" s="183" t="str">
        <f t="shared" ca="1" si="61"/>
        <v>na</v>
      </c>
      <c r="AC83" s="183" t="str">
        <f t="shared" ca="1" si="61"/>
        <v>na</v>
      </c>
      <c r="AD83" s="183" t="str">
        <f t="shared" ca="1" si="61"/>
        <v>na</v>
      </c>
      <c r="AE83" s="183" t="str">
        <f t="shared" ca="1" si="61"/>
        <v>na</v>
      </c>
      <c r="AF83" s="183" t="str">
        <f t="shared" ca="1" si="61"/>
        <v>na</v>
      </c>
      <c r="AG83" s="183" t="str">
        <f t="shared" ref="AG83" ca="1" si="62">IFERROR(AG81/AG82-1,"na")</f>
        <v>na</v>
      </c>
    </row>
    <row r="84" spans="2:33" s="28" customFormat="1" hidden="1" outlineLevel="1"/>
    <row r="85" spans="2:33" s="107" customFormat="1" ht="15.15" hidden="1" outlineLevel="1">
      <c r="B85" s="34"/>
      <c r="C85" s="180" t="s">
        <v>781</v>
      </c>
      <c r="D85" s="227" t="str">
        <f>IF($D$12&gt;D$4,"na",D35)</f>
        <v>na</v>
      </c>
      <c r="E85" s="227" t="str">
        <f t="shared" ref="E85:AF85" si="63">IF($D$12&gt;E$4,"na",E35)</f>
        <v>na</v>
      </c>
      <c r="F85" s="227" t="str">
        <f t="shared" si="63"/>
        <v>na</v>
      </c>
      <c r="G85" s="180">
        <f t="shared" ca="1" si="63"/>
        <v>0</v>
      </c>
      <c r="H85" s="180">
        <f t="shared" ca="1" si="63"/>
        <v>0</v>
      </c>
      <c r="I85" s="180">
        <f t="shared" ca="1" si="63"/>
        <v>0</v>
      </c>
      <c r="J85" s="180">
        <f t="shared" ca="1" si="63"/>
        <v>0</v>
      </c>
      <c r="K85" s="180">
        <f t="shared" ca="1" si="63"/>
        <v>0</v>
      </c>
      <c r="L85" s="180">
        <f t="shared" ca="1" si="63"/>
        <v>0</v>
      </c>
      <c r="M85" s="180">
        <f t="shared" ca="1" si="63"/>
        <v>0</v>
      </c>
      <c r="N85" s="180">
        <f t="shared" ca="1" si="63"/>
        <v>0</v>
      </c>
      <c r="O85" s="180">
        <f t="shared" ca="1" si="63"/>
        <v>0</v>
      </c>
      <c r="P85" s="180">
        <f t="shared" ca="1" si="63"/>
        <v>0</v>
      </c>
      <c r="Q85" s="180">
        <f t="shared" ca="1" si="63"/>
        <v>0</v>
      </c>
      <c r="R85" s="180">
        <f t="shared" ca="1" si="63"/>
        <v>0</v>
      </c>
      <c r="S85" s="180">
        <f t="shared" ca="1" si="63"/>
        <v>0</v>
      </c>
      <c r="T85" s="180">
        <f t="shared" ca="1" si="63"/>
        <v>0</v>
      </c>
      <c r="U85" s="180">
        <f t="shared" ca="1" si="63"/>
        <v>0</v>
      </c>
      <c r="V85" s="180">
        <f t="shared" ca="1" si="63"/>
        <v>0</v>
      </c>
      <c r="W85" s="180">
        <f t="shared" ca="1" si="63"/>
        <v>0</v>
      </c>
      <c r="X85" s="180">
        <f t="shared" ca="1" si="63"/>
        <v>0</v>
      </c>
      <c r="Y85" s="180">
        <f t="shared" ca="1" si="63"/>
        <v>0</v>
      </c>
      <c r="Z85" s="180">
        <f t="shared" ca="1" si="63"/>
        <v>0</v>
      </c>
      <c r="AA85" s="180">
        <f t="shared" ca="1" si="63"/>
        <v>0</v>
      </c>
      <c r="AB85" s="180" t="str">
        <f t="shared" ca="1" si="63"/>
        <v>na</v>
      </c>
      <c r="AC85" s="180" t="str">
        <f t="shared" ca="1" si="63"/>
        <v>na</v>
      </c>
      <c r="AD85" s="180" t="str">
        <f t="shared" ca="1" si="63"/>
        <v>na</v>
      </c>
      <c r="AE85" s="180" t="str">
        <f t="shared" ca="1" si="63"/>
        <v>na</v>
      </c>
      <c r="AF85" s="180" t="str">
        <f t="shared" ca="1" si="63"/>
        <v>na</v>
      </c>
      <c r="AG85" s="180" t="str">
        <f t="shared" ref="AG85" ca="1" si="64">IF($D$12&gt;AG$4,"na",AG35)</f>
        <v>na</v>
      </c>
    </row>
    <row r="86" spans="2:33" s="106" customFormat="1" ht="15.15" hidden="1" outlineLevel="1">
      <c r="B86" s="94"/>
      <c r="C86" s="28" t="s">
        <v>765</v>
      </c>
      <c r="D86" s="197">
        <v>7000000</v>
      </c>
      <c r="E86" s="197">
        <v>7000000</v>
      </c>
      <c r="F86" s="197">
        <v>7000000</v>
      </c>
      <c r="G86" s="197">
        <v>7000000</v>
      </c>
      <c r="H86" s="197">
        <v>7000000</v>
      </c>
      <c r="I86" s="197">
        <v>7000000</v>
      </c>
      <c r="J86" s="197">
        <v>7000000</v>
      </c>
      <c r="K86" s="197">
        <v>7000000</v>
      </c>
      <c r="L86" s="197">
        <v>7000000</v>
      </c>
      <c r="M86" s="197">
        <v>7000000</v>
      </c>
      <c r="N86" s="197">
        <v>7000000</v>
      </c>
      <c r="O86" s="197">
        <v>7000000</v>
      </c>
      <c r="P86" s="197">
        <v>7000000</v>
      </c>
      <c r="Q86" s="197">
        <v>7000000</v>
      </c>
      <c r="R86" s="197">
        <v>7000000</v>
      </c>
      <c r="S86" s="197">
        <v>7000000</v>
      </c>
      <c r="T86" s="197">
        <v>7000000</v>
      </c>
      <c r="U86" s="197">
        <v>7000000</v>
      </c>
      <c r="V86" s="197">
        <v>7000000</v>
      </c>
      <c r="W86" s="197">
        <v>7000000</v>
      </c>
      <c r="X86" s="197">
        <v>7000000</v>
      </c>
      <c r="Y86" s="197">
        <v>7000000</v>
      </c>
      <c r="Z86" s="197">
        <v>7000000</v>
      </c>
      <c r="AA86" s="197">
        <v>7000000</v>
      </c>
      <c r="AB86" s="197">
        <v>7000000</v>
      </c>
      <c r="AC86" s="197">
        <v>7000000</v>
      </c>
      <c r="AD86" s="197">
        <v>7000000</v>
      </c>
      <c r="AE86" s="197">
        <v>7000000</v>
      </c>
      <c r="AF86" s="197">
        <v>7000000</v>
      </c>
      <c r="AG86" s="197">
        <v>7000000</v>
      </c>
    </row>
    <row r="87" spans="2:33" s="183" customFormat="1" hidden="1" outlineLevel="1">
      <c r="C87" s="183" t="s">
        <v>766</v>
      </c>
      <c r="D87" s="185" t="str">
        <f t="shared" ref="D87:AF87" si="65">IFERROR(D86/D85-1,"na")</f>
        <v>na</v>
      </c>
      <c r="E87" s="185" t="str">
        <f t="shared" si="65"/>
        <v>na</v>
      </c>
      <c r="F87" s="185" t="str">
        <f t="shared" si="65"/>
        <v>na</v>
      </c>
      <c r="G87" s="183" t="str">
        <f t="shared" ca="1" si="65"/>
        <v>na</v>
      </c>
      <c r="H87" s="183" t="str">
        <f t="shared" ca="1" si="65"/>
        <v>na</v>
      </c>
      <c r="I87" s="183" t="str">
        <f t="shared" ca="1" si="65"/>
        <v>na</v>
      </c>
      <c r="J87" s="183" t="str">
        <f t="shared" ca="1" si="65"/>
        <v>na</v>
      </c>
      <c r="K87" s="183" t="str">
        <f t="shared" ca="1" si="65"/>
        <v>na</v>
      </c>
      <c r="L87" s="183" t="str">
        <f t="shared" ca="1" si="65"/>
        <v>na</v>
      </c>
      <c r="M87" s="183" t="str">
        <f t="shared" ca="1" si="65"/>
        <v>na</v>
      </c>
      <c r="N87" s="183" t="str">
        <f t="shared" ca="1" si="65"/>
        <v>na</v>
      </c>
      <c r="O87" s="183" t="str">
        <f t="shared" ca="1" si="65"/>
        <v>na</v>
      </c>
      <c r="P87" s="183" t="str">
        <f t="shared" ca="1" si="65"/>
        <v>na</v>
      </c>
      <c r="Q87" s="183" t="str">
        <f t="shared" ca="1" si="65"/>
        <v>na</v>
      </c>
      <c r="R87" s="183" t="str">
        <f t="shared" ca="1" si="65"/>
        <v>na</v>
      </c>
      <c r="S87" s="183" t="str">
        <f t="shared" ca="1" si="65"/>
        <v>na</v>
      </c>
      <c r="T87" s="183" t="str">
        <f t="shared" ca="1" si="65"/>
        <v>na</v>
      </c>
      <c r="U87" s="183" t="str">
        <f t="shared" ca="1" si="65"/>
        <v>na</v>
      </c>
      <c r="V87" s="183" t="str">
        <f t="shared" ca="1" si="65"/>
        <v>na</v>
      </c>
      <c r="W87" s="183" t="str">
        <f t="shared" ca="1" si="65"/>
        <v>na</v>
      </c>
      <c r="X87" s="183" t="str">
        <f t="shared" ca="1" si="65"/>
        <v>na</v>
      </c>
      <c r="Y87" s="183" t="str">
        <f t="shared" ca="1" si="65"/>
        <v>na</v>
      </c>
      <c r="Z87" s="183" t="str">
        <f t="shared" ca="1" si="65"/>
        <v>na</v>
      </c>
      <c r="AA87" s="183" t="str">
        <f t="shared" ca="1" si="65"/>
        <v>na</v>
      </c>
      <c r="AB87" s="183" t="str">
        <f t="shared" ca="1" si="65"/>
        <v>na</v>
      </c>
      <c r="AC87" s="183" t="str">
        <f t="shared" ca="1" si="65"/>
        <v>na</v>
      </c>
      <c r="AD87" s="183" t="str">
        <f t="shared" ca="1" si="65"/>
        <v>na</v>
      </c>
      <c r="AE87" s="183" t="str">
        <f t="shared" ca="1" si="65"/>
        <v>na</v>
      </c>
      <c r="AF87" s="183" t="str">
        <f t="shared" ca="1" si="65"/>
        <v>na</v>
      </c>
      <c r="AG87" s="183" t="str">
        <f t="shared" ref="AG87" ca="1" si="66">IFERROR(AG86/AG85-1,"na")</f>
        <v>na</v>
      </c>
    </row>
    <row r="88" spans="2:33" ht="14.4" collapsed="1">
      <c r="B88" s="1"/>
    </row>
  </sheetData>
  <phoneticPr fontId="52" type="noConversion"/>
  <conditionalFormatting sqref="D5:AF6">
    <cfRule type="cellIs" dxfId="18" priority="8" operator="equal">
      <formula>TRUE</formula>
    </cfRule>
  </conditionalFormatting>
  <conditionalFormatting sqref="D45:AF45 D87:AF87 D49:AF49 D54:AF54 D58:AF58 D63:AF63 D67:AF67 D71:AF71 D75:AF75 D79:AF79 D83:AF83">
    <cfRule type="cellIs" dxfId="17" priority="7" operator="lessThan">
      <formula>0</formula>
    </cfRule>
  </conditionalFormatting>
  <conditionalFormatting sqref="D5:AF6">
    <cfRule type="cellIs" dxfId="16" priority="6" operator="equal">
      <formula>TRUE</formula>
    </cfRule>
  </conditionalFormatting>
  <conditionalFormatting sqref="D5:AF6">
    <cfRule type="cellIs" dxfId="15" priority="5" operator="equal">
      <formula>TRUE</formula>
    </cfRule>
  </conditionalFormatting>
  <conditionalFormatting sqref="AG5:AG6">
    <cfRule type="cellIs" dxfId="14" priority="4" operator="equal">
      <formula>TRUE</formula>
    </cfRule>
  </conditionalFormatting>
  <conditionalFormatting sqref="AG45 AG87 AG49 AG54 AG58 AG63 AG67 AG71 AG75 AG79 AG83">
    <cfRule type="cellIs" dxfId="13" priority="3" operator="lessThan">
      <formula>0</formula>
    </cfRule>
  </conditionalFormatting>
  <conditionalFormatting sqref="AG5:AG6">
    <cfRule type="cellIs" dxfId="12" priority="2" operator="equal">
      <formula>TRUE</formula>
    </cfRule>
  </conditionalFormatting>
  <conditionalFormatting sqref="AG5:AG6">
    <cfRule type="cellIs" dxfId="11" priority="1" operator="equal">
      <formula>TRUE</formula>
    </cfRule>
  </conditionalFormatting>
  <dataValidations count="2">
    <dataValidation type="list" allowBlank="1" showInputMessage="1" showErrorMessage="1" sqref="B44 B82 B70 B78 B74 B66 B62 B57 B53 B48">
      <formula1>$C$32:$C$34</formula1>
    </dataValidation>
    <dataValidation type="list" allowBlank="1" showInputMessage="1" showErrorMessage="1" sqref="B86">
      <formula1>$C$21:$C$23</formula1>
    </dataValidation>
  </dataValidation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0705" r:id="rId3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374904</xdr:colOff>
                    <xdr:row>3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06" r:id="rId4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374904</xdr:colOff>
                    <xdr:row>3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tabColor theme="0"/>
  </sheetPr>
  <dimension ref="A1:AG107"/>
  <sheetViews>
    <sheetView zoomScale="90" zoomScaleNormal="90" workbookViewId="0">
      <pane xSplit="3" ySplit="8" topLeftCell="D84" activePane="bottomRight" state="frozen"/>
      <selection activeCell="E19" sqref="E19"/>
      <selection pane="topRight" activeCell="E19" sqref="E19"/>
      <selection pane="bottomLeft" activeCell="E19" sqref="E19"/>
      <selection pane="bottomRight" activeCell="E19" sqref="E19"/>
    </sheetView>
  </sheetViews>
  <sheetFormatPr defaultColWidth="9.140625" defaultRowHeight="14.4"/>
  <cols>
    <col min="1" max="1" width="3.5703125" style="1" customWidth="1"/>
    <col min="2" max="2" width="3.28515625" style="1" customWidth="1"/>
    <col min="3" max="3" width="36.85546875" style="1" customWidth="1"/>
    <col min="4" max="7" width="17.28515625" style="1" customWidth="1"/>
    <col min="8" max="8" width="17.140625" style="1" customWidth="1"/>
    <col min="9" max="9" width="16.85546875" style="1" customWidth="1"/>
    <col min="10" max="10" width="17.140625" style="1" customWidth="1"/>
    <col min="11" max="11" width="13.42578125" style="1" customWidth="1"/>
    <col min="12" max="12" width="17.5703125" style="1" customWidth="1"/>
    <col min="13" max="16" width="16.85546875" style="1" customWidth="1"/>
    <col min="17" max="27" width="15.140625" style="1" customWidth="1"/>
    <col min="28" max="28" width="15.85546875" style="1" customWidth="1"/>
    <col min="29" max="29" width="13.85546875" style="1" customWidth="1"/>
    <col min="30" max="33" width="14.7109375" style="1" bestFit="1" customWidth="1"/>
    <col min="34" max="35" width="10.42578125" style="1" bestFit="1" customWidth="1"/>
    <col min="36" max="36" width="11.5703125" style="1" bestFit="1" customWidth="1"/>
    <col min="37" max="16384" width="9.140625" style="1"/>
  </cols>
  <sheetData>
    <row r="1" spans="3:33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33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1556</v>
      </c>
      <c r="M2" s="209">
        <f>IF(stub_quarter=4,1,stub_quarter+1)</f>
        <v>1</v>
      </c>
    </row>
    <row r="3" spans="3:33" ht="14.6" customHeight="1"/>
    <row r="4" spans="3:33" s="34" customFormat="1" ht="14.6" customHeight="1">
      <c r="C4" s="307" t="s">
        <v>719</v>
      </c>
      <c r="D4" s="307">
        <f>EOMONTH('Control Panel'!B11-1,3)</f>
        <v>43555</v>
      </c>
      <c r="E4" s="307">
        <f>EOMONTH(D4,3)</f>
        <v>43646</v>
      </c>
      <c r="F4" s="307">
        <f t="shared" ref="F4:AG4" si="0">EOMONTH(E4,3)</f>
        <v>43738</v>
      </c>
      <c r="G4" s="307">
        <f t="shared" si="0"/>
        <v>43830</v>
      </c>
      <c r="H4" s="307">
        <f t="shared" si="0"/>
        <v>43921</v>
      </c>
      <c r="I4" s="307">
        <f t="shared" si="0"/>
        <v>44012</v>
      </c>
      <c r="J4" s="307">
        <f t="shared" si="0"/>
        <v>44104</v>
      </c>
      <c r="K4" s="307">
        <f t="shared" si="0"/>
        <v>44196</v>
      </c>
      <c r="L4" s="307">
        <f t="shared" si="0"/>
        <v>44286</v>
      </c>
      <c r="M4" s="307">
        <f t="shared" si="0"/>
        <v>44377</v>
      </c>
      <c r="N4" s="307">
        <f t="shared" si="0"/>
        <v>44469</v>
      </c>
      <c r="O4" s="307">
        <f t="shared" si="0"/>
        <v>44561</v>
      </c>
      <c r="P4" s="307">
        <f t="shared" si="0"/>
        <v>44651</v>
      </c>
      <c r="Q4" s="307">
        <f t="shared" si="0"/>
        <v>44742</v>
      </c>
      <c r="R4" s="307">
        <f t="shared" si="0"/>
        <v>44834</v>
      </c>
      <c r="S4" s="307">
        <f t="shared" si="0"/>
        <v>44926</v>
      </c>
      <c r="T4" s="307">
        <f t="shared" si="0"/>
        <v>45016</v>
      </c>
      <c r="U4" s="307">
        <f t="shared" si="0"/>
        <v>45107</v>
      </c>
      <c r="V4" s="307">
        <f t="shared" si="0"/>
        <v>45199</v>
      </c>
      <c r="W4" s="307">
        <f t="shared" si="0"/>
        <v>45291</v>
      </c>
      <c r="X4" s="307">
        <f t="shared" si="0"/>
        <v>45382</v>
      </c>
      <c r="Y4" s="307">
        <f t="shared" si="0"/>
        <v>45473</v>
      </c>
      <c r="Z4" s="307">
        <f t="shared" si="0"/>
        <v>45565</v>
      </c>
      <c r="AA4" s="307">
        <f t="shared" si="0"/>
        <v>45657</v>
      </c>
      <c r="AB4" s="307">
        <f t="shared" si="0"/>
        <v>45747</v>
      </c>
      <c r="AC4" s="307">
        <f t="shared" si="0"/>
        <v>45838</v>
      </c>
      <c r="AD4" s="307">
        <f t="shared" si="0"/>
        <v>45930</v>
      </c>
      <c r="AE4" s="307">
        <f t="shared" si="0"/>
        <v>46022</v>
      </c>
      <c r="AF4" s="307">
        <f t="shared" si="0"/>
        <v>46112</v>
      </c>
      <c r="AG4" s="307">
        <f t="shared" si="0"/>
        <v>46203</v>
      </c>
    </row>
    <row r="5" spans="3:33" s="28" customFormat="1" ht="14.6" customHeight="1">
      <c r="C5" s="28" t="s">
        <v>694</v>
      </c>
      <c r="D5" s="28" t="b">
        <f>D4&lt;=DATE('Control Panel'!$B$13,'Control Panel'!$B$6,'Control Panel'!$B$7)</f>
        <v>1</v>
      </c>
      <c r="E5" s="28" t="b">
        <f>E4&lt;=DATE('Control Panel'!$B$13,'Control Panel'!$B$6,'Control Panel'!$B$7)</f>
        <v>1</v>
      </c>
      <c r="F5" s="28" t="b">
        <f>F4&lt;=DATE('Control Panel'!$B$13,'Control Panel'!$B$6,'Control Panel'!$B$7)</f>
        <v>1</v>
      </c>
      <c r="G5" s="28" t="b">
        <f>G4&lt;=DATE('Control Panel'!$B$13,'Control Panel'!$B$6,'Control Panel'!$B$7)</f>
        <v>1</v>
      </c>
      <c r="H5" s="28" t="b">
        <f>H4&lt;=DATE('Control Panel'!$B$13,'Control Panel'!$B$6,'Control Panel'!$B$7)</f>
        <v>1</v>
      </c>
      <c r="I5" s="28" t="b">
        <f>I4&lt;=DATE('Control Panel'!$B$13,'Control Panel'!$B$6,'Control Panel'!$B$7)</f>
        <v>1</v>
      </c>
      <c r="J5" s="28" t="b">
        <f>J4&lt;=DATE('Control Panel'!$B$13,'Control Panel'!$B$6,'Control Panel'!$B$7)</f>
        <v>1</v>
      </c>
      <c r="K5" s="28" t="b">
        <f>K4&lt;=DATE('Control Panel'!$B$13,'Control Panel'!$B$6,'Control Panel'!$B$7)</f>
        <v>1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0</v>
      </c>
      <c r="AC5" s="28" t="b">
        <f>AC4&lt;=DATE('Control Panel'!$B$13,'Control Panel'!$B$6,'Control Panel'!$B$7)</f>
        <v>0</v>
      </c>
      <c r="AD5" s="28" t="b">
        <f>AD4&lt;=DATE('Control Panel'!$B$13,'Control Panel'!$B$6,'Control Panel'!$B$7)</f>
        <v>0</v>
      </c>
      <c r="AE5" s="28" t="b">
        <f>AE4&lt;=DATE('Control Panel'!$B$13,'Control Panel'!$B$6,'Control Panel'!$B$7)</f>
        <v>0</v>
      </c>
      <c r="AF5" s="28" t="b">
        <f>AF4&lt;=DATE('Control Panel'!$B$13,'Control Panel'!$B$6,'Control Panel'!$B$7)</f>
        <v>0</v>
      </c>
      <c r="AG5" s="28" t="b">
        <f>AG4&lt;=DATE('Control Panel'!$B$13,'Control Panel'!$B$6,'Control Panel'!$B$7)</f>
        <v>0</v>
      </c>
    </row>
    <row r="6" spans="3:33" s="28" customFormat="1" ht="14.6" customHeight="1">
      <c r="C6" s="28" t="s">
        <v>720</v>
      </c>
      <c r="D6" s="28" t="b">
        <f>D4&lt;=DATE(YEAR('Control Panel'!$B$9),'Control Panel'!$B$6,'Control Panel'!$B$7)*stub_switch</f>
        <v>0</v>
      </c>
      <c r="E6" s="28" t="b">
        <f>E4&lt;=DATE(YEAR('Control Panel'!$B$9),'Control Panel'!$B$6,'Control Panel'!$B$7)*stub_switch</f>
        <v>0</v>
      </c>
      <c r="F6" s="28" t="b">
        <f>F4&lt;=DATE(YEAR('Control Panel'!$B$9),'Control Panel'!$B$6,'Control Panel'!$B$7)*stub_switch</f>
        <v>0</v>
      </c>
      <c r="G6" s="28" t="b">
        <f>G4&lt;=DATE(YEAR('Control Panel'!$B$9),'Control Panel'!$B$6,'Control Panel'!$B$7)*stub_switch</f>
        <v>0</v>
      </c>
      <c r="H6" s="28" t="b">
        <f>H4&lt;=DATE(YEAR('Control Panel'!$B$9),'Control Panel'!$B$6,'Control Panel'!$B$7)*stub_switch</f>
        <v>0</v>
      </c>
      <c r="I6" s="28" t="b">
        <f>I4&lt;=DATE(YEAR('Control Panel'!$B$9),'Control Panel'!$B$6,'Control Panel'!$B$7)*stub_switch</f>
        <v>0</v>
      </c>
      <c r="J6" s="28" t="b">
        <f>J4&lt;=DATE(YEAR('Control Panel'!$B$9),'Control Panel'!$B$6,'Control Panel'!$B$7)*stub_switch</f>
        <v>0</v>
      </c>
      <c r="K6" s="28" t="b">
        <f>K4&lt;=DATE(YEAR('Control Panel'!$B$9),'Control Panel'!$B$6,'Control Panel'!$B$7)*stub_switch</f>
        <v>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</row>
    <row r="7" spans="3:33" ht="14.6" customHeight="1">
      <c r="C7" s="209"/>
      <c r="D7" s="413">
        <f>YEAR(D4)</f>
        <v>2019</v>
      </c>
      <c r="E7" s="413">
        <f t="shared" ref="E7:AF7" si="1">YEAR(E4)</f>
        <v>2019</v>
      </c>
      <c r="F7" s="413">
        <f t="shared" si="1"/>
        <v>2019</v>
      </c>
      <c r="G7" s="413">
        <f t="shared" si="1"/>
        <v>2019</v>
      </c>
      <c r="H7" s="413">
        <f t="shared" si="1"/>
        <v>2020</v>
      </c>
      <c r="I7" s="413">
        <f t="shared" si="1"/>
        <v>2020</v>
      </c>
      <c r="J7" s="413">
        <f t="shared" si="1"/>
        <v>2020</v>
      </c>
      <c r="K7" s="413">
        <f t="shared" si="1"/>
        <v>2020</v>
      </c>
      <c r="L7" s="413">
        <f t="shared" si="1"/>
        <v>2021</v>
      </c>
      <c r="M7" s="413">
        <f t="shared" si="1"/>
        <v>2021</v>
      </c>
      <c r="N7" s="413">
        <f t="shared" si="1"/>
        <v>2021</v>
      </c>
      <c r="O7" s="413">
        <f t="shared" si="1"/>
        <v>2021</v>
      </c>
      <c r="P7" s="413">
        <f t="shared" si="1"/>
        <v>2022</v>
      </c>
      <c r="Q7" s="413">
        <f t="shared" si="1"/>
        <v>2022</v>
      </c>
      <c r="R7" s="413">
        <f t="shared" si="1"/>
        <v>2022</v>
      </c>
      <c r="S7" s="413">
        <f t="shared" si="1"/>
        <v>2022</v>
      </c>
      <c r="T7" s="413">
        <f t="shared" si="1"/>
        <v>2023</v>
      </c>
      <c r="U7" s="413">
        <f t="shared" si="1"/>
        <v>2023</v>
      </c>
      <c r="V7" s="413">
        <f t="shared" si="1"/>
        <v>2023</v>
      </c>
      <c r="W7" s="413">
        <f t="shared" si="1"/>
        <v>2023</v>
      </c>
      <c r="X7" s="413">
        <f t="shared" si="1"/>
        <v>2024</v>
      </c>
      <c r="Y7" s="413">
        <f t="shared" si="1"/>
        <v>2024</v>
      </c>
      <c r="Z7" s="413">
        <f t="shared" si="1"/>
        <v>2024</v>
      </c>
      <c r="AA7" s="413">
        <f t="shared" si="1"/>
        <v>2024</v>
      </c>
      <c r="AB7" s="413">
        <f t="shared" si="1"/>
        <v>2025</v>
      </c>
      <c r="AC7" s="413">
        <f t="shared" si="1"/>
        <v>2025</v>
      </c>
      <c r="AD7" s="413">
        <f t="shared" si="1"/>
        <v>2025</v>
      </c>
      <c r="AE7" s="413">
        <f t="shared" si="1"/>
        <v>2025</v>
      </c>
      <c r="AF7" s="413">
        <f t="shared" si="1"/>
        <v>2026</v>
      </c>
      <c r="AG7" s="413">
        <f t="shared" ref="AG7" si="2">YEAR(AG4)</f>
        <v>2026</v>
      </c>
    </row>
    <row r="8" spans="3:33" ht="14.6" customHeight="1">
      <c r="C8" s="209"/>
      <c r="D8" s="309">
        <f>'Operating quarterly onshore'!L8</f>
        <v>1</v>
      </c>
      <c r="E8" s="309">
        <f>IF(D8=4,1,D8+1)</f>
        <v>2</v>
      </c>
      <c r="F8" s="309">
        <f>IF(E8=4,1,E8+1)</f>
        <v>3</v>
      </c>
      <c r="G8" s="309">
        <f>IF(F8=4,1,F8+1)</f>
        <v>4</v>
      </c>
      <c r="H8" s="309">
        <f>IF(G8=4,1,G8+1)</f>
        <v>1</v>
      </c>
      <c r="I8" s="309">
        <f t="shared" ref="I8:AG8" si="3">IF(H8=4,1,H8+1)</f>
        <v>2</v>
      </c>
      <c r="J8" s="309">
        <f t="shared" si="3"/>
        <v>3</v>
      </c>
      <c r="K8" s="309">
        <f t="shared" si="3"/>
        <v>4</v>
      </c>
      <c r="L8" s="309">
        <f t="shared" si="3"/>
        <v>1</v>
      </c>
      <c r="M8" s="309">
        <f t="shared" si="3"/>
        <v>2</v>
      </c>
      <c r="N8" s="309">
        <f t="shared" si="3"/>
        <v>3</v>
      </c>
      <c r="O8" s="309">
        <f t="shared" si="3"/>
        <v>4</v>
      </c>
      <c r="P8" s="309">
        <f t="shared" si="3"/>
        <v>1</v>
      </c>
      <c r="Q8" s="309">
        <f t="shared" si="3"/>
        <v>2</v>
      </c>
      <c r="R8" s="309">
        <f t="shared" si="3"/>
        <v>3</v>
      </c>
      <c r="S8" s="309">
        <f t="shared" si="3"/>
        <v>4</v>
      </c>
      <c r="T8" s="309">
        <f t="shared" si="3"/>
        <v>1</v>
      </c>
      <c r="U8" s="309">
        <f t="shared" si="3"/>
        <v>2</v>
      </c>
      <c r="V8" s="309">
        <f t="shared" si="3"/>
        <v>3</v>
      </c>
      <c r="W8" s="309">
        <f t="shared" si="3"/>
        <v>4</v>
      </c>
      <c r="X8" s="309">
        <f t="shared" si="3"/>
        <v>1</v>
      </c>
      <c r="Y8" s="309">
        <f t="shared" si="3"/>
        <v>2</v>
      </c>
      <c r="Z8" s="309">
        <f t="shared" si="3"/>
        <v>3</v>
      </c>
      <c r="AA8" s="309">
        <f t="shared" si="3"/>
        <v>4</v>
      </c>
      <c r="AB8" s="309">
        <f t="shared" si="3"/>
        <v>1</v>
      </c>
      <c r="AC8" s="309">
        <f t="shared" si="3"/>
        <v>2</v>
      </c>
      <c r="AD8" s="309">
        <f t="shared" si="3"/>
        <v>3</v>
      </c>
      <c r="AE8" s="309">
        <f t="shared" si="3"/>
        <v>4</v>
      </c>
      <c r="AF8" s="309">
        <f t="shared" si="3"/>
        <v>1</v>
      </c>
      <c r="AG8" s="309">
        <f t="shared" si="3"/>
        <v>2</v>
      </c>
    </row>
    <row r="9" spans="3:33">
      <c r="C9" s="180" t="s">
        <v>723</v>
      </c>
      <c r="D9" s="180">
        <f ca="1">'Operating quarterly onshore'!L30</f>
        <v>0</v>
      </c>
      <c r="E9" s="180">
        <f ca="1">'Operating quarterly onshore'!M30</f>
        <v>0</v>
      </c>
      <c r="F9" s="180">
        <f ca="1">'Operating quarterly onshore'!N30</f>
        <v>0</v>
      </c>
      <c r="G9" s="180">
        <f ca="1">'Operating quarterly onshore'!O30</f>
        <v>0</v>
      </c>
      <c r="H9" s="180">
        <f ca="1">'Operating quarterly onshore'!P30</f>
        <v>0</v>
      </c>
      <c r="I9" s="180">
        <f ca="1">'Operating quarterly onshore'!Q30</f>
        <v>0</v>
      </c>
      <c r="J9" s="180">
        <f ca="1">'Operating quarterly onshore'!R30</f>
        <v>0</v>
      </c>
      <c r="K9" s="180">
        <f ca="1">'Operating quarterly onshore'!S30</f>
        <v>0</v>
      </c>
      <c r="L9" s="180">
        <f ca="1">'Operating quarterly onshore'!T30</f>
        <v>0</v>
      </c>
      <c r="M9" s="180">
        <f ca="1">'Operating quarterly onshore'!U30</f>
        <v>0</v>
      </c>
      <c r="N9" s="180">
        <f ca="1">'Operating quarterly onshore'!V30</f>
        <v>0</v>
      </c>
      <c r="O9" s="180">
        <f ca="1">'Operating quarterly onshore'!W30</f>
        <v>0</v>
      </c>
      <c r="P9" s="180">
        <f ca="1">'Operating quarterly onshore'!X30</f>
        <v>0</v>
      </c>
      <c r="Q9" s="180">
        <f ca="1">'Operating quarterly onshore'!Y30</f>
        <v>0</v>
      </c>
      <c r="R9" s="180">
        <f ca="1">'Operating quarterly onshore'!Z30</f>
        <v>0</v>
      </c>
      <c r="S9" s="180">
        <f ca="1">'Operating quarterly onshore'!AA30</f>
        <v>0</v>
      </c>
      <c r="T9" s="180">
        <f ca="1">'Operating quarterly onshore'!AB30</f>
        <v>0</v>
      </c>
      <c r="U9" s="180">
        <f ca="1">'Operating quarterly onshore'!AC30</f>
        <v>0</v>
      </c>
      <c r="V9" s="180">
        <f ca="1">'Operating quarterly onshore'!AD30</f>
        <v>0</v>
      </c>
      <c r="W9" s="180">
        <f ca="1">'Operating quarterly onshore'!AE30</f>
        <v>0</v>
      </c>
      <c r="X9" s="180">
        <f ca="1">'Operating quarterly onshore'!AF30</f>
        <v>0</v>
      </c>
      <c r="Y9" s="180">
        <f ca="1">'Operating quarterly onshore'!AG30</f>
        <v>0</v>
      </c>
      <c r="Z9" s="180">
        <f ca="1">'Operating quarterly onshore'!AH30</f>
        <v>0</v>
      </c>
      <c r="AA9" s="180">
        <f ca="1">'Operating quarterly onshore'!AI30</f>
        <v>0</v>
      </c>
      <c r="AB9" s="180" t="e">
        <f>'Operating quarterly onshore'!AJ30</f>
        <v>#N/A</v>
      </c>
      <c r="AC9" s="180" t="e">
        <f>'Operating quarterly onshore'!AK30</f>
        <v>#N/A</v>
      </c>
      <c r="AD9" s="180" t="e">
        <f>'Operating quarterly onshore'!AL30</f>
        <v>#N/A</v>
      </c>
      <c r="AE9" s="180" t="e">
        <f>'Operating quarterly onshore'!AM30</f>
        <v>#N/A</v>
      </c>
      <c r="AF9" s="180" t="e">
        <f>'Operating quarterly onshore'!AN30</f>
        <v>#N/A</v>
      </c>
      <c r="AG9" s="180" t="e">
        <f>'Operating quarterly onshore'!AO30</f>
        <v>#N/A</v>
      </c>
    </row>
    <row r="10" spans="3:33">
      <c r="C10" s="291" t="s">
        <v>724</v>
      </c>
      <c r="D10" s="291">
        <f>'Acquisition BS adjustments'!E94-D19-D32-D45-D60-D78</f>
        <v>0</v>
      </c>
      <c r="E10" s="291">
        <f ca="1">D95</f>
        <v>0</v>
      </c>
      <c r="F10" s="291">
        <f t="shared" ref="F10:AG10" ca="1" si="4">E95</f>
        <v>0</v>
      </c>
      <c r="G10" s="291">
        <f t="shared" ca="1" si="4"/>
        <v>0</v>
      </c>
      <c r="H10" s="291">
        <f t="shared" ca="1" si="4"/>
        <v>0</v>
      </c>
      <c r="I10" s="291">
        <f t="shared" ca="1" si="4"/>
        <v>0</v>
      </c>
      <c r="J10" s="291">
        <f t="shared" ca="1" si="4"/>
        <v>0</v>
      </c>
      <c r="K10" s="291">
        <f t="shared" ca="1" si="4"/>
        <v>0</v>
      </c>
      <c r="L10" s="291">
        <f t="shared" ca="1" si="4"/>
        <v>0</v>
      </c>
      <c r="M10" s="291">
        <f t="shared" ca="1" si="4"/>
        <v>0</v>
      </c>
      <c r="N10" s="291">
        <f t="shared" ca="1" si="4"/>
        <v>0</v>
      </c>
      <c r="O10" s="291">
        <f t="shared" ca="1" si="4"/>
        <v>0</v>
      </c>
      <c r="P10" s="291">
        <f t="shared" ca="1" si="4"/>
        <v>0</v>
      </c>
      <c r="Q10" s="291">
        <f t="shared" ca="1" si="4"/>
        <v>0</v>
      </c>
      <c r="R10" s="291">
        <f t="shared" ca="1" si="4"/>
        <v>0</v>
      </c>
      <c r="S10" s="291">
        <f t="shared" ca="1" si="4"/>
        <v>0</v>
      </c>
      <c r="T10" s="291">
        <f t="shared" ca="1" si="4"/>
        <v>0</v>
      </c>
      <c r="U10" s="291">
        <f t="shared" ca="1" si="4"/>
        <v>0</v>
      </c>
      <c r="V10" s="291">
        <f t="shared" ca="1" si="4"/>
        <v>0</v>
      </c>
      <c r="W10" s="291">
        <f t="shared" ca="1" si="4"/>
        <v>0</v>
      </c>
      <c r="X10" s="291">
        <f t="shared" ca="1" si="4"/>
        <v>0</v>
      </c>
      <c r="Y10" s="291">
        <f t="shared" ca="1" si="4"/>
        <v>0</v>
      </c>
      <c r="Z10" s="291">
        <f t="shared" ca="1" si="4"/>
        <v>0</v>
      </c>
      <c r="AA10" s="291">
        <f t="shared" ca="1" si="4"/>
        <v>0</v>
      </c>
      <c r="AB10" s="291">
        <f t="shared" ca="1" si="4"/>
        <v>0</v>
      </c>
      <c r="AC10" s="291" t="e">
        <f t="shared" ca="1" si="4"/>
        <v>#N/A</v>
      </c>
      <c r="AD10" s="291" t="e">
        <f t="shared" ca="1" si="4"/>
        <v>#N/A</v>
      </c>
      <c r="AE10" s="291" t="e">
        <f t="shared" ca="1" si="4"/>
        <v>#N/A</v>
      </c>
      <c r="AF10" s="291" t="e">
        <f t="shared" ca="1" si="4"/>
        <v>#N/A</v>
      </c>
      <c r="AG10" s="291" t="e">
        <f t="shared" ca="1" si="4"/>
        <v>#N/A</v>
      </c>
    </row>
    <row r="11" spans="3:33">
      <c r="C11" s="386" t="s">
        <v>1489</v>
      </c>
      <c r="D11" s="291">
        <f>-'Financing assumptions onshore'!$F$67*1000</f>
        <v>-20000000</v>
      </c>
      <c r="E11" s="291">
        <f>-'Financing assumptions onshore'!$F$67*1000</f>
        <v>-20000000</v>
      </c>
      <c r="F11" s="291">
        <f>-'Financing assumptions onshore'!$F$67*1000</f>
        <v>-20000000</v>
      </c>
      <c r="G11" s="291">
        <f>-'Financing assumptions onshore'!$F$67*1000</f>
        <v>-20000000</v>
      </c>
      <c r="H11" s="291">
        <f>-'Financing assumptions onshore'!$F$67*1000</f>
        <v>-20000000</v>
      </c>
      <c r="I11" s="291">
        <f>-'Financing assumptions onshore'!$F$67*1000</f>
        <v>-20000000</v>
      </c>
      <c r="J11" s="291">
        <f>-'Financing assumptions onshore'!$F$67*1000</f>
        <v>-20000000</v>
      </c>
      <c r="K11" s="291">
        <f>-'Financing assumptions onshore'!$F$67*1000</f>
        <v>-20000000</v>
      </c>
      <c r="L11" s="291">
        <f>-'Financing assumptions onshore'!$F$67*1000</f>
        <v>-20000000</v>
      </c>
      <c r="M11" s="291">
        <f>-'Financing assumptions onshore'!$F$67*1000</f>
        <v>-20000000</v>
      </c>
      <c r="N11" s="291">
        <f>-'Financing assumptions onshore'!$F$67*1000</f>
        <v>-20000000</v>
      </c>
      <c r="O11" s="291">
        <f>-'Financing assumptions onshore'!$F$67*1000</f>
        <v>-20000000</v>
      </c>
      <c r="P11" s="291">
        <f>-'Financing assumptions onshore'!$F$67*1000</f>
        <v>-20000000</v>
      </c>
      <c r="Q11" s="291">
        <f>-'Financing assumptions onshore'!$F$67*1000</f>
        <v>-20000000</v>
      </c>
      <c r="R11" s="291">
        <f>-'Financing assumptions onshore'!$F$67*1000</f>
        <v>-20000000</v>
      </c>
      <c r="S11" s="291">
        <f>-'Financing assumptions onshore'!$F$67*1000</f>
        <v>-20000000</v>
      </c>
      <c r="T11" s="291">
        <f>-'Financing assumptions onshore'!$F$67*1000</f>
        <v>-20000000</v>
      </c>
      <c r="U11" s="291">
        <f>-'Financing assumptions onshore'!$F$67*1000</f>
        <v>-20000000</v>
      </c>
      <c r="V11" s="291">
        <f>-'Financing assumptions onshore'!$F$67*1000</f>
        <v>-20000000</v>
      </c>
      <c r="W11" s="291">
        <f>-'Financing assumptions onshore'!$F$67*1000</f>
        <v>-20000000</v>
      </c>
      <c r="X11" s="291">
        <f>-'Financing assumptions onshore'!$F$67*1000</f>
        <v>-20000000</v>
      </c>
      <c r="Y11" s="291">
        <f>-'Financing assumptions onshore'!$F$67*1000</f>
        <v>-20000000</v>
      </c>
      <c r="Z11" s="291">
        <f>-'Financing assumptions onshore'!$F$67*1000</f>
        <v>-20000000</v>
      </c>
      <c r="AA11" s="291">
        <f>-'Financing assumptions onshore'!$F$67*1000</f>
        <v>-20000000</v>
      </c>
      <c r="AB11" s="291">
        <f>-'Financing assumptions onshore'!$F$67*1000</f>
        <v>-20000000</v>
      </c>
      <c r="AC11" s="291">
        <f>-'Financing assumptions onshore'!$F$67*1000</f>
        <v>-20000000</v>
      </c>
      <c r="AD11" s="291">
        <f>-'Financing assumptions onshore'!$F$67*1000</f>
        <v>-20000000</v>
      </c>
      <c r="AE11" s="291">
        <f>-'Financing assumptions onshore'!$F$67*1000</f>
        <v>-20000000</v>
      </c>
      <c r="AF11" s="291">
        <f>-'Financing assumptions onshore'!$F$67*1000</f>
        <v>-20000000</v>
      </c>
      <c r="AG11" s="291">
        <f>-'Financing assumptions onshore'!$F$67*1000</f>
        <v>-20000000</v>
      </c>
    </row>
    <row r="12" spans="3:33">
      <c r="C12" s="180" t="s">
        <v>748</v>
      </c>
      <c r="D12" s="180">
        <f ca="1">D9+D10+D11</f>
        <v>-20000000</v>
      </c>
      <c r="E12" s="180">
        <f t="shared" ref="E12:AF12" ca="1" si="5">E9+E10+E11</f>
        <v>-20000000</v>
      </c>
      <c r="F12" s="180">
        <f t="shared" ca="1" si="5"/>
        <v>-20000000</v>
      </c>
      <c r="G12" s="180">
        <f t="shared" ca="1" si="5"/>
        <v>-20000000</v>
      </c>
      <c r="H12" s="180">
        <f t="shared" ca="1" si="5"/>
        <v>-20000000</v>
      </c>
      <c r="I12" s="180">
        <f t="shared" ca="1" si="5"/>
        <v>-20000000</v>
      </c>
      <c r="J12" s="180">
        <f t="shared" ca="1" si="5"/>
        <v>-20000000</v>
      </c>
      <c r="K12" s="180">
        <f t="shared" ca="1" si="5"/>
        <v>-20000000</v>
      </c>
      <c r="L12" s="180">
        <f t="shared" ca="1" si="5"/>
        <v>-20000000</v>
      </c>
      <c r="M12" s="180">
        <f t="shared" ca="1" si="5"/>
        <v>-20000000</v>
      </c>
      <c r="N12" s="180">
        <f t="shared" ca="1" si="5"/>
        <v>-20000000</v>
      </c>
      <c r="O12" s="180">
        <f t="shared" ca="1" si="5"/>
        <v>-20000000</v>
      </c>
      <c r="P12" s="180">
        <f t="shared" ca="1" si="5"/>
        <v>-20000000</v>
      </c>
      <c r="Q12" s="180">
        <f t="shared" ca="1" si="5"/>
        <v>-20000000</v>
      </c>
      <c r="R12" s="180">
        <f t="shared" ca="1" si="5"/>
        <v>-20000000</v>
      </c>
      <c r="S12" s="180">
        <f t="shared" ca="1" si="5"/>
        <v>-20000000</v>
      </c>
      <c r="T12" s="180">
        <f t="shared" ca="1" si="5"/>
        <v>-20000000</v>
      </c>
      <c r="U12" s="180">
        <f t="shared" ca="1" si="5"/>
        <v>-20000000</v>
      </c>
      <c r="V12" s="180">
        <f t="shared" ca="1" si="5"/>
        <v>-20000000</v>
      </c>
      <c r="W12" s="180">
        <f t="shared" ca="1" si="5"/>
        <v>-20000000</v>
      </c>
      <c r="X12" s="180">
        <f t="shared" ca="1" si="5"/>
        <v>-20000000</v>
      </c>
      <c r="Y12" s="180">
        <f t="shared" ca="1" si="5"/>
        <v>-20000000</v>
      </c>
      <c r="Z12" s="180">
        <f t="shared" ca="1" si="5"/>
        <v>-20000000</v>
      </c>
      <c r="AA12" s="180">
        <f t="shared" ca="1" si="5"/>
        <v>-20000000</v>
      </c>
      <c r="AB12" s="180" t="e">
        <f t="shared" ca="1" si="5"/>
        <v>#N/A</v>
      </c>
      <c r="AC12" s="180" t="e">
        <f t="shared" ca="1" si="5"/>
        <v>#N/A</v>
      </c>
      <c r="AD12" s="180" t="e">
        <f t="shared" ca="1" si="5"/>
        <v>#N/A</v>
      </c>
      <c r="AE12" s="180" t="e">
        <f t="shared" ca="1" si="5"/>
        <v>#N/A</v>
      </c>
      <c r="AF12" s="180" t="e">
        <f t="shared" ca="1" si="5"/>
        <v>#N/A</v>
      </c>
      <c r="AG12" s="180" t="e">
        <f t="shared" ref="AG12" ca="1" si="6">AG9+AG10+AG11</f>
        <v>#N/A</v>
      </c>
    </row>
    <row r="13" spans="3:33" s="291" customFormat="1" ht="13.7">
      <c r="C13" s="291" t="s">
        <v>1039</v>
      </c>
      <c r="D13" s="291">
        <f>'Acquisition BS adjustments'!E94</f>
        <v>0</v>
      </c>
      <c r="E13" s="291">
        <f ca="1">E10</f>
        <v>0</v>
      </c>
      <c r="F13" s="291">
        <f t="shared" ref="F13:AF13" ca="1" si="7">F10</f>
        <v>0</v>
      </c>
      <c r="G13" s="291">
        <f t="shared" ca="1" si="7"/>
        <v>0</v>
      </c>
      <c r="H13" s="291">
        <f t="shared" ca="1" si="7"/>
        <v>0</v>
      </c>
      <c r="I13" s="291">
        <f t="shared" ca="1" si="7"/>
        <v>0</v>
      </c>
      <c r="J13" s="291">
        <f t="shared" ca="1" si="7"/>
        <v>0</v>
      </c>
      <c r="K13" s="291">
        <f t="shared" ca="1" si="7"/>
        <v>0</v>
      </c>
      <c r="L13" s="291">
        <f t="shared" ca="1" si="7"/>
        <v>0</v>
      </c>
      <c r="M13" s="291">
        <f t="shared" ca="1" si="7"/>
        <v>0</v>
      </c>
      <c r="N13" s="291">
        <f t="shared" ca="1" si="7"/>
        <v>0</v>
      </c>
      <c r="O13" s="291">
        <f t="shared" ca="1" si="7"/>
        <v>0</v>
      </c>
      <c r="P13" s="291">
        <f t="shared" ca="1" si="7"/>
        <v>0</v>
      </c>
      <c r="Q13" s="291">
        <f t="shared" ca="1" si="7"/>
        <v>0</v>
      </c>
      <c r="R13" s="291">
        <f t="shared" ca="1" si="7"/>
        <v>0</v>
      </c>
      <c r="S13" s="291">
        <f t="shared" ca="1" si="7"/>
        <v>0</v>
      </c>
      <c r="T13" s="291">
        <f t="shared" ca="1" si="7"/>
        <v>0</v>
      </c>
      <c r="U13" s="291">
        <f t="shared" ca="1" si="7"/>
        <v>0</v>
      </c>
      <c r="V13" s="291">
        <f t="shared" ca="1" si="7"/>
        <v>0</v>
      </c>
      <c r="W13" s="291">
        <f t="shared" ca="1" si="7"/>
        <v>0</v>
      </c>
      <c r="X13" s="291">
        <f t="shared" ca="1" si="7"/>
        <v>0</v>
      </c>
      <c r="Y13" s="291">
        <f t="shared" ca="1" si="7"/>
        <v>0</v>
      </c>
      <c r="Z13" s="291">
        <f t="shared" ca="1" si="7"/>
        <v>0</v>
      </c>
      <c r="AA13" s="291">
        <f t="shared" ca="1" si="7"/>
        <v>0</v>
      </c>
      <c r="AB13" s="291">
        <f t="shared" ca="1" si="7"/>
        <v>0</v>
      </c>
      <c r="AC13" s="291" t="e">
        <f t="shared" ca="1" si="7"/>
        <v>#N/A</v>
      </c>
      <c r="AD13" s="291" t="e">
        <f t="shared" ca="1" si="7"/>
        <v>#N/A</v>
      </c>
      <c r="AE13" s="291" t="e">
        <f t="shared" ca="1" si="7"/>
        <v>#N/A</v>
      </c>
      <c r="AF13" s="291" t="e">
        <f t="shared" ca="1" si="7"/>
        <v>#N/A</v>
      </c>
      <c r="AG13" s="291" t="e">
        <f t="shared" ref="AG13" ca="1" si="8">AG10</f>
        <v>#N/A</v>
      </c>
    </row>
    <row r="15" spans="3:33">
      <c r="C15" s="209" t="s">
        <v>736</v>
      </c>
      <c r="D15" s="209"/>
      <c r="E15" s="209"/>
      <c r="F15" s="209"/>
      <c r="G15" s="209"/>
      <c r="H15" s="209"/>
      <c r="I15" s="209"/>
      <c r="J15" s="209"/>
      <c r="K15" s="209"/>
      <c r="L15" s="209"/>
      <c r="M15" s="209"/>
      <c r="N15" s="209"/>
      <c r="O15" s="209"/>
      <c r="P15" s="209"/>
      <c r="Q15" s="209"/>
      <c r="R15" s="209"/>
      <c r="S15" s="209"/>
      <c r="T15" s="209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</row>
    <row r="16" spans="3:33">
      <c r="C16" s="183" t="s">
        <v>739</v>
      </c>
      <c r="D16" s="183">
        <f>'Financing assumptions onshore'!M18</f>
        <v>0.04</v>
      </c>
      <c r="E16" s="183">
        <f>'Financing assumptions onshore'!N18</f>
        <v>0.04</v>
      </c>
      <c r="F16" s="183">
        <f>'Financing assumptions onshore'!O18</f>
        <v>0.04</v>
      </c>
      <c r="G16" s="183">
        <f>'Financing assumptions onshore'!P18</f>
        <v>0.04</v>
      </c>
      <c r="H16" s="183">
        <f ca="1">'Financing assumptions onshore'!Q18</f>
        <v>0.04</v>
      </c>
      <c r="I16" s="183">
        <f ca="1">'Financing assumptions onshore'!R18</f>
        <v>0.04</v>
      </c>
      <c r="J16" s="183">
        <f ca="1">'Financing assumptions onshore'!S18</f>
        <v>0.04</v>
      </c>
      <c r="K16" s="183">
        <f ca="1">'Financing assumptions onshore'!T18</f>
        <v>0.04</v>
      </c>
      <c r="L16" s="183">
        <f ca="1">'Financing assumptions onshore'!U18</f>
        <v>0.04</v>
      </c>
      <c r="M16" s="183">
        <f ca="1">'Financing assumptions onshore'!V18</f>
        <v>0.04</v>
      </c>
      <c r="N16" s="183">
        <f ca="1">'Financing assumptions onshore'!W18</f>
        <v>0.04</v>
      </c>
      <c r="O16" s="183">
        <f ca="1">'Financing assumptions onshore'!X18</f>
        <v>0.04</v>
      </c>
      <c r="P16" s="183">
        <f ca="1">'Financing assumptions onshore'!Y18</f>
        <v>0.04</v>
      </c>
      <c r="Q16" s="183">
        <f ca="1">'Financing assumptions onshore'!Z18</f>
        <v>0.04</v>
      </c>
      <c r="R16" s="183">
        <f ca="1">'Financing assumptions onshore'!AA18</f>
        <v>0.04</v>
      </c>
      <c r="S16" s="183">
        <f ca="1">'Financing assumptions onshore'!AB18</f>
        <v>0.04</v>
      </c>
      <c r="T16" s="183">
        <f ca="1">'Financing assumptions onshore'!AC18</f>
        <v>0.04</v>
      </c>
      <c r="U16" s="183">
        <f ca="1">'Financing assumptions onshore'!AD18</f>
        <v>0.04</v>
      </c>
      <c r="V16" s="183">
        <f ca="1">'Financing assumptions onshore'!AE18</f>
        <v>0.04</v>
      </c>
      <c r="W16" s="183">
        <f ca="1">'Financing assumptions onshore'!AF18</f>
        <v>0.04</v>
      </c>
      <c r="X16" s="183">
        <f ca="1">'Financing assumptions onshore'!AG18</f>
        <v>0.04</v>
      </c>
      <c r="Y16" s="183">
        <f ca="1">'Financing assumptions onshore'!AH18</f>
        <v>0.04</v>
      </c>
      <c r="Z16" s="183">
        <f ca="1">'Financing assumptions onshore'!AI18</f>
        <v>0.04</v>
      </c>
      <c r="AA16" s="183">
        <f ca="1">'Financing assumptions onshore'!AJ18</f>
        <v>0.04</v>
      </c>
      <c r="AB16" s="183">
        <f ca="1">'Financing assumptions onshore'!AK18</f>
        <v>0.04</v>
      </c>
      <c r="AC16" s="183">
        <f ca="1">'Financing assumptions onshore'!AL18</f>
        <v>0.04</v>
      </c>
      <c r="AD16" s="183">
        <f ca="1">'Financing assumptions onshore'!AM18</f>
        <v>0.04</v>
      </c>
      <c r="AE16" s="183">
        <f ca="1">'Financing assumptions onshore'!AN18</f>
        <v>0.04</v>
      </c>
      <c r="AF16" s="183">
        <f ca="1">'Financing assumptions onshore'!AO18</f>
        <v>0.04</v>
      </c>
      <c r="AG16" s="183">
        <f>'Financing assumptions onshore'!AP18</f>
        <v>0</v>
      </c>
    </row>
    <row r="17" spans="3:33">
      <c r="C17" s="183" t="s">
        <v>741</v>
      </c>
      <c r="D17" s="183">
        <f>D16-'Financing assumptions onshore'!$F$19/10000</f>
        <v>0.04</v>
      </c>
      <c r="E17" s="183">
        <f>E16-'Financing assumptions onshore'!$F$19/10000</f>
        <v>0.04</v>
      </c>
      <c r="F17" s="183">
        <f>F16-'Financing assumptions onshore'!$F$19/10000</f>
        <v>0.04</v>
      </c>
      <c r="G17" s="183">
        <f>G16-'Financing assumptions onshore'!$F$19/10000</f>
        <v>0.04</v>
      </c>
      <c r="H17" s="183">
        <f ca="1">H16-'Financing assumptions onshore'!$F$19/10000</f>
        <v>0.04</v>
      </c>
      <c r="I17" s="183">
        <f ca="1">I16-'Financing assumptions onshore'!$F$19/10000</f>
        <v>0.04</v>
      </c>
      <c r="J17" s="183">
        <f ca="1">J16-'Financing assumptions onshore'!$F$19/10000</f>
        <v>0.04</v>
      </c>
      <c r="K17" s="183">
        <f ca="1">K16-'Financing assumptions onshore'!$F$19/10000</f>
        <v>0.04</v>
      </c>
      <c r="L17" s="183">
        <f ca="1">L16-'Financing assumptions onshore'!$F$19/10000</f>
        <v>0.04</v>
      </c>
      <c r="M17" s="183">
        <f ca="1">M16-'Financing assumptions onshore'!$F$19/10000</f>
        <v>0.04</v>
      </c>
      <c r="N17" s="183">
        <f ca="1">N16-'Financing assumptions onshore'!$F$19/10000</f>
        <v>0.04</v>
      </c>
      <c r="O17" s="183">
        <f ca="1">O16-'Financing assumptions onshore'!$F$19/10000</f>
        <v>0.04</v>
      </c>
      <c r="P17" s="183">
        <f ca="1">P16-'Financing assumptions onshore'!$F$19/10000</f>
        <v>0.04</v>
      </c>
      <c r="Q17" s="183">
        <f ca="1">Q16-'Financing assumptions onshore'!$F$19/10000</f>
        <v>0.04</v>
      </c>
      <c r="R17" s="183">
        <f ca="1">R16-'Financing assumptions onshore'!$F$19/10000</f>
        <v>0.04</v>
      </c>
      <c r="S17" s="183">
        <f ca="1">S16-'Financing assumptions onshore'!$F$19/10000</f>
        <v>0.04</v>
      </c>
      <c r="T17" s="183">
        <f ca="1">T16-'Financing assumptions onshore'!$F$19/10000</f>
        <v>0.04</v>
      </c>
      <c r="U17" s="183">
        <f ca="1">U16-'Financing assumptions onshore'!$F$19/10000</f>
        <v>0.04</v>
      </c>
      <c r="V17" s="183">
        <f ca="1">V16-'Financing assumptions onshore'!$F$19/10000</f>
        <v>0.04</v>
      </c>
      <c r="W17" s="183">
        <f ca="1">W16-'Financing assumptions onshore'!$F$19/10000</f>
        <v>0.04</v>
      </c>
      <c r="X17" s="183">
        <f ca="1">X16-'Financing assumptions onshore'!$F$19/10000</f>
        <v>0.04</v>
      </c>
      <c r="Y17" s="183">
        <f ca="1">Y16-'Financing assumptions onshore'!$F$19/10000</f>
        <v>0.04</v>
      </c>
      <c r="Z17" s="183">
        <f ca="1">Z16-'Financing assumptions onshore'!$F$19/10000</f>
        <v>0.04</v>
      </c>
      <c r="AA17" s="183">
        <f ca="1">AA16-'Financing assumptions onshore'!$F$19/10000</f>
        <v>0.04</v>
      </c>
      <c r="AB17" s="183">
        <f ca="1">AB16-'Financing assumptions onshore'!$F$19/10000</f>
        <v>0.04</v>
      </c>
      <c r="AC17" s="183">
        <f ca="1">AC16-'Financing assumptions onshore'!$F$19/10000</f>
        <v>0.04</v>
      </c>
      <c r="AD17" s="183">
        <f ca="1">AD16-'Financing assumptions onshore'!$F$19/10000</f>
        <v>0.04</v>
      </c>
      <c r="AE17" s="183">
        <f ca="1">AE16-'Financing assumptions onshore'!$F$19/10000</f>
        <v>0.04</v>
      </c>
      <c r="AF17" s="183">
        <f ca="1">AF16-'Financing assumptions onshore'!$F$19/10000</f>
        <v>0.04</v>
      </c>
      <c r="AG17" s="183">
        <f>AG16-'Financing assumptions onshore'!$F$19/10000</f>
        <v>0</v>
      </c>
    </row>
    <row r="18" spans="3:33">
      <c r="C18" s="180" t="s">
        <v>730</v>
      </c>
      <c r="D18" s="180">
        <v>0</v>
      </c>
      <c r="E18" s="180">
        <f>D25</f>
        <v>0</v>
      </c>
      <c r="F18" s="180">
        <f t="shared" ref="F18:AG18" ca="1" si="9">E25</f>
        <v>0</v>
      </c>
      <c r="G18" s="180">
        <f t="shared" ca="1" si="9"/>
        <v>0</v>
      </c>
      <c r="H18" s="180">
        <f t="shared" ca="1" si="9"/>
        <v>0</v>
      </c>
      <c r="I18" s="180">
        <f t="shared" ca="1" si="9"/>
        <v>0</v>
      </c>
      <c r="J18" s="180">
        <f t="shared" ca="1" si="9"/>
        <v>0</v>
      </c>
      <c r="K18" s="180">
        <f t="shared" ca="1" si="9"/>
        <v>0</v>
      </c>
      <c r="L18" s="180">
        <f t="shared" ca="1" si="9"/>
        <v>0</v>
      </c>
      <c r="M18" s="180">
        <f t="shared" ca="1" si="9"/>
        <v>0</v>
      </c>
      <c r="N18" s="180">
        <f t="shared" ca="1" si="9"/>
        <v>0</v>
      </c>
      <c r="O18" s="180">
        <f t="shared" ca="1" si="9"/>
        <v>0</v>
      </c>
      <c r="P18" s="180">
        <f t="shared" ca="1" si="9"/>
        <v>0</v>
      </c>
      <c r="Q18" s="180">
        <f t="shared" ca="1" si="9"/>
        <v>0</v>
      </c>
      <c r="R18" s="180">
        <f t="shared" ca="1" si="9"/>
        <v>0</v>
      </c>
      <c r="S18" s="180">
        <f t="shared" ca="1" si="9"/>
        <v>0</v>
      </c>
      <c r="T18" s="180">
        <f t="shared" ca="1" si="9"/>
        <v>0</v>
      </c>
      <c r="U18" s="180">
        <f t="shared" ca="1" si="9"/>
        <v>0</v>
      </c>
      <c r="V18" s="180">
        <f t="shared" ca="1" si="9"/>
        <v>0</v>
      </c>
      <c r="W18" s="180">
        <f t="shared" ca="1" si="9"/>
        <v>0</v>
      </c>
      <c r="X18" s="180">
        <f t="shared" ca="1" si="9"/>
        <v>0</v>
      </c>
      <c r="Y18" s="180">
        <f t="shared" ca="1" si="9"/>
        <v>0</v>
      </c>
      <c r="Z18" s="180">
        <f t="shared" ca="1" si="9"/>
        <v>0</v>
      </c>
      <c r="AA18" s="180">
        <f t="shared" ca="1" si="9"/>
        <v>0</v>
      </c>
      <c r="AB18" s="180">
        <f t="shared" ca="1" si="9"/>
        <v>0</v>
      </c>
      <c r="AC18" s="180">
        <f t="shared" ca="1" si="9"/>
        <v>0</v>
      </c>
      <c r="AD18" s="180">
        <f t="shared" ca="1" si="9"/>
        <v>0</v>
      </c>
      <c r="AE18" s="180">
        <f t="shared" ca="1" si="9"/>
        <v>0</v>
      </c>
      <c r="AF18" s="180">
        <f t="shared" ca="1" si="9"/>
        <v>0</v>
      </c>
      <c r="AG18" s="180">
        <f t="shared" ca="1" si="9"/>
        <v>0</v>
      </c>
    </row>
    <row r="19" spans="3:33">
      <c r="C19" s="295" t="s">
        <v>725</v>
      </c>
      <c r="D19" s="291">
        <f>'Financing assumptions onshore'!F15*1000</f>
        <v>0</v>
      </c>
      <c r="E19" s="291">
        <v>0</v>
      </c>
      <c r="F19" s="291">
        <v>0</v>
      </c>
      <c r="G19" s="291">
        <v>0</v>
      </c>
      <c r="H19" s="291">
        <v>0</v>
      </c>
      <c r="I19" s="291">
        <v>0</v>
      </c>
      <c r="J19" s="291">
        <v>0</v>
      </c>
      <c r="K19" s="291">
        <v>0</v>
      </c>
      <c r="L19" s="291">
        <v>0</v>
      </c>
      <c r="M19" s="291">
        <v>0</v>
      </c>
      <c r="N19" s="291">
        <v>0</v>
      </c>
      <c r="O19" s="291">
        <v>0</v>
      </c>
      <c r="P19" s="291">
        <v>0</v>
      </c>
      <c r="Q19" s="291">
        <v>0</v>
      </c>
      <c r="R19" s="291">
        <v>0</v>
      </c>
      <c r="S19" s="291">
        <v>0</v>
      </c>
      <c r="T19" s="291">
        <v>0</v>
      </c>
      <c r="U19" s="291">
        <v>0</v>
      </c>
      <c r="V19" s="291">
        <v>0</v>
      </c>
      <c r="W19" s="291">
        <v>0</v>
      </c>
      <c r="X19" s="291">
        <v>0</v>
      </c>
      <c r="Y19" s="291">
        <v>0</v>
      </c>
      <c r="Z19" s="291">
        <v>0</v>
      </c>
      <c r="AA19" s="291">
        <v>0</v>
      </c>
      <c r="AB19" s="291">
        <v>0</v>
      </c>
      <c r="AC19" s="291">
        <v>0</v>
      </c>
      <c r="AD19" s="291">
        <v>0</v>
      </c>
      <c r="AE19" s="291">
        <v>0</v>
      </c>
      <c r="AF19" s="291">
        <v>0</v>
      </c>
      <c r="AG19" s="291">
        <v>0</v>
      </c>
    </row>
    <row r="20" spans="3:33">
      <c r="C20" s="295" t="s">
        <v>726</v>
      </c>
      <c r="D20" s="291">
        <f>(D18+D19)*D16/4</f>
        <v>0</v>
      </c>
      <c r="E20" s="291">
        <f t="shared" ref="E20:AF20" si="10">(E18+E19)*E16/4</f>
        <v>0</v>
      </c>
      <c r="F20" s="291">
        <f t="shared" ca="1" si="10"/>
        <v>0</v>
      </c>
      <c r="G20" s="291">
        <f t="shared" ca="1" si="10"/>
        <v>0</v>
      </c>
      <c r="H20" s="291">
        <f t="shared" ca="1" si="10"/>
        <v>0</v>
      </c>
      <c r="I20" s="291">
        <f t="shared" ca="1" si="10"/>
        <v>0</v>
      </c>
      <c r="J20" s="291">
        <f t="shared" ca="1" si="10"/>
        <v>0</v>
      </c>
      <c r="K20" s="291">
        <f t="shared" ca="1" si="10"/>
        <v>0</v>
      </c>
      <c r="L20" s="291">
        <f t="shared" ca="1" si="10"/>
        <v>0</v>
      </c>
      <c r="M20" s="291">
        <f t="shared" ca="1" si="10"/>
        <v>0</v>
      </c>
      <c r="N20" s="291">
        <f t="shared" ca="1" si="10"/>
        <v>0</v>
      </c>
      <c r="O20" s="291">
        <f t="shared" ca="1" si="10"/>
        <v>0</v>
      </c>
      <c r="P20" s="291">
        <f t="shared" ca="1" si="10"/>
        <v>0</v>
      </c>
      <c r="Q20" s="291">
        <f t="shared" ca="1" si="10"/>
        <v>0</v>
      </c>
      <c r="R20" s="291">
        <f t="shared" ca="1" si="10"/>
        <v>0</v>
      </c>
      <c r="S20" s="291">
        <f t="shared" ca="1" si="10"/>
        <v>0</v>
      </c>
      <c r="T20" s="291">
        <f t="shared" ca="1" si="10"/>
        <v>0</v>
      </c>
      <c r="U20" s="291">
        <f t="shared" ca="1" si="10"/>
        <v>0</v>
      </c>
      <c r="V20" s="291">
        <f t="shared" ca="1" si="10"/>
        <v>0</v>
      </c>
      <c r="W20" s="291">
        <f t="shared" ca="1" si="10"/>
        <v>0</v>
      </c>
      <c r="X20" s="291">
        <f t="shared" ca="1" si="10"/>
        <v>0</v>
      </c>
      <c r="Y20" s="291">
        <f t="shared" ca="1" si="10"/>
        <v>0</v>
      </c>
      <c r="Z20" s="291">
        <f t="shared" ca="1" si="10"/>
        <v>0</v>
      </c>
      <c r="AA20" s="291">
        <f t="shared" ca="1" si="10"/>
        <v>0</v>
      </c>
      <c r="AB20" s="291">
        <f t="shared" ca="1" si="10"/>
        <v>0</v>
      </c>
      <c r="AC20" s="291">
        <f t="shared" ca="1" si="10"/>
        <v>0</v>
      </c>
      <c r="AD20" s="291">
        <f t="shared" ca="1" si="10"/>
        <v>0</v>
      </c>
      <c r="AE20" s="291">
        <f t="shared" ca="1" si="10"/>
        <v>0</v>
      </c>
      <c r="AF20" s="291">
        <f t="shared" ca="1" si="10"/>
        <v>0</v>
      </c>
      <c r="AG20" s="291">
        <f t="shared" ref="AG20" ca="1" si="11">(AG18+AG19)*AG16/4</f>
        <v>0</v>
      </c>
    </row>
    <row r="21" spans="3:33">
      <c r="C21" s="295" t="s">
        <v>727</v>
      </c>
      <c r="D21" s="291">
        <f>MAX(+'Financing assumptions onshore'!M15*1000,-(D18+D19))</f>
        <v>0</v>
      </c>
      <c r="E21" s="291">
        <f>MAX(+'Financing assumptions onshore'!N15*1000,-(E18+E19))</f>
        <v>0</v>
      </c>
      <c r="F21" s="291">
        <f ca="1">MAX(+'Financing assumptions onshore'!O15*1000,-(F18+F19))</f>
        <v>0</v>
      </c>
      <c r="G21" s="291">
        <f ca="1">MAX(+'Financing assumptions onshore'!P15*1000,-(G18+G19))</f>
        <v>0</v>
      </c>
      <c r="H21" s="291">
        <f ca="1">MAX(+'Financing assumptions onshore'!Q15*1000,-(H18+H19))</f>
        <v>0</v>
      </c>
      <c r="I21" s="291">
        <f ca="1">MAX(+'Financing assumptions onshore'!R15*1000,-(I18+I19))</f>
        <v>0</v>
      </c>
      <c r="J21" s="291">
        <f ca="1">MAX(+'Financing assumptions onshore'!S15*1000,-(J18+J19))</f>
        <v>0</v>
      </c>
      <c r="K21" s="291">
        <f ca="1">MAX(+'Financing assumptions onshore'!T15*1000,-(K18+K19))</f>
        <v>0</v>
      </c>
      <c r="L21" s="291">
        <f ca="1">MAX(+'Financing assumptions onshore'!U15*1000,-(L18+L19))</f>
        <v>0</v>
      </c>
      <c r="M21" s="291">
        <f ca="1">MAX(+'Financing assumptions onshore'!V15*1000,-(M18+M19))</f>
        <v>0</v>
      </c>
      <c r="N21" s="291">
        <f ca="1">MAX(+'Financing assumptions onshore'!W15*1000,-(N18+N19))</f>
        <v>0</v>
      </c>
      <c r="O21" s="291">
        <f ca="1">MAX(+'Financing assumptions onshore'!X15*1000,-(O18+O19))</f>
        <v>0</v>
      </c>
      <c r="P21" s="291">
        <f ca="1">MAX(+'Financing assumptions onshore'!Y15*1000,-(P18+P19))</f>
        <v>0</v>
      </c>
      <c r="Q21" s="291">
        <f ca="1">MAX(+'Financing assumptions onshore'!Z15*1000,-(Q18+Q19))</f>
        <v>0</v>
      </c>
      <c r="R21" s="291">
        <f ca="1">MAX(+'Financing assumptions onshore'!AA15*1000,-(R18+R19))</f>
        <v>0</v>
      </c>
      <c r="S21" s="291">
        <f ca="1">MAX(+'Financing assumptions onshore'!AB15*1000,-(S18+S19))</f>
        <v>0</v>
      </c>
      <c r="T21" s="291">
        <f ca="1">MAX(+'Financing assumptions onshore'!AC15*1000,-(T18+T19))</f>
        <v>0</v>
      </c>
      <c r="U21" s="291">
        <f ca="1">MAX(+'Financing assumptions onshore'!AD15*1000,-(U18+U19))</f>
        <v>0</v>
      </c>
      <c r="V21" s="291">
        <f ca="1">MAX(+'Financing assumptions onshore'!AE15*1000,-(V18+V19))</f>
        <v>0</v>
      </c>
      <c r="W21" s="291">
        <f ca="1">MAX(+'Financing assumptions onshore'!AF15*1000,-(W18+W19))</f>
        <v>0</v>
      </c>
      <c r="X21" s="291">
        <f ca="1">MAX(+'Financing assumptions onshore'!AG15*1000,-(X18+X19))</f>
        <v>0</v>
      </c>
      <c r="Y21" s="291">
        <f ca="1">MAX(+'Financing assumptions onshore'!AH15*1000,-(Y18+Y19))</f>
        <v>0</v>
      </c>
      <c r="Z21" s="291">
        <f ca="1">MAX(+'Financing assumptions onshore'!AI15*1000,-(Z18+Z19))</f>
        <v>0</v>
      </c>
      <c r="AA21" s="291">
        <f ca="1">MAX(+'Financing assumptions onshore'!AJ15*1000,-(AA18+AA19))</f>
        <v>0</v>
      </c>
      <c r="AB21" s="291">
        <f ca="1">MAX(+'Financing assumptions onshore'!AK15*1000,-(AB18+AB19))</f>
        <v>0</v>
      </c>
      <c r="AC21" s="291">
        <f ca="1">MAX(+'Financing assumptions onshore'!AL15*1000,-(AC18+AC19))</f>
        <v>0</v>
      </c>
      <c r="AD21" s="291">
        <f ca="1">MAX(+'Financing assumptions onshore'!AM15*1000,-(AD18+AD19))</f>
        <v>0</v>
      </c>
      <c r="AE21" s="291">
        <f ca="1">MAX(+'Financing assumptions onshore'!AN15*1000,-(AE18+AE19))</f>
        <v>0</v>
      </c>
      <c r="AF21" s="291">
        <f ca="1">MAX(+'Financing assumptions onshore'!AO15*1000,-(AF18+AF19))</f>
        <v>0</v>
      </c>
      <c r="AG21" s="291">
        <f ca="1">MAX(+'Financing assumptions onshore'!AP15*1000,-(AG18+AG19))</f>
        <v>0</v>
      </c>
    </row>
    <row r="22" spans="3:33">
      <c r="C22" s="295" t="s">
        <v>733</v>
      </c>
      <c r="D22" s="291">
        <v>0</v>
      </c>
      <c r="E22" s="291">
        <f>IFERROR(SUM($D23:D23)/$D19*E21*'Financing assumptions onshore'!$F$64,0)</f>
        <v>0</v>
      </c>
      <c r="F22" s="291">
        <f ca="1">IFERROR(SUM($D23:E23)/$D19*F21*'Financing assumptions onshore'!$F$64,0)</f>
        <v>0</v>
      </c>
      <c r="G22" s="291">
        <f ca="1">IFERROR(SUM($D23:F23)/$D19*G21*'Financing assumptions onshore'!$F$64,0)</f>
        <v>0</v>
      </c>
      <c r="H22" s="291">
        <f ca="1">IFERROR(SUM($D23:G23)/$D19*H21*'Financing assumptions onshore'!$F$64,0)</f>
        <v>0</v>
      </c>
      <c r="I22" s="291">
        <f ca="1">IFERROR(SUM($D23:H23)/$D19*I21*'Financing assumptions onshore'!$F$64,0)</f>
        <v>0</v>
      </c>
      <c r="J22" s="291">
        <f ca="1">IFERROR(SUM($D23:I23)/$D19*J21*'Financing assumptions onshore'!$F$64,0)</f>
        <v>0</v>
      </c>
      <c r="K22" s="291">
        <f ca="1">IFERROR(SUM($D23:J23)/$D19*K21*'Financing assumptions onshore'!$F$64,0)</f>
        <v>0</v>
      </c>
      <c r="L22" s="291">
        <f ca="1">IFERROR(SUM($D23:K23)/$D19*L21*'Financing assumptions onshore'!$F$64,0)</f>
        <v>0</v>
      </c>
      <c r="M22" s="291">
        <f ca="1">IFERROR(SUM($D23:L23)/$D19*M21*'Financing assumptions onshore'!$F$64,0)</f>
        <v>0</v>
      </c>
      <c r="N22" s="291">
        <f ca="1">IFERROR(SUM($D23:M23)/$D19*N21*'Financing assumptions onshore'!$F$64,0)</f>
        <v>0</v>
      </c>
      <c r="O22" s="291">
        <f ca="1">IFERROR(SUM($D23:N23)/$D19*O21*'Financing assumptions onshore'!$F$64,0)</f>
        <v>0</v>
      </c>
      <c r="P22" s="291">
        <f ca="1">IFERROR(SUM($D23:O23)/$D19*P21*'Financing assumptions onshore'!$F$64,0)</f>
        <v>0</v>
      </c>
      <c r="Q22" s="291">
        <f ca="1">IFERROR(SUM($D23:P23)/$D19*Q21*'Financing assumptions onshore'!$F$64,0)</f>
        <v>0</v>
      </c>
      <c r="R22" s="291">
        <f ca="1">IFERROR(SUM($D23:Q23)/$D19*R21*'Financing assumptions onshore'!$F$64,0)</f>
        <v>0</v>
      </c>
      <c r="S22" s="291">
        <f ca="1">IFERROR(SUM($D23:R23)/$D19*S21*'Financing assumptions onshore'!$F$64,0)</f>
        <v>0</v>
      </c>
      <c r="T22" s="291">
        <f ca="1">IFERROR(SUM($D23:S23)/$D19*T21*'Financing assumptions onshore'!$F$64,0)</f>
        <v>0</v>
      </c>
      <c r="U22" s="291">
        <f ca="1">IFERROR(SUM($D23:T23)/$D19*U21*'Financing assumptions onshore'!$F$64,0)</f>
        <v>0</v>
      </c>
      <c r="V22" s="291">
        <f ca="1">IFERROR(SUM($D23:U23)/$D19*V21*'Financing assumptions onshore'!$F$64,0)</f>
        <v>0</v>
      </c>
      <c r="W22" s="291">
        <f ca="1">IFERROR(SUM($D23:V23)/$D19*W21*'Financing assumptions onshore'!$F$64,0)</f>
        <v>0</v>
      </c>
      <c r="X22" s="291">
        <f ca="1">IFERROR(SUM($D23:W23)/$D19*X21*'Financing assumptions onshore'!$F$64,0)</f>
        <v>0</v>
      </c>
      <c r="Y22" s="291">
        <f ca="1">IFERROR(SUM($D23:X23)/$D19*Y21*'Financing assumptions onshore'!$F$64,0)</f>
        <v>0</v>
      </c>
      <c r="Z22" s="291">
        <f ca="1">IFERROR(SUM($D23:Y23)/$D19*Z21*'Financing assumptions onshore'!$F$64,0)</f>
        <v>0</v>
      </c>
      <c r="AA22" s="291">
        <f ca="1">IFERROR(SUM($D23:Z23)/$D19*AA21*'Financing assumptions onshore'!$F$64,0)</f>
        <v>0</v>
      </c>
      <c r="AB22" s="291">
        <f ca="1">IFERROR(SUM($D23:AA23)/$D19*AB21*'Financing assumptions onshore'!$F$64,0)</f>
        <v>0</v>
      </c>
      <c r="AC22" s="291">
        <f ca="1">IFERROR(SUM($D23:AB23)/$D19*AC21*'Financing assumptions onshore'!$F$64,0)</f>
        <v>0</v>
      </c>
      <c r="AD22" s="291">
        <f ca="1">IFERROR(SUM($D23:AC23)/$D19*AD21*'Financing assumptions onshore'!$F$64,0)</f>
        <v>0</v>
      </c>
      <c r="AE22" s="291">
        <f ca="1">IFERROR(SUM($D23:AD23)/$D19*AE21*'Financing assumptions onshore'!$F$64,0)</f>
        <v>0</v>
      </c>
      <c r="AF22" s="291">
        <f ca="1">IFERROR(SUM($D23:AE23)/$D19*AF21*'Financing assumptions onshore'!$F$64,0)</f>
        <v>0</v>
      </c>
      <c r="AG22" s="291">
        <f ca="1">IFERROR(SUM($D23:AF23)/$D19*AG21*'Financing assumptions onshore'!$F$64,0)</f>
        <v>0</v>
      </c>
    </row>
    <row r="23" spans="3:33">
      <c r="C23" s="295" t="s">
        <v>728</v>
      </c>
      <c r="D23" s="291">
        <f>'Cash sweep &amp; dividend onshore'!D39</f>
        <v>0</v>
      </c>
      <c r="E23" s="291">
        <f ca="1">'Cash sweep &amp; dividend onshore'!E39</f>
        <v>0</v>
      </c>
      <c r="F23" s="291">
        <f ca="1">'Cash sweep &amp; dividend onshore'!F39</f>
        <v>0</v>
      </c>
      <c r="G23" s="291">
        <f ca="1">'Cash sweep &amp; dividend onshore'!G39</f>
        <v>0</v>
      </c>
      <c r="H23" s="291">
        <f ca="1">'Cash sweep &amp; dividend onshore'!H39</f>
        <v>0</v>
      </c>
      <c r="I23" s="291">
        <f ca="1">'Cash sweep &amp; dividend onshore'!I39</f>
        <v>0</v>
      </c>
      <c r="J23" s="291">
        <f ca="1">'Cash sweep &amp; dividend onshore'!J39</f>
        <v>0</v>
      </c>
      <c r="K23" s="291">
        <f ca="1">'Cash sweep &amp; dividend onshore'!K39</f>
        <v>0</v>
      </c>
      <c r="L23" s="291">
        <f ca="1">'Cash sweep &amp; dividend onshore'!L39</f>
        <v>0</v>
      </c>
      <c r="M23" s="291">
        <f ca="1">'Cash sweep &amp; dividend onshore'!M39</f>
        <v>0</v>
      </c>
      <c r="N23" s="291">
        <f ca="1">'Cash sweep &amp; dividend onshore'!N39</f>
        <v>0</v>
      </c>
      <c r="O23" s="291">
        <f ca="1">'Cash sweep &amp; dividend onshore'!O39</f>
        <v>0</v>
      </c>
      <c r="P23" s="291">
        <f ca="1">'Cash sweep &amp; dividend onshore'!P39</f>
        <v>0</v>
      </c>
      <c r="Q23" s="291">
        <f ca="1">'Cash sweep &amp; dividend onshore'!Q39</f>
        <v>0</v>
      </c>
      <c r="R23" s="291">
        <f ca="1">'Cash sweep &amp; dividend onshore'!R39</f>
        <v>0</v>
      </c>
      <c r="S23" s="291">
        <f ca="1">'Cash sweep &amp; dividend onshore'!S39</f>
        <v>0</v>
      </c>
      <c r="T23" s="291">
        <f ca="1">'Cash sweep &amp; dividend onshore'!T39</f>
        <v>0</v>
      </c>
      <c r="U23" s="291">
        <f ca="1">'Cash sweep &amp; dividend onshore'!U39</f>
        <v>0</v>
      </c>
      <c r="V23" s="291">
        <f ca="1">'Cash sweep &amp; dividend onshore'!V39</f>
        <v>0</v>
      </c>
      <c r="W23" s="291">
        <f ca="1">'Cash sweep &amp; dividend onshore'!W39</f>
        <v>0</v>
      </c>
      <c r="X23" s="291">
        <f ca="1">'Cash sweep &amp; dividend onshore'!X39</f>
        <v>0</v>
      </c>
      <c r="Y23" s="291">
        <f ca="1">'Cash sweep &amp; dividend onshore'!Y39</f>
        <v>0</v>
      </c>
      <c r="Z23" s="291">
        <f ca="1">'Cash sweep &amp; dividend onshore'!Z39</f>
        <v>0</v>
      </c>
      <c r="AA23" s="291">
        <f ca="1">'Cash sweep &amp; dividend onshore'!AA39</f>
        <v>0</v>
      </c>
      <c r="AB23" s="291">
        <f ca="1">'Cash sweep &amp; dividend onshore'!AB39</f>
        <v>0</v>
      </c>
      <c r="AC23" s="291">
        <f ca="1">'Cash sweep &amp; dividend onshore'!AC39</f>
        <v>0</v>
      </c>
      <c r="AD23" s="291">
        <f ca="1">'Cash sweep &amp; dividend onshore'!AD39</f>
        <v>0</v>
      </c>
      <c r="AE23" s="291">
        <f ca="1">'Cash sweep &amp; dividend onshore'!AE39</f>
        <v>0</v>
      </c>
      <c r="AF23" s="291">
        <f ca="1">'Cash sweep &amp; dividend onshore'!AF39</f>
        <v>0</v>
      </c>
      <c r="AG23" s="291">
        <f ca="1">'Cash sweep &amp; dividend onshore'!AG39</f>
        <v>0</v>
      </c>
    </row>
    <row r="24" spans="3:33">
      <c r="C24" s="295" t="s">
        <v>729</v>
      </c>
      <c r="D24" s="291">
        <f>-D17*(D18+D19)/4</f>
        <v>0</v>
      </c>
      <c r="E24" s="291">
        <f t="shared" ref="E24:AF24" si="12">-E17*(E18+E19)/4</f>
        <v>0</v>
      </c>
      <c r="F24" s="291">
        <f t="shared" ca="1" si="12"/>
        <v>0</v>
      </c>
      <c r="G24" s="291">
        <f t="shared" ca="1" si="12"/>
        <v>0</v>
      </c>
      <c r="H24" s="291">
        <f t="shared" ca="1" si="12"/>
        <v>0</v>
      </c>
      <c r="I24" s="291">
        <f t="shared" ca="1" si="12"/>
        <v>0</v>
      </c>
      <c r="J24" s="291">
        <f t="shared" ca="1" si="12"/>
        <v>0</v>
      </c>
      <c r="K24" s="291">
        <f t="shared" ca="1" si="12"/>
        <v>0</v>
      </c>
      <c r="L24" s="291">
        <f t="shared" ca="1" si="12"/>
        <v>0</v>
      </c>
      <c r="M24" s="291">
        <f t="shared" ca="1" si="12"/>
        <v>0</v>
      </c>
      <c r="N24" s="291">
        <f t="shared" ca="1" si="12"/>
        <v>0</v>
      </c>
      <c r="O24" s="291">
        <f t="shared" ca="1" si="12"/>
        <v>0</v>
      </c>
      <c r="P24" s="291">
        <f t="shared" ca="1" si="12"/>
        <v>0</v>
      </c>
      <c r="Q24" s="291">
        <f t="shared" ca="1" si="12"/>
        <v>0</v>
      </c>
      <c r="R24" s="291">
        <f t="shared" ca="1" si="12"/>
        <v>0</v>
      </c>
      <c r="S24" s="291">
        <f t="shared" ca="1" si="12"/>
        <v>0</v>
      </c>
      <c r="T24" s="291">
        <f t="shared" ca="1" si="12"/>
        <v>0</v>
      </c>
      <c r="U24" s="291">
        <f t="shared" ca="1" si="12"/>
        <v>0</v>
      </c>
      <c r="V24" s="291">
        <f t="shared" ca="1" si="12"/>
        <v>0</v>
      </c>
      <c r="W24" s="291">
        <f t="shared" ca="1" si="12"/>
        <v>0</v>
      </c>
      <c r="X24" s="291">
        <f t="shared" ca="1" si="12"/>
        <v>0</v>
      </c>
      <c r="Y24" s="291">
        <f t="shared" ca="1" si="12"/>
        <v>0</v>
      </c>
      <c r="Z24" s="291">
        <f t="shared" ca="1" si="12"/>
        <v>0</v>
      </c>
      <c r="AA24" s="291">
        <f t="shared" ca="1" si="12"/>
        <v>0</v>
      </c>
      <c r="AB24" s="291">
        <f t="shared" ca="1" si="12"/>
        <v>0</v>
      </c>
      <c r="AC24" s="291">
        <f t="shared" ca="1" si="12"/>
        <v>0</v>
      </c>
      <c r="AD24" s="291">
        <f t="shared" ca="1" si="12"/>
        <v>0</v>
      </c>
      <c r="AE24" s="291">
        <f t="shared" ca="1" si="12"/>
        <v>0</v>
      </c>
      <c r="AF24" s="291">
        <f t="shared" ca="1" si="12"/>
        <v>0</v>
      </c>
      <c r="AG24" s="291">
        <f t="shared" ref="AG24" ca="1" si="13">-AG17*(AG18+AG19)/4</f>
        <v>0</v>
      </c>
    </row>
    <row r="25" spans="3:33">
      <c r="C25" s="195" t="s">
        <v>1040</v>
      </c>
      <c r="D25" s="195">
        <f>SUM(D18:D24)</f>
        <v>0</v>
      </c>
      <c r="E25" s="195">
        <f ca="1">SUM(E18:E24)</f>
        <v>0</v>
      </c>
      <c r="F25" s="195">
        <f t="shared" ref="F25:AF25" ca="1" si="14">SUM(F18:F24)</f>
        <v>0</v>
      </c>
      <c r="G25" s="195">
        <f t="shared" ca="1" si="14"/>
        <v>0</v>
      </c>
      <c r="H25" s="195">
        <f t="shared" ca="1" si="14"/>
        <v>0</v>
      </c>
      <c r="I25" s="195">
        <f t="shared" ca="1" si="14"/>
        <v>0</v>
      </c>
      <c r="J25" s="195">
        <f t="shared" ca="1" si="14"/>
        <v>0</v>
      </c>
      <c r="K25" s="195">
        <f t="shared" ca="1" si="14"/>
        <v>0</v>
      </c>
      <c r="L25" s="195">
        <f t="shared" ca="1" si="14"/>
        <v>0</v>
      </c>
      <c r="M25" s="195">
        <f t="shared" ca="1" si="14"/>
        <v>0</v>
      </c>
      <c r="N25" s="195">
        <f t="shared" ca="1" si="14"/>
        <v>0</v>
      </c>
      <c r="O25" s="195">
        <f t="shared" ca="1" si="14"/>
        <v>0</v>
      </c>
      <c r="P25" s="195">
        <f t="shared" ca="1" si="14"/>
        <v>0</v>
      </c>
      <c r="Q25" s="195">
        <f t="shared" ca="1" si="14"/>
        <v>0</v>
      </c>
      <c r="R25" s="195">
        <f t="shared" ca="1" si="14"/>
        <v>0</v>
      </c>
      <c r="S25" s="195">
        <f t="shared" ca="1" si="14"/>
        <v>0</v>
      </c>
      <c r="T25" s="195">
        <f t="shared" ca="1" si="14"/>
        <v>0</v>
      </c>
      <c r="U25" s="195">
        <f t="shared" ca="1" si="14"/>
        <v>0</v>
      </c>
      <c r="V25" s="195">
        <f t="shared" ca="1" si="14"/>
        <v>0</v>
      </c>
      <c r="W25" s="195">
        <f t="shared" ca="1" si="14"/>
        <v>0</v>
      </c>
      <c r="X25" s="195">
        <f t="shared" ca="1" si="14"/>
        <v>0</v>
      </c>
      <c r="Y25" s="195">
        <f t="shared" ca="1" si="14"/>
        <v>0</v>
      </c>
      <c r="Z25" s="195">
        <f t="shared" ca="1" si="14"/>
        <v>0</v>
      </c>
      <c r="AA25" s="195">
        <f t="shared" ca="1" si="14"/>
        <v>0</v>
      </c>
      <c r="AB25" s="195">
        <f t="shared" ca="1" si="14"/>
        <v>0</v>
      </c>
      <c r="AC25" s="195">
        <f t="shared" ca="1" si="14"/>
        <v>0</v>
      </c>
      <c r="AD25" s="195">
        <f t="shared" ca="1" si="14"/>
        <v>0</v>
      </c>
      <c r="AE25" s="195">
        <f t="shared" ca="1" si="14"/>
        <v>0</v>
      </c>
      <c r="AF25" s="195">
        <f t="shared" ca="1" si="14"/>
        <v>0</v>
      </c>
      <c r="AG25" s="195">
        <f t="shared" ref="AG25" ca="1" si="15">SUM(AG18:AG24)</f>
        <v>0</v>
      </c>
    </row>
    <row r="26" spans="3:33">
      <c r="C26" s="195" t="s">
        <v>1041</v>
      </c>
      <c r="D26" s="195">
        <f>+D19+SUM(D21:D24)</f>
        <v>0</v>
      </c>
      <c r="E26" s="195">
        <f t="shared" ref="E26:AB26" ca="1" si="16">+E19+SUM(E21:E24)</f>
        <v>0</v>
      </c>
      <c r="F26" s="195">
        <f t="shared" ca="1" si="16"/>
        <v>0</v>
      </c>
      <c r="G26" s="195">
        <f t="shared" ca="1" si="16"/>
        <v>0</v>
      </c>
      <c r="H26" s="195">
        <f t="shared" ca="1" si="16"/>
        <v>0</v>
      </c>
      <c r="I26" s="195">
        <f t="shared" ca="1" si="16"/>
        <v>0</v>
      </c>
      <c r="J26" s="195">
        <f t="shared" ca="1" si="16"/>
        <v>0</v>
      </c>
      <c r="K26" s="195">
        <f t="shared" ca="1" si="16"/>
        <v>0</v>
      </c>
      <c r="L26" s="195">
        <f t="shared" ca="1" si="16"/>
        <v>0</v>
      </c>
      <c r="M26" s="195">
        <f t="shared" ca="1" si="16"/>
        <v>0</v>
      </c>
      <c r="N26" s="195">
        <f t="shared" ca="1" si="16"/>
        <v>0</v>
      </c>
      <c r="O26" s="195">
        <f t="shared" ca="1" si="16"/>
        <v>0</v>
      </c>
      <c r="P26" s="195">
        <f t="shared" ca="1" si="16"/>
        <v>0</v>
      </c>
      <c r="Q26" s="195">
        <f t="shared" ca="1" si="16"/>
        <v>0</v>
      </c>
      <c r="R26" s="195">
        <f t="shared" ca="1" si="16"/>
        <v>0</v>
      </c>
      <c r="S26" s="195">
        <f t="shared" ca="1" si="16"/>
        <v>0</v>
      </c>
      <c r="T26" s="195">
        <f t="shared" ca="1" si="16"/>
        <v>0</v>
      </c>
      <c r="U26" s="195">
        <f t="shared" ca="1" si="16"/>
        <v>0</v>
      </c>
      <c r="V26" s="195">
        <f t="shared" ca="1" si="16"/>
        <v>0</v>
      </c>
      <c r="W26" s="195">
        <f t="shared" ca="1" si="16"/>
        <v>0</v>
      </c>
      <c r="X26" s="195">
        <f t="shared" ca="1" si="16"/>
        <v>0</v>
      </c>
      <c r="Y26" s="195">
        <f t="shared" ca="1" si="16"/>
        <v>0</v>
      </c>
      <c r="Z26" s="195">
        <f t="shared" ca="1" si="16"/>
        <v>0</v>
      </c>
      <c r="AA26" s="195">
        <f t="shared" ca="1" si="16"/>
        <v>0</v>
      </c>
      <c r="AB26" s="195">
        <f t="shared" ca="1" si="16"/>
        <v>0</v>
      </c>
      <c r="AC26" s="195">
        <f t="shared" ref="AC26:AF26" ca="1" si="17">+AC19+SUM(AC21:AC24)</f>
        <v>0</v>
      </c>
      <c r="AD26" s="195">
        <f t="shared" ca="1" si="17"/>
        <v>0</v>
      </c>
      <c r="AE26" s="195">
        <f t="shared" ca="1" si="17"/>
        <v>0</v>
      </c>
      <c r="AF26" s="195">
        <f t="shared" ca="1" si="17"/>
        <v>0</v>
      </c>
      <c r="AG26" s="195">
        <f t="shared" ref="AG26" ca="1" si="18">+AG19+SUM(AG21:AG24)</f>
        <v>0</v>
      </c>
    </row>
    <row r="27" spans="3:33"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</row>
    <row r="28" spans="3:33">
      <c r="C28" s="209" t="s">
        <v>737</v>
      </c>
      <c r="D28" s="209"/>
      <c r="E28" s="209"/>
      <c r="F28" s="209"/>
      <c r="G28" s="209"/>
      <c r="H28" s="209"/>
      <c r="I28" s="209"/>
      <c r="J28" s="209"/>
      <c r="K28" s="209"/>
      <c r="L28" s="209"/>
      <c r="M28" s="209"/>
      <c r="N28" s="209"/>
      <c r="O28" s="209"/>
      <c r="P28" s="209"/>
      <c r="Q28" s="209"/>
      <c r="R28" s="209"/>
      <c r="S28" s="209"/>
      <c r="T28" s="209"/>
      <c r="U28" s="209"/>
      <c r="V28" s="209"/>
      <c r="W28" s="209"/>
      <c r="X28" s="209"/>
      <c r="Y28" s="209"/>
      <c r="Z28" s="209"/>
      <c r="AA28" s="209"/>
      <c r="AB28" s="209"/>
      <c r="AC28" s="209"/>
      <c r="AD28" s="209"/>
      <c r="AE28" s="209"/>
      <c r="AF28" s="209"/>
      <c r="AG28" s="209"/>
    </row>
    <row r="29" spans="3:33">
      <c r="C29" s="183" t="s">
        <v>739</v>
      </c>
      <c r="D29" s="183">
        <f>'Financing assumptions onshore'!M27</f>
        <v>5.6600000000000004E-2</v>
      </c>
      <c r="E29" s="183">
        <f>'Financing assumptions onshore'!N27</f>
        <v>5.6600000000000004E-2</v>
      </c>
      <c r="F29" s="183">
        <f>'Financing assumptions onshore'!O27</f>
        <v>5.6600000000000004E-2</v>
      </c>
      <c r="G29" s="183">
        <f>'Financing assumptions onshore'!P27</f>
        <v>5.6600000000000004E-2</v>
      </c>
      <c r="H29" s="183">
        <f ca="1">'Financing assumptions onshore'!Q27</f>
        <v>5.6600000000000004E-2</v>
      </c>
      <c r="I29" s="183">
        <f ca="1">'Financing assumptions onshore'!R27</f>
        <v>5.6600000000000004E-2</v>
      </c>
      <c r="J29" s="183">
        <f ca="1">'Financing assumptions onshore'!S27</f>
        <v>5.6600000000000004E-2</v>
      </c>
      <c r="K29" s="183">
        <f ca="1">'Financing assumptions onshore'!T27</f>
        <v>5.6600000000000004E-2</v>
      </c>
      <c r="L29" s="183">
        <f ca="1">'Financing assumptions onshore'!U27</f>
        <v>5.6600000000000004E-2</v>
      </c>
      <c r="M29" s="183">
        <f ca="1">'Financing assumptions onshore'!V27</f>
        <v>5.6600000000000004E-2</v>
      </c>
      <c r="N29" s="183">
        <f ca="1">'Financing assumptions onshore'!W27</f>
        <v>5.6600000000000004E-2</v>
      </c>
      <c r="O29" s="183">
        <f ca="1">'Financing assumptions onshore'!X27</f>
        <v>5.6600000000000004E-2</v>
      </c>
      <c r="P29" s="183">
        <f ca="1">'Financing assumptions onshore'!Y27</f>
        <v>5.6600000000000004E-2</v>
      </c>
      <c r="Q29" s="183">
        <f ca="1">'Financing assumptions onshore'!Z27</f>
        <v>5.6600000000000004E-2</v>
      </c>
      <c r="R29" s="183">
        <f ca="1">'Financing assumptions onshore'!AA27</f>
        <v>5.6600000000000004E-2</v>
      </c>
      <c r="S29" s="183">
        <f ca="1">'Financing assumptions onshore'!AB27</f>
        <v>5.6600000000000004E-2</v>
      </c>
      <c r="T29" s="183">
        <f ca="1">'Financing assumptions onshore'!AC27</f>
        <v>5.6600000000000004E-2</v>
      </c>
      <c r="U29" s="183">
        <f ca="1">'Financing assumptions onshore'!AD27</f>
        <v>5.6600000000000004E-2</v>
      </c>
      <c r="V29" s="183">
        <f ca="1">'Financing assumptions onshore'!AE27</f>
        <v>5.6600000000000004E-2</v>
      </c>
      <c r="W29" s="183">
        <f ca="1">'Financing assumptions onshore'!AF27</f>
        <v>5.6600000000000004E-2</v>
      </c>
      <c r="X29" s="183">
        <f ca="1">'Financing assumptions onshore'!AG27</f>
        <v>5.6600000000000004E-2</v>
      </c>
      <c r="Y29" s="183">
        <f ca="1">'Financing assumptions onshore'!AH27</f>
        <v>5.6600000000000004E-2</v>
      </c>
      <c r="Z29" s="183">
        <f ca="1">'Financing assumptions onshore'!AI27</f>
        <v>5.6600000000000004E-2</v>
      </c>
      <c r="AA29" s="183">
        <f ca="1">'Financing assumptions onshore'!AJ27</f>
        <v>5.6600000000000004E-2</v>
      </c>
      <c r="AB29" s="183">
        <f ca="1">'Financing assumptions onshore'!AK27</f>
        <v>5.6600000000000004E-2</v>
      </c>
      <c r="AC29" s="183">
        <f ca="1">'Financing assumptions onshore'!AL27</f>
        <v>5.6600000000000004E-2</v>
      </c>
      <c r="AD29" s="183">
        <f ca="1">'Financing assumptions onshore'!AM27</f>
        <v>5.6600000000000004E-2</v>
      </c>
      <c r="AE29" s="183">
        <f ca="1">'Financing assumptions onshore'!AN27</f>
        <v>5.6600000000000004E-2</v>
      </c>
      <c r="AF29" s="183">
        <f ca="1">'Financing assumptions onshore'!AO27</f>
        <v>5.6600000000000004E-2</v>
      </c>
      <c r="AG29" s="183">
        <f>'Financing assumptions onshore'!AP27</f>
        <v>0</v>
      </c>
    </row>
    <row r="30" spans="3:33">
      <c r="C30" s="183" t="s">
        <v>741</v>
      </c>
      <c r="D30" s="183">
        <f>D29-'Financing assumptions onshore'!$F$28/10000</f>
        <v>5.6600000000000004E-2</v>
      </c>
      <c r="E30" s="183">
        <f>E29-'Financing assumptions onshore'!$F$28/10000</f>
        <v>5.6600000000000004E-2</v>
      </c>
      <c r="F30" s="183">
        <f>F29-'Financing assumptions onshore'!$F$28/10000</f>
        <v>5.6600000000000004E-2</v>
      </c>
      <c r="G30" s="183">
        <f>G29-'Financing assumptions onshore'!$F$28/10000</f>
        <v>5.6600000000000004E-2</v>
      </c>
      <c r="H30" s="183">
        <f ca="1">H29-'Financing assumptions onshore'!$F$28/10000</f>
        <v>5.6600000000000004E-2</v>
      </c>
      <c r="I30" s="183">
        <f ca="1">I29-'Financing assumptions onshore'!$F$28/10000</f>
        <v>5.6600000000000004E-2</v>
      </c>
      <c r="J30" s="183">
        <f ca="1">J29-'Financing assumptions onshore'!$F$28/10000</f>
        <v>5.6600000000000004E-2</v>
      </c>
      <c r="K30" s="183">
        <f ca="1">K29-'Financing assumptions onshore'!$F$28/10000</f>
        <v>5.6600000000000004E-2</v>
      </c>
      <c r="L30" s="183">
        <f ca="1">L29-'Financing assumptions onshore'!$F$28/10000</f>
        <v>5.6600000000000004E-2</v>
      </c>
      <c r="M30" s="183">
        <f ca="1">M29-'Financing assumptions onshore'!$F$28/10000</f>
        <v>5.6600000000000004E-2</v>
      </c>
      <c r="N30" s="183">
        <f ca="1">N29-'Financing assumptions onshore'!$F$28/10000</f>
        <v>5.6600000000000004E-2</v>
      </c>
      <c r="O30" s="183">
        <f ca="1">O29-'Financing assumptions onshore'!$F$28/10000</f>
        <v>5.6600000000000004E-2</v>
      </c>
      <c r="P30" s="183">
        <f ca="1">P29-'Financing assumptions onshore'!$F$28/10000</f>
        <v>5.6600000000000004E-2</v>
      </c>
      <c r="Q30" s="183">
        <f ca="1">Q29-'Financing assumptions onshore'!$F$28/10000</f>
        <v>5.6600000000000004E-2</v>
      </c>
      <c r="R30" s="183">
        <f ca="1">R29-'Financing assumptions onshore'!$F$28/10000</f>
        <v>5.6600000000000004E-2</v>
      </c>
      <c r="S30" s="183">
        <f ca="1">S29-'Financing assumptions onshore'!$F$28/10000</f>
        <v>5.6600000000000004E-2</v>
      </c>
      <c r="T30" s="183">
        <f ca="1">T29-'Financing assumptions onshore'!$F$28/10000</f>
        <v>5.6600000000000004E-2</v>
      </c>
      <c r="U30" s="183">
        <f ca="1">U29-'Financing assumptions onshore'!$F$28/10000</f>
        <v>5.6600000000000004E-2</v>
      </c>
      <c r="V30" s="183">
        <f ca="1">V29-'Financing assumptions onshore'!$F$28/10000</f>
        <v>5.6600000000000004E-2</v>
      </c>
      <c r="W30" s="183">
        <f ca="1">W29-'Financing assumptions onshore'!$F$28/10000</f>
        <v>5.6600000000000004E-2</v>
      </c>
      <c r="X30" s="183">
        <f ca="1">X29-'Financing assumptions onshore'!$F$28/10000</f>
        <v>5.6600000000000004E-2</v>
      </c>
      <c r="Y30" s="183">
        <f ca="1">Y29-'Financing assumptions onshore'!$F$28/10000</f>
        <v>5.6600000000000004E-2</v>
      </c>
      <c r="Z30" s="183">
        <f ca="1">Z29-'Financing assumptions onshore'!$F$28/10000</f>
        <v>5.6600000000000004E-2</v>
      </c>
      <c r="AA30" s="183">
        <f ca="1">AA29-'Financing assumptions onshore'!$F$28/10000</f>
        <v>5.6600000000000004E-2</v>
      </c>
      <c r="AB30" s="183">
        <f ca="1">AB29-'Financing assumptions onshore'!$F$28/10000</f>
        <v>5.6600000000000004E-2</v>
      </c>
      <c r="AC30" s="183">
        <f ca="1">AC29-'Financing assumptions onshore'!$F$28/10000</f>
        <v>5.6600000000000004E-2</v>
      </c>
      <c r="AD30" s="183">
        <f ca="1">AD29-'Financing assumptions onshore'!$F$28/10000</f>
        <v>5.6600000000000004E-2</v>
      </c>
      <c r="AE30" s="183">
        <f ca="1">AE29-'Financing assumptions onshore'!$F$28/10000</f>
        <v>5.6600000000000004E-2</v>
      </c>
      <c r="AF30" s="183">
        <f ca="1">AF29-'Financing assumptions onshore'!$F$28/10000</f>
        <v>5.6600000000000004E-2</v>
      </c>
      <c r="AG30" s="183">
        <f>AG29-'Financing assumptions onshore'!$F$28/10000</f>
        <v>0</v>
      </c>
    </row>
    <row r="31" spans="3:33">
      <c r="C31" s="180" t="s">
        <v>730</v>
      </c>
      <c r="D31" s="180">
        <v>0</v>
      </c>
      <c r="E31" s="180">
        <f>D38</f>
        <v>0</v>
      </c>
      <c r="F31" s="180">
        <f t="shared" ref="F31:AG31" ca="1" si="19">E38</f>
        <v>0</v>
      </c>
      <c r="G31" s="180">
        <f t="shared" ca="1" si="19"/>
        <v>0</v>
      </c>
      <c r="H31" s="180">
        <f t="shared" ca="1" si="19"/>
        <v>0</v>
      </c>
      <c r="I31" s="180">
        <f t="shared" ca="1" si="19"/>
        <v>0</v>
      </c>
      <c r="J31" s="180">
        <f t="shared" ca="1" si="19"/>
        <v>0</v>
      </c>
      <c r="K31" s="180">
        <f t="shared" ca="1" si="19"/>
        <v>0</v>
      </c>
      <c r="L31" s="180">
        <f t="shared" ca="1" si="19"/>
        <v>0</v>
      </c>
      <c r="M31" s="180">
        <f t="shared" ca="1" si="19"/>
        <v>0</v>
      </c>
      <c r="N31" s="180">
        <f t="shared" ca="1" si="19"/>
        <v>0</v>
      </c>
      <c r="O31" s="180">
        <f t="shared" ca="1" si="19"/>
        <v>0</v>
      </c>
      <c r="P31" s="180">
        <f t="shared" ca="1" si="19"/>
        <v>0</v>
      </c>
      <c r="Q31" s="180">
        <f t="shared" ca="1" si="19"/>
        <v>0</v>
      </c>
      <c r="R31" s="180">
        <f t="shared" ca="1" si="19"/>
        <v>0</v>
      </c>
      <c r="S31" s="180">
        <f t="shared" ca="1" si="19"/>
        <v>0</v>
      </c>
      <c r="T31" s="180">
        <f t="shared" ca="1" si="19"/>
        <v>0</v>
      </c>
      <c r="U31" s="180">
        <f t="shared" ca="1" si="19"/>
        <v>0</v>
      </c>
      <c r="V31" s="180">
        <f t="shared" ca="1" si="19"/>
        <v>0</v>
      </c>
      <c r="W31" s="180">
        <f t="shared" ca="1" si="19"/>
        <v>0</v>
      </c>
      <c r="X31" s="180">
        <f t="shared" ca="1" si="19"/>
        <v>0</v>
      </c>
      <c r="Y31" s="180">
        <f t="shared" ca="1" si="19"/>
        <v>0</v>
      </c>
      <c r="Z31" s="180">
        <f t="shared" ca="1" si="19"/>
        <v>0</v>
      </c>
      <c r="AA31" s="180">
        <f t="shared" ca="1" si="19"/>
        <v>0</v>
      </c>
      <c r="AB31" s="180">
        <f t="shared" ca="1" si="19"/>
        <v>0</v>
      </c>
      <c r="AC31" s="180">
        <f t="shared" ca="1" si="19"/>
        <v>0</v>
      </c>
      <c r="AD31" s="180">
        <f t="shared" ca="1" si="19"/>
        <v>0</v>
      </c>
      <c r="AE31" s="180">
        <f t="shared" ca="1" si="19"/>
        <v>0</v>
      </c>
      <c r="AF31" s="180">
        <f t="shared" ca="1" si="19"/>
        <v>0</v>
      </c>
      <c r="AG31" s="180">
        <f t="shared" ca="1" si="19"/>
        <v>0</v>
      </c>
    </row>
    <row r="32" spans="3:33">
      <c r="C32" s="295" t="s">
        <v>725</v>
      </c>
      <c r="D32" s="291">
        <f>'Financing assumptions onshore'!F24*1000</f>
        <v>0</v>
      </c>
      <c r="E32" s="291">
        <v>0</v>
      </c>
      <c r="F32" s="291">
        <v>0</v>
      </c>
      <c r="G32" s="291">
        <v>0</v>
      </c>
      <c r="H32" s="291">
        <v>0</v>
      </c>
      <c r="I32" s="291">
        <v>0</v>
      </c>
      <c r="J32" s="291">
        <v>0</v>
      </c>
      <c r="K32" s="291">
        <v>0</v>
      </c>
      <c r="L32" s="291">
        <v>0</v>
      </c>
      <c r="M32" s="291">
        <v>0</v>
      </c>
      <c r="N32" s="291">
        <v>0</v>
      </c>
      <c r="O32" s="291">
        <v>0</v>
      </c>
      <c r="P32" s="291">
        <v>0</v>
      </c>
      <c r="Q32" s="291">
        <v>0</v>
      </c>
      <c r="R32" s="291">
        <v>0</v>
      </c>
      <c r="S32" s="291">
        <v>0</v>
      </c>
      <c r="T32" s="291">
        <v>0</v>
      </c>
      <c r="U32" s="291">
        <v>0</v>
      </c>
      <c r="V32" s="291">
        <v>0</v>
      </c>
      <c r="W32" s="291">
        <v>0</v>
      </c>
      <c r="X32" s="291">
        <v>0</v>
      </c>
      <c r="Y32" s="291">
        <v>0</v>
      </c>
      <c r="Z32" s="291">
        <v>0</v>
      </c>
      <c r="AA32" s="291">
        <v>0</v>
      </c>
      <c r="AB32" s="291">
        <v>0</v>
      </c>
      <c r="AC32" s="291">
        <v>0</v>
      </c>
      <c r="AD32" s="291">
        <v>0</v>
      </c>
      <c r="AE32" s="291">
        <v>0</v>
      </c>
      <c r="AF32" s="291">
        <v>0</v>
      </c>
      <c r="AG32" s="291">
        <v>0</v>
      </c>
    </row>
    <row r="33" spans="3:33">
      <c r="C33" s="295" t="s">
        <v>726</v>
      </c>
      <c r="D33" s="291">
        <f>(D31+D32)*D29/4</f>
        <v>0</v>
      </c>
      <c r="E33" s="291">
        <f t="shared" ref="E33:AF33" si="20">(E31+E32)*E29/4</f>
        <v>0</v>
      </c>
      <c r="F33" s="291">
        <f t="shared" ca="1" si="20"/>
        <v>0</v>
      </c>
      <c r="G33" s="291">
        <f t="shared" ca="1" si="20"/>
        <v>0</v>
      </c>
      <c r="H33" s="291">
        <f t="shared" ca="1" si="20"/>
        <v>0</v>
      </c>
      <c r="I33" s="291">
        <f t="shared" ca="1" si="20"/>
        <v>0</v>
      </c>
      <c r="J33" s="291">
        <f t="shared" ca="1" si="20"/>
        <v>0</v>
      </c>
      <c r="K33" s="291">
        <f t="shared" ca="1" si="20"/>
        <v>0</v>
      </c>
      <c r="L33" s="291">
        <f t="shared" ca="1" si="20"/>
        <v>0</v>
      </c>
      <c r="M33" s="291">
        <f t="shared" ca="1" si="20"/>
        <v>0</v>
      </c>
      <c r="N33" s="291">
        <f t="shared" ca="1" si="20"/>
        <v>0</v>
      </c>
      <c r="O33" s="291">
        <f t="shared" ca="1" si="20"/>
        <v>0</v>
      </c>
      <c r="P33" s="291">
        <f t="shared" ca="1" si="20"/>
        <v>0</v>
      </c>
      <c r="Q33" s="291">
        <f t="shared" ca="1" si="20"/>
        <v>0</v>
      </c>
      <c r="R33" s="291">
        <f t="shared" ca="1" si="20"/>
        <v>0</v>
      </c>
      <c r="S33" s="291">
        <f t="shared" ca="1" si="20"/>
        <v>0</v>
      </c>
      <c r="T33" s="291">
        <f t="shared" ca="1" si="20"/>
        <v>0</v>
      </c>
      <c r="U33" s="291">
        <f t="shared" ca="1" si="20"/>
        <v>0</v>
      </c>
      <c r="V33" s="291">
        <f t="shared" ca="1" si="20"/>
        <v>0</v>
      </c>
      <c r="W33" s="291">
        <f t="shared" ca="1" si="20"/>
        <v>0</v>
      </c>
      <c r="X33" s="291">
        <f t="shared" ca="1" si="20"/>
        <v>0</v>
      </c>
      <c r="Y33" s="291">
        <f t="shared" ca="1" si="20"/>
        <v>0</v>
      </c>
      <c r="Z33" s="291">
        <f t="shared" ca="1" si="20"/>
        <v>0</v>
      </c>
      <c r="AA33" s="291">
        <f t="shared" ca="1" si="20"/>
        <v>0</v>
      </c>
      <c r="AB33" s="291">
        <f t="shared" ca="1" si="20"/>
        <v>0</v>
      </c>
      <c r="AC33" s="291">
        <f t="shared" ca="1" si="20"/>
        <v>0</v>
      </c>
      <c r="AD33" s="291">
        <f t="shared" ca="1" si="20"/>
        <v>0</v>
      </c>
      <c r="AE33" s="291">
        <f t="shared" ca="1" si="20"/>
        <v>0</v>
      </c>
      <c r="AF33" s="291">
        <f t="shared" ca="1" si="20"/>
        <v>0</v>
      </c>
      <c r="AG33" s="291">
        <f t="shared" ref="AG33" ca="1" si="21">(AG31+AG32)*AG29/4</f>
        <v>0</v>
      </c>
    </row>
    <row r="34" spans="3:33">
      <c r="C34" s="295" t="s">
        <v>727</v>
      </c>
      <c r="D34" s="291">
        <f>MAX(+'Financing assumptions onshore'!M24*1000,-(D31+D32))</f>
        <v>0</v>
      </c>
      <c r="E34" s="291">
        <f>MAX(+'Financing assumptions onshore'!N24*1000,-(E31+E32))</f>
        <v>0</v>
      </c>
      <c r="F34" s="291">
        <f ca="1">MAX(+'Financing assumptions onshore'!O24*1000,-(F31+F32))</f>
        <v>0</v>
      </c>
      <c r="G34" s="291">
        <f ca="1">MAX(+'Financing assumptions onshore'!P24*1000,-(G31+G32))</f>
        <v>0</v>
      </c>
      <c r="H34" s="291">
        <f ca="1">MAX(+'Financing assumptions onshore'!Q24*1000,-(H31+H32))</f>
        <v>0</v>
      </c>
      <c r="I34" s="291">
        <f ca="1">MAX(+'Financing assumptions onshore'!R24*1000,-(I31+I32))</f>
        <v>0</v>
      </c>
      <c r="J34" s="291">
        <f ca="1">MAX(+'Financing assumptions onshore'!S24*1000,-(J31+J32))</f>
        <v>0</v>
      </c>
      <c r="K34" s="291">
        <f ca="1">MAX(+'Financing assumptions onshore'!T24*1000,-(K31+K32))</f>
        <v>0</v>
      </c>
      <c r="L34" s="291">
        <f ca="1">MAX(+'Financing assumptions onshore'!U24*1000,-(L31+L32))</f>
        <v>0</v>
      </c>
      <c r="M34" s="291">
        <f ca="1">MAX(+'Financing assumptions onshore'!V24*1000,-(M31+M32))</f>
        <v>0</v>
      </c>
      <c r="N34" s="291">
        <f ca="1">MAX(+'Financing assumptions onshore'!W24*1000,-(N31+N32))</f>
        <v>0</v>
      </c>
      <c r="O34" s="291">
        <f ca="1">MAX(+'Financing assumptions onshore'!X24*1000,-(O31+O32))</f>
        <v>0</v>
      </c>
      <c r="P34" s="291">
        <f ca="1">MAX(+'Financing assumptions onshore'!Y24*1000,-(P31+P32))</f>
        <v>0</v>
      </c>
      <c r="Q34" s="291">
        <f ca="1">MAX(+'Financing assumptions onshore'!Z24*1000,-(Q31+Q32))</f>
        <v>0</v>
      </c>
      <c r="R34" s="291">
        <f ca="1">MAX(+'Financing assumptions onshore'!AA24*1000,-(R31+R32))</f>
        <v>0</v>
      </c>
      <c r="S34" s="291">
        <f ca="1">MAX(+'Financing assumptions onshore'!AB24*1000,-(S31+S32))</f>
        <v>0</v>
      </c>
      <c r="T34" s="291">
        <f ca="1">MAX(+'Financing assumptions onshore'!AC24*1000,-(T31+T32))</f>
        <v>0</v>
      </c>
      <c r="U34" s="291">
        <f ca="1">MAX(+'Financing assumptions onshore'!AD24*1000,-(U31+U32))</f>
        <v>0</v>
      </c>
      <c r="V34" s="291">
        <f ca="1">MAX(+'Financing assumptions onshore'!AE24*1000,-(V31+V32))</f>
        <v>0</v>
      </c>
      <c r="W34" s="291">
        <f ca="1">MAX(+'Financing assumptions onshore'!AF24*1000,-(W31+W32))</f>
        <v>0</v>
      </c>
      <c r="X34" s="291">
        <f ca="1">MAX(+'Financing assumptions onshore'!AG24*1000,-(X31+X32))</f>
        <v>0</v>
      </c>
      <c r="Y34" s="291">
        <f ca="1">MAX(+'Financing assumptions onshore'!AH24*1000,-(Y31+Y32))</f>
        <v>0</v>
      </c>
      <c r="Z34" s="291">
        <f ca="1">MAX(+'Financing assumptions onshore'!AI24*1000,-(Z31+Z32))</f>
        <v>0</v>
      </c>
      <c r="AA34" s="291">
        <f ca="1">MAX(+'Financing assumptions onshore'!AJ24*1000,-(AA31+AA32))</f>
        <v>0</v>
      </c>
      <c r="AB34" s="291">
        <f ca="1">MAX(+'Financing assumptions onshore'!AK24*1000,-(AB31+AB32))</f>
        <v>0</v>
      </c>
      <c r="AC34" s="291">
        <f ca="1">MAX(+'Financing assumptions onshore'!AL24*1000,-(AC31+AC32))</f>
        <v>0</v>
      </c>
      <c r="AD34" s="291">
        <f ca="1">MAX(+'Financing assumptions onshore'!AM24*1000,-(AD31+AD32))</f>
        <v>0</v>
      </c>
      <c r="AE34" s="291">
        <f ca="1">MAX(+'Financing assumptions onshore'!AN24*1000,-(AE31+AE32))</f>
        <v>0</v>
      </c>
      <c r="AF34" s="291">
        <f ca="1">MAX(+'Financing assumptions onshore'!AO24*1000,-(AF31+AF32))</f>
        <v>0</v>
      </c>
      <c r="AG34" s="291">
        <f ca="1">MAX(+'Financing assumptions onshore'!AP24*1000,-(AG31+AG32))</f>
        <v>0</v>
      </c>
    </row>
    <row r="35" spans="3:33">
      <c r="C35" s="295" t="s">
        <v>733</v>
      </c>
      <c r="D35" s="291">
        <v>0</v>
      </c>
      <c r="E35" s="291">
        <f>IFERROR(SUM($D36:D36)/$D32*E34*'Financing assumptions onshore'!$F$64,0)</f>
        <v>0</v>
      </c>
      <c r="F35" s="291">
        <f ca="1">IFERROR(SUM($D36:E36)/$D32*F34*'Financing assumptions onshore'!$F$64,0)</f>
        <v>0</v>
      </c>
      <c r="G35" s="291">
        <f ca="1">IFERROR(SUM($D36:F36)/$D32*G34*'Financing assumptions onshore'!$F$64,0)</f>
        <v>0</v>
      </c>
      <c r="H35" s="291">
        <f ca="1">IFERROR(SUM($D36:G36)/$D32*H34*'Financing assumptions onshore'!$F$64,0)</f>
        <v>0</v>
      </c>
      <c r="I35" s="291">
        <f ca="1">IFERROR(SUM($D36:H36)/$D32*I34*'Financing assumptions onshore'!$F$64,0)</f>
        <v>0</v>
      </c>
      <c r="J35" s="291">
        <f ca="1">IFERROR(SUM($D36:I36)/$D32*J34*'Financing assumptions onshore'!$F$64,0)</f>
        <v>0</v>
      </c>
      <c r="K35" s="291">
        <f ca="1">IFERROR(SUM($D36:J36)/$D32*K34*'Financing assumptions onshore'!$F$64,0)</f>
        <v>0</v>
      </c>
      <c r="L35" s="291">
        <f ca="1">IFERROR(SUM($D36:K36)/$D32*L34*'Financing assumptions onshore'!$F$64,0)</f>
        <v>0</v>
      </c>
      <c r="M35" s="291">
        <f ca="1">IFERROR(SUM($D36:L36)/$D32*M34*'Financing assumptions onshore'!$F$64,0)</f>
        <v>0</v>
      </c>
      <c r="N35" s="291">
        <f ca="1">IFERROR(SUM($D36:M36)/$D32*N34*'Financing assumptions onshore'!$F$64,0)</f>
        <v>0</v>
      </c>
      <c r="O35" s="291">
        <f ca="1">IFERROR(SUM($D36:N36)/$D32*O34*'Financing assumptions onshore'!$F$64,0)</f>
        <v>0</v>
      </c>
      <c r="P35" s="291">
        <f ca="1">IFERROR(SUM($D36:O36)/$D32*P34*'Financing assumptions onshore'!$F$64,0)</f>
        <v>0</v>
      </c>
      <c r="Q35" s="291">
        <f ca="1">IFERROR(SUM($D36:P36)/$D32*Q34*'Financing assumptions onshore'!$F$64,0)</f>
        <v>0</v>
      </c>
      <c r="R35" s="291">
        <f ca="1">IFERROR(SUM($D36:Q36)/$D32*R34*'Financing assumptions onshore'!$F$64,0)</f>
        <v>0</v>
      </c>
      <c r="S35" s="291">
        <f ca="1">IFERROR(SUM($D36:R36)/$D32*S34*'Financing assumptions onshore'!$F$64,0)</f>
        <v>0</v>
      </c>
      <c r="T35" s="291">
        <f ca="1">IFERROR(SUM($D36:S36)/$D32*T34*'Financing assumptions onshore'!$F$64,0)</f>
        <v>0</v>
      </c>
      <c r="U35" s="291">
        <f ca="1">IFERROR(SUM($D36:T36)/$D32*U34*'Financing assumptions onshore'!$F$64,0)</f>
        <v>0</v>
      </c>
      <c r="V35" s="291">
        <f ca="1">IFERROR(SUM($D36:U36)/$D32*V34*'Financing assumptions onshore'!$F$64,0)</f>
        <v>0</v>
      </c>
      <c r="W35" s="291">
        <f ca="1">IFERROR(SUM($D36:V36)/$D32*W34*'Financing assumptions onshore'!$F$64,0)</f>
        <v>0</v>
      </c>
      <c r="X35" s="291">
        <f ca="1">IFERROR(SUM($D36:W36)/$D32*X34*'Financing assumptions onshore'!$F$64,0)</f>
        <v>0</v>
      </c>
      <c r="Y35" s="291">
        <f ca="1">IFERROR(SUM($D36:X36)/$D32*Y34*'Financing assumptions onshore'!$F$64,0)</f>
        <v>0</v>
      </c>
      <c r="Z35" s="291">
        <f ca="1">IFERROR(SUM($D36:Y36)/$D32*Z34*'Financing assumptions onshore'!$F$64,0)</f>
        <v>0</v>
      </c>
      <c r="AA35" s="291">
        <f ca="1">IFERROR(SUM($D36:Z36)/$D32*AA34*'Financing assumptions onshore'!$F$64,0)</f>
        <v>0</v>
      </c>
      <c r="AB35" s="291">
        <f ca="1">IFERROR(SUM($D36:AA36)/$D32*AB34*'Financing assumptions onshore'!$F$64,0)</f>
        <v>0</v>
      </c>
      <c r="AC35" s="291">
        <f ca="1">IFERROR(SUM($D36:AB36)/$D32*AC34*'Financing assumptions onshore'!$F$64,0)</f>
        <v>0</v>
      </c>
      <c r="AD35" s="291">
        <f ca="1">IFERROR(SUM($D36:AC36)/$D32*AD34*'Financing assumptions onshore'!$F$64,0)</f>
        <v>0</v>
      </c>
      <c r="AE35" s="291">
        <f ca="1">IFERROR(SUM($D36:AD36)/$D32*AE34*'Financing assumptions onshore'!$F$64,0)</f>
        <v>0</v>
      </c>
      <c r="AF35" s="291">
        <f ca="1">IFERROR(SUM($D36:AE36)/$D32*AF34*'Financing assumptions onshore'!$F$64,0)</f>
        <v>0</v>
      </c>
      <c r="AG35" s="291">
        <f ca="1">IFERROR(SUM($D36:AF36)/$D32*AG34*'Financing assumptions onshore'!$F$64,0)</f>
        <v>0</v>
      </c>
    </row>
    <row r="36" spans="3:33">
      <c r="C36" s="295" t="s">
        <v>728</v>
      </c>
      <c r="D36" s="291">
        <f>'Cash sweep &amp; dividend onshore'!D41</f>
        <v>0</v>
      </c>
      <c r="E36" s="291">
        <f ca="1">'Cash sweep &amp; dividend onshore'!E41</f>
        <v>0</v>
      </c>
      <c r="F36" s="291">
        <f ca="1">'Cash sweep &amp; dividend onshore'!F41</f>
        <v>0</v>
      </c>
      <c r="G36" s="291">
        <f ca="1">'Cash sweep &amp; dividend onshore'!G41</f>
        <v>0</v>
      </c>
      <c r="H36" s="291">
        <f ca="1">'Cash sweep &amp; dividend onshore'!H41</f>
        <v>0</v>
      </c>
      <c r="I36" s="291">
        <f ca="1">'Cash sweep &amp; dividend onshore'!I41</f>
        <v>0</v>
      </c>
      <c r="J36" s="291">
        <f ca="1">'Cash sweep &amp; dividend onshore'!J41</f>
        <v>0</v>
      </c>
      <c r="K36" s="291">
        <f ca="1">'Cash sweep &amp; dividend onshore'!K41</f>
        <v>0</v>
      </c>
      <c r="L36" s="291">
        <f ca="1">'Cash sweep &amp; dividend onshore'!L41</f>
        <v>0</v>
      </c>
      <c r="M36" s="291">
        <f ca="1">'Cash sweep &amp; dividend onshore'!M41</f>
        <v>0</v>
      </c>
      <c r="N36" s="291">
        <f ca="1">'Cash sweep &amp; dividend onshore'!N41</f>
        <v>0</v>
      </c>
      <c r="O36" s="291">
        <f ca="1">'Cash sweep &amp; dividend onshore'!O41</f>
        <v>0</v>
      </c>
      <c r="P36" s="291">
        <f ca="1">'Cash sweep &amp; dividend onshore'!P41</f>
        <v>0</v>
      </c>
      <c r="Q36" s="291">
        <f ca="1">'Cash sweep &amp; dividend onshore'!Q41</f>
        <v>0</v>
      </c>
      <c r="R36" s="291">
        <f ca="1">'Cash sweep &amp; dividend onshore'!R41</f>
        <v>0</v>
      </c>
      <c r="S36" s="291">
        <f ca="1">'Cash sweep &amp; dividend onshore'!S41</f>
        <v>0</v>
      </c>
      <c r="T36" s="291">
        <f ca="1">'Cash sweep &amp; dividend onshore'!T41</f>
        <v>0</v>
      </c>
      <c r="U36" s="291">
        <f ca="1">'Cash sweep &amp; dividend onshore'!U41</f>
        <v>0</v>
      </c>
      <c r="V36" s="291">
        <f ca="1">'Cash sweep &amp; dividend onshore'!V41</f>
        <v>0</v>
      </c>
      <c r="W36" s="291">
        <f ca="1">'Cash sweep &amp; dividend onshore'!W41</f>
        <v>0</v>
      </c>
      <c r="X36" s="291">
        <f ca="1">'Cash sweep &amp; dividend onshore'!X41</f>
        <v>0</v>
      </c>
      <c r="Y36" s="291">
        <f ca="1">'Cash sweep &amp; dividend onshore'!Y41</f>
        <v>0</v>
      </c>
      <c r="Z36" s="291">
        <f ca="1">'Cash sweep &amp; dividend onshore'!Z41</f>
        <v>0</v>
      </c>
      <c r="AA36" s="291">
        <f ca="1">'Cash sweep &amp; dividend onshore'!AA41</f>
        <v>0</v>
      </c>
      <c r="AB36" s="291">
        <f ca="1">'Cash sweep &amp; dividend onshore'!AB41</f>
        <v>0</v>
      </c>
      <c r="AC36" s="291">
        <f ca="1">'Cash sweep &amp; dividend onshore'!AC41</f>
        <v>0</v>
      </c>
      <c r="AD36" s="291">
        <f ca="1">'Cash sweep &amp; dividend onshore'!AD41</f>
        <v>0</v>
      </c>
      <c r="AE36" s="291">
        <f ca="1">'Cash sweep &amp; dividend onshore'!AE41</f>
        <v>0</v>
      </c>
      <c r="AF36" s="291">
        <f ca="1">'Cash sweep &amp; dividend onshore'!AF41</f>
        <v>0</v>
      </c>
      <c r="AG36" s="291">
        <f ca="1">'Cash sweep &amp; dividend onshore'!AG41</f>
        <v>0</v>
      </c>
    </row>
    <row r="37" spans="3:33">
      <c r="C37" s="295" t="s">
        <v>729</v>
      </c>
      <c r="D37" s="291">
        <f>-D30*(D31+D32)/4</f>
        <v>0</v>
      </c>
      <c r="E37" s="291">
        <f t="shared" ref="E37:AF37" si="22">-E30*(E31+E32)/4</f>
        <v>0</v>
      </c>
      <c r="F37" s="291">
        <f t="shared" ca="1" si="22"/>
        <v>0</v>
      </c>
      <c r="G37" s="291">
        <f t="shared" ca="1" si="22"/>
        <v>0</v>
      </c>
      <c r="H37" s="291">
        <f t="shared" ca="1" si="22"/>
        <v>0</v>
      </c>
      <c r="I37" s="291">
        <f t="shared" ca="1" si="22"/>
        <v>0</v>
      </c>
      <c r="J37" s="291">
        <f t="shared" ca="1" si="22"/>
        <v>0</v>
      </c>
      <c r="K37" s="291">
        <f t="shared" ca="1" si="22"/>
        <v>0</v>
      </c>
      <c r="L37" s="291">
        <f t="shared" ca="1" si="22"/>
        <v>0</v>
      </c>
      <c r="M37" s="291">
        <f t="shared" ca="1" si="22"/>
        <v>0</v>
      </c>
      <c r="N37" s="291">
        <f t="shared" ca="1" si="22"/>
        <v>0</v>
      </c>
      <c r="O37" s="291">
        <f t="shared" ca="1" si="22"/>
        <v>0</v>
      </c>
      <c r="P37" s="291">
        <f t="shared" ca="1" si="22"/>
        <v>0</v>
      </c>
      <c r="Q37" s="291">
        <f t="shared" ca="1" si="22"/>
        <v>0</v>
      </c>
      <c r="R37" s="291">
        <f t="shared" ca="1" si="22"/>
        <v>0</v>
      </c>
      <c r="S37" s="291">
        <f t="shared" ca="1" si="22"/>
        <v>0</v>
      </c>
      <c r="T37" s="291">
        <f t="shared" ca="1" si="22"/>
        <v>0</v>
      </c>
      <c r="U37" s="291">
        <f t="shared" ca="1" si="22"/>
        <v>0</v>
      </c>
      <c r="V37" s="291">
        <f t="shared" ca="1" si="22"/>
        <v>0</v>
      </c>
      <c r="W37" s="291">
        <f t="shared" ca="1" si="22"/>
        <v>0</v>
      </c>
      <c r="X37" s="291">
        <f t="shared" ca="1" si="22"/>
        <v>0</v>
      </c>
      <c r="Y37" s="291">
        <f t="shared" ca="1" si="22"/>
        <v>0</v>
      </c>
      <c r="Z37" s="291">
        <f t="shared" ca="1" si="22"/>
        <v>0</v>
      </c>
      <c r="AA37" s="291">
        <f t="shared" ca="1" si="22"/>
        <v>0</v>
      </c>
      <c r="AB37" s="291">
        <f t="shared" ca="1" si="22"/>
        <v>0</v>
      </c>
      <c r="AC37" s="291">
        <f t="shared" ca="1" si="22"/>
        <v>0</v>
      </c>
      <c r="AD37" s="291">
        <f t="shared" ca="1" si="22"/>
        <v>0</v>
      </c>
      <c r="AE37" s="291">
        <f t="shared" ca="1" si="22"/>
        <v>0</v>
      </c>
      <c r="AF37" s="291">
        <f t="shared" ca="1" si="22"/>
        <v>0</v>
      </c>
      <c r="AG37" s="291">
        <f t="shared" ref="AG37" ca="1" si="23">-AG30*(AG31+AG32)/4</f>
        <v>0</v>
      </c>
    </row>
    <row r="38" spans="3:33">
      <c r="C38" s="195" t="s">
        <v>731</v>
      </c>
      <c r="D38" s="195">
        <f>SUM(D31:D37)</f>
        <v>0</v>
      </c>
      <c r="E38" s="195">
        <f ca="1">SUM(E31:E37)</f>
        <v>0</v>
      </c>
      <c r="F38" s="195">
        <f t="shared" ref="F38:AF38" ca="1" si="24">SUM(F31:F37)</f>
        <v>0</v>
      </c>
      <c r="G38" s="195">
        <f t="shared" ca="1" si="24"/>
        <v>0</v>
      </c>
      <c r="H38" s="195">
        <f t="shared" ca="1" si="24"/>
        <v>0</v>
      </c>
      <c r="I38" s="195">
        <f t="shared" ca="1" si="24"/>
        <v>0</v>
      </c>
      <c r="J38" s="195">
        <f t="shared" ca="1" si="24"/>
        <v>0</v>
      </c>
      <c r="K38" s="195">
        <f t="shared" ca="1" si="24"/>
        <v>0</v>
      </c>
      <c r="L38" s="195">
        <f t="shared" ca="1" si="24"/>
        <v>0</v>
      </c>
      <c r="M38" s="195">
        <f t="shared" ca="1" si="24"/>
        <v>0</v>
      </c>
      <c r="N38" s="195">
        <f t="shared" ca="1" si="24"/>
        <v>0</v>
      </c>
      <c r="O38" s="195">
        <f t="shared" ca="1" si="24"/>
        <v>0</v>
      </c>
      <c r="P38" s="195">
        <f t="shared" ca="1" si="24"/>
        <v>0</v>
      </c>
      <c r="Q38" s="195">
        <f t="shared" ca="1" si="24"/>
        <v>0</v>
      </c>
      <c r="R38" s="195">
        <f t="shared" ca="1" si="24"/>
        <v>0</v>
      </c>
      <c r="S38" s="195">
        <f t="shared" ca="1" si="24"/>
        <v>0</v>
      </c>
      <c r="T38" s="195">
        <f t="shared" ca="1" si="24"/>
        <v>0</v>
      </c>
      <c r="U38" s="195">
        <f t="shared" ca="1" si="24"/>
        <v>0</v>
      </c>
      <c r="V38" s="195">
        <f t="shared" ca="1" si="24"/>
        <v>0</v>
      </c>
      <c r="W38" s="195">
        <f t="shared" ca="1" si="24"/>
        <v>0</v>
      </c>
      <c r="X38" s="195">
        <f t="shared" ca="1" si="24"/>
        <v>0</v>
      </c>
      <c r="Y38" s="195">
        <f t="shared" ca="1" si="24"/>
        <v>0</v>
      </c>
      <c r="Z38" s="195">
        <f t="shared" ca="1" si="24"/>
        <v>0</v>
      </c>
      <c r="AA38" s="195">
        <f t="shared" ca="1" si="24"/>
        <v>0</v>
      </c>
      <c r="AB38" s="195">
        <f t="shared" ca="1" si="24"/>
        <v>0</v>
      </c>
      <c r="AC38" s="195">
        <f t="shared" ca="1" si="24"/>
        <v>0</v>
      </c>
      <c r="AD38" s="195">
        <f t="shared" ca="1" si="24"/>
        <v>0</v>
      </c>
      <c r="AE38" s="195">
        <f t="shared" ca="1" si="24"/>
        <v>0</v>
      </c>
      <c r="AF38" s="195">
        <f t="shared" ca="1" si="24"/>
        <v>0</v>
      </c>
      <c r="AG38" s="195">
        <f t="shared" ref="AG38" ca="1" si="25">SUM(AG31:AG37)</f>
        <v>0</v>
      </c>
    </row>
    <row r="39" spans="3:33">
      <c r="C39" s="195" t="s">
        <v>751</v>
      </c>
      <c r="D39" s="195">
        <f>+D32+SUM(D34:D37)</f>
        <v>0</v>
      </c>
      <c r="E39" s="195">
        <f t="shared" ref="E39:AB39" ca="1" si="26">+E32+SUM(E34:E37)</f>
        <v>0</v>
      </c>
      <c r="F39" s="195">
        <f t="shared" ca="1" si="26"/>
        <v>0</v>
      </c>
      <c r="G39" s="195">
        <f t="shared" ca="1" si="26"/>
        <v>0</v>
      </c>
      <c r="H39" s="195">
        <f t="shared" ca="1" si="26"/>
        <v>0</v>
      </c>
      <c r="I39" s="195">
        <f t="shared" ca="1" si="26"/>
        <v>0</v>
      </c>
      <c r="J39" s="195">
        <f t="shared" ca="1" si="26"/>
        <v>0</v>
      </c>
      <c r="K39" s="195">
        <f t="shared" ca="1" si="26"/>
        <v>0</v>
      </c>
      <c r="L39" s="195">
        <f t="shared" ca="1" si="26"/>
        <v>0</v>
      </c>
      <c r="M39" s="195">
        <f t="shared" ca="1" si="26"/>
        <v>0</v>
      </c>
      <c r="N39" s="195">
        <f t="shared" ca="1" si="26"/>
        <v>0</v>
      </c>
      <c r="O39" s="195">
        <f t="shared" ca="1" si="26"/>
        <v>0</v>
      </c>
      <c r="P39" s="195">
        <f t="shared" ca="1" si="26"/>
        <v>0</v>
      </c>
      <c r="Q39" s="195">
        <f t="shared" ca="1" si="26"/>
        <v>0</v>
      </c>
      <c r="R39" s="195">
        <f t="shared" ca="1" si="26"/>
        <v>0</v>
      </c>
      <c r="S39" s="195">
        <f t="shared" ca="1" si="26"/>
        <v>0</v>
      </c>
      <c r="T39" s="195">
        <f t="shared" ca="1" si="26"/>
        <v>0</v>
      </c>
      <c r="U39" s="195">
        <f t="shared" ca="1" si="26"/>
        <v>0</v>
      </c>
      <c r="V39" s="195">
        <f t="shared" ca="1" si="26"/>
        <v>0</v>
      </c>
      <c r="W39" s="195">
        <f t="shared" ca="1" si="26"/>
        <v>0</v>
      </c>
      <c r="X39" s="195">
        <f t="shared" ca="1" si="26"/>
        <v>0</v>
      </c>
      <c r="Y39" s="195">
        <f t="shared" ca="1" si="26"/>
        <v>0</v>
      </c>
      <c r="Z39" s="195">
        <f t="shared" ca="1" si="26"/>
        <v>0</v>
      </c>
      <c r="AA39" s="195">
        <f t="shared" ca="1" si="26"/>
        <v>0</v>
      </c>
      <c r="AB39" s="195">
        <f t="shared" ca="1" si="26"/>
        <v>0</v>
      </c>
      <c r="AC39" s="195">
        <f t="shared" ref="AC39:AF39" ca="1" si="27">+AC32+SUM(AC34:AC37)</f>
        <v>0</v>
      </c>
      <c r="AD39" s="195">
        <f t="shared" ca="1" si="27"/>
        <v>0</v>
      </c>
      <c r="AE39" s="195">
        <f t="shared" ca="1" si="27"/>
        <v>0</v>
      </c>
      <c r="AF39" s="195">
        <f t="shared" ca="1" si="27"/>
        <v>0</v>
      </c>
      <c r="AG39" s="195">
        <f t="shared" ref="AG39" ca="1" si="28">+AG32+SUM(AG34:AG37)</f>
        <v>0</v>
      </c>
    </row>
    <row r="40" spans="3:33"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  <c r="AE40" s="88"/>
      <c r="AF40" s="88"/>
      <c r="AG40" s="88"/>
    </row>
    <row r="41" spans="3:33">
      <c r="C41" s="209" t="s">
        <v>738</v>
      </c>
      <c r="D41" s="209"/>
      <c r="E41" s="209"/>
      <c r="F41" s="209"/>
      <c r="G41" s="209"/>
      <c r="H41" s="209"/>
      <c r="I41" s="209"/>
      <c r="J41" s="209"/>
      <c r="K41" s="209"/>
      <c r="L41" s="209"/>
      <c r="M41" s="209"/>
      <c r="N41" s="209"/>
      <c r="O41" s="209"/>
      <c r="P41" s="209"/>
      <c r="Q41" s="209"/>
      <c r="R41" s="209"/>
      <c r="S41" s="209"/>
      <c r="T41" s="209"/>
      <c r="U41" s="209"/>
      <c r="V41" s="209"/>
      <c r="W41" s="209"/>
      <c r="X41" s="209"/>
      <c r="Y41" s="209"/>
      <c r="Z41" s="209"/>
      <c r="AA41" s="209"/>
      <c r="AB41" s="209"/>
      <c r="AC41" s="209"/>
      <c r="AD41" s="209"/>
      <c r="AE41" s="209"/>
      <c r="AF41" s="209"/>
      <c r="AG41" s="209"/>
    </row>
    <row r="42" spans="3:33">
      <c r="C42" s="183" t="s">
        <v>739</v>
      </c>
      <c r="D42" s="183">
        <f>'Financing assumptions onshore'!M36</f>
        <v>5.6600000000000004E-2</v>
      </c>
      <c r="E42" s="183">
        <f>'Financing assumptions onshore'!N36</f>
        <v>5.6600000000000004E-2</v>
      </c>
      <c r="F42" s="183">
        <f>'Financing assumptions onshore'!O36</f>
        <v>5.6600000000000004E-2</v>
      </c>
      <c r="G42" s="183">
        <f>'Financing assumptions onshore'!P36</f>
        <v>5.6600000000000004E-2</v>
      </c>
      <c r="H42" s="183">
        <f ca="1">'Financing assumptions onshore'!Q36</f>
        <v>5.6600000000000004E-2</v>
      </c>
      <c r="I42" s="183">
        <f ca="1">'Financing assumptions onshore'!R36</f>
        <v>5.6600000000000004E-2</v>
      </c>
      <c r="J42" s="183">
        <f ca="1">'Financing assumptions onshore'!S36</f>
        <v>5.6600000000000004E-2</v>
      </c>
      <c r="K42" s="183">
        <f ca="1">'Financing assumptions onshore'!T36</f>
        <v>5.6600000000000004E-2</v>
      </c>
      <c r="L42" s="183">
        <f ca="1">'Financing assumptions onshore'!U36</f>
        <v>5.6600000000000004E-2</v>
      </c>
      <c r="M42" s="183">
        <f ca="1">'Financing assumptions onshore'!V36</f>
        <v>5.6600000000000004E-2</v>
      </c>
      <c r="N42" s="183">
        <f ca="1">'Financing assumptions onshore'!W36</f>
        <v>5.6600000000000004E-2</v>
      </c>
      <c r="O42" s="183">
        <f ca="1">'Financing assumptions onshore'!X36</f>
        <v>5.6600000000000004E-2</v>
      </c>
      <c r="P42" s="183">
        <f ca="1">'Financing assumptions onshore'!Y36</f>
        <v>5.6600000000000004E-2</v>
      </c>
      <c r="Q42" s="183">
        <f ca="1">'Financing assumptions onshore'!Z36</f>
        <v>5.6600000000000004E-2</v>
      </c>
      <c r="R42" s="183">
        <f ca="1">'Financing assumptions onshore'!AA36</f>
        <v>5.6600000000000004E-2</v>
      </c>
      <c r="S42" s="183">
        <f ca="1">'Financing assumptions onshore'!AB36</f>
        <v>5.6600000000000004E-2</v>
      </c>
      <c r="T42" s="183">
        <f ca="1">'Financing assumptions onshore'!AC36</f>
        <v>5.6600000000000004E-2</v>
      </c>
      <c r="U42" s="183">
        <f ca="1">'Financing assumptions onshore'!AD36</f>
        <v>5.6600000000000004E-2</v>
      </c>
      <c r="V42" s="183">
        <f ca="1">'Financing assumptions onshore'!AE36</f>
        <v>5.6600000000000004E-2</v>
      </c>
      <c r="W42" s="183">
        <f ca="1">'Financing assumptions onshore'!AF36</f>
        <v>5.6600000000000004E-2</v>
      </c>
      <c r="X42" s="183">
        <f ca="1">'Financing assumptions onshore'!AG36</f>
        <v>5.6600000000000004E-2</v>
      </c>
      <c r="Y42" s="183">
        <f ca="1">'Financing assumptions onshore'!AH36</f>
        <v>5.6600000000000004E-2</v>
      </c>
      <c r="Z42" s="183">
        <f ca="1">'Financing assumptions onshore'!AI36</f>
        <v>5.6600000000000004E-2</v>
      </c>
      <c r="AA42" s="183">
        <f ca="1">'Financing assumptions onshore'!AJ36</f>
        <v>5.6600000000000004E-2</v>
      </c>
      <c r="AB42" s="183">
        <f ca="1">'Financing assumptions onshore'!AK36</f>
        <v>5.6600000000000004E-2</v>
      </c>
      <c r="AC42" s="183">
        <f ca="1">'Financing assumptions onshore'!AL36</f>
        <v>5.6600000000000004E-2</v>
      </c>
      <c r="AD42" s="183">
        <f ca="1">'Financing assumptions onshore'!AM36</f>
        <v>5.6600000000000004E-2</v>
      </c>
      <c r="AE42" s="183">
        <f ca="1">'Financing assumptions onshore'!AN36</f>
        <v>5.6600000000000004E-2</v>
      </c>
      <c r="AF42" s="183">
        <f ca="1">'Financing assumptions onshore'!AO36</f>
        <v>5.6600000000000004E-2</v>
      </c>
      <c r="AG42" s="183">
        <f>'Financing assumptions onshore'!AP36</f>
        <v>0</v>
      </c>
    </row>
    <row r="43" spans="3:33">
      <c r="C43" s="183" t="s">
        <v>741</v>
      </c>
      <c r="D43" s="183">
        <f>D42-'Financing assumptions onshore'!$F$37/10000</f>
        <v>5.6600000000000004E-2</v>
      </c>
      <c r="E43" s="183">
        <f>E42-'Financing assumptions onshore'!$F$28/10000</f>
        <v>5.6600000000000004E-2</v>
      </c>
      <c r="F43" s="183">
        <f>F42-'Financing assumptions onshore'!$F$28/10000</f>
        <v>5.6600000000000004E-2</v>
      </c>
      <c r="G43" s="183">
        <f>G42-'Financing assumptions onshore'!$F$28/10000</f>
        <v>5.6600000000000004E-2</v>
      </c>
      <c r="H43" s="183">
        <f ca="1">H42-'Financing assumptions onshore'!$F$28/10000</f>
        <v>5.6600000000000004E-2</v>
      </c>
      <c r="I43" s="183">
        <f ca="1">I42-'Financing assumptions onshore'!$F$28/10000</f>
        <v>5.6600000000000004E-2</v>
      </c>
      <c r="J43" s="183">
        <f ca="1">J42-'Financing assumptions onshore'!$F$28/10000</f>
        <v>5.6600000000000004E-2</v>
      </c>
      <c r="K43" s="183">
        <f ca="1">K42-'Financing assumptions onshore'!$F$28/10000</f>
        <v>5.6600000000000004E-2</v>
      </c>
      <c r="L43" s="183">
        <f ca="1">L42-'Financing assumptions onshore'!$F$28/10000</f>
        <v>5.6600000000000004E-2</v>
      </c>
      <c r="M43" s="183">
        <f ca="1">M42-'Financing assumptions onshore'!$F$28/10000</f>
        <v>5.6600000000000004E-2</v>
      </c>
      <c r="N43" s="183">
        <f ca="1">N42-'Financing assumptions onshore'!$F$28/10000</f>
        <v>5.6600000000000004E-2</v>
      </c>
      <c r="O43" s="183">
        <f ca="1">O42-'Financing assumptions onshore'!$F$28/10000</f>
        <v>5.6600000000000004E-2</v>
      </c>
      <c r="P43" s="183">
        <f ca="1">P42-'Financing assumptions onshore'!$F$28/10000</f>
        <v>5.6600000000000004E-2</v>
      </c>
      <c r="Q43" s="183">
        <f ca="1">Q42-'Financing assumptions onshore'!$F$28/10000</f>
        <v>5.6600000000000004E-2</v>
      </c>
      <c r="R43" s="183">
        <f ca="1">R42-'Financing assumptions onshore'!$F$28/10000</f>
        <v>5.6600000000000004E-2</v>
      </c>
      <c r="S43" s="183">
        <f ca="1">S42-'Financing assumptions onshore'!$F$28/10000</f>
        <v>5.6600000000000004E-2</v>
      </c>
      <c r="T43" s="183">
        <f ca="1">T42-'Financing assumptions onshore'!$F$28/10000</f>
        <v>5.6600000000000004E-2</v>
      </c>
      <c r="U43" s="183">
        <f ca="1">U42-'Financing assumptions onshore'!$F$28/10000</f>
        <v>5.6600000000000004E-2</v>
      </c>
      <c r="V43" s="183">
        <f ca="1">V42-'Financing assumptions onshore'!$F$28/10000</f>
        <v>5.6600000000000004E-2</v>
      </c>
      <c r="W43" s="183">
        <f ca="1">W42-'Financing assumptions onshore'!$F$28/10000</f>
        <v>5.6600000000000004E-2</v>
      </c>
      <c r="X43" s="183">
        <f ca="1">X42-'Financing assumptions onshore'!$F$28/10000</f>
        <v>5.6600000000000004E-2</v>
      </c>
      <c r="Y43" s="183">
        <f ca="1">Y42-'Financing assumptions onshore'!$F$28/10000</f>
        <v>5.6600000000000004E-2</v>
      </c>
      <c r="Z43" s="183">
        <f ca="1">Z42-'Financing assumptions onshore'!$F$28/10000</f>
        <v>5.6600000000000004E-2</v>
      </c>
      <c r="AA43" s="183">
        <f ca="1">AA42-'Financing assumptions onshore'!$F$28/10000</f>
        <v>5.6600000000000004E-2</v>
      </c>
      <c r="AB43" s="183">
        <f ca="1">AB42-'Financing assumptions onshore'!$F$28/10000</f>
        <v>5.6600000000000004E-2</v>
      </c>
      <c r="AC43" s="183">
        <f ca="1">AC42-'Financing assumptions onshore'!$F$28/10000</f>
        <v>5.6600000000000004E-2</v>
      </c>
      <c r="AD43" s="183">
        <f ca="1">AD42-'Financing assumptions onshore'!$F$28/10000</f>
        <v>5.6600000000000004E-2</v>
      </c>
      <c r="AE43" s="183">
        <f ca="1">AE42-'Financing assumptions onshore'!$F$28/10000</f>
        <v>5.6600000000000004E-2</v>
      </c>
      <c r="AF43" s="183">
        <f ca="1">AF42-'Financing assumptions onshore'!$F$28/10000</f>
        <v>5.6600000000000004E-2</v>
      </c>
      <c r="AG43" s="183">
        <f>AG42-'Financing assumptions onshore'!$F$28/10000</f>
        <v>0</v>
      </c>
    </row>
    <row r="44" spans="3:33">
      <c r="C44" s="180" t="s">
        <v>730</v>
      </c>
      <c r="D44" s="180">
        <v>0</v>
      </c>
      <c r="E44" s="180">
        <f>D51</f>
        <v>0</v>
      </c>
      <c r="F44" s="180">
        <f t="shared" ref="F44:AG44" ca="1" si="29">E51</f>
        <v>0</v>
      </c>
      <c r="G44" s="180">
        <f t="shared" ca="1" si="29"/>
        <v>0</v>
      </c>
      <c r="H44" s="180">
        <f t="shared" ca="1" si="29"/>
        <v>0</v>
      </c>
      <c r="I44" s="180">
        <f t="shared" ca="1" si="29"/>
        <v>0</v>
      </c>
      <c r="J44" s="180">
        <f t="shared" ca="1" si="29"/>
        <v>0</v>
      </c>
      <c r="K44" s="180">
        <f t="shared" ca="1" si="29"/>
        <v>0</v>
      </c>
      <c r="L44" s="180">
        <f t="shared" ca="1" si="29"/>
        <v>0</v>
      </c>
      <c r="M44" s="180">
        <f t="shared" ca="1" si="29"/>
        <v>0</v>
      </c>
      <c r="N44" s="180">
        <f t="shared" ca="1" si="29"/>
        <v>0</v>
      </c>
      <c r="O44" s="180">
        <f t="shared" ca="1" si="29"/>
        <v>0</v>
      </c>
      <c r="P44" s="180">
        <f t="shared" ca="1" si="29"/>
        <v>0</v>
      </c>
      <c r="Q44" s="180">
        <f t="shared" ca="1" si="29"/>
        <v>0</v>
      </c>
      <c r="R44" s="180">
        <f t="shared" ca="1" si="29"/>
        <v>0</v>
      </c>
      <c r="S44" s="180">
        <f t="shared" ca="1" si="29"/>
        <v>0</v>
      </c>
      <c r="T44" s="180">
        <f t="shared" ca="1" si="29"/>
        <v>0</v>
      </c>
      <c r="U44" s="180">
        <f t="shared" ca="1" si="29"/>
        <v>0</v>
      </c>
      <c r="V44" s="180">
        <f t="shared" ca="1" si="29"/>
        <v>0</v>
      </c>
      <c r="W44" s="180">
        <f t="shared" ca="1" si="29"/>
        <v>0</v>
      </c>
      <c r="X44" s="180">
        <f t="shared" ca="1" si="29"/>
        <v>0</v>
      </c>
      <c r="Y44" s="180">
        <f t="shared" ca="1" si="29"/>
        <v>0</v>
      </c>
      <c r="Z44" s="180">
        <f t="shared" ca="1" si="29"/>
        <v>0</v>
      </c>
      <c r="AA44" s="180">
        <f t="shared" ca="1" si="29"/>
        <v>0</v>
      </c>
      <c r="AB44" s="180">
        <f t="shared" ca="1" si="29"/>
        <v>0</v>
      </c>
      <c r="AC44" s="180">
        <f t="shared" ca="1" si="29"/>
        <v>0</v>
      </c>
      <c r="AD44" s="180">
        <f t="shared" ca="1" si="29"/>
        <v>0</v>
      </c>
      <c r="AE44" s="180">
        <f t="shared" ca="1" si="29"/>
        <v>0</v>
      </c>
      <c r="AF44" s="180">
        <f t="shared" ca="1" si="29"/>
        <v>0</v>
      </c>
      <c r="AG44" s="180">
        <f t="shared" ca="1" si="29"/>
        <v>0</v>
      </c>
    </row>
    <row r="45" spans="3:33">
      <c r="C45" s="295" t="s">
        <v>725</v>
      </c>
      <c r="D45" s="291">
        <f>'Financing assumptions onshore'!F33*1000</f>
        <v>0</v>
      </c>
      <c r="E45" s="291">
        <v>0</v>
      </c>
      <c r="F45" s="291">
        <v>0</v>
      </c>
      <c r="G45" s="291">
        <v>0</v>
      </c>
      <c r="H45" s="291">
        <v>0</v>
      </c>
      <c r="I45" s="291">
        <v>0</v>
      </c>
      <c r="J45" s="291">
        <v>0</v>
      </c>
      <c r="K45" s="291">
        <v>0</v>
      </c>
      <c r="L45" s="291">
        <v>0</v>
      </c>
      <c r="M45" s="291">
        <v>0</v>
      </c>
      <c r="N45" s="291">
        <v>0</v>
      </c>
      <c r="O45" s="291">
        <v>0</v>
      </c>
      <c r="P45" s="291">
        <v>0</v>
      </c>
      <c r="Q45" s="291">
        <v>0</v>
      </c>
      <c r="R45" s="291">
        <v>0</v>
      </c>
      <c r="S45" s="291">
        <v>0</v>
      </c>
      <c r="T45" s="291">
        <v>0</v>
      </c>
      <c r="U45" s="291">
        <v>0</v>
      </c>
      <c r="V45" s="291">
        <v>0</v>
      </c>
      <c r="W45" s="291">
        <v>0</v>
      </c>
      <c r="X45" s="291">
        <v>0</v>
      </c>
      <c r="Y45" s="291">
        <v>0</v>
      </c>
      <c r="Z45" s="291">
        <v>0</v>
      </c>
      <c r="AA45" s="291">
        <v>0</v>
      </c>
      <c r="AB45" s="291">
        <v>0</v>
      </c>
      <c r="AC45" s="291">
        <v>0</v>
      </c>
      <c r="AD45" s="291">
        <v>0</v>
      </c>
      <c r="AE45" s="291">
        <v>0</v>
      </c>
      <c r="AF45" s="291">
        <v>0</v>
      </c>
      <c r="AG45" s="291">
        <v>0</v>
      </c>
    </row>
    <row r="46" spans="3:33">
      <c r="C46" s="295" t="s">
        <v>726</v>
      </c>
      <c r="D46" s="291">
        <f>(D44+D45)*D42/4</f>
        <v>0</v>
      </c>
      <c r="E46" s="291">
        <f t="shared" ref="E46:AF46" si="30">(E44+E45)*E42/4</f>
        <v>0</v>
      </c>
      <c r="F46" s="291">
        <f t="shared" ca="1" si="30"/>
        <v>0</v>
      </c>
      <c r="G46" s="291">
        <f t="shared" ca="1" si="30"/>
        <v>0</v>
      </c>
      <c r="H46" s="291">
        <f t="shared" ca="1" si="30"/>
        <v>0</v>
      </c>
      <c r="I46" s="291">
        <f t="shared" ca="1" si="30"/>
        <v>0</v>
      </c>
      <c r="J46" s="291">
        <f t="shared" ca="1" si="30"/>
        <v>0</v>
      </c>
      <c r="K46" s="291">
        <f t="shared" ca="1" si="30"/>
        <v>0</v>
      </c>
      <c r="L46" s="291">
        <f t="shared" ca="1" si="30"/>
        <v>0</v>
      </c>
      <c r="M46" s="291">
        <f t="shared" ca="1" si="30"/>
        <v>0</v>
      </c>
      <c r="N46" s="291">
        <f t="shared" ca="1" si="30"/>
        <v>0</v>
      </c>
      <c r="O46" s="291">
        <f t="shared" ca="1" si="30"/>
        <v>0</v>
      </c>
      <c r="P46" s="291">
        <f t="shared" ca="1" si="30"/>
        <v>0</v>
      </c>
      <c r="Q46" s="291">
        <f t="shared" ca="1" si="30"/>
        <v>0</v>
      </c>
      <c r="R46" s="291">
        <f t="shared" ca="1" si="30"/>
        <v>0</v>
      </c>
      <c r="S46" s="291">
        <f t="shared" ca="1" si="30"/>
        <v>0</v>
      </c>
      <c r="T46" s="291">
        <f t="shared" ca="1" si="30"/>
        <v>0</v>
      </c>
      <c r="U46" s="291">
        <f t="shared" ca="1" si="30"/>
        <v>0</v>
      </c>
      <c r="V46" s="291">
        <f t="shared" ca="1" si="30"/>
        <v>0</v>
      </c>
      <c r="W46" s="291">
        <f t="shared" ca="1" si="30"/>
        <v>0</v>
      </c>
      <c r="X46" s="291">
        <f t="shared" ca="1" si="30"/>
        <v>0</v>
      </c>
      <c r="Y46" s="291">
        <f t="shared" ca="1" si="30"/>
        <v>0</v>
      </c>
      <c r="Z46" s="291">
        <f t="shared" ca="1" si="30"/>
        <v>0</v>
      </c>
      <c r="AA46" s="291">
        <f t="shared" ca="1" si="30"/>
        <v>0</v>
      </c>
      <c r="AB46" s="291">
        <f t="shared" ca="1" si="30"/>
        <v>0</v>
      </c>
      <c r="AC46" s="291">
        <f t="shared" ca="1" si="30"/>
        <v>0</v>
      </c>
      <c r="AD46" s="291">
        <f t="shared" ca="1" si="30"/>
        <v>0</v>
      </c>
      <c r="AE46" s="291">
        <f t="shared" ca="1" si="30"/>
        <v>0</v>
      </c>
      <c r="AF46" s="291">
        <f t="shared" ca="1" si="30"/>
        <v>0</v>
      </c>
      <c r="AG46" s="291">
        <f t="shared" ref="AG46" ca="1" si="31">(AG44+AG45)*AG42/4</f>
        <v>0</v>
      </c>
    </row>
    <row r="47" spans="3:33">
      <c r="C47" s="295" t="s">
        <v>727</v>
      </c>
      <c r="D47" s="291">
        <f>MAX(+'Financing assumptions onshore'!M33*1000,-(D44+D45))</f>
        <v>0</v>
      </c>
      <c r="E47" s="291">
        <f>MAX(+'Financing assumptions onshore'!N33*1000,-(E44+E45))</f>
        <v>0</v>
      </c>
      <c r="F47" s="291">
        <f ca="1">MAX(+'Financing assumptions onshore'!O33*1000,-(F44+F45))</f>
        <v>0</v>
      </c>
      <c r="G47" s="291">
        <f ca="1">MAX(+'Financing assumptions onshore'!P33*1000,-(G44+G45))</f>
        <v>0</v>
      </c>
      <c r="H47" s="291">
        <f ca="1">MAX(+'Financing assumptions onshore'!Q33*1000,-(H44+H45))</f>
        <v>0</v>
      </c>
      <c r="I47" s="291">
        <f ca="1">MAX(+'Financing assumptions onshore'!R33*1000,-(I44+I45))</f>
        <v>0</v>
      </c>
      <c r="J47" s="291">
        <f ca="1">MAX(+'Financing assumptions onshore'!S33*1000,-(J44+J45))</f>
        <v>0</v>
      </c>
      <c r="K47" s="291">
        <f ca="1">MAX(+'Financing assumptions onshore'!T33*1000,-(K44+K45))</f>
        <v>0</v>
      </c>
      <c r="L47" s="291">
        <f ca="1">MAX(+'Financing assumptions onshore'!U33*1000,-(L44+L45))</f>
        <v>0</v>
      </c>
      <c r="M47" s="291">
        <f ca="1">MAX(+'Financing assumptions onshore'!V33*1000,-(M44+M45))</f>
        <v>0</v>
      </c>
      <c r="N47" s="291">
        <f ca="1">MAX(+'Financing assumptions onshore'!W33*1000,-(N44+N45))</f>
        <v>0</v>
      </c>
      <c r="O47" s="291">
        <f ca="1">MAX(+'Financing assumptions onshore'!X33*1000,-(O44+O45))</f>
        <v>0</v>
      </c>
      <c r="P47" s="291">
        <f ca="1">MAX(+'Financing assumptions onshore'!Y33*1000,-(P44+P45))</f>
        <v>0</v>
      </c>
      <c r="Q47" s="291">
        <f ca="1">MAX(+'Financing assumptions onshore'!Z33*1000,-(Q44+Q45))</f>
        <v>0</v>
      </c>
      <c r="R47" s="291">
        <f ca="1">MAX(+'Financing assumptions onshore'!AA33*1000,-(R44+R45))</f>
        <v>0</v>
      </c>
      <c r="S47" s="291">
        <f ca="1">MAX(+'Financing assumptions onshore'!AB33*1000,-(S44+S45))</f>
        <v>0</v>
      </c>
      <c r="T47" s="291">
        <f ca="1">MAX(+'Financing assumptions onshore'!AC33*1000,-(T44+T45))</f>
        <v>0</v>
      </c>
      <c r="U47" s="291">
        <f ca="1">MAX(+'Financing assumptions onshore'!AD33*1000,-(U44+U45))</f>
        <v>0</v>
      </c>
      <c r="V47" s="291">
        <f ca="1">MAX(+'Financing assumptions onshore'!AE33*1000,-(V44+V45))</f>
        <v>0</v>
      </c>
      <c r="W47" s="291">
        <f ca="1">MAX(+'Financing assumptions onshore'!AF33*1000,-(W44+W45))</f>
        <v>0</v>
      </c>
      <c r="X47" s="291">
        <f ca="1">MAX(+'Financing assumptions onshore'!AG33*1000,-(X44+X45))</f>
        <v>0</v>
      </c>
      <c r="Y47" s="291">
        <f ca="1">MAX(+'Financing assumptions onshore'!AH33*1000,-(Y44+Y45))</f>
        <v>0</v>
      </c>
      <c r="Z47" s="291">
        <f ca="1">MAX(+'Financing assumptions onshore'!AI33*1000,-(Z44+Z45))</f>
        <v>0</v>
      </c>
      <c r="AA47" s="291">
        <f ca="1">MAX(+'Financing assumptions onshore'!AJ33*1000,-(AA44+AA45))</f>
        <v>0</v>
      </c>
      <c r="AB47" s="291">
        <f ca="1">MAX(+'Financing assumptions onshore'!AK33*1000,-(AB44+AB45))</f>
        <v>0</v>
      </c>
      <c r="AC47" s="291">
        <f ca="1">MAX(+'Financing assumptions onshore'!AL33*1000,-(AC44+AC45))</f>
        <v>0</v>
      </c>
      <c r="AD47" s="291">
        <f ca="1">MAX(+'Financing assumptions onshore'!AM33*1000,-(AD44+AD45))</f>
        <v>0</v>
      </c>
      <c r="AE47" s="291">
        <f ca="1">MAX(+'Financing assumptions onshore'!AN33*1000,-(AE44+AE45))</f>
        <v>0</v>
      </c>
      <c r="AF47" s="291">
        <f ca="1">MAX(+'Financing assumptions onshore'!AO33*1000,-(AF44+AF45))</f>
        <v>0</v>
      </c>
      <c r="AG47" s="291">
        <f ca="1">MAX(+'Financing assumptions onshore'!AP33*1000,-(AG44+AG45))</f>
        <v>0</v>
      </c>
    </row>
    <row r="48" spans="3:33">
      <c r="C48" s="295" t="s">
        <v>733</v>
      </c>
      <c r="D48" s="291">
        <v>0</v>
      </c>
      <c r="E48" s="291">
        <f>IFERROR(SUM($D49:D49)/$D45*E47*'Financing assumptions onshore'!$F$64,0)</f>
        <v>0</v>
      </c>
      <c r="F48" s="291">
        <f ca="1">IFERROR(SUM($D49:E49)/$D45*F47*'Financing assumptions onshore'!$F$64,0)</f>
        <v>0</v>
      </c>
      <c r="G48" s="291">
        <f ca="1">IFERROR(SUM($D49:F49)/$D45*G47*'Financing assumptions onshore'!$F$64,0)</f>
        <v>0</v>
      </c>
      <c r="H48" s="291">
        <f ca="1">IFERROR(SUM($D49:G49)/$D45*H47*'Financing assumptions onshore'!$F$64,0)</f>
        <v>0</v>
      </c>
      <c r="I48" s="291">
        <f ca="1">IFERROR(SUM($D49:H49)/$D45*I47*'Financing assumptions onshore'!$F$64,0)</f>
        <v>0</v>
      </c>
      <c r="J48" s="291">
        <f ca="1">IFERROR(SUM($D49:I49)/$D45*J47*'Financing assumptions onshore'!$F$64,0)</f>
        <v>0</v>
      </c>
      <c r="K48" s="291">
        <f ca="1">IFERROR(SUM($D49:J49)/$D45*K47*'Financing assumptions onshore'!$F$64,0)</f>
        <v>0</v>
      </c>
      <c r="L48" s="291">
        <f ca="1">IFERROR(SUM($D49:K49)/$D45*L47*'Financing assumptions onshore'!$F$64,0)</f>
        <v>0</v>
      </c>
      <c r="M48" s="291">
        <f ca="1">IFERROR(SUM($D49:L49)/$D45*M47*'Financing assumptions onshore'!$F$64,0)</f>
        <v>0</v>
      </c>
      <c r="N48" s="291">
        <f ca="1">IFERROR(SUM($D49:M49)/$D45*N47*'Financing assumptions onshore'!$F$64,0)</f>
        <v>0</v>
      </c>
      <c r="O48" s="291">
        <f ca="1">IFERROR(SUM($D49:N49)/$D45*O47*'Financing assumptions onshore'!$F$64,0)</f>
        <v>0</v>
      </c>
      <c r="P48" s="291">
        <f ca="1">IFERROR(SUM($D49:O49)/$D45*P47*'Financing assumptions onshore'!$F$64,0)</f>
        <v>0</v>
      </c>
      <c r="Q48" s="291">
        <f ca="1">IFERROR(SUM($D49:P49)/$D45*Q47*'Financing assumptions onshore'!$F$64,0)</f>
        <v>0</v>
      </c>
      <c r="R48" s="291">
        <f ca="1">IFERROR(SUM($D49:Q49)/$D45*R47*'Financing assumptions onshore'!$F$64,0)</f>
        <v>0</v>
      </c>
      <c r="S48" s="291">
        <f ca="1">IFERROR(SUM($D49:R49)/$D45*S47*'Financing assumptions onshore'!$F$64,0)</f>
        <v>0</v>
      </c>
      <c r="T48" s="291">
        <f ca="1">IFERROR(SUM($D49:S49)/$D45*T47*'Financing assumptions onshore'!$F$64,0)</f>
        <v>0</v>
      </c>
      <c r="U48" s="291">
        <f ca="1">IFERROR(SUM($D49:T49)/$D45*U47*'Financing assumptions onshore'!$F$64,0)</f>
        <v>0</v>
      </c>
      <c r="V48" s="291">
        <f ca="1">IFERROR(SUM($D49:U49)/$D45*V47*'Financing assumptions onshore'!$F$64,0)</f>
        <v>0</v>
      </c>
      <c r="W48" s="291">
        <f ca="1">IFERROR(SUM($D49:V49)/$D45*W47*'Financing assumptions onshore'!$F$64,0)</f>
        <v>0</v>
      </c>
      <c r="X48" s="291">
        <f ca="1">IFERROR(SUM($D49:W49)/$D45*X47*'Financing assumptions onshore'!$F$64,0)</f>
        <v>0</v>
      </c>
      <c r="Y48" s="291">
        <f ca="1">IFERROR(SUM($D49:X49)/$D45*Y47*'Financing assumptions onshore'!$F$64,0)</f>
        <v>0</v>
      </c>
      <c r="Z48" s="291">
        <f ca="1">IFERROR(SUM($D49:Y49)/$D45*Z47*'Financing assumptions onshore'!$F$64,0)</f>
        <v>0</v>
      </c>
      <c r="AA48" s="291">
        <f ca="1">IFERROR(SUM($D49:Z49)/$D45*AA47*'Financing assumptions onshore'!$F$64,0)</f>
        <v>0</v>
      </c>
      <c r="AB48" s="291">
        <f ca="1">IFERROR(SUM($D49:AA49)/$D45*AB47*'Financing assumptions onshore'!$F$64,0)</f>
        <v>0</v>
      </c>
      <c r="AC48" s="291">
        <f ca="1">IFERROR(SUM($D49:AB49)/$D45*AC47*'Financing assumptions onshore'!$F$64,0)</f>
        <v>0</v>
      </c>
      <c r="AD48" s="291">
        <f ca="1">IFERROR(SUM($D49:AC49)/$D45*AD47*'Financing assumptions onshore'!$F$64,0)</f>
        <v>0</v>
      </c>
      <c r="AE48" s="291">
        <f ca="1">IFERROR(SUM($D49:AD49)/$D45*AE47*'Financing assumptions onshore'!$F$64,0)</f>
        <v>0</v>
      </c>
      <c r="AF48" s="291">
        <f ca="1">IFERROR(SUM($D49:AE49)/$D45*AF47*'Financing assumptions onshore'!$F$64,0)</f>
        <v>0</v>
      </c>
      <c r="AG48" s="291">
        <f ca="1">IFERROR(SUM($D49:AF49)/$D45*AG47*'Financing assumptions onshore'!$F$64,0)</f>
        <v>0</v>
      </c>
    </row>
    <row r="49" spans="3:33">
      <c r="C49" s="295" t="s">
        <v>728</v>
      </c>
      <c r="D49" s="291">
        <f>'Cash sweep &amp; dividend onshore'!D43</f>
        <v>0</v>
      </c>
      <c r="E49" s="291">
        <f ca="1">'Cash sweep &amp; dividend onshore'!E43</f>
        <v>0</v>
      </c>
      <c r="F49" s="291">
        <f ca="1">'Cash sweep &amp; dividend onshore'!F43</f>
        <v>0</v>
      </c>
      <c r="G49" s="291">
        <f ca="1">'Cash sweep &amp; dividend onshore'!G43</f>
        <v>0</v>
      </c>
      <c r="H49" s="291">
        <f ca="1">'Cash sweep &amp; dividend onshore'!H43</f>
        <v>0</v>
      </c>
      <c r="I49" s="291">
        <f ca="1">'Cash sweep &amp; dividend onshore'!I43</f>
        <v>0</v>
      </c>
      <c r="J49" s="291">
        <f ca="1">'Cash sweep &amp; dividend onshore'!J43</f>
        <v>0</v>
      </c>
      <c r="K49" s="291">
        <f ca="1">'Cash sweep &amp; dividend onshore'!K43</f>
        <v>0</v>
      </c>
      <c r="L49" s="291">
        <f ca="1">'Cash sweep &amp; dividend onshore'!L43</f>
        <v>0</v>
      </c>
      <c r="M49" s="291">
        <f ca="1">'Cash sweep &amp; dividend onshore'!M43</f>
        <v>0</v>
      </c>
      <c r="N49" s="291">
        <f ca="1">'Cash sweep &amp; dividend onshore'!N43</f>
        <v>0</v>
      </c>
      <c r="O49" s="291">
        <f ca="1">'Cash sweep &amp; dividend onshore'!O43</f>
        <v>0</v>
      </c>
      <c r="P49" s="291">
        <f ca="1">'Cash sweep &amp; dividend onshore'!P43</f>
        <v>0</v>
      </c>
      <c r="Q49" s="291">
        <f ca="1">'Cash sweep &amp; dividend onshore'!Q43</f>
        <v>0</v>
      </c>
      <c r="R49" s="291">
        <f ca="1">'Cash sweep &amp; dividend onshore'!R43</f>
        <v>0</v>
      </c>
      <c r="S49" s="291">
        <f ca="1">'Cash sweep &amp; dividend onshore'!S43</f>
        <v>0</v>
      </c>
      <c r="T49" s="291">
        <f ca="1">'Cash sweep &amp; dividend onshore'!T43</f>
        <v>0</v>
      </c>
      <c r="U49" s="291">
        <f ca="1">'Cash sweep &amp; dividend onshore'!U43</f>
        <v>0</v>
      </c>
      <c r="V49" s="291">
        <f ca="1">'Cash sweep &amp; dividend onshore'!V43</f>
        <v>0</v>
      </c>
      <c r="W49" s="291">
        <f ca="1">'Cash sweep &amp; dividend onshore'!W43</f>
        <v>0</v>
      </c>
      <c r="X49" s="291">
        <f ca="1">'Cash sweep &amp; dividend onshore'!X43</f>
        <v>0</v>
      </c>
      <c r="Y49" s="291">
        <f ca="1">'Cash sweep &amp; dividend onshore'!Y43</f>
        <v>0</v>
      </c>
      <c r="Z49" s="291">
        <f ca="1">'Cash sweep &amp; dividend onshore'!Z43</f>
        <v>0</v>
      </c>
      <c r="AA49" s="291">
        <f ca="1">'Cash sweep &amp; dividend onshore'!AA43</f>
        <v>0</v>
      </c>
      <c r="AB49" s="291">
        <f ca="1">'Cash sweep &amp; dividend onshore'!AB43</f>
        <v>0</v>
      </c>
      <c r="AC49" s="291">
        <f ca="1">'Cash sweep &amp; dividend onshore'!AC43</f>
        <v>0</v>
      </c>
      <c r="AD49" s="291">
        <f ca="1">'Cash sweep &amp; dividend onshore'!AD43</f>
        <v>0</v>
      </c>
      <c r="AE49" s="291">
        <f ca="1">'Cash sweep &amp; dividend onshore'!AE43</f>
        <v>0</v>
      </c>
      <c r="AF49" s="291">
        <f ca="1">'Cash sweep &amp; dividend onshore'!AF43</f>
        <v>0</v>
      </c>
      <c r="AG49" s="291">
        <f ca="1">'Cash sweep &amp; dividend onshore'!AG43</f>
        <v>0</v>
      </c>
    </row>
    <row r="50" spans="3:33">
      <c r="C50" s="295" t="s">
        <v>729</v>
      </c>
      <c r="D50" s="291">
        <f>-D43*(D44+D45)/4</f>
        <v>0</v>
      </c>
      <c r="E50" s="291">
        <f t="shared" ref="E50:AF50" si="32">-E43*(E44+E45)/4</f>
        <v>0</v>
      </c>
      <c r="F50" s="291">
        <f t="shared" ca="1" si="32"/>
        <v>0</v>
      </c>
      <c r="G50" s="291">
        <f t="shared" ca="1" si="32"/>
        <v>0</v>
      </c>
      <c r="H50" s="291">
        <f t="shared" ca="1" si="32"/>
        <v>0</v>
      </c>
      <c r="I50" s="291">
        <f t="shared" ca="1" si="32"/>
        <v>0</v>
      </c>
      <c r="J50" s="291">
        <f t="shared" ca="1" si="32"/>
        <v>0</v>
      </c>
      <c r="K50" s="291">
        <f t="shared" ca="1" si="32"/>
        <v>0</v>
      </c>
      <c r="L50" s="291">
        <f t="shared" ca="1" si="32"/>
        <v>0</v>
      </c>
      <c r="M50" s="291">
        <f t="shared" ca="1" si="32"/>
        <v>0</v>
      </c>
      <c r="N50" s="291">
        <f t="shared" ca="1" si="32"/>
        <v>0</v>
      </c>
      <c r="O50" s="291">
        <f t="shared" ca="1" si="32"/>
        <v>0</v>
      </c>
      <c r="P50" s="291">
        <f t="shared" ca="1" si="32"/>
        <v>0</v>
      </c>
      <c r="Q50" s="291">
        <f t="shared" ca="1" si="32"/>
        <v>0</v>
      </c>
      <c r="R50" s="291">
        <f t="shared" ca="1" si="32"/>
        <v>0</v>
      </c>
      <c r="S50" s="291">
        <f t="shared" ca="1" si="32"/>
        <v>0</v>
      </c>
      <c r="T50" s="291">
        <f t="shared" ca="1" si="32"/>
        <v>0</v>
      </c>
      <c r="U50" s="291">
        <f t="shared" ca="1" si="32"/>
        <v>0</v>
      </c>
      <c r="V50" s="291">
        <f t="shared" ca="1" si="32"/>
        <v>0</v>
      </c>
      <c r="W50" s="291">
        <f t="shared" ca="1" si="32"/>
        <v>0</v>
      </c>
      <c r="X50" s="291">
        <f t="shared" ca="1" si="32"/>
        <v>0</v>
      </c>
      <c r="Y50" s="291">
        <f t="shared" ca="1" si="32"/>
        <v>0</v>
      </c>
      <c r="Z50" s="291">
        <f t="shared" ca="1" si="32"/>
        <v>0</v>
      </c>
      <c r="AA50" s="291">
        <f t="shared" ca="1" si="32"/>
        <v>0</v>
      </c>
      <c r="AB50" s="291">
        <f t="shared" ca="1" si="32"/>
        <v>0</v>
      </c>
      <c r="AC50" s="291">
        <f t="shared" ca="1" si="32"/>
        <v>0</v>
      </c>
      <c r="AD50" s="291">
        <f t="shared" ca="1" si="32"/>
        <v>0</v>
      </c>
      <c r="AE50" s="291">
        <f t="shared" ca="1" si="32"/>
        <v>0</v>
      </c>
      <c r="AF50" s="291">
        <f t="shared" ca="1" si="32"/>
        <v>0</v>
      </c>
      <c r="AG50" s="291">
        <f t="shared" ref="AG50" ca="1" si="33">-AG43*(AG44+AG45)/4</f>
        <v>0</v>
      </c>
    </row>
    <row r="51" spans="3:33">
      <c r="C51" s="195" t="s">
        <v>731</v>
      </c>
      <c r="D51" s="195">
        <f>SUM(D44:D50)</f>
        <v>0</v>
      </c>
      <c r="E51" s="195">
        <f ca="1">SUM(E44:E50)</f>
        <v>0</v>
      </c>
      <c r="F51" s="195">
        <f t="shared" ref="F51:AF51" ca="1" si="34">SUM(F44:F50)</f>
        <v>0</v>
      </c>
      <c r="G51" s="195">
        <f t="shared" ca="1" si="34"/>
        <v>0</v>
      </c>
      <c r="H51" s="195">
        <f t="shared" ca="1" si="34"/>
        <v>0</v>
      </c>
      <c r="I51" s="195">
        <f t="shared" ca="1" si="34"/>
        <v>0</v>
      </c>
      <c r="J51" s="195">
        <f t="shared" ca="1" si="34"/>
        <v>0</v>
      </c>
      <c r="K51" s="195">
        <f t="shared" ca="1" si="34"/>
        <v>0</v>
      </c>
      <c r="L51" s="195">
        <f t="shared" ca="1" si="34"/>
        <v>0</v>
      </c>
      <c r="M51" s="195">
        <f t="shared" ca="1" si="34"/>
        <v>0</v>
      </c>
      <c r="N51" s="195">
        <f t="shared" ca="1" si="34"/>
        <v>0</v>
      </c>
      <c r="O51" s="195">
        <f t="shared" ca="1" si="34"/>
        <v>0</v>
      </c>
      <c r="P51" s="195">
        <f t="shared" ca="1" si="34"/>
        <v>0</v>
      </c>
      <c r="Q51" s="195">
        <f t="shared" ca="1" si="34"/>
        <v>0</v>
      </c>
      <c r="R51" s="195">
        <f t="shared" ca="1" si="34"/>
        <v>0</v>
      </c>
      <c r="S51" s="195">
        <f t="shared" ca="1" si="34"/>
        <v>0</v>
      </c>
      <c r="T51" s="195">
        <f t="shared" ca="1" si="34"/>
        <v>0</v>
      </c>
      <c r="U51" s="195">
        <f t="shared" ca="1" si="34"/>
        <v>0</v>
      </c>
      <c r="V51" s="195">
        <f t="shared" ca="1" si="34"/>
        <v>0</v>
      </c>
      <c r="W51" s="195">
        <f t="shared" ca="1" si="34"/>
        <v>0</v>
      </c>
      <c r="X51" s="195">
        <f t="shared" ca="1" si="34"/>
        <v>0</v>
      </c>
      <c r="Y51" s="195">
        <f t="shared" ca="1" si="34"/>
        <v>0</v>
      </c>
      <c r="Z51" s="195">
        <f t="shared" ca="1" si="34"/>
        <v>0</v>
      </c>
      <c r="AA51" s="195">
        <f t="shared" ca="1" si="34"/>
        <v>0</v>
      </c>
      <c r="AB51" s="195">
        <f t="shared" ca="1" si="34"/>
        <v>0</v>
      </c>
      <c r="AC51" s="195">
        <f t="shared" ca="1" si="34"/>
        <v>0</v>
      </c>
      <c r="AD51" s="195">
        <f t="shared" ca="1" si="34"/>
        <v>0</v>
      </c>
      <c r="AE51" s="195">
        <f t="shared" ca="1" si="34"/>
        <v>0</v>
      </c>
      <c r="AF51" s="195">
        <f t="shared" ca="1" si="34"/>
        <v>0</v>
      </c>
      <c r="AG51" s="195">
        <f t="shared" ref="AG51" ca="1" si="35">SUM(AG44:AG50)</f>
        <v>0</v>
      </c>
    </row>
    <row r="52" spans="3:33">
      <c r="C52" s="195" t="s">
        <v>750</v>
      </c>
      <c r="D52" s="195">
        <f>+D45+SUM(D47:D50)</f>
        <v>0</v>
      </c>
      <c r="E52" s="195">
        <f t="shared" ref="E52:AB52" ca="1" si="36">+E45+SUM(E47:E50)</f>
        <v>0</v>
      </c>
      <c r="F52" s="195">
        <f t="shared" ca="1" si="36"/>
        <v>0</v>
      </c>
      <c r="G52" s="195">
        <f t="shared" ca="1" si="36"/>
        <v>0</v>
      </c>
      <c r="H52" s="195">
        <f t="shared" ca="1" si="36"/>
        <v>0</v>
      </c>
      <c r="I52" s="195">
        <f t="shared" ca="1" si="36"/>
        <v>0</v>
      </c>
      <c r="J52" s="195">
        <f t="shared" ca="1" si="36"/>
        <v>0</v>
      </c>
      <c r="K52" s="195">
        <f t="shared" ca="1" si="36"/>
        <v>0</v>
      </c>
      <c r="L52" s="195">
        <f t="shared" ca="1" si="36"/>
        <v>0</v>
      </c>
      <c r="M52" s="195">
        <f t="shared" ca="1" si="36"/>
        <v>0</v>
      </c>
      <c r="N52" s="195">
        <f t="shared" ca="1" si="36"/>
        <v>0</v>
      </c>
      <c r="O52" s="195">
        <f t="shared" ca="1" si="36"/>
        <v>0</v>
      </c>
      <c r="P52" s="195">
        <f t="shared" ca="1" si="36"/>
        <v>0</v>
      </c>
      <c r="Q52" s="195">
        <f t="shared" ca="1" si="36"/>
        <v>0</v>
      </c>
      <c r="R52" s="195">
        <f t="shared" ca="1" si="36"/>
        <v>0</v>
      </c>
      <c r="S52" s="195">
        <f t="shared" ca="1" si="36"/>
        <v>0</v>
      </c>
      <c r="T52" s="195">
        <f t="shared" ca="1" si="36"/>
        <v>0</v>
      </c>
      <c r="U52" s="195">
        <f t="shared" ca="1" si="36"/>
        <v>0</v>
      </c>
      <c r="V52" s="195">
        <f t="shared" ca="1" si="36"/>
        <v>0</v>
      </c>
      <c r="W52" s="195">
        <f t="shared" ca="1" si="36"/>
        <v>0</v>
      </c>
      <c r="X52" s="195">
        <f t="shared" ca="1" si="36"/>
        <v>0</v>
      </c>
      <c r="Y52" s="195">
        <f t="shared" ca="1" si="36"/>
        <v>0</v>
      </c>
      <c r="Z52" s="195">
        <f t="shared" ca="1" si="36"/>
        <v>0</v>
      </c>
      <c r="AA52" s="195">
        <f t="shared" ca="1" si="36"/>
        <v>0</v>
      </c>
      <c r="AB52" s="195">
        <f t="shared" ca="1" si="36"/>
        <v>0</v>
      </c>
      <c r="AC52" s="195">
        <f t="shared" ref="AC52:AF52" ca="1" si="37">+AC45+SUM(AC47:AC50)</f>
        <v>0</v>
      </c>
      <c r="AD52" s="195">
        <f t="shared" ca="1" si="37"/>
        <v>0</v>
      </c>
      <c r="AE52" s="195">
        <f t="shared" ca="1" si="37"/>
        <v>0</v>
      </c>
      <c r="AF52" s="195">
        <f t="shared" ca="1" si="37"/>
        <v>0</v>
      </c>
      <c r="AG52" s="195">
        <f t="shared" ref="AG52" ca="1" si="38">+AG45+SUM(AG47:AG50)</f>
        <v>0</v>
      </c>
    </row>
    <row r="54" spans="3:33">
      <c r="C54" s="180" t="s">
        <v>749</v>
      </c>
      <c r="D54" s="180">
        <f ca="1">+D12+D26+D39+D52</f>
        <v>-20000000</v>
      </c>
      <c r="E54" s="180">
        <f t="shared" ref="E54:AF54" ca="1" si="39">+E12+E26+E39+E52</f>
        <v>-20000000</v>
      </c>
      <c r="F54" s="180">
        <f t="shared" ca="1" si="39"/>
        <v>-20000000</v>
      </c>
      <c r="G54" s="180">
        <f t="shared" ca="1" si="39"/>
        <v>-20000000</v>
      </c>
      <c r="H54" s="180">
        <f t="shared" ca="1" si="39"/>
        <v>-20000000</v>
      </c>
      <c r="I54" s="180">
        <f t="shared" ca="1" si="39"/>
        <v>-20000000</v>
      </c>
      <c r="J54" s="180">
        <f t="shared" ca="1" si="39"/>
        <v>-20000000</v>
      </c>
      <c r="K54" s="180">
        <f t="shared" ca="1" si="39"/>
        <v>-20000000</v>
      </c>
      <c r="L54" s="180">
        <f t="shared" ca="1" si="39"/>
        <v>-20000000</v>
      </c>
      <c r="M54" s="180">
        <f t="shared" ca="1" si="39"/>
        <v>-20000000</v>
      </c>
      <c r="N54" s="180">
        <f t="shared" ca="1" si="39"/>
        <v>-20000000</v>
      </c>
      <c r="O54" s="180">
        <f t="shared" ca="1" si="39"/>
        <v>-20000000</v>
      </c>
      <c r="P54" s="180">
        <f t="shared" ca="1" si="39"/>
        <v>-20000000</v>
      </c>
      <c r="Q54" s="180">
        <f t="shared" ca="1" si="39"/>
        <v>-20000000</v>
      </c>
      <c r="R54" s="180">
        <f t="shared" ca="1" si="39"/>
        <v>-20000000</v>
      </c>
      <c r="S54" s="180">
        <f t="shared" ca="1" si="39"/>
        <v>-20000000</v>
      </c>
      <c r="T54" s="180">
        <f t="shared" ca="1" si="39"/>
        <v>-20000000</v>
      </c>
      <c r="U54" s="180">
        <f t="shared" ca="1" si="39"/>
        <v>-20000000</v>
      </c>
      <c r="V54" s="180">
        <f t="shared" ca="1" si="39"/>
        <v>-20000000</v>
      </c>
      <c r="W54" s="180">
        <f t="shared" ca="1" si="39"/>
        <v>-20000000</v>
      </c>
      <c r="X54" s="180">
        <f t="shared" ca="1" si="39"/>
        <v>-20000000</v>
      </c>
      <c r="Y54" s="180">
        <f ca="1">+Y12+Y26+Y39+Y52</f>
        <v>-20000000</v>
      </c>
      <c r="Z54" s="180">
        <f t="shared" ca="1" si="39"/>
        <v>-20000000</v>
      </c>
      <c r="AA54" s="180">
        <f t="shared" ca="1" si="39"/>
        <v>-20000000</v>
      </c>
      <c r="AB54" s="180" t="e">
        <f t="shared" ca="1" si="39"/>
        <v>#N/A</v>
      </c>
      <c r="AC54" s="180" t="e">
        <f t="shared" ca="1" si="39"/>
        <v>#N/A</v>
      </c>
      <c r="AD54" s="180" t="e">
        <f t="shared" ca="1" si="39"/>
        <v>#N/A</v>
      </c>
      <c r="AE54" s="180" t="e">
        <f t="shared" ca="1" si="39"/>
        <v>#N/A</v>
      </c>
      <c r="AF54" s="180" t="e">
        <f t="shared" ca="1" si="39"/>
        <v>#N/A</v>
      </c>
      <c r="AG54" s="180" t="e">
        <f t="shared" ref="AG54" ca="1" si="40">+AG12+AG26+AG39+AG52</f>
        <v>#N/A</v>
      </c>
    </row>
    <row r="56" spans="3:33">
      <c r="C56" s="209" t="s">
        <v>746</v>
      </c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09"/>
      <c r="O56" s="209"/>
      <c r="P56" s="209"/>
      <c r="Q56" s="209"/>
      <c r="R56" s="209"/>
      <c r="S56" s="209"/>
      <c r="T56" s="209"/>
      <c r="U56" s="209"/>
      <c r="V56" s="209"/>
      <c r="W56" s="209"/>
      <c r="X56" s="209"/>
      <c r="Y56" s="209"/>
      <c r="Z56" s="209"/>
      <c r="AA56" s="209"/>
      <c r="AB56" s="209"/>
      <c r="AC56" s="209"/>
      <c r="AD56" s="209"/>
      <c r="AE56" s="209"/>
      <c r="AF56" s="209"/>
      <c r="AG56" s="209"/>
    </row>
    <row r="57" spans="3:33">
      <c r="C57" s="183" t="s">
        <v>739</v>
      </c>
      <c r="D57" s="183">
        <f>'Financing assumptions onshore'!M45</f>
        <v>5.6600000000000004E-2</v>
      </c>
      <c r="E57" s="183">
        <f>'Financing assumptions onshore'!N45</f>
        <v>5.6600000000000004E-2</v>
      </c>
      <c r="F57" s="183">
        <f>'Financing assumptions onshore'!O45</f>
        <v>5.6600000000000004E-2</v>
      </c>
      <c r="G57" s="183">
        <f>'Financing assumptions onshore'!P45</f>
        <v>5.6600000000000004E-2</v>
      </c>
      <c r="H57" s="183">
        <f ca="1">'Financing assumptions onshore'!Q45</f>
        <v>5.6600000000000004E-2</v>
      </c>
      <c r="I57" s="183">
        <f ca="1">'Financing assumptions onshore'!R45</f>
        <v>5.6600000000000004E-2</v>
      </c>
      <c r="J57" s="183">
        <f ca="1">'Financing assumptions onshore'!S45</f>
        <v>5.6600000000000004E-2</v>
      </c>
      <c r="K57" s="183">
        <f ca="1">'Financing assumptions onshore'!T45</f>
        <v>5.6600000000000004E-2</v>
      </c>
      <c r="L57" s="183">
        <f ca="1">'Financing assumptions onshore'!U45</f>
        <v>5.6600000000000004E-2</v>
      </c>
      <c r="M57" s="183">
        <f ca="1">'Financing assumptions onshore'!V45</f>
        <v>5.6600000000000004E-2</v>
      </c>
      <c r="N57" s="183">
        <f ca="1">'Financing assumptions onshore'!W45</f>
        <v>5.6600000000000004E-2</v>
      </c>
      <c r="O57" s="183">
        <f ca="1">'Financing assumptions onshore'!X45</f>
        <v>5.6600000000000004E-2</v>
      </c>
      <c r="P57" s="183">
        <f ca="1">'Financing assumptions onshore'!Y45</f>
        <v>5.6600000000000004E-2</v>
      </c>
      <c r="Q57" s="183">
        <f ca="1">'Financing assumptions onshore'!Z45</f>
        <v>5.6600000000000004E-2</v>
      </c>
      <c r="R57" s="183">
        <f ca="1">'Financing assumptions onshore'!AA45</f>
        <v>5.6600000000000004E-2</v>
      </c>
      <c r="S57" s="183">
        <f ca="1">'Financing assumptions onshore'!AB45</f>
        <v>5.6600000000000004E-2</v>
      </c>
      <c r="T57" s="183">
        <f ca="1">'Financing assumptions onshore'!AC45</f>
        <v>5.6600000000000004E-2</v>
      </c>
      <c r="U57" s="183">
        <f ca="1">'Financing assumptions onshore'!AD45</f>
        <v>5.6600000000000004E-2</v>
      </c>
      <c r="V57" s="183">
        <f ca="1">'Financing assumptions onshore'!AE45</f>
        <v>5.6600000000000004E-2</v>
      </c>
      <c r="W57" s="183">
        <f ca="1">'Financing assumptions onshore'!AF45</f>
        <v>5.6600000000000004E-2</v>
      </c>
      <c r="X57" s="183">
        <f ca="1">'Financing assumptions onshore'!AG45</f>
        <v>5.6600000000000004E-2</v>
      </c>
      <c r="Y57" s="183">
        <f ca="1">'Financing assumptions onshore'!AH45</f>
        <v>5.6600000000000004E-2</v>
      </c>
      <c r="Z57" s="183">
        <f ca="1">'Financing assumptions onshore'!AI45</f>
        <v>5.6600000000000004E-2</v>
      </c>
      <c r="AA57" s="183">
        <f ca="1">'Financing assumptions onshore'!AJ45</f>
        <v>5.6600000000000004E-2</v>
      </c>
      <c r="AB57" s="183">
        <f ca="1">'Financing assumptions onshore'!AK45</f>
        <v>5.6600000000000004E-2</v>
      </c>
      <c r="AC57" s="183">
        <f ca="1">'Financing assumptions onshore'!AL45</f>
        <v>5.6600000000000004E-2</v>
      </c>
      <c r="AD57" s="183">
        <f ca="1">'Financing assumptions onshore'!AM45</f>
        <v>5.6600000000000004E-2</v>
      </c>
      <c r="AE57" s="183">
        <f ca="1">'Financing assumptions onshore'!AN45</f>
        <v>5.6600000000000004E-2</v>
      </c>
      <c r="AF57" s="183">
        <f ca="1">'Financing assumptions onshore'!AO45</f>
        <v>5.6600000000000004E-2</v>
      </c>
      <c r="AG57" s="183">
        <f>'Financing assumptions onshore'!AP45</f>
        <v>0</v>
      </c>
    </row>
    <row r="58" spans="3:33">
      <c r="C58" s="183" t="s">
        <v>741</v>
      </c>
      <c r="D58" s="183">
        <f>D57-'Financing assumptions onshore'!$F$46/10000</f>
        <v>3.6600000000000008E-2</v>
      </c>
      <c r="E58" s="183">
        <f>E57-'Financing assumptions onshore'!$F$46/10000</f>
        <v>3.6600000000000008E-2</v>
      </c>
      <c r="F58" s="183">
        <f>F57-'Financing assumptions onshore'!$F$46/10000</f>
        <v>3.6600000000000008E-2</v>
      </c>
      <c r="G58" s="183">
        <f>G57-'Financing assumptions onshore'!$F$46/10000</f>
        <v>3.6600000000000008E-2</v>
      </c>
      <c r="H58" s="183">
        <f ca="1">H57-'Financing assumptions onshore'!$F$46/10000</f>
        <v>3.6600000000000008E-2</v>
      </c>
      <c r="I58" s="183">
        <f ca="1">I57-'Financing assumptions onshore'!$F$46/10000</f>
        <v>3.6600000000000008E-2</v>
      </c>
      <c r="J58" s="183">
        <f ca="1">J57-'Financing assumptions onshore'!$F$46/10000</f>
        <v>3.6600000000000008E-2</v>
      </c>
      <c r="K58" s="183">
        <f ca="1">K57-'Financing assumptions onshore'!$F$46/10000</f>
        <v>3.6600000000000008E-2</v>
      </c>
      <c r="L58" s="183">
        <f ca="1">L57-'Financing assumptions onshore'!$F$46/10000</f>
        <v>3.6600000000000008E-2</v>
      </c>
      <c r="M58" s="183">
        <f ca="1">M57-'Financing assumptions onshore'!$F$46/10000</f>
        <v>3.6600000000000008E-2</v>
      </c>
      <c r="N58" s="183">
        <f ca="1">N57-'Financing assumptions onshore'!$F$46/10000</f>
        <v>3.6600000000000008E-2</v>
      </c>
      <c r="O58" s="183">
        <f ca="1">O57-'Financing assumptions onshore'!$F$46/10000</f>
        <v>3.6600000000000008E-2</v>
      </c>
      <c r="P58" s="183">
        <f ca="1">P57-'Financing assumptions onshore'!$F$46/10000</f>
        <v>3.6600000000000008E-2</v>
      </c>
      <c r="Q58" s="183">
        <f ca="1">Q57-'Financing assumptions onshore'!$F$46/10000</f>
        <v>3.6600000000000008E-2</v>
      </c>
      <c r="R58" s="183">
        <f ca="1">R57-'Financing assumptions onshore'!$F$46/10000</f>
        <v>3.6600000000000008E-2</v>
      </c>
      <c r="S58" s="183">
        <f ca="1">S57-'Financing assumptions onshore'!$F$46/10000</f>
        <v>3.6600000000000008E-2</v>
      </c>
      <c r="T58" s="183">
        <f ca="1">T57-'Financing assumptions onshore'!$F$46/10000</f>
        <v>3.6600000000000008E-2</v>
      </c>
      <c r="U58" s="183">
        <f ca="1">U57-'Financing assumptions onshore'!$F$46/10000</f>
        <v>3.6600000000000008E-2</v>
      </c>
      <c r="V58" s="183">
        <f ca="1">V57-'Financing assumptions onshore'!$F$46/10000</f>
        <v>3.6600000000000008E-2</v>
      </c>
      <c r="W58" s="183">
        <f ca="1">W57-'Financing assumptions onshore'!$F$46/10000</f>
        <v>3.6600000000000008E-2</v>
      </c>
      <c r="X58" s="183">
        <f ca="1">X57-'Financing assumptions onshore'!$F$46/10000</f>
        <v>3.6600000000000008E-2</v>
      </c>
      <c r="Y58" s="183">
        <f ca="1">Y57-'Financing assumptions onshore'!$F$46/10000</f>
        <v>3.6600000000000008E-2</v>
      </c>
      <c r="Z58" s="183">
        <f ca="1">Z57-'Financing assumptions onshore'!$F$46/10000</f>
        <v>3.6600000000000008E-2</v>
      </c>
      <c r="AA58" s="183">
        <f ca="1">AA57-'Financing assumptions onshore'!$F$46/10000</f>
        <v>3.6600000000000008E-2</v>
      </c>
      <c r="AB58" s="183">
        <f ca="1">AB57-'Financing assumptions onshore'!$F$46/10000</f>
        <v>3.6600000000000008E-2</v>
      </c>
      <c r="AC58" s="183">
        <f ca="1">AC57-'Financing assumptions onshore'!$F$46/10000</f>
        <v>3.6600000000000008E-2</v>
      </c>
      <c r="AD58" s="183">
        <f ca="1">AD57-'Financing assumptions onshore'!$F$46/10000</f>
        <v>3.6600000000000008E-2</v>
      </c>
      <c r="AE58" s="183">
        <f ca="1">AE57-'Financing assumptions onshore'!$F$46/10000</f>
        <v>3.6600000000000008E-2</v>
      </c>
      <c r="AF58" s="183">
        <f ca="1">AF57-'Financing assumptions onshore'!$F$46/10000</f>
        <v>3.6600000000000008E-2</v>
      </c>
      <c r="AG58" s="183">
        <f>AG57-'Financing assumptions onshore'!$F$46/10000</f>
        <v>-0.02</v>
      </c>
    </row>
    <row r="59" spans="3:33">
      <c r="C59" s="291" t="s">
        <v>730</v>
      </c>
      <c r="D59" s="291">
        <v>0</v>
      </c>
      <c r="E59" s="291">
        <f>D67</f>
        <v>0</v>
      </c>
      <c r="F59" s="291">
        <f t="shared" ref="F59:AG59" ca="1" si="41">E67</f>
        <v>0</v>
      </c>
      <c r="G59" s="291">
        <f t="shared" ca="1" si="41"/>
        <v>0</v>
      </c>
      <c r="H59" s="291">
        <f t="shared" ca="1" si="41"/>
        <v>0</v>
      </c>
      <c r="I59" s="291">
        <f t="shared" ca="1" si="41"/>
        <v>0</v>
      </c>
      <c r="J59" s="291">
        <f t="shared" ca="1" si="41"/>
        <v>0</v>
      </c>
      <c r="K59" s="291">
        <f t="shared" ca="1" si="41"/>
        <v>0</v>
      </c>
      <c r="L59" s="291">
        <f t="shared" ca="1" si="41"/>
        <v>0</v>
      </c>
      <c r="M59" s="291">
        <f t="shared" ca="1" si="41"/>
        <v>0</v>
      </c>
      <c r="N59" s="291">
        <f t="shared" ca="1" si="41"/>
        <v>0</v>
      </c>
      <c r="O59" s="291">
        <f t="shared" ca="1" si="41"/>
        <v>0</v>
      </c>
      <c r="P59" s="291">
        <f t="shared" ca="1" si="41"/>
        <v>0</v>
      </c>
      <c r="Q59" s="291">
        <f t="shared" ca="1" si="41"/>
        <v>0</v>
      </c>
      <c r="R59" s="291">
        <f t="shared" ca="1" si="41"/>
        <v>0</v>
      </c>
      <c r="S59" s="291">
        <f t="shared" ca="1" si="41"/>
        <v>0</v>
      </c>
      <c r="T59" s="291">
        <f t="shared" ca="1" si="41"/>
        <v>0</v>
      </c>
      <c r="U59" s="291">
        <f t="shared" ca="1" si="41"/>
        <v>0</v>
      </c>
      <c r="V59" s="291">
        <f t="shared" ca="1" si="41"/>
        <v>0</v>
      </c>
      <c r="W59" s="291">
        <f t="shared" ca="1" si="41"/>
        <v>0</v>
      </c>
      <c r="X59" s="291">
        <f t="shared" ca="1" si="41"/>
        <v>0</v>
      </c>
      <c r="Y59" s="291">
        <f t="shared" ca="1" si="41"/>
        <v>0</v>
      </c>
      <c r="Z59" s="291">
        <f t="shared" ca="1" si="41"/>
        <v>0</v>
      </c>
      <c r="AA59" s="291">
        <f t="shared" ca="1" si="41"/>
        <v>0</v>
      </c>
      <c r="AB59" s="291">
        <f t="shared" ca="1" si="41"/>
        <v>0</v>
      </c>
      <c r="AC59" s="291" t="e">
        <f t="shared" ca="1" si="41"/>
        <v>#N/A</v>
      </c>
      <c r="AD59" s="291" t="e">
        <f t="shared" ca="1" si="41"/>
        <v>#N/A</v>
      </c>
      <c r="AE59" s="291" t="e">
        <f t="shared" ca="1" si="41"/>
        <v>#N/A</v>
      </c>
      <c r="AF59" s="291" t="e">
        <f t="shared" ca="1" si="41"/>
        <v>#N/A</v>
      </c>
      <c r="AG59" s="291" t="e">
        <f t="shared" ca="1" si="41"/>
        <v>#N/A</v>
      </c>
    </row>
    <row r="60" spans="3:33">
      <c r="C60" s="310" t="s">
        <v>725</v>
      </c>
      <c r="D60" s="291">
        <f>'Financing assumptions onshore'!$F$42*1000</f>
        <v>0</v>
      </c>
      <c r="E60" s="291">
        <v>0</v>
      </c>
      <c r="F60" s="291">
        <v>0</v>
      </c>
      <c r="G60" s="291">
        <v>0</v>
      </c>
      <c r="H60" s="291">
        <v>0</v>
      </c>
      <c r="I60" s="291">
        <v>0</v>
      </c>
      <c r="J60" s="291">
        <v>0</v>
      </c>
      <c r="K60" s="291">
        <v>0</v>
      </c>
      <c r="L60" s="291">
        <v>0</v>
      </c>
      <c r="M60" s="291">
        <v>0</v>
      </c>
      <c r="N60" s="291">
        <v>0</v>
      </c>
      <c r="O60" s="291">
        <v>0</v>
      </c>
      <c r="P60" s="291">
        <v>0</v>
      </c>
      <c r="Q60" s="291">
        <v>0</v>
      </c>
      <c r="R60" s="291">
        <v>0</v>
      </c>
      <c r="S60" s="291">
        <v>0</v>
      </c>
      <c r="T60" s="291">
        <v>0</v>
      </c>
      <c r="U60" s="291">
        <v>0</v>
      </c>
      <c r="V60" s="291">
        <v>0</v>
      </c>
      <c r="W60" s="291">
        <v>0</v>
      </c>
      <c r="X60" s="291">
        <v>0</v>
      </c>
      <c r="Y60" s="291">
        <v>0</v>
      </c>
      <c r="Z60" s="291">
        <v>0</v>
      </c>
      <c r="AA60" s="291">
        <v>0</v>
      </c>
      <c r="AB60" s="291">
        <v>0</v>
      </c>
      <c r="AC60" s="291">
        <v>0</v>
      </c>
      <c r="AD60" s="291">
        <v>0</v>
      </c>
      <c r="AE60" s="291">
        <v>0</v>
      </c>
      <c r="AF60" s="291">
        <v>0</v>
      </c>
      <c r="AG60" s="291">
        <v>0</v>
      </c>
    </row>
    <row r="61" spans="3:33">
      <c r="C61" s="310" t="s">
        <v>726</v>
      </c>
      <c r="D61" s="291">
        <f>(D59+D60)*D57/4</f>
        <v>0</v>
      </c>
      <c r="E61" s="291">
        <f t="shared" ref="E61:AF61" si="42">(E59+E60)*E57/4</f>
        <v>0</v>
      </c>
      <c r="F61" s="291">
        <f t="shared" ca="1" si="42"/>
        <v>0</v>
      </c>
      <c r="G61" s="291">
        <f t="shared" ca="1" si="42"/>
        <v>0</v>
      </c>
      <c r="H61" s="291">
        <f t="shared" ca="1" si="42"/>
        <v>0</v>
      </c>
      <c r="I61" s="291">
        <f t="shared" ca="1" si="42"/>
        <v>0</v>
      </c>
      <c r="J61" s="291">
        <f t="shared" ca="1" si="42"/>
        <v>0</v>
      </c>
      <c r="K61" s="291">
        <f t="shared" ca="1" si="42"/>
        <v>0</v>
      </c>
      <c r="L61" s="291">
        <f t="shared" ca="1" si="42"/>
        <v>0</v>
      </c>
      <c r="M61" s="291">
        <f t="shared" ca="1" si="42"/>
        <v>0</v>
      </c>
      <c r="N61" s="291">
        <f t="shared" ca="1" si="42"/>
        <v>0</v>
      </c>
      <c r="O61" s="291">
        <f t="shared" ca="1" si="42"/>
        <v>0</v>
      </c>
      <c r="P61" s="291">
        <f t="shared" ca="1" si="42"/>
        <v>0</v>
      </c>
      <c r="Q61" s="291">
        <f t="shared" ca="1" si="42"/>
        <v>0</v>
      </c>
      <c r="R61" s="291">
        <f t="shared" ca="1" si="42"/>
        <v>0</v>
      </c>
      <c r="S61" s="291">
        <f t="shared" ca="1" si="42"/>
        <v>0</v>
      </c>
      <c r="T61" s="291">
        <f t="shared" ca="1" si="42"/>
        <v>0</v>
      </c>
      <c r="U61" s="291">
        <f t="shared" ca="1" si="42"/>
        <v>0</v>
      </c>
      <c r="V61" s="291">
        <f t="shared" ca="1" si="42"/>
        <v>0</v>
      </c>
      <c r="W61" s="291">
        <f t="shared" ca="1" si="42"/>
        <v>0</v>
      </c>
      <c r="X61" s="291">
        <f t="shared" ca="1" si="42"/>
        <v>0</v>
      </c>
      <c r="Y61" s="291">
        <f t="shared" ca="1" si="42"/>
        <v>0</v>
      </c>
      <c r="Z61" s="291">
        <f t="shared" ca="1" si="42"/>
        <v>0</v>
      </c>
      <c r="AA61" s="291">
        <f t="shared" ca="1" si="42"/>
        <v>0</v>
      </c>
      <c r="AB61" s="291">
        <f t="shared" ca="1" si="42"/>
        <v>0</v>
      </c>
      <c r="AC61" s="291" t="e">
        <f t="shared" ca="1" si="42"/>
        <v>#N/A</v>
      </c>
      <c r="AD61" s="291" t="e">
        <f t="shared" ca="1" si="42"/>
        <v>#N/A</v>
      </c>
      <c r="AE61" s="291" t="e">
        <f t="shared" ca="1" si="42"/>
        <v>#N/A</v>
      </c>
      <c r="AF61" s="291" t="e">
        <f t="shared" ca="1" si="42"/>
        <v>#N/A</v>
      </c>
      <c r="AG61" s="291" t="e">
        <f t="shared" ref="AG61" ca="1" si="43">(AG59+AG60)*AG57/4</f>
        <v>#N/A</v>
      </c>
    </row>
    <row r="62" spans="3:33">
      <c r="C62" s="310" t="s">
        <v>727</v>
      </c>
      <c r="D62" s="291">
        <f>MAX('Financing assumptions onshore'!M42*1000,-(D60+D59))</f>
        <v>0</v>
      </c>
      <c r="E62" s="291">
        <f>MAX('Financing assumptions onshore'!N42*1000,-(E60+E59))</f>
        <v>0</v>
      </c>
      <c r="F62" s="291">
        <f ca="1">MAX('Financing assumptions onshore'!O42*1000,-(F60+F59))</f>
        <v>0</v>
      </c>
      <c r="G62" s="291">
        <f ca="1">MAX('Financing assumptions onshore'!P42*1000,-(G60+G59))</f>
        <v>0</v>
      </c>
      <c r="H62" s="291">
        <f ca="1">MAX('Financing assumptions onshore'!Q42*1000,-(H60+H59))</f>
        <v>0</v>
      </c>
      <c r="I62" s="291">
        <f ca="1">MAX('Financing assumptions onshore'!R42*1000,-(I60+I59))</f>
        <v>0</v>
      </c>
      <c r="J62" s="291">
        <f ca="1">MAX('Financing assumptions onshore'!S42*1000,-(J60+J59))</f>
        <v>0</v>
      </c>
      <c r="K62" s="291">
        <f ca="1">MAX('Financing assumptions onshore'!T42*1000,-(K60+K59))</f>
        <v>0</v>
      </c>
      <c r="L62" s="291">
        <f ca="1">MAX('Financing assumptions onshore'!U42*1000,-(L60+L59))</f>
        <v>0</v>
      </c>
      <c r="M62" s="291">
        <f ca="1">MAX('Financing assumptions onshore'!V42*1000,-(M60+M59))</f>
        <v>0</v>
      </c>
      <c r="N62" s="291">
        <f ca="1">MAX('Financing assumptions onshore'!W42*1000,-(N60+N59))</f>
        <v>0</v>
      </c>
      <c r="O62" s="291">
        <f ca="1">MAX('Financing assumptions onshore'!X42*1000,-(O60+O59))</f>
        <v>0</v>
      </c>
      <c r="P62" s="291">
        <f ca="1">MAX('Financing assumptions onshore'!Y42*1000,-(P60+P59))</f>
        <v>0</v>
      </c>
      <c r="Q62" s="291">
        <f ca="1">MAX('Financing assumptions onshore'!Z42*1000,-(Q60+Q59))</f>
        <v>0</v>
      </c>
      <c r="R62" s="291">
        <f ca="1">MAX('Financing assumptions onshore'!AA42*1000,-(R60+R59))</f>
        <v>0</v>
      </c>
      <c r="S62" s="291">
        <f ca="1">MAX('Financing assumptions onshore'!AB42*1000,-(S60+S59))</f>
        <v>0</v>
      </c>
      <c r="T62" s="291">
        <f ca="1">MAX('Financing assumptions onshore'!AC42*1000,-(T60+T59))</f>
        <v>0</v>
      </c>
      <c r="U62" s="291">
        <f ca="1">MAX('Financing assumptions onshore'!AD42*1000,-(U60+U59))</f>
        <v>0</v>
      </c>
      <c r="V62" s="291">
        <f ca="1">MAX('Financing assumptions onshore'!AE42*1000,-(V60+V59))</f>
        <v>0</v>
      </c>
      <c r="W62" s="291">
        <f ca="1">MAX('Financing assumptions onshore'!AF42*1000,-(W60+W59))</f>
        <v>0</v>
      </c>
      <c r="X62" s="291">
        <f ca="1">MAX('Financing assumptions onshore'!AG42*1000,-(X60+X59))</f>
        <v>0</v>
      </c>
      <c r="Y62" s="291">
        <f ca="1">MAX('Financing assumptions onshore'!AH42*1000,-(Y60+Y59))</f>
        <v>0</v>
      </c>
      <c r="Z62" s="291">
        <f ca="1">MAX('Financing assumptions onshore'!AI42*1000,-(Z60+Z59))</f>
        <v>0</v>
      </c>
      <c r="AA62" s="291">
        <f ca="1">MAX('Financing assumptions onshore'!AJ42*1000,-(AA60+AA59))</f>
        <v>0</v>
      </c>
      <c r="AB62" s="291">
        <f ca="1">MAX('Financing assumptions onshore'!AK42*1000,-(AB60+AB59))</f>
        <v>0</v>
      </c>
      <c r="AC62" s="291" t="e">
        <f ca="1">MAX('Financing assumptions onshore'!AL42*1000,-(AC60+AC59))</f>
        <v>#N/A</v>
      </c>
      <c r="AD62" s="291" t="e">
        <f ca="1">MAX('Financing assumptions onshore'!AM42*1000,-(AD60+AD59))</f>
        <v>#N/A</v>
      </c>
      <c r="AE62" s="291" t="e">
        <f ca="1">MAX('Financing assumptions onshore'!AN42*1000,-(AE60+AE59))</f>
        <v>#N/A</v>
      </c>
      <c r="AF62" s="291" t="e">
        <f ca="1">MAX('Financing assumptions onshore'!AO42*1000,-(AF60+AF59))</f>
        <v>#N/A</v>
      </c>
      <c r="AG62" s="291" t="e">
        <f ca="1">MAX('Financing assumptions onshore'!AP42*1000,-(AG60+AG59))</f>
        <v>#N/A</v>
      </c>
    </row>
    <row r="63" spans="3:33">
      <c r="C63" s="310" t="s">
        <v>733</v>
      </c>
      <c r="D63" s="291">
        <v>0</v>
      </c>
      <c r="E63" s="291">
        <f>IFERROR(SUM($D64:D64)/$D60*E62*'Financing assumptions onshore'!$F$64,0)</f>
        <v>0</v>
      </c>
      <c r="F63" s="291">
        <f ca="1">IFERROR(SUM($D64:E64)/$D60*F62*'Financing assumptions onshore'!$F$64,0)</f>
        <v>0</v>
      </c>
      <c r="G63" s="291">
        <f ca="1">IFERROR(SUM($D64:F64)/$D60*G62*'Financing assumptions onshore'!$F$64,0)</f>
        <v>0</v>
      </c>
      <c r="H63" s="291">
        <f ca="1">IFERROR(SUM($D64:G64)/$D60*H62*'Financing assumptions onshore'!$F$64,0)</f>
        <v>0</v>
      </c>
      <c r="I63" s="291">
        <f ca="1">IFERROR(SUM($D64:H64)/$D60*I62*'Financing assumptions onshore'!$F$64,0)</f>
        <v>0</v>
      </c>
      <c r="J63" s="291">
        <f ca="1">IFERROR(SUM($D64:I64)/$D60*J62*'Financing assumptions onshore'!$F$64,0)</f>
        <v>0</v>
      </c>
      <c r="K63" s="291">
        <f ca="1">IFERROR(SUM($D64:J64)/$D60*K62*'Financing assumptions onshore'!$F$64,0)</f>
        <v>0</v>
      </c>
      <c r="L63" s="291">
        <f ca="1">IFERROR(SUM($D64:K64)/$D60*L62*'Financing assumptions onshore'!$F$64,0)</f>
        <v>0</v>
      </c>
      <c r="M63" s="291">
        <f ca="1">IFERROR(SUM($D64:L64)/$D60*M62*'Financing assumptions onshore'!$F$64,0)</f>
        <v>0</v>
      </c>
      <c r="N63" s="291">
        <f ca="1">IFERROR(SUM($D64:M64)/$D60*N62*'Financing assumptions onshore'!$F$64,0)</f>
        <v>0</v>
      </c>
      <c r="O63" s="291">
        <f ca="1">IFERROR(SUM($D64:N64)/$D60*O62*'Financing assumptions onshore'!$F$64,0)</f>
        <v>0</v>
      </c>
      <c r="P63" s="291">
        <f ca="1">IFERROR(SUM($D64:O64)/$D60*P62*'Financing assumptions onshore'!$F$64,0)</f>
        <v>0</v>
      </c>
      <c r="Q63" s="291">
        <f ca="1">IFERROR(SUM($D64:P64)/$D60*Q62*'Financing assumptions onshore'!$F$64,0)</f>
        <v>0</v>
      </c>
      <c r="R63" s="291">
        <f ca="1">IFERROR(SUM($D64:Q64)/$D60*R62*'Financing assumptions onshore'!$F$64,0)</f>
        <v>0</v>
      </c>
      <c r="S63" s="291">
        <f ca="1">IFERROR(SUM($D64:R64)/$D60*S62*'Financing assumptions onshore'!$F$64,0)</f>
        <v>0</v>
      </c>
      <c r="T63" s="291">
        <f ca="1">IFERROR(SUM($D64:S64)/$D60*T62*'Financing assumptions onshore'!$F$64,0)</f>
        <v>0</v>
      </c>
      <c r="U63" s="291">
        <f ca="1">IFERROR(SUM($D64:T64)/$D60*U62*'Financing assumptions onshore'!$F$64,0)</f>
        <v>0</v>
      </c>
      <c r="V63" s="291">
        <f ca="1">IFERROR(SUM($D64:U64)/$D60*V62*'Financing assumptions onshore'!$F$64,0)</f>
        <v>0</v>
      </c>
      <c r="W63" s="291">
        <f ca="1">IFERROR(SUM($D64:V64)/$D60*W62*'Financing assumptions onshore'!$F$64,0)</f>
        <v>0</v>
      </c>
      <c r="X63" s="291">
        <f ca="1">IFERROR(SUM($D64:W64)/$D60*X62*'Financing assumptions onshore'!$F$64,0)</f>
        <v>0</v>
      </c>
      <c r="Y63" s="291">
        <f ca="1">IFERROR(SUM($D64:X64)/$D60*Y62*'Financing assumptions onshore'!$F$64,0)</f>
        <v>0</v>
      </c>
      <c r="Z63" s="291">
        <f ca="1">IFERROR(SUM($D64:Y64)/$D60*Z62*'Financing assumptions onshore'!$F$64,0)</f>
        <v>0</v>
      </c>
      <c r="AA63" s="291">
        <f ca="1">IFERROR(SUM($D64:Z64)/$D60*AA62*'Financing assumptions onshore'!$F$64,0)</f>
        <v>0</v>
      </c>
      <c r="AB63" s="291">
        <f ca="1">IFERROR(SUM($D64:AA64)/$D60*AB62*'Financing assumptions onshore'!$F$64,0)</f>
        <v>0</v>
      </c>
      <c r="AC63" s="291">
        <f ca="1">IFERROR(SUM($D64:AB64)/$D60*AC62*'Financing assumptions onshore'!$F$64,0)</f>
        <v>0</v>
      </c>
      <c r="AD63" s="291">
        <f ca="1">IFERROR(SUM($D64:AC64)/$D60*AD62*'Financing assumptions onshore'!$F$64,0)</f>
        <v>0</v>
      </c>
      <c r="AE63" s="291">
        <f ca="1">IFERROR(SUM($D64:AD64)/$D60*AE62*'Financing assumptions onshore'!$F$64,0)</f>
        <v>0</v>
      </c>
      <c r="AF63" s="291">
        <f ca="1">IFERROR(SUM($D64:AE64)/$D60*AF62*'Financing assumptions onshore'!$F$64,0)</f>
        <v>0</v>
      </c>
      <c r="AG63" s="291">
        <f ca="1">IFERROR(SUM($D64:AF64)/$D60*AG62*'Financing assumptions onshore'!$F$64,0)</f>
        <v>0</v>
      </c>
    </row>
    <row r="64" spans="3:33">
      <c r="C64" s="310" t="s">
        <v>728</v>
      </c>
      <c r="D64" s="291">
        <f>'Cash sweep &amp; dividend onshore'!D45</f>
        <v>0</v>
      </c>
      <c r="E64" s="291">
        <f ca="1">'Cash sweep &amp; dividend onshore'!E45</f>
        <v>0</v>
      </c>
      <c r="F64" s="291">
        <f ca="1">'Cash sweep &amp; dividend onshore'!F45</f>
        <v>0</v>
      </c>
      <c r="G64" s="291">
        <f ca="1">'Cash sweep &amp; dividend onshore'!G45</f>
        <v>0</v>
      </c>
      <c r="H64" s="291">
        <f ca="1">'Cash sweep &amp; dividend onshore'!H45</f>
        <v>0</v>
      </c>
      <c r="I64" s="291">
        <f ca="1">'Cash sweep &amp; dividend onshore'!I45</f>
        <v>0</v>
      </c>
      <c r="J64" s="291">
        <f ca="1">'Cash sweep &amp; dividend onshore'!J45</f>
        <v>0</v>
      </c>
      <c r="K64" s="291">
        <f ca="1">'Cash sweep &amp; dividend onshore'!K45</f>
        <v>0</v>
      </c>
      <c r="L64" s="291">
        <f ca="1">'Cash sweep &amp; dividend onshore'!L45</f>
        <v>0</v>
      </c>
      <c r="M64" s="291">
        <f ca="1">'Cash sweep &amp; dividend onshore'!M45</f>
        <v>0</v>
      </c>
      <c r="N64" s="291">
        <f ca="1">'Cash sweep &amp; dividend onshore'!N45</f>
        <v>0</v>
      </c>
      <c r="O64" s="291">
        <f ca="1">'Cash sweep &amp; dividend onshore'!O45</f>
        <v>0</v>
      </c>
      <c r="P64" s="291">
        <f ca="1">'Cash sweep &amp; dividend onshore'!P45</f>
        <v>0</v>
      </c>
      <c r="Q64" s="291">
        <f ca="1">'Cash sweep &amp; dividend onshore'!Q45</f>
        <v>0</v>
      </c>
      <c r="R64" s="291">
        <f ca="1">'Cash sweep &amp; dividend onshore'!R45</f>
        <v>0</v>
      </c>
      <c r="S64" s="291">
        <f ca="1">'Cash sweep &amp; dividend onshore'!S45</f>
        <v>0</v>
      </c>
      <c r="T64" s="291">
        <f ca="1">'Cash sweep &amp; dividend onshore'!T45</f>
        <v>0</v>
      </c>
      <c r="U64" s="291">
        <f ca="1">'Cash sweep &amp; dividend onshore'!U45</f>
        <v>0</v>
      </c>
      <c r="V64" s="291">
        <f ca="1">'Cash sweep &amp; dividend onshore'!V45</f>
        <v>0</v>
      </c>
      <c r="W64" s="291">
        <f ca="1">'Cash sweep &amp; dividend onshore'!W45</f>
        <v>0</v>
      </c>
      <c r="X64" s="291">
        <f ca="1">'Cash sweep &amp; dividend onshore'!X45</f>
        <v>0</v>
      </c>
      <c r="Y64" s="291">
        <f ca="1">'Cash sweep &amp; dividend onshore'!Y45</f>
        <v>0</v>
      </c>
      <c r="Z64" s="291">
        <f ca="1">'Cash sweep &amp; dividend onshore'!Z45</f>
        <v>0</v>
      </c>
      <c r="AA64" s="291">
        <f ca="1">'Cash sweep &amp; dividend onshore'!AA45</f>
        <v>0</v>
      </c>
      <c r="AB64" s="291">
        <f ca="1">'Cash sweep &amp; dividend onshore'!AB45</f>
        <v>0</v>
      </c>
      <c r="AC64" s="291" t="e">
        <f ca="1">'Cash sweep &amp; dividend onshore'!AC45</f>
        <v>#N/A</v>
      </c>
      <c r="AD64" s="291" t="e">
        <f ca="1">'Cash sweep &amp; dividend onshore'!AD45</f>
        <v>#N/A</v>
      </c>
      <c r="AE64" s="291" t="e">
        <f ca="1">'Cash sweep &amp; dividend onshore'!AE45</f>
        <v>#N/A</v>
      </c>
      <c r="AF64" s="291" t="e">
        <f ca="1">'Cash sweep &amp; dividend onshore'!AF45</f>
        <v>#N/A</v>
      </c>
      <c r="AG64" s="291" t="e">
        <f ca="1">'Cash sweep &amp; dividend onshore'!AG45</f>
        <v>#N/A</v>
      </c>
    </row>
    <row r="65" spans="1:33">
      <c r="C65" s="310" t="s">
        <v>729</v>
      </c>
      <c r="D65" s="291">
        <f>-D58*(D59+D60)/4</f>
        <v>0</v>
      </c>
      <c r="E65" s="291">
        <f t="shared" ref="E65:AF65" si="44">-E58*(E59+E60)/4</f>
        <v>0</v>
      </c>
      <c r="F65" s="291">
        <f t="shared" ca="1" si="44"/>
        <v>0</v>
      </c>
      <c r="G65" s="291">
        <f t="shared" ca="1" si="44"/>
        <v>0</v>
      </c>
      <c r="H65" s="291">
        <f t="shared" ca="1" si="44"/>
        <v>0</v>
      </c>
      <c r="I65" s="291">
        <f t="shared" ca="1" si="44"/>
        <v>0</v>
      </c>
      <c r="J65" s="291">
        <f t="shared" ca="1" si="44"/>
        <v>0</v>
      </c>
      <c r="K65" s="291">
        <f t="shared" ca="1" si="44"/>
        <v>0</v>
      </c>
      <c r="L65" s="291">
        <f t="shared" ca="1" si="44"/>
        <v>0</v>
      </c>
      <c r="M65" s="291">
        <f t="shared" ca="1" si="44"/>
        <v>0</v>
      </c>
      <c r="N65" s="291">
        <f t="shared" ca="1" si="44"/>
        <v>0</v>
      </c>
      <c r="O65" s="291">
        <f t="shared" ca="1" si="44"/>
        <v>0</v>
      </c>
      <c r="P65" s="291">
        <f t="shared" ca="1" si="44"/>
        <v>0</v>
      </c>
      <c r="Q65" s="291">
        <f t="shared" ca="1" si="44"/>
        <v>0</v>
      </c>
      <c r="R65" s="291">
        <f t="shared" ca="1" si="44"/>
        <v>0</v>
      </c>
      <c r="S65" s="291">
        <f t="shared" ca="1" si="44"/>
        <v>0</v>
      </c>
      <c r="T65" s="291">
        <f t="shared" ca="1" si="44"/>
        <v>0</v>
      </c>
      <c r="U65" s="291">
        <f t="shared" ca="1" si="44"/>
        <v>0</v>
      </c>
      <c r="V65" s="291">
        <f t="shared" ca="1" si="44"/>
        <v>0</v>
      </c>
      <c r="W65" s="291">
        <f t="shared" ca="1" si="44"/>
        <v>0</v>
      </c>
      <c r="X65" s="291">
        <f t="shared" ca="1" si="44"/>
        <v>0</v>
      </c>
      <c r="Y65" s="291">
        <f t="shared" ca="1" si="44"/>
        <v>0</v>
      </c>
      <c r="Z65" s="291">
        <f t="shared" ca="1" si="44"/>
        <v>0</v>
      </c>
      <c r="AA65" s="291">
        <f t="shared" ca="1" si="44"/>
        <v>0</v>
      </c>
      <c r="AB65" s="291">
        <f t="shared" ca="1" si="44"/>
        <v>0</v>
      </c>
      <c r="AC65" s="291" t="e">
        <f t="shared" ca="1" si="44"/>
        <v>#N/A</v>
      </c>
      <c r="AD65" s="291" t="e">
        <f t="shared" ca="1" si="44"/>
        <v>#N/A</v>
      </c>
      <c r="AE65" s="291" t="e">
        <f t="shared" ca="1" si="44"/>
        <v>#N/A</v>
      </c>
      <c r="AF65" s="291" t="e">
        <f t="shared" ca="1" si="44"/>
        <v>#N/A</v>
      </c>
      <c r="AG65" s="291" t="e">
        <f t="shared" ref="AG65" ca="1" si="45">-AG58*(AG59+AG60)/4</f>
        <v>#N/A</v>
      </c>
    </row>
    <row r="66" spans="1:33">
      <c r="C66" s="310" t="s">
        <v>747</v>
      </c>
      <c r="D66" s="291">
        <v>0</v>
      </c>
      <c r="E66" s="291">
        <f ca="1">MIN(MAX((-SUM(E62:E65)-E54-E77-E79),-SUM(D$66:$D66)),-SUM(E62:E65))</f>
        <v>0</v>
      </c>
      <c r="F66" s="291">
        <f ca="1">MIN(MAX((-SUM(F62:F65)-F54-F77-F79),-SUM($D$66:E66)),-SUM(F62:F65))</f>
        <v>0</v>
      </c>
      <c r="G66" s="291">
        <f ca="1">MIN(MAX((-SUM(G62:G65)-G54-G77-G79),-SUM($D$66:F66)),-SUM(G62:G65))</f>
        <v>0</v>
      </c>
      <c r="H66" s="291">
        <f ca="1">MIN(MAX((-SUM(H62:H65)-H54-H77-H79),-SUM($D$66:G66)),-SUM(H62:H65))</f>
        <v>0</v>
      </c>
      <c r="I66" s="291">
        <f ca="1">MIN(MAX((-SUM(I62:I65)-I54-I77-I79),-SUM($D$66:H66)),-SUM(I62:I65))</f>
        <v>0</v>
      </c>
      <c r="J66" s="291">
        <f ca="1">MIN(MAX((-SUM(J62:J65)-J54-J77-J79),-SUM($D$66:I66)),-SUM(J62:J65))</f>
        <v>0</v>
      </c>
      <c r="K66" s="291">
        <f ca="1">MIN(MAX((-SUM(K62:K65)-K54-K77-K79),-SUM($D$66:J66)),-SUM(K62:K65))</f>
        <v>0</v>
      </c>
      <c r="L66" s="291">
        <f ca="1">MIN(MAX((-SUM(L62:L65)-L54-L77-L79),-SUM($D$66:K66)),-SUM(L62:L65))</f>
        <v>0</v>
      </c>
      <c r="M66" s="291">
        <f ca="1">MIN(MAX((-SUM(M62:M65)-M54-M77-M79),-SUM($D$66:L66)),-SUM(M62:M65))</f>
        <v>0</v>
      </c>
      <c r="N66" s="291">
        <f ca="1">MIN(MAX((-SUM(N62:N65)-N54-N77-N79),-SUM($D$66:M66)),-SUM(N62:N65))</f>
        <v>0</v>
      </c>
      <c r="O66" s="291">
        <f ca="1">MIN(MAX((-SUM(O62:O65)-O54-O77-O79),-SUM($D$66:N66)),-SUM(O62:O65))</f>
        <v>0</v>
      </c>
      <c r="P66" s="291">
        <f ca="1">MIN(MAX((-SUM(P62:P65)-P54-P77-P79),-SUM($D$66:O66)),-SUM(P62:P65))</f>
        <v>0</v>
      </c>
      <c r="Q66" s="291">
        <f ca="1">MIN(MAX((-SUM(Q62:Q65)-Q54-Q77-Q79),-SUM($D$66:P66)),-SUM(Q62:Q65))</f>
        <v>0</v>
      </c>
      <c r="R66" s="291">
        <f ca="1">MIN(MAX((-SUM(R62:R65)-R54-R77-R79),-SUM($D$66:Q66)),-SUM(R62:R65))</f>
        <v>0</v>
      </c>
      <c r="S66" s="291">
        <f ca="1">MIN(MAX((-SUM(S62:S65)-S54-S77-S79),-SUM($D$66:R66)),-SUM(S62:S65))</f>
        <v>0</v>
      </c>
      <c r="T66" s="291">
        <f ca="1">MIN(MAX((-SUM(T62:T65)-T54-T77-T79),-SUM($D$66:S66)),-SUM(T62:T65))</f>
        <v>0</v>
      </c>
      <c r="U66" s="291">
        <f ca="1">MIN(MAX((-SUM(U62:U65)-U54-U77-U79),-SUM($D$66:T66)),-SUM(U62:U65))</f>
        <v>0</v>
      </c>
      <c r="V66" s="291">
        <f ca="1">MIN(MAX((-SUM(V62:V65)-V54-V77-V79),-SUM($D$66:U66)),-SUM(V62:V65))</f>
        <v>0</v>
      </c>
      <c r="W66" s="291">
        <f ca="1">MIN(MAX((-SUM(W62:W65)-W54-W77-W79),-SUM($D$66:V66)),-SUM(W62:W65))</f>
        <v>0</v>
      </c>
      <c r="X66" s="291">
        <f ca="1">MIN(MAX((-SUM(X62:X65)-X54-X77-X79),-SUM($D$66:W66)),-SUM(X62:X65))</f>
        <v>0</v>
      </c>
      <c r="Y66" s="291">
        <f ca="1">MIN(MAX((-SUM(Y62:Y65)-Y54-Y77-Y79),-SUM($D$66:X66)),-SUM(Y62:Y65))</f>
        <v>0</v>
      </c>
      <c r="Z66" s="291">
        <f ca="1">MIN(MAX((-SUM(Z62:Z65)-Z54-Z77-Z79),-SUM($D$66:Y66)),-SUM(Z62:Z65))</f>
        <v>0</v>
      </c>
      <c r="AA66" s="291">
        <f ca="1">MIN(MAX((-SUM(AA62:AA65)-AA54-AA77-AA79),-SUM($D$66:Z66)),-SUM(AA62:AA65))</f>
        <v>0</v>
      </c>
      <c r="AB66" s="291" t="e">
        <f ca="1">MIN(MAX((-SUM(AB62:AB65)-AB54-AB77-AB79),-SUM($D$66:AA66)),-SUM(AB62:AB65))</f>
        <v>#N/A</v>
      </c>
      <c r="AC66" s="291" t="e">
        <f ca="1">MIN(MAX((-SUM(AC62:AC65)-AC54-AC77-AC79),-SUM($D$66:AB66)),-SUM(AC62:AC65))</f>
        <v>#N/A</v>
      </c>
      <c r="AD66" s="291" t="e">
        <f ca="1">MIN(MAX((-SUM(AD62:AD65)-AD54-AD77-AD79),-SUM($D$66:AC66)),-SUM(AD62:AD65))</f>
        <v>#N/A</v>
      </c>
      <c r="AE66" s="291" t="e">
        <f ca="1">MIN(MAX((-SUM(AE62:AE65)-AE54-AE77-AE79),-SUM($D$66:AD66)),-SUM(AE62:AE65))</f>
        <v>#N/A</v>
      </c>
      <c r="AF66" s="291" t="e">
        <f ca="1">MIN(MAX((-SUM(AF62:AF65)-AF54-AF77-AF79),-SUM($D$66:AE66)),-SUM(AF62:AF65))</f>
        <v>#N/A</v>
      </c>
      <c r="AG66" s="291" t="e">
        <f ca="1">MIN(MAX((-SUM(AG62:AG65)-AG54-AG77-AG79),-SUM($D$66:AF66)),-SUM(AG62:AG65))</f>
        <v>#N/A</v>
      </c>
    </row>
    <row r="67" spans="1:33">
      <c r="C67" s="195" t="s">
        <v>1040</v>
      </c>
      <c r="D67" s="195">
        <f t="shared" ref="D67:AB67" si="46">SUM(D59:D66)</f>
        <v>0</v>
      </c>
      <c r="E67" s="195">
        <f t="shared" ca="1" si="46"/>
        <v>0</v>
      </c>
      <c r="F67" s="195">
        <f t="shared" ca="1" si="46"/>
        <v>0</v>
      </c>
      <c r="G67" s="195">
        <f t="shared" ca="1" si="46"/>
        <v>0</v>
      </c>
      <c r="H67" s="195">
        <f t="shared" ca="1" si="46"/>
        <v>0</v>
      </c>
      <c r="I67" s="195">
        <f t="shared" ca="1" si="46"/>
        <v>0</v>
      </c>
      <c r="J67" s="195">
        <f t="shared" ca="1" si="46"/>
        <v>0</v>
      </c>
      <c r="K67" s="195">
        <f t="shared" ca="1" si="46"/>
        <v>0</v>
      </c>
      <c r="L67" s="195">
        <f t="shared" ca="1" si="46"/>
        <v>0</v>
      </c>
      <c r="M67" s="195">
        <f t="shared" ca="1" si="46"/>
        <v>0</v>
      </c>
      <c r="N67" s="195">
        <f t="shared" ca="1" si="46"/>
        <v>0</v>
      </c>
      <c r="O67" s="195">
        <f t="shared" ca="1" si="46"/>
        <v>0</v>
      </c>
      <c r="P67" s="195">
        <f t="shared" ca="1" si="46"/>
        <v>0</v>
      </c>
      <c r="Q67" s="195">
        <f t="shared" ca="1" si="46"/>
        <v>0</v>
      </c>
      <c r="R67" s="195">
        <f t="shared" ca="1" si="46"/>
        <v>0</v>
      </c>
      <c r="S67" s="195">
        <f t="shared" ca="1" si="46"/>
        <v>0</v>
      </c>
      <c r="T67" s="195">
        <f t="shared" ca="1" si="46"/>
        <v>0</v>
      </c>
      <c r="U67" s="195">
        <f t="shared" ca="1" si="46"/>
        <v>0</v>
      </c>
      <c r="V67" s="195">
        <f t="shared" ca="1" si="46"/>
        <v>0</v>
      </c>
      <c r="W67" s="195">
        <f t="shared" ca="1" si="46"/>
        <v>0</v>
      </c>
      <c r="X67" s="195">
        <f t="shared" ca="1" si="46"/>
        <v>0</v>
      </c>
      <c r="Y67" s="195">
        <f t="shared" ca="1" si="46"/>
        <v>0</v>
      </c>
      <c r="Z67" s="195">
        <f t="shared" ca="1" si="46"/>
        <v>0</v>
      </c>
      <c r="AA67" s="195">
        <f t="shared" ca="1" si="46"/>
        <v>0</v>
      </c>
      <c r="AB67" s="195" t="e">
        <f t="shared" ca="1" si="46"/>
        <v>#N/A</v>
      </c>
      <c r="AC67" s="195" t="e">
        <f t="shared" ref="AC67:AF67" ca="1" si="47">SUM(AC59:AC66)</f>
        <v>#N/A</v>
      </c>
      <c r="AD67" s="195" t="e">
        <f t="shared" ca="1" si="47"/>
        <v>#N/A</v>
      </c>
      <c r="AE67" s="195" t="e">
        <f t="shared" ca="1" si="47"/>
        <v>#N/A</v>
      </c>
      <c r="AF67" s="195" t="e">
        <f t="shared" ca="1" si="47"/>
        <v>#N/A</v>
      </c>
      <c r="AG67" s="195" t="e">
        <f t="shared" ref="AG67" ca="1" si="48">SUM(AG59:AG66)</f>
        <v>#N/A</v>
      </c>
    </row>
    <row r="68" spans="1:33">
      <c r="C68" s="195" t="s">
        <v>1042</v>
      </c>
      <c r="D68" s="195">
        <f t="shared" ref="D68:AB68" si="49">+D60+SUM(D62:D66)</f>
        <v>0</v>
      </c>
      <c r="E68" s="195">
        <f t="shared" ca="1" si="49"/>
        <v>0</v>
      </c>
      <c r="F68" s="195">
        <f t="shared" ca="1" si="49"/>
        <v>0</v>
      </c>
      <c r="G68" s="195">
        <f t="shared" ca="1" si="49"/>
        <v>0</v>
      </c>
      <c r="H68" s="195">
        <f t="shared" ca="1" si="49"/>
        <v>0</v>
      </c>
      <c r="I68" s="195">
        <f t="shared" ca="1" si="49"/>
        <v>0</v>
      </c>
      <c r="J68" s="195">
        <f t="shared" ca="1" si="49"/>
        <v>0</v>
      </c>
      <c r="K68" s="195">
        <f t="shared" ca="1" si="49"/>
        <v>0</v>
      </c>
      <c r="L68" s="195">
        <f t="shared" ca="1" si="49"/>
        <v>0</v>
      </c>
      <c r="M68" s="195">
        <f t="shared" ca="1" si="49"/>
        <v>0</v>
      </c>
      <c r="N68" s="195">
        <f t="shared" ca="1" si="49"/>
        <v>0</v>
      </c>
      <c r="O68" s="195">
        <f t="shared" ca="1" si="49"/>
        <v>0</v>
      </c>
      <c r="P68" s="195">
        <f t="shared" ca="1" si="49"/>
        <v>0</v>
      </c>
      <c r="Q68" s="195">
        <f t="shared" ca="1" si="49"/>
        <v>0</v>
      </c>
      <c r="R68" s="195">
        <f t="shared" ca="1" si="49"/>
        <v>0</v>
      </c>
      <c r="S68" s="195">
        <f t="shared" ca="1" si="49"/>
        <v>0</v>
      </c>
      <c r="T68" s="195">
        <f t="shared" ca="1" si="49"/>
        <v>0</v>
      </c>
      <c r="U68" s="195">
        <f t="shared" ca="1" si="49"/>
        <v>0</v>
      </c>
      <c r="V68" s="195">
        <f t="shared" ca="1" si="49"/>
        <v>0</v>
      </c>
      <c r="W68" s="195">
        <f t="shared" ca="1" si="49"/>
        <v>0</v>
      </c>
      <c r="X68" s="195">
        <f t="shared" ca="1" si="49"/>
        <v>0</v>
      </c>
      <c r="Y68" s="195">
        <f t="shared" ca="1" si="49"/>
        <v>0</v>
      </c>
      <c r="Z68" s="195">
        <f t="shared" ca="1" si="49"/>
        <v>0</v>
      </c>
      <c r="AA68" s="195">
        <f t="shared" ca="1" si="49"/>
        <v>0</v>
      </c>
      <c r="AB68" s="195" t="e">
        <f t="shared" ca="1" si="49"/>
        <v>#N/A</v>
      </c>
      <c r="AC68" s="195" t="e">
        <f t="shared" ref="AC68:AF68" ca="1" si="50">+AC60+SUM(AC62:AC66)</f>
        <v>#N/A</v>
      </c>
      <c r="AD68" s="195" t="e">
        <f t="shared" ca="1" si="50"/>
        <v>#N/A</v>
      </c>
      <c r="AE68" s="195" t="e">
        <f t="shared" ca="1" si="50"/>
        <v>#N/A</v>
      </c>
      <c r="AF68" s="195" t="e">
        <f t="shared" ca="1" si="50"/>
        <v>#N/A</v>
      </c>
      <c r="AG68" s="195" t="e">
        <f t="shared" ref="AG68" ca="1" si="51">+AG60+SUM(AG62:AG66)</f>
        <v>#N/A</v>
      </c>
    </row>
    <row r="69" spans="1:3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</row>
    <row r="70" spans="1:33">
      <c r="C70" s="180" t="s">
        <v>753</v>
      </c>
      <c r="D70" s="180">
        <f t="shared" ref="D70:AF70" ca="1" si="52">D68+D54</f>
        <v>-20000000</v>
      </c>
      <c r="E70" s="180">
        <f t="shared" ca="1" si="52"/>
        <v>-20000000</v>
      </c>
      <c r="F70" s="180">
        <f t="shared" ca="1" si="52"/>
        <v>-20000000</v>
      </c>
      <c r="G70" s="180">
        <f t="shared" ca="1" si="52"/>
        <v>-20000000</v>
      </c>
      <c r="H70" s="180">
        <f t="shared" ca="1" si="52"/>
        <v>-20000000</v>
      </c>
      <c r="I70" s="180">
        <f t="shared" ca="1" si="52"/>
        <v>-20000000</v>
      </c>
      <c r="J70" s="180">
        <f t="shared" ca="1" si="52"/>
        <v>-20000000</v>
      </c>
      <c r="K70" s="180">
        <f t="shared" ca="1" si="52"/>
        <v>-20000000</v>
      </c>
      <c r="L70" s="180">
        <f t="shared" ca="1" si="52"/>
        <v>-20000000</v>
      </c>
      <c r="M70" s="180">
        <f t="shared" ca="1" si="52"/>
        <v>-20000000</v>
      </c>
      <c r="N70" s="180">
        <f t="shared" ca="1" si="52"/>
        <v>-20000000</v>
      </c>
      <c r="O70" s="180">
        <f t="shared" ca="1" si="52"/>
        <v>-20000000</v>
      </c>
      <c r="P70" s="180">
        <f t="shared" ca="1" si="52"/>
        <v>-20000000</v>
      </c>
      <c r="Q70" s="180">
        <f t="shared" ca="1" si="52"/>
        <v>-20000000</v>
      </c>
      <c r="R70" s="180">
        <f t="shared" ca="1" si="52"/>
        <v>-20000000</v>
      </c>
      <c r="S70" s="180">
        <f t="shared" ca="1" si="52"/>
        <v>-20000000</v>
      </c>
      <c r="T70" s="180">
        <f t="shared" ca="1" si="52"/>
        <v>-20000000</v>
      </c>
      <c r="U70" s="180">
        <f t="shared" ca="1" si="52"/>
        <v>-20000000</v>
      </c>
      <c r="V70" s="180">
        <f t="shared" ca="1" si="52"/>
        <v>-20000000</v>
      </c>
      <c r="W70" s="180">
        <f t="shared" ca="1" si="52"/>
        <v>-20000000</v>
      </c>
      <c r="X70" s="180">
        <f t="shared" ca="1" si="52"/>
        <v>-20000000</v>
      </c>
      <c r="Y70" s="180">
        <f t="shared" ca="1" si="52"/>
        <v>-20000000</v>
      </c>
      <c r="Z70" s="180">
        <f t="shared" ca="1" si="52"/>
        <v>-20000000</v>
      </c>
      <c r="AA70" s="180">
        <f t="shared" ca="1" si="52"/>
        <v>-20000000</v>
      </c>
      <c r="AB70" s="180" t="e">
        <f t="shared" ca="1" si="52"/>
        <v>#N/A</v>
      </c>
      <c r="AC70" s="180" t="e">
        <f t="shared" ca="1" si="52"/>
        <v>#N/A</v>
      </c>
      <c r="AD70" s="180" t="e">
        <f t="shared" ca="1" si="52"/>
        <v>#N/A</v>
      </c>
      <c r="AE70" s="180" t="e">
        <f t="shared" ca="1" si="52"/>
        <v>#N/A</v>
      </c>
      <c r="AF70" s="180" t="e">
        <f t="shared" ca="1" si="52"/>
        <v>#N/A</v>
      </c>
      <c r="AG70" s="180" t="e">
        <f t="shared" ref="AG70" ca="1" si="53">AG68+AG54</f>
        <v>#N/A</v>
      </c>
    </row>
    <row r="72" spans="1:33">
      <c r="C72" s="209" t="s">
        <v>1043</v>
      </c>
      <c r="D72" s="209"/>
      <c r="E72" s="209"/>
      <c r="F72" s="209"/>
      <c r="G72" s="209"/>
      <c r="H72" s="209"/>
      <c r="I72" s="209"/>
      <c r="J72" s="209"/>
      <c r="K72" s="209"/>
      <c r="L72" s="209"/>
      <c r="M72" s="209"/>
      <c r="N72" s="209"/>
      <c r="O72" s="209"/>
      <c r="P72" s="209"/>
      <c r="Q72" s="209"/>
      <c r="R72" s="209"/>
      <c r="S72" s="209"/>
      <c r="T72" s="209"/>
      <c r="U72" s="209"/>
      <c r="V72" s="209"/>
      <c r="W72" s="209"/>
      <c r="X72" s="209"/>
      <c r="Y72" s="209"/>
      <c r="Z72" s="209"/>
      <c r="AA72" s="209"/>
      <c r="AB72" s="209"/>
      <c r="AC72" s="209"/>
      <c r="AD72" s="209"/>
      <c r="AE72" s="209"/>
      <c r="AF72" s="209"/>
      <c r="AG72" s="209"/>
    </row>
    <row r="73" spans="1:33">
      <c r="C73" s="180" t="s">
        <v>1044</v>
      </c>
      <c r="D73" s="180">
        <f>'Financing assumptions onshore'!$F$51*1000</f>
        <v>0</v>
      </c>
      <c r="E73" s="180">
        <f>'Financing assumptions onshore'!$F$51*1000</f>
        <v>0</v>
      </c>
      <c r="F73" s="180">
        <f>'Financing assumptions onshore'!$F$51*1000</f>
        <v>0</v>
      </c>
      <c r="G73" s="180">
        <f>'Financing assumptions onshore'!$F$51*1000</f>
        <v>0</v>
      </c>
      <c r="H73" s="180">
        <f>'Financing assumptions onshore'!$F$51*1000</f>
        <v>0</v>
      </c>
      <c r="I73" s="180">
        <f>'Financing assumptions onshore'!$F$51*1000</f>
        <v>0</v>
      </c>
      <c r="J73" s="180">
        <f>'Financing assumptions onshore'!$F$51*1000</f>
        <v>0</v>
      </c>
      <c r="K73" s="180">
        <f>'Financing assumptions onshore'!$F$51*1000</f>
        <v>0</v>
      </c>
      <c r="L73" s="180">
        <f>'Financing assumptions onshore'!$F$51*1000</f>
        <v>0</v>
      </c>
      <c r="M73" s="180">
        <f>'Financing assumptions onshore'!$F$51*1000</f>
        <v>0</v>
      </c>
      <c r="N73" s="180">
        <f>'Financing assumptions onshore'!$F$51*1000</f>
        <v>0</v>
      </c>
      <c r="O73" s="180">
        <f>'Financing assumptions onshore'!$F$51*1000</f>
        <v>0</v>
      </c>
      <c r="P73" s="180">
        <f>'Financing assumptions onshore'!$F$51*1000</f>
        <v>0</v>
      </c>
      <c r="Q73" s="180">
        <f>'Financing assumptions onshore'!$F$51*1000</f>
        <v>0</v>
      </c>
      <c r="R73" s="180">
        <f>'Financing assumptions onshore'!$F$51*1000</f>
        <v>0</v>
      </c>
      <c r="S73" s="180">
        <f>'Financing assumptions onshore'!$F$51*1000</f>
        <v>0</v>
      </c>
      <c r="T73" s="180">
        <f>'Financing assumptions onshore'!$F$51*1000</f>
        <v>0</v>
      </c>
      <c r="U73" s="180">
        <f>'Financing assumptions onshore'!$F$51*1000</f>
        <v>0</v>
      </c>
      <c r="V73" s="180">
        <f>'Financing assumptions onshore'!$F$51*1000</f>
        <v>0</v>
      </c>
      <c r="W73" s="180">
        <f>'Financing assumptions onshore'!$F$51*1000</f>
        <v>0</v>
      </c>
      <c r="X73" s="180">
        <f>'Financing assumptions onshore'!$F$51*1000</f>
        <v>0</v>
      </c>
      <c r="Y73" s="180">
        <f>'Financing assumptions onshore'!$F$51*1000</f>
        <v>0</v>
      </c>
      <c r="Z73" s="180">
        <f>'Financing assumptions onshore'!$F$51*1000</f>
        <v>0</v>
      </c>
      <c r="AA73" s="180">
        <f>'Financing assumptions onshore'!$F$51*1000</f>
        <v>0</v>
      </c>
      <c r="AB73" s="180">
        <f>'Financing assumptions onshore'!$F$51*1000</f>
        <v>0</v>
      </c>
      <c r="AC73" s="180">
        <f>'Financing assumptions onshore'!$F$51*1000</f>
        <v>0</v>
      </c>
      <c r="AD73" s="180">
        <f>'Financing assumptions onshore'!$F$51*1000</f>
        <v>0</v>
      </c>
      <c r="AE73" s="180">
        <f>'Financing assumptions onshore'!$F$51*1000</f>
        <v>0</v>
      </c>
      <c r="AF73" s="180">
        <f>'Financing assumptions onshore'!$F$51*1000</f>
        <v>0</v>
      </c>
      <c r="AG73" s="180">
        <f>'Financing assumptions onshore'!$F$51*1000</f>
        <v>0</v>
      </c>
    </row>
    <row r="74" spans="1:33">
      <c r="C74" s="183" t="s">
        <v>739</v>
      </c>
      <c r="D74" s="183">
        <f>'Financing assumptions onshore'!M52</f>
        <v>5.21E-2</v>
      </c>
      <c r="E74" s="183">
        <f>'Financing assumptions onshore'!N52</f>
        <v>5.21E-2</v>
      </c>
      <c r="F74" s="183">
        <f>'Financing assumptions onshore'!O52</f>
        <v>5.21E-2</v>
      </c>
      <c r="G74" s="183">
        <f>'Financing assumptions onshore'!P52</f>
        <v>5.21E-2</v>
      </c>
      <c r="H74" s="183">
        <f ca="1">'Financing assumptions onshore'!Q52</f>
        <v>5.21E-2</v>
      </c>
      <c r="I74" s="183">
        <f ca="1">'Financing assumptions onshore'!R52</f>
        <v>5.21E-2</v>
      </c>
      <c r="J74" s="183">
        <f ca="1">'Financing assumptions onshore'!S52</f>
        <v>5.21E-2</v>
      </c>
      <c r="K74" s="183">
        <f ca="1">'Financing assumptions onshore'!T52</f>
        <v>5.21E-2</v>
      </c>
      <c r="L74" s="183">
        <f ca="1">'Financing assumptions onshore'!U52</f>
        <v>5.21E-2</v>
      </c>
      <c r="M74" s="183">
        <f ca="1">'Financing assumptions onshore'!V52</f>
        <v>5.21E-2</v>
      </c>
      <c r="N74" s="183">
        <f ca="1">'Financing assumptions onshore'!W52</f>
        <v>5.21E-2</v>
      </c>
      <c r="O74" s="183">
        <f ca="1">'Financing assumptions onshore'!X52</f>
        <v>5.21E-2</v>
      </c>
      <c r="P74" s="183">
        <f ca="1">'Financing assumptions onshore'!Y52</f>
        <v>5.21E-2</v>
      </c>
      <c r="Q74" s="183">
        <f ca="1">'Financing assumptions onshore'!Z52</f>
        <v>5.21E-2</v>
      </c>
      <c r="R74" s="183">
        <f ca="1">'Financing assumptions onshore'!AA52</f>
        <v>5.21E-2</v>
      </c>
      <c r="S74" s="183">
        <f ca="1">'Financing assumptions onshore'!AB52</f>
        <v>5.21E-2</v>
      </c>
      <c r="T74" s="183">
        <f ca="1">'Financing assumptions onshore'!AC52</f>
        <v>5.21E-2</v>
      </c>
      <c r="U74" s="183">
        <f ca="1">'Financing assumptions onshore'!AD52</f>
        <v>5.21E-2</v>
      </c>
      <c r="V74" s="183">
        <f ca="1">'Financing assumptions onshore'!AE52</f>
        <v>5.21E-2</v>
      </c>
      <c r="W74" s="183">
        <f ca="1">'Financing assumptions onshore'!AF52</f>
        <v>5.21E-2</v>
      </c>
      <c r="X74" s="183">
        <f ca="1">'Financing assumptions onshore'!AG52</f>
        <v>5.21E-2</v>
      </c>
      <c r="Y74" s="183">
        <f ca="1">'Financing assumptions onshore'!AH52</f>
        <v>5.21E-2</v>
      </c>
      <c r="Z74" s="183">
        <f ca="1">'Financing assumptions onshore'!AI52</f>
        <v>5.21E-2</v>
      </c>
      <c r="AA74" s="183">
        <f ca="1">'Financing assumptions onshore'!AJ52</f>
        <v>5.21E-2</v>
      </c>
      <c r="AB74" s="183">
        <f ca="1">'Financing assumptions onshore'!AK52</f>
        <v>5.21E-2</v>
      </c>
      <c r="AC74" s="183">
        <f ca="1">'Financing assumptions onshore'!AL52</f>
        <v>5.21E-2</v>
      </c>
      <c r="AD74" s="183">
        <f ca="1">'Financing assumptions onshore'!AM52</f>
        <v>5.21E-2</v>
      </c>
      <c r="AE74" s="183">
        <f ca="1">'Financing assumptions onshore'!AN52</f>
        <v>5.21E-2</v>
      </c>
      <c r="AF74" s="183">
        <f ca="1">'Financing assumptions onshore'!AO52</f>
        <v>5.21E-2</v>
      </c>
      <c r="AG74" s="183">
        <f>'Financing assumptions onshore'!AP52</f>
        <v>0</v>
      </c>
    </row>
    <row r="75" spans="1:33">
      <c r="C75" s="183" t="s">
        <v>756</v>
      </c>
      <c r="D75" s="183">
        <f>'Financing assumptions onshore'!$F$53/10000</f>
        <v>5.0000000000000001E-3</v>
      </c>
      <c r="E75" s="183">
        <f>'Financing assumptions onshore'!$F$53/10000</f>
        <v>5.0000000000000001E-3</v>
      </c>
      <c r="F75" s="183">
        <f>'Financing assumptions onshore'!$F$53/10000</f>
        <v>5.0000000000000001E-3</v>
      </c>
      <c r="G75" s="183">
        <f>'Financing assumptions onshore'!$F$53/10000</f>
        <v>5.0000000000000001E-3</v>
      </c>
      <c r="H75" s="183">
        <f>'Financing assumptions onshore'!$F$53/10000</f>
        <v>5.0000000000000001E-3</v>
      </c>
      <c r="I75" s="183">
        <f>'Financing assumptions onshore'!$F$53/10000</f>
        <v>5.0000000000000001E-3</v>
      </c>
      <c r="J75" s="183">
        <f>'Financing assumptions onshore'!$F$53/10000</f>
        <v>5.0000000000000001E-3</v>
      </c>
      <c r="K75" s="183">
        <f>'Financing assumptions onshore'!$F$53/10000</f>
        <v>5.0000000000000001E-3</v>
      </c>
      <c r="L75" s="183">
        <f>'Financing assumptions onshore'!$F$53/10000</f>
        <v>5.0000000000000001E-3</v>
      </c>
      <c r="M75" s="183">
        <f>'Financing assumptions onshore'!$F$53/10000</f>
        <v>5.0000000000000001E-3</v>
      </c>
      <c r="N75" s="183">
        <f>'Financing assumptions onshore'!$F$53/10000</f>
        <v>5.0000000000000001E-3</v>
      </c>
      <c r="O75" s="183">
        <f>'Financing assumptions onshore'!$F$53/10000</f>
        <v>5.0000000000000001E-3</v>
      </c>
      <c r="P75" s="183">
        <f>'Financing assumptions onshore'!$F$53/10000</f>
        <v>5.0000000000000001E-3</v>
      </c>
      <c r="Q75" s="183">
        <f>'Financing assumptions onshore'!$F$53/10000</f>
        <v>5.0000000000000001E-3</v>
      </c>
      <c r="R75" s="183">
        <f>'Financing assumptions onshore'!$F$53/10000</f>
        <v>5.0000000000000001E-3</v>
      </c>
      <c r="S75" s="183">
        <f>'Financing assumptions onshore'!$F$53/10000</f>
        <v>5.0000000000000001E-3</v>
      </c>
      <c r="T75" s="183">
        <f>'Financing assumptions onshore'!$F$53/10000</f>
        <v>5.0000000000000001E-3</v>
      </c>
      <c r="U75" s="183">
        <f>'Financing assumptions onshore'!$F$53/10000</f>
        <v>5.0000000000000001E-3</v>
      </c>
      <c r="V75" s="183">
        <f>'Financing assumptions onshore'!$F$53/10000</f>
        <v>5.0000000000000001E-3</v>
      </c>
      <c r="W75" s="183">
        <f>'Financing assumptions onshore'!$F$53/10000</f>
        <v>5.0000000000000001E-3</v>
      </c>
      <c r="X75" s="183">
        <f>'Financing assumptions onshore'!$F$53/10000</f>
        <v>5.0000000000000001E-3</v>
      </c>
      <c r="Y75" s="183">
        <f>'Financing assumptions onshore'!$F$53/10000</f>
        <v>5.0000000000000001E-3</v>
      </c>
      <c r="Z75" s="183">
        <f>'Financing assumptions onshore'!$F$53/10000</f>
        <v>5.0000000000000001E-3</v>
      </c>
      <c r="AA75" s="183">
        <f>'Financing assumptions onshore'!$F$53/10000</f>
        <v>5.0000000000000001E-3</v>
      </c>
      <c r="AB75" s="183">
        <f>'Financing assumptions onshore'!$F$53/10000</f>
        <v>5.0000000000000001E-3</v>
      </c>
      <c r="AC75" s="183">
        <f>'Financing assumptions onshore'!$F$53/10000</f>
        <v>5.0000000000000001E-3</v>
      </c>
      <c r="AD75" s="183">
        <f>'Financing assumptions onshore'!$F$53/10000</f>
        <v>5.0000000000000001E-3</v>
      </c>
      <c r="AE75" s="183">
        <f>'Financing assumptions onshore'!$F$53/10000</f>
        <v>5.0000000000000001E-3</v>
      </c>
      <c r="AF75" s="183">
        <f>'Financing assumptions onshore'!$F$53/10000</f>
        <v>5.0000000000000001E-3</v>
      </c>
      <c r="AG75" s="183">
        <f>'Financing assumptions onshore'!$F$53/10000</f>
        <v>5.0000000000000001E-3</v>
      </c>
    </row>
    <row r="76" spans="1:33">
      <c r="C76" s="28" t="s">
        <v>730</v>
      </c>
      <c r="D76" s="291">
        <v>0</v>
      </c>
      <c r="E76" s="291">
        <f>D80</f>
        <v>0</v>
      </c>
      <c r="F76" s="291">
        <f t="shared" ref="F76:AG76" ca="1" si="54">E80</f>
        <v>0</v>
      </c>
      <c r="G76" s="291">
        <f t="shared" ca="1" si="54"/>
        <v>0</v>
      </c>
      <c r="H76" s="291">
        <f t="shared" ca="1" si="54"/>
        <v>0</v>
      </c>
      <c r="I76" s="291">
        <f t="shared" ca="1" si="54"/>
        <v>0</v>
      </c>
      <c r="J76" s="291">
        <f t="shared" ca="1" si="54"/>
        <v>0</v>
      </c>
      <c r="K76" s="291">
        <f t="shared" ca="1" si="54"/>
        <v>0</v>
      </c>
      <c r="L76" s="291">
        <f t="shared" ca="1" si="54"/>
        <v>0</v>
      </c>
      <c r="M76" s="291">
        <f t="shared" ca="1" si="54"/>
        <v>0</v>
      </c>
      <c r="N76" s="291">
        <f t="shared" ca="1" si="54"/>
        <v>0</v>
      </c>
      <c r="O76" s="291">
        <f t="shared" ca="1" si="54"/>
        <v>0</v>
      </c>
      <c r="P76" s="291">
        <f t="shared" ca="1" si="54"/>
        <v>0</v>
      </c>
      <c r="Q76" s="291">
        <f t="shared" ca="1" si="54"/>
        <v>0</v>
      </c>
      <c r="R76" s="291">
        <f t="shared" ca="1" si="54"/>
        <v>0</v>
      </c>
      <c r="S76" s="291">
        <f t="shared" ca="1" si="54"/>
        <v>0</v>
      </c>
      <c r="T76" s="291">
        <f t="shared" ca="1" si="54"/>
        <v>0</v>
      </c>
      <c r="U76" s="291">
        <f t="shared" ca="1" si="54"/>
        <v>0</v>
      </c>
      <c r="V76" s="291">
        <f t="shared" ca="1" si="54"/>
        <v>0</v>
      </c>
      <c r="W76" s="291">
        <f t="shared" ca="1" si="54"/>
        <v>0</v>
      </c>
      <c r="X76" s="291">
        <f t="shared" ca="1" si="54"/>
        <v>0</v>
      </c>
      <c r="Y76" s="291">
        <f t="shared" ca="1" si="54"/>
        <v>0</v>
      </c>
      <c r="Z76" s="291">
        <f t="shared" ca="1" si="54"/>
        <v>0</v>
      </c>
      <c r="AA76" s="291">
        <f t="shared" ca="1" si="54"/>
        <v>0</v>
      </c>
      <c r="AB76" s="291">
        <f t="shared" ca="1" si="54"/>
        <v>0</v>
      </c>
      <c r="AC76" s="291" t="e">
        <f t="shared" ca="1" si="54"/>
        <v>#N/A</v>
      </c>
      <c r="AD76" s="291" t="e">
        <f t="shared" ca="1" si="54"/>
        <v>#N/A</v>
      </c>
      <c r="AE76" s="291" t="e">
        <f t="shared" ca="1" si="54"/>
        <v>#N/A</v>
      </c>
      <c r="AF76" s="291" t="e">
        <f t="shared" ca="1" si="54"/>
        <v>#N/A</v>
      </c>
      <c r="AG76" s="291" t="e">
        <f t="shared" ca="1" si="54"/>
        <v>#N/A</v>
      </c>
    </row>
    <row r="77" spans="1:33">
      <c r="C77" s="28" t="s">
        <v>758</v>
      </c>
      <c r="D77" s="291">
        <f>D73-D76</f>
        <v>0</v>
      </c>
      <c r="E77" s="291">
        <f t="shared" ref="E77:AF77" si="55">E73-E76</f>
        <v>0</v>
      </c>
      <c r="F77" s="291">
        <f t="shared" ca="1" si="55"/>
        <v>0</v>
      </c>
      <c r="G77" s="291">
        <f t="shared" ca="1" si="55"/>
        <v>0</v>
      </c>
      <c r="H77" s="291">
        <f t="shared" ca="1" si="55"/>
        <v>0</v>
      </c>
      <c r="I77" s="291">
        <f t="shared" ca="1" si="55"/>
        <v>0</v>
      </c>
      <c r="J77" s="291">
        <f t="shared" ca="1" si="55"/>
        <v>0</v>
      </c>
      <c r="K77" s="291">
        <f t="shared" ca="1" si="55"/>
        <v>0</v>
      </c>
      <c r="L77" s="291">
        <f t="shared" ca="1" si="55"/>
        <v>0</v>
      </c>
      <c r="M77" s="291">
        <f t="shared" ca="1" si="55"/>
        <v>0</v>
      </c>
      <c r="N77" s="291">
        <f t="shared" ca="1" si="55"/>
        <v>0</v>
      </c>
      <c r="O77" s="291">
        <f t="shared" ca="1" si="55"/>
        <v>0</v>
      </c>
      <c r="P77" s="291">
        <f t="shared" ca="1" si="55"/>
        <v>0</v>
      </c>
      <c r="Q77" s="291">
        <f t="shared" ca="1" si="55"/>
        <v>0</v>
      </c>
      <c r="R77" s="291">
        <f t="shared" ca="1" si="55"/>
        <v>0</v>
      </c>
      <c r="S77" s="291">
        <f t="shared" ca="1" si="55"/>
        <v>0</v>
      </c>
      <c r="T77" s="291">
        <f t="shared" ca="1" si="55"/>
        <v>0</v>
      </c>
      <c r="U77" s="291">
        <f t="shared" ca="1" si="55"/>
        <v>0</v>
      </c>
      <c r="V77" s="291">
        <f t="shared" ca="1" si="55"/>
        <v>0</v>
      </c>
      <c r="W77" s="291">
        <f t="shared" ca="1" si="55"/>
        <v>0</v>
      </c>
      <c r="X77" s="291">
        <f t="shared" ca="1" si="55"/>
        <v>0</v>
      </c>
      <c r="Y77" s="291">
        <f t="shared" ca="1" si="55"/>
        <v>0</v>
      </c>
      <c r="Z77" s="291">
        <f t="shared" ca="1" si="55"/>
        <v>0</v>
      </c>
      <c r="AA77" s="291">
        <f t="shared" ca="1" si="55"/>
        <v>0</v>
      </c>
      <c r="AB77" s="291">
        <f t="shared" ca="1" si="55"/>
        <v>0</v>
      </c>
      <c r="AC77" s="291" t="e">
        <f t="shared" ca="1" si="55"/>
        <v>#N/A</v>
      </c>
      <c r="AD77" s="291" t="e">
        <f t="shared" ca="1" si="55"/>
        <v>#N/A</v>
      </c>
      <c r="AE77" s="291" t="e">
        <f t="shared" ca="1" si="55"/>
        <v>#N/A</v>
      </c>
      <c r="AF77" s="291" t="e">
        <f t="shared" ca="1" si="55"/>
        <v>#N/A</v>
      </c>
      <c r="AG77" s="291" t="e">
        <f t="shared" ref="AG77" ca="1" si="56">AG73-AG76</f>
        <v>#N/A</v>
      </c>
    </row>
    <row r="78" spans="1:33">
      <c r="C78" s="295" t="s">
        <v>732</v>
      </c>
      <c r="D78" s="291">
        <f>'Financing assumptions onshore'!F54</f>
        <v>0</v>
      </c>
      <c r="E78" s="291">
        <f t="shared" ref="E78:AF78" ca="1" si="57">MAX(MIN(-E70-E79,E77),-E76)</f>
        <v>0</v>
      </c>
      <c r="F78" s="291">
        <f t="shared" ca="1" si="57"/>
        <v>0</v>
      </c>
      <c r="G78" s="291">
        <f t="shared" ca="1" si="57"/>
        <v>0</v>
      </c>
      <c r="H78" s="291">
        <f t="shared" ca="1" si="57"/>
        <v>0</v>
      </c>
      <c r="I78" s="291">
        <f t="shared" ca="1" si="57"/>
        <v>0</v>
      </c>
      <c r="J78" s="291">
        <f t="shared" ca="1" si="57"/>
        <v>0</v>
      </c>
      <c r="K78" s="291">
        <f t="shared" ca="1" si="57"/>
        <v>0</v>
      </c>
      <c r="L78" s="291">
        <f t="shared" ca="1" si="57"/>
        <v>0</v>
      </c>
      <c r="M78" s="291">
        <f t="shared" ca="1" si="57"/>
        <v>0</v>
      </c>
      <c r="N78" s="291">
        <f t="shared" ca="1" si="57"/>
        <v>0</v>
      </c>
      <c r="O78" s="291">
        <f t="shared" ca="1" si="57"/>
        <v>0</v>
      </c>
      <c r="P78" s="291">
        <f ca="1">MAX(MIN(-P70-P79,P77),-P76)</f>
        <v>0</v>
      </c>
      <c r="Q78" s="291">
        <f t="shared" ca="1" si="57"/>
        <v>0</v>
      </c>
      <c r="R78" s="291">
        <f t="shared" ca="1" si="57"/>
        <v>0</v>
      </c>
      <c r="S78" s="291">
        <f t="shared" ca="1" si="57"/>
        <v>0</v>
      </c>
      <c r="T78" s="291">
        <f t="shared" ca="1" si="57"/>
        <v>0</v>
      </c>
      <c r="U78" s="291">
        <f t="shared" ca="1" si="57"/>
        <v>0</v>
      </c>
      <c r="V78" s="291">
        <f t="shared" ca="1" si="57"/>
        <v>0</v>
      </c>
      <c r="W78" s="291">
        <f t="shared" ca="1" si="57"/>
        <v>0</v>
      </c>
      <c r="X78" s="291">
        <f t="shared" ca="1" si="57"/>
        <v>0</v>
      </c>
      <c r="Y78" s="291">
        <f t="shared" ca="1" si="57"/>
        <v>0</v>
      </c>
      <c r="Z78" s="291">
        <f t="shared" ca="1" si="57"/>
        <v>0</v>
      </c>
      <c r="AA78" s="291">
        <f t="shared" ca="1" si="57"/>
        <v>0</v>
      </c>
      <c r="AB78" s="291" t="e">
        <f t="shared" ca="1" si="57"/>
        <v>#N/A</v>
      </c>
      <c r="AC78" s="291" t="e">
        <f t="shared" ca="1" si="57"/>
        <v>#N/A</v>
      </c>
      <c r="AD78" s="291" t="e">
        <f t="shared" ca="1" si="57"/>
        <v>#N/A</v>
      </c>
      <c r="AE78" s="291" t="e">
        <f t="shared" ca="1" si="57"/>
        <v>#N/A</v>
      </c>
      <c r="AF78" s="291" t="e">
        <f t="shared" ca="1" si="57"/>
        <v>#N/A</v>
      </c>
      <c r="AG78" s="291" t="e">
        <f t="shared" ref="AG78" ca="1" si="58">MAX(MIN(-AG70-AG79,AG77),-AG76)</f>
        <v>#N/A</v>
      </c>
    </row>
    <row r="79" spans="1:33">
      <c r="C79" s="295" t="s">
        <v>729</v>
      </c>
      <c r="D79" s="291">
        <f t="shared" ref="D79:AF79" si="59">NOT(D6)*-(D74*D76/4+D77*D75/4)</f>
        <v>0</v>
      </c>
      <c r="E79" s="291">
        <f t="shared" si="59"/>
        <v>0</v>
      </c>
      <c r="F79" s="291">
        <f t="shared" ca="1" si="59"/>
        <v>0</v>
      </c>
      <c r="G79" s="291">
        <f t="shared" ca="1" si="59"/>
        <v>0</v>
      </c>
      <c r="H79" s="291">
        <f t="shared" ca="1" si="59"/>
        <v>0</v>
      </c>
      <c r="I79" s="291">
        <f t="shared" ca="1" si="59"/>
        <v>0</v>
      </c>
      <c r="J79" s="291">
        <f t="shared" ca="1" si="59"/>
        <v>0</v>
      </c>
      <c r="K79" s="291">
        <f t="shared" ca="1" si="59"/>
        <v>0</v>
      </c>
      <c r="L79" s="291">
        <f t="shared" ca="1" si="59"/>
        <v>0</v>
      </c>
      <c r="M79" s="291">
        <f t="shared" ca="1" si="59"/>
        <v>0</v>
      </c>
      <c r="N79" s="291">
        <f t="shared" ca="1" si="59"/>
        <v>0</v>
      </c>
      <c r="O79" s="291">
        <f t="shared" ca="1" si="59"/>
        <v>0</v>
      </c>
      <c r="P79" s="291">
        <f t="shared" ca="1" si="59"/>
        <v>0</v>
      </c>
      <c r="Q79" s="291">
        <f t="shared" ca="1" si="59"/>
        <v>0</v>
      </c>
      <c r="R79" s="291">
        <f t="shared" ca="1" si="59"/>
        <v>0</v>
      </c>
      <c r="S79" s="291">
        <f t="shared" ca="1" si="59"/>
        <v>0</v>
      </c>
      <c r="T79" s="291">
        <f t="shared" ca="1" si="59"/>
        <v>0</v>
      </c>
      <c r="U79" s="291">
        <f t="shared" ca="1" si="59"/>
        <v>0</v>
      </c>
      <c r="V79" s="291">
        <f t="shared" ca="1" si="59"/>
        <v>0</v>
      </c>
      <c r="W79" s="291">
        <f t="shared" ca="1" si="59"/>
        <v>0</v>
      </c>
      <c r="X79" s="291">
        <f t="shared" ca="1" si="59"/>
        <v>0</v>
      </c>
      <c r="Y79" s="291">
        <f t="shared" ca="1" si="59"/>
        <v>0</v>
      </c>
      <c r="Z79" s="291">
        <f t="shared" ca="1" si="59"/>
        <v>0</v>
      </c>
      <c r="AA79" s="291">
        <f t="shared" ca="1" si="59"/>
        <v>0</v>
      </c>
      <c r="AB79" s="291">
        <f t="shared" ca="1" si="59"/>
        <v>0</v>
      </c>
      <c r="AC79" s="291" t="e">
        <f t="shared" ca="1" si="59"/>
        <v>#N/A</v>
      </c>
      <c r="AD79" s="291" t="e">
        <f t="shared" ca="1" si="59"/>
        <v>#N/A</v>
      </c>
      <c r="AE79" s="291" t="e">
        <f t="shared" ca="1" si="59"/>
        <v>#N/A</v>
      </c>
      <c r="AF79" s="291" t="e">
        <f t="shared" ca="1" si="59"/>
        <v>#N/A</v>
      </c>
      <c r="AG79" s="291" t="e">
        <f t="shared" ref="AG79" ca="1" si="60">NOT(AG6)*-(AG74*AG76/4+AG77*AG75/4)</f>
        <v>#N/A</v>
      </c>
    </row>
    <row r="80" spans="1:33">
      <c r="C80" s="195" t="s">
        <v>1040</v>
      </c>
      <c r="D80" s="195">
        <f>D76+D78</f>
        <v>0</v>
      </c>
      <c r="E80" s="195">
        <f t="shared" ref="E80:AF80" ca="1" si="61">E76+E78</f>
        <v>0</v>
      </c>
      <c r="F80" s="195">
        <f t="shared" ca="1" si="61"/>
        <v>0</v>
      </c>
      <c r="G80" s="195">
        <f t="shared" ca="1" si="61"/>
        <v>0</v>
      </c>
      <c r="H80" s="195">
        <f t="shared" ca="1" si="61"/>
        <v>0</v>
      </c>
      <c r="I80" s="195">
        <f t="shared" ca="1" si="61"/>
        <v>0</v>
      </c>
      <c r="J80" s="195">
        <f t="shared" ca="1" si="61"/>
        <v>0</v>
      </c>
      <c r="K80" s="195">
        <f t="shared" ca="1" si="61"/>
        <v>0</v>
      </c>
      <c r="L80" s="195">
        <f t="shared" ca="1" si="61"/>
        <v>0</v>
      </c>
      <c r="M80" s="195">
        <f t="shared" ca="1" si="61"/>
        <v>0</v>
      </c>
      <c r="N80" s="195">
        <f t="shared" ca="1" si="61"/>
        <v>0</v>
      </c>
      <c r="O80" s="195">
        <f t="shared" ca="1" si="61"/>
        <v>0</v>
      </c>
      <c r="P80" s="195">
        <f ca="1">P76+P78</f>
        <v>0</v>
      </c>
      <c r="Q80" s="195">
        <f t="shared" ca="1" si="61"/>
        <v>0</v>
      </c>
      <c r="R80" s="195">
        <f t="shared" ca="1" si="61"/>
        <v>0</v>
      </c>
      <c r="S80" s="195">
        <f t="shared" ca="1" si="61"/>
        <v>0</v>
      </c>
      <c r="T80" s="195">
        <f t="shared" ca="1" si="61"/>
        <v>0</v>
      </c>
      <c r="U80" s="195">
        <f t="shared" ca="1" si="61"/>
        <v>0</v>
      </c>
      <c r="V80" s="195">
        <f t="shared" ca="1" si="61"/>
        <v>0</v>
      </c>
      <c r="W80" s="195">
        <f t="shared" ca="1" si="61"/>
        <v>0</v>
      </c>
      <c r="X80" s="195">
        <f t="shared" ca="1" si="61"/>
        <v>0</v>
      </c>
      <c r="Y80" s="195">
        <f t="shared" ca="1" si="61"/>
        <v>0</v>
      </c>
      <c r="Z80" s="195">
        <f t="shared" ca="1" si="61"/>
        <v>0</v>
      </c>
      <c r="AA80" s="195">
        <f t="shared" ca="1" si="61"/>
        <v>0</v>
      </c>
      <c r="AB80" s="195" t="e">
        <f t="shared" ca="1" si="61"/>
        <v>#N/A</v>
      </c>
      <c r="AC80" s="195" t="e">
        <f t="shared" ca="1" si="61"/>
        <v>#N/A</v>
      </c>
      <c r="AD80" s="195" t="e">
        <f t="shared" ca="1" si="61"/>
        <v>#N/A</v>
      </c>
      <c r="AE80" s="195" t="e">
        <f t="shared" ca="1" si="61"/>
        <v>#N/A</v>
      </c>
      <c r="AF80" s="195" t="e">
        <f t="shared" ca="1" si="61"/>
        <v>#N/A</v>
      </c>
      <c r="AG80" s="195" t="e">
        <f t="shared" ref="AG80" ca="1" si="62">AG76+AG78</f>
        <v>#N/A</v>
      </c>
    </row>
    <row r="81" spans="3:33">
      <c r="C81" s="195" t="s">
        <v>1045</v>
      </c>
      <c r="D81" s="195">
        <f>D73-D80</f>
        <v>0</v>
      </c>
      <c r="E81" s="195">
        <f t="shared" ref="E81:AF81" ca="1" si="63">E73-E80</f>
        <v>0</v>
      </c>
      <c r="F81" s="195">
        <f t="shared" ca="1" si="63"/>
        <v>0</v>
      </c>
      <c r="G81" s="195">
        <f t="shared" ca="1" si="63"/>
        <v>0</v>
      </c>
      <c r="H81" s="195">
        <f t="shared" ca="1" si="63"/>
        <v>0</v>
      </c>
      <c r="I81" s="195">
        <f t="shared" ca="1" si="63"/>
        <v>0</v>
      </c>
      <c r="J81" s="195">
        <f t="shared" ca="1" si="63"/>
        <v>0</v>
      </c>
      <c r="K81" s="195">
        <f t="shared" ca="1" si="63"/>
        <v>0</v>
      </c>
      <c r="L81" s="195">
        <f t="shared" ca="1" si="63"/>
        <v>0</v>
      </c>
      <c r="M81" s="195">
        <f t="shared" ca="1" si="63"/>
        <v>0</v>
      </c>
      <c r="N81" s="195">
        <f t="shared" ca="1" si="63"/>
        <v>0</v>
      </c>
      <c r="O81" s="195">
        <f t="shared" ca="1" si="63"/>
        <v>0</v>
      </c>
      <c r="P81" s="195">
        <f t="shared" ca="1" si="63"/>
        <v>0</v>
      </c>
      <c r="Q81" s="195">
        <f t="shared" ca="1" si="63"/>
        <v>0</v>
      </c>
      <c r="R81" s="195">
        <f t="shared" ca="1" si="63"/>
        <v>0</v>
      </c>
      <c r="S81" s="195">
        <f t="shared" ca="1" si="63"/>
        <v>0</v>
      </c>
      <c r="T81" s="195">
        <f t="shared" ca="1" si="63"/>
        <v>0</v>
      </c>
      <c r="U81" s="195">
        <f t="shared" ca="1" si="63"/>
        <v>0</v>
      </c>
      <c r="V81" s="195">
        <f t="shared" ca="1" si="63"/>
        <v>0</v>
      </c>
      <c r="W81" s="195">
        <f t="shared" ca="1" si="63"/>
        <v>0</v>
      </c>
      <c r="X81" s="195">
        <f t="shared" ca="1" si="63"/>
        <v>0</v>
      </c>
      <c r="Y81" s="195">
        <f t="shared" ca="1" si="63"/>
        <v>0</v>
      </c>
      <c r="Z81" s="195">
        <f t="shared" ca="1" si="63"/>
        <v>0</v>
      </c>
      <c r="AA81" s="195">
        <f t="shared" ca="1" si="63"/>
        <v>0</v>
      </c>
      <c r="AB81" s="195" t="e">
        <f t="shared" ca="1" si="63"/>
        <v>#N/A</v>
      </c>
      <c r="AC81" s="195" t="e">
        <f t="shared" ca="1" si="63"/>
        <v>#N/A</v>
      </c>
      <c r="AD81" s="195" t="e">
        <f t="shared" ca="1" si="63"/>
        <v>#N/A</v>
      </c>
      <c r="AE81" s="195" t="e">
        <f t="shared" ca="1" si="63"/>
        <v>#N/A</v>
      </c>
      <c r="AF81" s="195" t="e">
        <f t="shared" ca="1" si="63"/>
        <v>#N/A</v>
      </c>
      <c r="AG81" s="195" t="e">
        <f t="shared" ref="AG81" ca="1" si="64">AG73-AG80</f>
        <v>#N/A</v>
      </c>
    </row>
    <row r="83" spans="3:33">
      <c r="C83" s="209" t="s">
        <v>1471</v>
      </c>
      <c r="D83" s="209"/>
      <c r="E83" s="209"/>
      <c r="F83" s="209"/>
      <c r="G83" s="209"/>
      <c r="H83" s="209"/>
      <c r="I83" s="209"/>
      <c r="J83" s="209"/>
      <c r="K83" s="209"/>
      <c r="L83" s="209"/>
      <c r="M83" s="209"/>
      <c r="N83" s="209"/>
      <c r="O83" s="209"/>
      <c r="P83" s="209"/>
      <c r="Q83" s="209"/>
      <c r="R83" s="209"/>
      <c r="S83" s="209"/>
      <c r="T83" s="209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</row>
    <row r="84" spans="3:33">
      <c r="C84" s="28" t="s">
        <v>730</v>
      </c>
      <c r="D84" s="291">
        <f>'Acquisition BS adjustments'!E73</f>
        <v>0</v>
      </c>
      <c r="E84" s="291">
        <f ca="1">D86</f>
        <v>0</v>
      </c>
      <c r="F84" s="291">
        <f t="shared" ref="F84:AG84" ca="1" si="65">E86</f>
        <v>0</v>
      </c>
      <c r="G84" s="291">
        <f t="shared" ca="1" si="65"/>
        <v>0</v>
      </c>
      <c r="H84" s="291">
        <f t="shared" ca="1" si="65"/>
        <v>0</v>
      </c>
      <c r="I84" s="291">
        <f t="shared" ca="1" si="65"/>
        <v>0</v>
      </c>
      <c r="J84" s="291">
        <f t="shared" ca="1" si="65"/>
        <v>0</v>
      </c>
      <c r="K84" s="291">
        <f t="shared" ca="1" si="65"/>
        <v>0</v>
      </c>
      <c r="L84" s="291">
        <f t="shared" ca="1" si="65"/>
        <v>0</v>
      </c>
      <c r="M84" s="291">
        <f t="shared" ca="1" si="65"/>
        <v>0</v>
      </c>
      <c r="N84" s="291">
        <f t="shared" ca="1" si="65"/>
        <v>0</v>
      </c>
      <c r="O84" s="291">
        <f t="shared" ca="1" si="65"/>
        <v>0</v>
      </c>
      <c r="P84" s="291">
        <f t="shared" ca="1" si="65"/>
        <v>0</v>
      </c>
      <c r="Q84" s="291">
        <f t="shared" ca="1" si="65"/>
        <v>0</v>
      </c>
      <c r="R84" s="291">
        <f t="shared" ca="1" si="65"/>
        <v>0</v>
      </c>
      <c r="S84" s="291">
        <f t="shared" ca="1" si="65"/>
        <v>0</v>
      </c>
      <c r="T84" s="291">
        <f t="shared" ca="1" si="65"/>
        <v>0</v>
      </c>
      <c r="U84" s="291">
        <f t="shared" ca="1" si="65"/>
        <v>0</v>
      </c>
      <c r="V84" s="291">
        <f t="shared" ca="1" si="65"/>
        <v>0</v>
      </c>
      <c r="W84" s="291">
        <f t="shared" ca="1" si="65"/>
        <v>0</v>
      </c>
      <c r="X84" s="291">
        <f t="shared" ca="1" si="65"/>
        <v>0</v>
      </c>
      <c r="Y84" s="291">
        <f t="shared" ca="1" si="65"/>
        <v>0</v>
      </c>
      <c r="Z84" s="291">
        <f t="shared" ca="1" si="65"/>
        <v>0</v>
      </c>
      <c r="AA84" s="291">
        <f t="shared" ca="1" si="65"/>
        <v>0</v>
      </c>
      <c r="AB84" s="291">
        <f t="shared" ca="1" si="65"/>
        <v>0</v>
      </c>
      <c r="AC84" s="291" t="e">
        <f t="shared" ca="1" si="65"/>
        <v>#N/A</v>
      </c>
      <c r="AD84" s="291" t="e">
        <f t="shared" ca="1" si="65"/>
        <v>#N/A</v>
      </c>
      <c r="AE84" s="291" t="e">
        <f t="shared" ca="1" si="65"/>
        <v>#N/A</v>
      </c>
      <c r="AF84" s="291" t="e">
        <f t="shared" ca="1" si="65"/>
        <v>#N/A</v>
      </c>
      <c r="AG84" s="291" t="e">
        <f t="shared" ca="1" si="65"/>
        <v>#N/A</v>
      </c>
    </row>
    <row r="85" spans="3:33">
      <c r="C85" s="295" t="s">
        <v>732</v>
      </c>
      <c r="D85" s="291">
        <f t="shared" ref="D85:AF85" ca="1" si="66">MAX(-(D70+D78),-D84)*int_pay_trigger</f>
        <v>0</v>
      </c>
      <c r="E85" s="291">
        <f t="shared" ca="1" si="66"/>
        <v>0</v>
      </c>
      <c r="F85" s="291">
        <f t="shared" ca="1" si="66"/>
        <v>0</v>
      </c>
      <c r="G85" s="291">
        <f t="shared" ca="1" si="66"/>
        <v>0</v>
      </c>
      <c r="H85" s="291">
        <f t="shared" ca="1" si="66"/>
        <v>0</v>
      </c>
      <c r="I85" s="291">
        <f t="shared" ca="1" si="66"/>
        <v>0</v>
      </c>
      <c r="J85" s="291">
        <f t="shared" ca="1" si="66"/>
        <v>0</v>
      </c>
      <c r="K85" s="291">
        <f t="shared" ca="1" si="66"/>
        <v>0</v>
      </c>
      <c r="L85" s="291">
        <f t="shared" ca="1" si="66"/>
        <v>0</v>
      </c>
      <c r="M85" s="291">
        <f t="shared" ca="1" si="66"/>
        <v>0</v>
      </c>
      <c r="N85" s="291">
        <f t="shared" ca="1" si="66"/>
        <v>0</v>
      </c>
      <c r="O85" s="291">
        <f t="shared" ca="1" si="66"/>
        <v>0</v>
      </c>
      <c r="P85" s="291">
        <f t="shared" ca="1" si="66"/>
        <v>0</v>
      </c>
      <c r="Q85" s="291">
        <f t="shared" ca="1" si="66"/>
        <v>0</v>
      </c>
      <c r="R85" s="291">
        <f t="shared" ca="1" si="66"/>
        <v>0</v>
      </c>
      <c r="S85" s="291">
        <f t="shared" ca="1" si="66"/>
        <v>0</v>
      </c>
      <c r="T85" s="291">
        <f t="shared" ca="1" si="66"/>
        <v>0</v>
      </c>
      <c r="U85" s="291">
        <f t="shared" ca="1" si="66"/>
        <v>0</v>
      </c>
      <c r="V85" s="291">
        <f t="shared" ca="1" si="66"/>
        <v>0</v>
      </c>
      <c r="W85" s="291">
        <f t="shared" ca="1" si="66"/>
        <v>0</v>
      </c>
      <c r="X85" s="291">
        <f t="shared" ca="1" si="66"/>
        <v>0</v>
      </c>
      <c r="Y85" s="291">
        <f t="shared" ca="1" si="66"/>
        <v>0</v>
      </c>
      <c r="Z85" s="291">
        <f t="shared" ca="1" si="66"/>
        <v>0</v>
      </c>
      <c r="AA85" s="291">
        <f t="shared" ca="1" si="66"/>
        <v>0</v>
      </c>
      <c r="AB85" s="291" t="e">
        <f t="shared" ca="1" si="66"/>
        <v>#N/A</v>
      </c>
      <c r="AC85" s="291" t="e">
        <f t="shared" ca="1" si="66"/>
        <v>#N/A</v>
      </c>
      <c r="AD85" s="291" t="e">
        <f t="shared" ca="1" si="66"/>
        <v>#N/A</v>
      </c>
      <c r="AE85" s="291" t="e">
        <f t="shared" ca="1" si="66"/>
        <v>#N/A</v>
      </c>
      <c r="AF85" s="291" t="e">
        <f t="shared" ca="1" si="66"/>
        <v>#N/A</v>
      </c>
      <c r="AG85" s="291" t="e">
        <f t="shared" ref="AG85" ca="1" si="67">MAX(-(AG70+AG78),-AG84)*int_pay_trigger</f>
        <v>#N/A</v>
      </c>
    </row>
    <row r="86" spans="3:33">
      <c r="C86" s="195" t="s">
        <v>731</v>
      </c>
      <c r="D86" s="195">
        <f t="shared" ref="D86:AF86" ca="1" si="68">D84+D85</f>
        <v>0</v>
      </c>
      <c r="E86" s="195">
        <f t="shared" ca="1" si="68"/>
        <v>0</v>
      </c>
      <c r="F86" s="195">
        <f t="shared" ca="1" si="68"/>
        <v>0</v>
      </c>
      <c r="G86" s="195">
        <f t="shared" ca="1" si="68"/>
        <v>0</v>
      </c>
      <c r="H86" s="195">
        <f t="shared" ca="1" si="68"/>
        <v>0</v>
      </c>
      <c r="I86" s="195">
        <f t="shared" ca="1" si="68"/>
        <v>0</v>
      </c>
      <c r="J86" s="195">
        <f t="shared" ca="1" si="68"/>
        <v>0</v>
      </c>
      <c r="K86" s="195">
        <f t="shared" ca="1" si="68"/>
        <v>0</v>
      </c>
      <c r="L86" s="195">
        <f t="shared" ca="1" si="68"/>
        <v>0</v>
      </c>
      <c r="M86" s="195">
        <f t="shared" ca="1" si="68"/>
        <v>0</v>
      </c>
      <c r="N86" s="195">
        <f t="shared" ca="1" si="68"/>
        <v>0</v>
      </c>
      <c r="O86" s="195">
        <f t="shared" ca="1" si="68"/>
        <v>0</v>
      </c>
      <c r="P86" s="195">
        <f t="shared" ca="1" si="68"/>
        <v>0</v>
      </c>
      <c r="Q86" s="195">
        <f t="shared" ca="1" si="68"/>
        <v>0</v>
      </c>
      <c r="R86" s="195">
        <f t="shared" ca="1" si="68"/>
        <v>0</v>
      </c>
      <c r="S86" s="195">
        <f t="shared" ca="1" si="68"/>
        <v>0</v>
      </c>
      <c r="T86" s="195">
        <f t="shared" ca="1" si="68"/>
        <v>0</v>
      </c>
      <c r="U86" s="195">
        <f t="shared" ca="1" si="68"/>
        <v>0</v>
      </c>
      <c r="V86" s="195">
        <f t="shared" ca="1" si="68"/>
        <v>0</v>
      </c>
      <c r="W86" s="195">
        <f t="shared" ca="1" si="68"/>
        <v>0</v>
      </c>
      <c r="X86" s="195">
        <f t="shared" ca="1" si="68"/>
        <v>0</v>
      </c>
      <c r="Y86" s="195">
        <f t="shared" ca="1" si="68"/>
        <v>0</v>
      </c>
      <c r="Z86" s="195">
        <f t="shared" ca="1" si="68"/>
        <v>0</v>
      </c>
      <c r="AA86" s="195">
        <f t="shared" ca="1" si="68"/>
        <v>0</v>
      </c>
      <c r="AB86" s="195" t="e">
        <f t="shared" ca="1" si="68"/>
        <v>#N/A</v>
      </c>
      <c r="AC86" s="195" t="e">
        <f t="shared" ca="1" si="68"/>
        <v>#N/A</v>
      </c>
      <c r="AD86" s="195" t="e">
        <f t="shared" ca="1" si="68"/>
        <v>#N/A</v>
      </c>
      <c r="AE86" s="195" t="e">
        <f t="shared" ca="1" si="68"/>
        <v>#N/A</v>
      </c>
      <c r="AF86" s="195" t="e">
        <f t="shared" ca="1" si="68"/>
        <v>#N/A</v>
      </c>
      <c r="AG86" s="195" t="e">
        <f t="shared" ref="AG86" ca="1" si="69">AG84+AG85</f>
        <v>#N/A</v>
      </c>
    </row>
    <row r="87" spans="3:33">
      <c r="C87" s="378"/>
      <c r="D87" s="378"/>
      <c r="E87" s="378"/>
      <c r="F87" s="378"/>
      <c r="G87" s="378"/>
      <c r="H87" s="378"/>
      <c r="I87" s="378"/>
      <c r="J87" s="378"/>
      <c r="K87" s="378"/>
      <c r="L87" s="378"/>
      <c r="M87" s="378"/>
      <c r="N87" s="378"/>
      <c r="O87" s="378"/>
      <c r="P87" s="378"/>
      <c r="Q87" s="378"/>
      <c r="R87" s="378"/>
      <c r="S87" s="378"/>
      <c r="T87" s="378"/>
      <c r="U87" s="378"/>
      <c r="V87" s="378"/>
      <c r="W87" s="378"/>
      <c r="X87" s="378"/>
      <c r="Y87" s="378"/>
      <c r="Z87" s="378"/>
      <c r="AA87" s="378"/>
      <c r="AB87" s="378"/>
      <c r="AC87" s="378"/>
      <c r="AD87" s="378"/>
      <c r="AE87" s="378"/>
      <c r="AF87" s="378"/>
      <c r="AG87" s="378"/>
    </row>
    <row r="88" spans="3:33">
      <c r="C88" s="379" t="s">
        <v>840</v>
      </c>
      <c r="D88" s="379"/>
      <c r="E88" s="379">
        <f t="shared" ref="E88:AG88" ca="1" si="70">D95*cash_int/4</f>
        <v>0</v>
      </c>
      <c r="F88" s="379">
        <f t="shared" ca="1" si="70"/>
        <v>0</v>
      </c>
      <c r="G88" s="379">
        <f t="shared" ca="1" si="70"/>
        <v>0</v>
      </c>
      <c r="H88" s="379">
        <f t="shared" ca="1" si="70"/>
        <v>0</v>
      </c>
      <c r="I88" s="379">
        <f t="shared" ca="1" si="70"/>
        <v>0</v>
      </c>
      <c r="J88" s="379">
        <f t="shared" ca="1" si="70"/>
        <v>0</v>
      </c>
      <c r="K88" s="379">
        <f t="shared" ca="1" si="70"/>
        <v>0</v>
      </c>
      <c r="L88" s="379">
        <f t="shared" ca="1" si="70"/>
        <v>0</v>
      </c>
      <c r="M88" s="379">
        <f t="shared" ca="1" si="70"/>
        <v>0</v>
      </c>
      <c r="N88" s="379">
        <f t="shared" ca="1" si="70"/>
        <v>0</v>
      </c>
      <c r="O88" s="379">
        <f t="shared" ca="1" si="70"/>
        <v>0</v>
      </c>
      <c r="P88" s="379">
        <f t="shared" ca="1" si="70"/>
        <v>0</v>
      </c>
      <c r="Q88" s="379">
        <f t="shared" ca="1" si="70"/>
        <v>0</v>
      </c>
      <c r="R88" s="379">
        <f t="shared" ca="1" si="70"/>
        <v>0</v>
      </c>
      <c r="S88" s="379">
        <f t="shared" ca="1" si="70"/>
        <v>0</v>
      </c>
      <c r="T88" s="379">
        <f t="shared" ca="1" si="70"/>
        <v>0</v>
      </c>
      <c r="U88" s="379">
        <f t="shared" ca="1" si="70"/>
        <v>0</v>
      </c>
      <c r="V88" s="379">
        <f t="shared" ca="1" si="70"/>
        <v>0</v>
      </c>
      <c r="W88" s="379">
        <f t="shared" ca="1" si="70"/>
        <v>0</v>
      </c>
      <c r="X88" s="379">
        <f t="shared" ca="1" si="70"/>
        <v>0</v>
      </c>
      <c r="Y88" s="379">
        <f t="shared" ca="1" si="70"/>
        <v>0</v>
      </c>
      <c r="Z88" s="379">
        <f t="shared" ca="1" si="70"/>
        <v>0</v>
      </c>
      <c r="AA88" s="379">
        <f t="shared" ca="1" si="70"/>
        <v>0</v>
      </c>
      <c r="AB88" s="379">
        <f t="shared" ca="1" si="70"/>
        <v>0</v>
      </c>
      <c r="AC88" s="379" t="e">
        <f t="shared" ca="1" si="70"/>
        <v>#N/A</v>
      </c>
      <c r="AD88" s="379" t="e">
        <f t="shared" ca="1" si="70"/>
        <v>#N/A</v>
      </c>
      <c r="AE88" s="379" t="e">
        <f t="shared" ca="1" si="70"/>
        <v>#N/A</v>
      </c>
      <c r="AF88" s="379" t="e">
        <f t="shared" ca="1" si="70"/>
        <v>#N/A</v>
      </c>
      <c r="AG88" s="379" t="e">
        <f t="shared" ca="1" si="70"/>
        <v>#N/A</v>
      </c>
    </row>
    <row r="90" spans="3:33">
      <c r="C90" s="183" t="s">
        <v>754</v>
      </c>
      <c r="D90" s="183">
        <f>'Financing assumptions onshore'!$F$59*'Financing assumptions onshore'!$F$60</f>
        <v>0.15</v>
      </c>
      <c r="E90" s="183">
        <f>'Financing assumptions onshore'!$F$59*'Financing assumptions onshore'!$F$60</f>
        <v>0.15</v>
      </c>
      <c r="F90" s="183">
        <f>'Financing assumptions onshore'!$F$59*'Financing assumptions onshore'!$F$60</f>
        <v>0.15</v>
      </c>
      <c r="G90" s="183">
        <f>'Financing assumptions onshore'!$F$59*'Financing assumptions onshore'!$F$60</f>
        <v>0.15</v>
      </c>
      <c r="H90" s="183">
        <f>'Financing assumptions onshore'!$F$59*'Financing assumptions onshore'!$F$60</f>
        <v>0.15</v>
      </c>
      <c r="I90" s="183">
        <f>'Financing assumptions onshore'!$F$59*'Financing assumptions onshore'!$F$60</f>
        <v>0.15</v>
      </c>
      <c r="J90" s="183">
        <f>'Financing assumptions onshore'!$F$59*'Financing assumptions onshore'!$F$60</f>
        <v>0.15</v>
      </c>
      <c r="K90" s="183">
        <f>'Financing assumptions onshore'!$F$59*'Financing assumptions onshore'!$F$60</f>
        <v>0.15</v>
      </c>
      <c r="L90" s="183">
        <f>'Financing assumptions onshore'!$F$59*'Financing assumptions onshore'!$F$60</f>
        <v>0.15</v>
      </c>
      <c r="M90" s="183">
        <f>'Financing assumptions onshore'!$F$59*'Financing assumptions onshore'!$F$60</f>
        <v>0.15</v>
      </c>
      <c r="N90" s="183">
        <f>'Financing assumptions onshore'!$F$59*'Financing assumptions onshore'!$F$60</f>
        <v>0.15</v>
      </c>
      <c r="O90" s="183">
        <f>'Financing assumptions onshore'!$F$59*'Financing assumptions onshore'!$F$60</f>
        <v>0.15</v>
      </c>
      <c r="P90" s="183">
        <f>'Financing assumptions onshore'!$F$59*'Financing assumptions onshore'!$F$60</f>
        <v>0.15</v>
      </c>
      <c r="Q90" s="183">
        <f>'Financing assumptions onshore'!$F$59*'Financing assumptions onshore'!$F$60</f>
        <v>0.15</v>
      </c>
      <c r="R90" s="183">
        <f>'Financing assumptions onshore'!$F$59*'Financing assumptions onshore'!$F$60</f>
        <v>0.15</v>
      </c>
      <c r="S90" s="183">
        <f>'Financing assumptions onshore'!$F$59*'Financing assumptions onshore'!$F$60</f>
        <v>0.15</v>
      </c>
      <c r="T90" s="183">
        <f>'Financing assumptions onshore'!$F$59*'Financing assumptions onshore'!$F$60</f>
        <v>0.15</v>
      </c>
      <c r="U90" s="183">
        <f>'Financing assumptions onshore'!$F$59*'Financing assumptions onshore'!$F$60</f>
        <v>0.15</v>
      </c>
      <c r="V90" s="183">
        <f>'Financing assumptions onshore'!$F$59*'Financing assumptions onshore'!$F$60</f>
        <v>0.15</v>
      </c>
      <c r="W90" s="183">
        <f>'Financing assumptions onshore'!$F$59*'Financing assumptions onshore'!$F$60</f>
        <v>0.15</v>
      </c>
      <c r="X90" s="183">
        <f>'Financing assumptions onshore'!$F$59*'Financing assumptions onshore'!$F$60</f>
        <v>0.15</v>
      </c>
      <c r="Y90" s="183">
        <f>'Financing assumptions onshore'!$F$59*'Financing assumptions onshore'!$F$60</f>
        <v>0.15</v>
      </c>
      <c r="Z90" s="183">
        <f>'Financing assumptions onshore'!$F$59*'Financing assumptions onshore'!$F$60</f>
        <v>0.15</v>
      </c>
      <c r="AA90" s="183">
        <f>'Financing assumptions onshore'!$F$59*'Financing assumptions onshore'!$F$60</f>
        <v>0.15</v>
      </c>
      <c r="AB90" s="183">
        <f>'Financing assumptions onshore'!$F$59*'Financing assumptions onshore'!$F$60</f>
        <v>0.15</v>
      </c>
      <c r="AC90" s="183">
        <f>'Financing assumptions onshore'!$F$59*'Financing assumptions onshore'!$F$60</f>
        <v>0.15</v>
      </c>
      <c r="AD90" s="183">
        <f>'Financing assumptions onshore'!$F$59*'Financing assumptions onshore'!$F$60</f>
        <v>0.15</v>
      </c>
      <c r="AE90" s="183">
        <f>'Financing assumptions onshore'!$F$59*'Financing assumptions onshore'!$F$60</f>
        <v>0.15</v>
      </c>
      <c r="AF90" s="183">
        <f>'Financing assumptions onshore'!$F$59*'Financing assumptions onshore'!$F$60</f>
        <v>0.15</v>
      </c>
      <c r="AG90" s="183">
        <f>'Financing assumptions onshore'!$F$59*'Financing assumptions onshore'!$F$60</f>
        <v>0.15</v>
      </c>
    </row>
    <row r="91" spans="3:33">
      <c r="C91" s="180" t="s">
        <v>755</v>
      </c>
      <c r="D91" s="180">
        <f t="shared" ref="D91:AF91" si="71">-D90*(D79-D61+D50+D37+D24+D88)</f>
        <v>0</v>
      </c>
      <c r="E91" s="180">
        <f t="shared" ca="1" si="71"/>
        <v>0</v>
      </c>
      <c r="F91" s="180">
        <f t="shared" ca="1" si="71"/>
        <v>0</v>
      </c>
      <c r="G91" s="180">
        <f t="shared" ca="1" si="71"/>
        <v>0</v>
      </c>
      <c r="H91" s="180">
        <f t="shared" ca="1" si="71"/>
        <v>0</v>
      </c>
      <c r="I91" s="180">
        <f t="shared" ca="1" si="71"/>
        <v>0</v>
      </c>
      <c r="J91" s="180">
        <f t="shared" ca="1" si="71"/>
        <v>0</v>
      </c>
      <c r="K91" s="180">
        <f t="shared" ca="1" si="71"/>
        <v>0</v>
      </c>
      <c r="L91" s="180">
        <f t="shared" ca="1" si="71"/>
        <v>0</v>
      </c>
      <c r="M91" s="180">
        <f t="shared" ca="1" si="71"/>
        <v>0</v>
      </c>
      <c r="N91" s="180">
        <f t="shared" ca="1" si="71"/>
        <v>0</v>
      </c>
      <c r="O91" s="180">
        <f t="shared" ca="1" si="71"/>
        <v>0</v>
      </c>
      <c r="P91" s="180">
        <f t="shared" ca="1" si="71"/>
        <v>0</v>
      </c>
      <c r="Q91" s="180">
        <f t="shared" ca="1" si="71"/>
        <v>0</v>
      </c>
      <c r="R91" s="180">
        <f t="shared" ca="1" si="71"/>
        <v>0</v>
      </c>
      <c r="S91" s="180">
        <f t="shared" ca="1" si="71"/>
        <v>0</v>
      </c>
      <c r="T91" s="180">
        <f t="shared" ca="1" si="71"/>
        <v>0</v>
      </c>
      <c r="U91" s="180">
        <f t="shared" ca="1" si="71"/>
        <v>0</v>
      </c>
      <c r="V91" s="180">
        <f t="shared" ca="1" si="71"/>
        <v>0</v>
      </c>
      <c r="W91" s="180">
        <f t="shared" ca="1" si="71"/>
        <v>0</v>
      </c>
      <c r="X91" s="180">
        <f t="shared" ca="1" si="71"/>
        <v>0</v>
      </c>
      <c r="Y91" s="180">
        <f t="shared" ca="1" si="71"/>
        <v>0</v>
      </c>
      <c r="Z91" s="180">
        <f t="shared" ca="1" si="71"/>
        <v>0</v>
      </c>
      <c r="AA91" s="180">
        <f t="shared" ca="1" si="71"/>
        <v>0</v>
      </c>
      <c r="AB91" s="180">
        <f t="shared" ca="1" si="71"/>
        <v>0</v>
      </c>
      <c r="AC91" s="180" t="e">
        <f t="shared" ca="1" si="71"/>
        <v>#N/A</v>
      </c>
      <c r="AD91" s="180" t="e">
        <f t="shared" ca="1" si="71"/>
        <v>#N/A</v>
      </c>
      <c r="AE91" s="180" t="e">
        <f t="shared" ca="1" si="71"/>
        <v>#N/A</v>
      </c>
      <c r="AF91" s="180" t="e">
        <f t="shared" ca="1" si="71"/>
        <v>#N/A</v>
      </c>
      <c r="AG91" s="180" t="e">
        <f t="shared" ref="AG91" ca="1" si="72">-AG90*(AG79-AG61+AG50+AG37+AG24+AG88)</f>
        <v>#N/A</v>
      </c>
    </row>
    <row r="93" spans="3:33">
      <c r="C93" s="303" t="s">
        <v>823</v>
      </c>
      <c r="D93" s="303">
        <f ca="1">D70+D78+D79+D91+D88+D85-D11</f>
        <v>0</v>
      </c>
      <c r="E93" s="303">
        <f t="shared" ref="E93:AF93" ca="1" si="73">E70+E78+E79+E91+E88+E85-E11</f>
        <v>0</v>
      </c>
      <c r="F93" s="303">
        <f t="shared" ca="1" si="73"/>
        <v>0</v>
      </c>
      <c r="G93" s="303">
        <f t="shared" ca="1" si="73"/>
        <v>0</v>
      </c>
      <c r="H93" s="303">
        <f t="shared" ca="1" si="73"/>
        <v>0</v>
      </c>
      <c r="I93" s="303">
        <f t="shared" ca="1" si="73"/>
        <v>0</v>
      </c>
      <c r="J93" s="303">
        <f t="shared" ca="1" si="73"/>
        <v>0</v>
      </c>
      <c r="K93" s="303">
        <f t="shared" ca="1" si="73"/>
        <v>0</v>
      </c>
      <c r="L93" s="303">
        <f t="shared" ca="1" si="73"/>
        <v>0</v>
      </c>
      <c r="M93" s="303">
        <f t="shared" ca="1" si="73"/>
        <v>0</v>
      </c>
      <c r="N93" s="303">
        <f t="shared" ca="1" si="73"/>
        <v>0</v>
      </c>
      <c r="O93" s="303">
        <f t="shared" ca="1" si="73"/>
        <v>0</v>
      </c>
      <c r="P93" s="303">
        <f t="shared" ca="1" si="73"/>
        <v>0</v>
      </c>
      <c r="Q93" s="303">
        <f t="shared" ca="1" si="73"/>
        <v>0</v>
      </c>
      <c r="R93" s="303">
        <f t="shared" ca="1" si="73"/>
        <v>0</v>
      </c>
      <c r="S93" s="303">
        <f t="shared" ca="1" si="73"/>
        <v>0</v>
      </c>
      <c r="T93" s="303">
        <f t="shared" ca="1" si="73"/>
        <v>0</v>
      </c>
      <c r="U93" s="303">
        <f t="shared" ca="1" si="73"/>
        <v>0</v>
      </c>
      <c r="V93" s="303">
        <f t="shared" ca="1" si="73"/>
        <v>0</v>
      </c>
      <c r="W93" s="303">
        <f t="shared" ca="1" si="73"/>
        <v>0</v>
      </c>
      <c r="X93" s="303">
        <f t="shared" ca="1" si="73"/>
        <v>0</v>
      </c>
      <c r="Y93" s="303">
        <f t="shared" ca="1" si="73"/>
        <v>0</v>
      </c>
      <c r="Z93" s="303">
        <f t="shared" ca="1" si="73"/>
        <v>0</v>
      </c>
      <c r="AA93" s="303">
        <f t="shared" ca="1" si="73"/>
        <v>0</v>
      </c>
      <c r="AB93" s="303" t="e">
        <f t="shared" ca="1" si="73"/>
        <v>#N/A</v>
      </c>
      <c r="AC93" s="303" t="e">
        <f t="shared" ca="1" si="73"/>
        <v>#N/A</v>
      </c>
      <c r="AD93" s="303" t="e">
        <f t="shared" ca="1" si="73"/>
        <v>#N/A</v>
      </c>
      <c r="AE93" s="303" t="e">
        <f t="shared" ca="1" si="73"/>
        <v>#N/A</v>
      </c>
      <c r="AF93" s="303" t="e">
        <f t="shared" ca="1" si="73"/>
        <v>#N/A</v>
      </c>
      <c r="AG93" s="303" t="e">
        <f t="shared" ref="AG93" ca="1" si="74">AG70+AG78+AG79+AG91+AG88+AG85-AG11</f>
        <v>#N/A</v>
      </c>
    </row>
    <row r="94" spans="3:33">
      <c r="C94" s="180" t="s">
        <v>735</v>
      </c>
      <c r="D94" s="180">
        <f ca="1">-'Cash sweep &amp; dividend onshore'!D52</f>
        <v>0</v>
      </c>
      <c r="E94" s="180">
        <f ca="1">-'Cash sweep &amp; dividend onshore'!E52</f>
        <v>0</v>
      </c>
      <c r="F94" s="180">
        <f ca="1">-'Cash sweep &amp; dividend onshore'!F52</f>
        <v>0</v>
      </c>
      <c r="G94" s="180">
        <f ca="1">-'Cash sweep &amp; dividend onshore'!G52</f>
        <v>0</v>
      </c>
      <c r="H94" s="180">
        <f ca="1">-'Cash sweep &amp; dividend onshore'!H52</f>
        <v>0</v>
      </c>
      <c r="I94" s="180">
        <f ca="1">-'Cash sweep &amp; dividend onshore'!I52</f>
        <v>0</v>
      </c>
      <c r="J94" s="180">
        <f ca="1">-'Cash sweep &amp; dividend onshore'!J52</f>
        <v>0</v>
      </c>
      <c r="K94" s="180">
        <f ca="1">-'Cash sweep &amp; dividend onshore'!K52</f>
        <v>0</v>
      </c>
      <c r="L94" s="180">
        <f ca="1">-'Cash sweep &amp; dividend onshore'!L52</f>
        <v>0</v>
      </c>
      <c r="M94" s="180">
        <f ca="1">-'Cash sweep &amp; dividend onshore'!M52</f>
        <v>0</v>
      </c>
      <c r="N94" s="180">
        <f ca="1">-'Cash sweep &amp; dividend onshore'!N52</f>
        <v>0</v>
      </c>
      <c r="O94" s="180">
        <f ca="1">-'Cash sweep &amp; dividend onshore'!O52</f>
        <v>0</v>
      </c>
      <c r="P94" s="180">
        <f ca="1">-'Cash sweep &amp; dividend onshore'!P52</f>
        <v>0</v>
      </c>
      <c r="Q94" s="180">
        <f ca="1">-'Cash sweep &amp; dividend onshore'!Q52</f>
        <v>0</v>
      </c>
      <c r="R94" s="180">
        <f ca="1">-'Cash sweep &amp; dividend onshore'!R52</f>
        <v>0</v>
      </c>
      <c r="S94" s="180">
        <f ca="1">-'Cash sweep &amp; dividend onshore'!S52</f>
        <v>0</v>
      </c>
      <c r="T94" s="180">
        <f ca="1">-'Cash sweep &amp; dividend onshore'!T52</f>
        <v>0</v>
      </c>
      <c r="U94" s="180">
        <f ca="1">-'Cash sweep &amp; dividend onshore'!U52</f>
        <v>0</v>
      </c>
      <c r="V94" s="180">
        <f ca="1">-'Cash sweep &amp; dividend onshore'!V52</f>
        <v>0</v>
      </c>
      <c r="W94" s="180">
        <f ca="1">-'Cash sweep &amp; dividend onshore'!W52</f>
        <v>0</v>
      </c>
      <c r="X94" s="180">
        <f ca="1">-'Cash sweep &amp; dividend onshore'!X52</f>
        <v>0</v>
      </c>
      <c r="Y94" s="180">
        <f ca="1">-'Cash sweep &amp; dividend onshore'!Y52</f>
        <v>0</v>
      </c>
      <c r="Z94" s="180">
        <f ca="1">-'Cash sweep &amp; dividend onshore'!Z52</f>
        <v>0</v>
      </c>
      <c r="AA94" s="180">
        <f ca="1">-'Cash sweep &amp; dividend onshore'!AA52</f>
        <v>0</v>
      </c>
      <c r="AB94" s="180" t="e">
        <f ca="1">-'Cash sweep &amp; dividend onshore'!AB52</f>
        <v>#N/A</v>
      </c>
      <c r="AC94" s="180" t="e">
        <f ca="1">-'Cash sweep &amp; dividend onshore'!AC52</f>
        <v>#N/A</v>
      </c>
      <c r="AD94" s="180" t="e">
        <f ca="1">-'Cash sweep &amp; dividend onshore'!AD52</f>
        <v>#N/A</v>
      </c>
      <c r="AE94" s="180" t="e">
        <f ca="1">-'Cash sweep &amp; dividend onshore'!AE52</f>
        <v>#N/A</v>
      </c>
      <c r="AF94" s="180" t="e">
        <f ca="1">-'Cash sweep &amp; dividend onshore'!AF52</f>
        <v>#N/A</v>
      </c>
      <c r="AG94" s="180" t="e">
        <f ca="1">-'Cash sweep &amp; dividend onshore'!AG52</f>
        <v>#N/A</v>
      </c>
    </row>
    <row r="95" spans="3:33">
      <c r="C95" s="180" t="s">
        <v>734</v>
      </c>
      <c r="D95" s="180">
        <f ca="1">D70+D78+D79+D88+D91+D94+D85-D11</f>
        <v>0</v>
      </c>
      <c r="E95" s="180">
        <f t="shared" ref="E95:AF95" ca="1" si="75">E70+E78+E79+E88+E91+E94+E85-E11</f>
        <v>0</v>
      </c>
      <c r="F95" s="180">
        <f t="shared" ca="1" si="75"/>
        <v>0</v>
      </c>
      <c r="G95" s="180">
        <f t="shared" ca="1" si="75"/>
        <v>0</v>
      </c>
      <c r="H95" s="180">
        <f t="shared" ca="1" si="75"/>
        <v>0</v>
      </c>
      <c r="I95" s="180">
        <f t="shared" ca="1" si="75"/>
        <v>0</v>
      </c>
      <c r="J95" s="180">
        <f t="shared" ca="1" si="75"/>
        <v>0</v>
      </c>
      <c r="K95" s="180">
        <f t="shared" ca="1" si="75"/>
        <v>0</v>
      </c>
      <c r="L95" s="180">
        <f t="shared" ca="1" si="75"/>
        <v>0</v>
      </c>
      <c r="M95" s="180">
        <f t="shared" ca="1" si="75"/>
        <v>0</v>
      </c>
      <c r="N95" s="180">
        <f t="shared" ca="1" si="75"/>
        <v>0</v>
      </c>
      <c r="O95" s="180">
        <f t="shared" ca="1" si="75"/>
        <v>0</v>
      </c>
      <c r="P95" s="180">
        <f t="shared" ca="1" si="75"/>
        <v>0</v>
      </c>
      <c r="Q95" s="180">
        <f t="shared" ca="1" si="75"/>
        <v>0</v>
      </c>
      <c r="R95" s="180">
        <f t="shared" ca="1" si="75"/>
        <v>0</v>
      </c>
      <c r="S95" s="180">
        <f t="shared" ca="1" si="75"/>
        <v>0</v>
      </c>
      <c r="T95" s="180">
        <f t="shared" ca="1" si="75"/>
        <v>0</v>
      </c>
      <c r="U95" s="180">
        <f t="shared" ca="1" si="75"/>
        <v>0</v>
      </c>
      <c r="V95" s="180">
        <f t="shared" ca="1" si="75"/>
        <v>0</v>
      </c>
      <c r="W95" s="180">
        <f t="shared" ca="1" si="75"/>
        <v>0</v>
      </c>
      <c r="X95" s="180">
        <f t="shared" ca="1" si="75"/>
        <v>0</v>
      </c>
      <c r="Y95" s="180">
        <f t="shared" ca="1" si="75"/>
        <v>0</v>
      </c>
      <c r="Z95" s="180">
        <f t="shared" ca="1" si="75"/>
        <v>0</v>
      </c>
      <c r="AA95" s="180">
        <f t="shared" ca="1" si="75"/>
        <v>0</v>
      </c>
      <c r="AB95" s="180" t="e">
        <f t="shared" ca="1" si="75"/>
        <v>#N/A</v>
      </c>
      <c r="AC95" s="180" t="e">
        <f t="shared" ca="1" si="75"/>
        <v>#N/A</v>
      </c>
      <c r="AD95" s="180" t="e">
        <f t="shared" ca="1" si="75"/>
        <v>#N/A</v>
      </c>
      <c r="AE95" s="180" t="e">
        <f t="shared" ca="1" si="75"/>
        <v>#N/A</v>
      </c>
      <c r="AF95" s="180" t="e">
        <f t="shared" ca="1" si="75"/>
        <v>#N/A</v>
      </c>
      <c r="AG95" s="180" t="e">
        <f t="shared" ref="AG95" ca="1" si="76">AG70+AG78+AG79+AG88+AG91+AG94+AG85-AG11</f>
        <v>#N/A</v>
      </c>
    </row>
    <row r="98" spans="3:33">
      <c r="C98" s="28" t="s">
        <v>842</v>
      </c>
      <c r="D98" s="291">
        <f>+D19+D32+D45+D60+D78</f>
        <v>0</v>
      </c>
      <c r="E98" s="291">
        <f t="shared" ref="E98:AF98" ca="1" si="77">+E19+E32+E45+E60+E78</f>
        <v>0</v>
      </c>
      <c r="F98" s="291">
        <f t="shared" ca="1" si="77"/>
        <v>0</v>
      </c>
      <c r="G98" s="291">
        <f t="shared" ca="1" si="77"/>
        <v>0</v>
      </c>
      <c r="H98" s="291">
        <f t="shared" ca="1" si="77"/>
        <v>0</v>
      </c>
      <c r="I98" s="291">
        <f t="shared" ca="1" si="77"/>
        <v>0</v>
      </c>
      <c r="J98" s="291">
        <f t="shared" ca="1" si="77"/>
        <v>0</v>
      </c>
      <c r="K98" s="291">
        <f t="shared" ca="1" si="77"/>
        <v>0</v>
      </c>
      <c r="L98" s="291">
        <f t="shared" ca="1" si="77"/>
        <v>0</v>
      </c>
      <c r="M98" s="291">
        <f t="shared" ca="1" si="77"/>
        <v>0</v>
      </c>
      <c r="N98" s="291">
        <f t="shared" ca="1" si="77"/>
        <v>0</v>
      </c>
      <c r="O98" s="291">
        <f t="shared" ca="1" si="77"/>
        <v>0</v>
      </c>
      <c r="P98" s="291">
        <f t="shared" ca="1" si="77"/>
        <v>0</v>
      </c>
      <c r="Q98" s="291">
        <f t="shared" ca="1" si="77"/>
        <v>0</v>
      </c>
      <c r="R98" s="291">
        <f t="shared" ca="1" si="77"/>
        <v>0</v>
      </c>
      <c r="S98" s="291">
        <f t="shared" ca="1" si="77"/>
        <v>0</v>
      </c>
      <c r="T98" s="291">
        <f t="shared" ca="1" si="77"/>
        <v>0</v>
      </c>
      <c r="U98" s="291">
        <f t="shared" ca="1" si="77"/>
        <v>0</v>
      </c>
      <c r="V98" s="291">
        <f t="shared" ca="1" si="77"/>
        <v>0</v>
      </c>
      <c r="W98" s="291">
        <f t="shared" ca="1" si="77"/>
        <v>0</v>
      </c>
      <c r="X98" s="291">
        <f t="shared" ca="1" si="77"/>
        <v>0</v>
      </c>
      <c r="Y98" s="291">
        <f t="shared" ca="1" si="77"/>
        <v>0</v>
      </c>
      <c r="Z98" s="291">
        <f t="shared" ca="1" si="77"/>
        <v>0</v>
      </c>
      <c r="AA98" s="291">
        <f t="shared" ca="1" si="77"/>
        <v>0</v>
      </c>
      <c r="AB98" s="291" t="e">
        <f t="shared" ca="1" si="77"/>
        <v>#N/A</v>
      </c>
      <c r="AC98" s="291" t="e">
        <f t="shared" ca="1" si="77"/>
        <v>#N/A</v>
      </c>
      <c r="AD98" s="291" t="e">
        <f t="shared" ca="1" si="77"/>
        <v>#N/A</v>
      </c>
      <c r="AE98" s="291" t="e">
        <f t="shared" ca="1" si="77"/>
        <v>#N/A</v>
      </c>
      <c r="AF98" s="291" t="e">
        <f t="shared" ca="1" si="77"/>
        <v>#N/A</v>
      </c>
      <c r="AG98" s="291" t="e">
        <f t="shared" ref="AG98" ca="1" si="78">+AG19+AG32+AG45+AG60+AG78</f>
        <v>#N/A</v>
      </c>
    </row>
    <row r="99" spans="3:33">
      <c r="C99" s="28" t="s">
        <v>824</v>
      </c>
      <c r="D99" s="291">
        <f t="shared" ref="D99:AF99" si="79">-(D20+D33+D46+D61-D79-D88)</f>
        <v>0</v>
      </c>
      <c r="E99" s="291">
        <f t="shared" ca="1" si="79"/>
        <v>0</v>
      </c>
      <c r="F99" s="291">
        <f t="shared" ca="1" si="79"/>
        <v>0</v>
      </c>
      <c r="G99" s="291">
        <f t="shared" ca="1" si="79"/>
        <v>0</v>
      </c>
      <c r="H99" s="291">
        <f t="shared" ca="1" si="79"/>
        <v>0</v>
      </c>
      <c r="I99" s="291">
        <f t="shared" ca="1" si="79"/>
        <v>0</v>
      </c>
      <c r="J99" s="291">
        <f t="shared" ca="1" si="79"/>
        <v>0</v>
      </c>
      <c r="K99" s="291">
        <f t="shared" ca="1" si="79"/>
        <v>0</v>
      </c>
      <c r="L99" s="291">
        <f t="shared" ca="1" si="79"/>
        <v>0</v>
      </c>
      <c r="M99" s="291">
        <f t="shared" ca="1" si="79"/>
        <v>0</v>
      </c>
      <c r="N99" s="291">
        <f t="shared" ca="1" si="79"/>
        <v>0</v>
      </c>
      <c r="O99" s="291">
        <f t="shared" ca="1" si="79"/>
        <v>0</v>
      </c>
      <c r="P99" s="291">
        <f t="shared" ca="1" si="79"/>
        <v>0</v>
      </c>
      <c r="Q99" s="291">
        <f t="shared" ca="1" si="79"/>
        <v>0</v>
      </c>
      <c r="R99" s="291">
        <f t="shared" ca="1" si="79"/>
        <v>0</v>
      </c>
      <c r="S99" s="291">
        <f t="shared" ca="1" si="79"/>
        <v>0</v>
      </c>
      <c r="T99" s="291">
        <f t="shared" ca="1" si="79"/>
        <v>0</v>
      </c>
      <c r="U99" s="291">
        <f t="shared" ca="1" si="79"/>
        <v>0</v>
      </c>
      <c r="V99" s="291">
        <f t="shared" ca="1" si="79"/>
        <v>0</v>
      </c>
      <c r="W99" s="291">
        <f t="shared" ca="1" si="79"/>
        <v>0</v>
      </c>
      <c r="X99" s="291">
        <f t="shared" ca="1" si="79"/>
        <v>0</v>
      </c>
      <c r="Y99" s="291">
        <f t="shared" ca="1" si="79"/>
        <v>0</v>
      </c>
      <c r="Z99" s="291">
        <f t="shared" ca="1" si="79"/>
        <v>0</v>
      </c>
      <c r="AA99" s="291">
        <f t="shared" ca="1" si="79"/>
        <v>0</v>
      </c>
      <c r="AB99" s="291">
        <f t="shared" ca="1" si="79"/>
        <v>0</v>
      </c>
      <c r="AC99" s="291" t="e">
        <f t="shared" ca="1" si="79"/>
        <v>#N/A</v>
      </c>
      <c r="AD99" s="291" t="e">
        <f t="shared" ca="1" si="79"/>
        <v>#N/A</v>
      </c>
      <c r="AE99" s="291" t="e">
        <f t="shared" ca="1" si="79"/>
        <v>#N/A</v>
      </c>
      <c r="AF99" s="291" t="e">
        <f t="shared" ca="1" si="79"/>
        <v>#N/A</v>
      </c>
      <c r="AG99" s="291" t="e">
        <f t="shared" ref="AG99" ca="1" si="80">-(AG20+AG33+AG46+AG61-AG79-AG88)</f>
        <v>#N/A</v>
      </c>
    </row>
    <row r="100" spans="3:33">
      <c r="C100" s="28" t="s">
        <v>825</v>
      </c>
      <c r="D100" s="291">
        <f t="shared" ref="D100:AF100" si="81">+D24+D37+D50+D65+D79+D88</f>
        <v>0</v>
      </c>
      <c r="E100" s="291">
        <f t="shared" ca="1" si="81"/>
        <v>0</v>
      </c>
      <c r="F100" s="291">
        <f t="shared" ca="1" si="81"/>
        <v>0</v>
      </c>
      <c r="G100" s="291">
        <f t="shared" ca="1" si="81"/>
        <v>0</v>
      </c>
      <c r="H100" s="291">
        <f t="shared" ca="1" si="81"/>
        <v>0</v>
      </c>
      <c r="I100" s="291">
        <f t="shared" ca="1" si="81"/>
        <v>0</v>
      </c>
      <c r="J100" s="291">
        <f t="shared" ca="1" si="81"/>
        <v>0</v>
      </c>
      <c r="K100" s="291">
        <f t="shared" ca="1" si="81"/>
        <v>0</v>
      </c>
      <c r="L100" s="291">
        <f t="shared" ca="1" si="81"/>
        <v>0</v>
      </c>
      <c r="M100" s="291">
        <f t="shared" ca="1" si="81"/>
        <v>0</v>
      </c>
      <c r="N100" s="291">
        <f t="shared" ca="1" si="81"/>
        <v>0</v>
      </c>
      <c r="O100" s="291">
        <f t="shared" ca="1" si="81"/>
        <v>0</v>
      </c>
      <c r="P100" s="291">
        <f t="shared" ca="1" si="81"/>
        <v>0</v>
      </c>
      <c r="Q100" s="291">
        <f t="shared" ca="1" si="81"/>
        <v>0</v>
      </c>
      <c r="R100" s="291">
        <f t="shared" ca="1" si="81"/>
        <v>0</v>
      </c>
      <c r="S100" s="291">
        <f t="shared" ca="1" si="81"/>
        <v>0</v>
      </c>
      <c r="T100" s="291">
        <f t="shared" ca="1" si="81"/>
        <v>0</v>
      </c>
      <c r="U100" s="291">
        <f t="shared" ca="1" si="81"/>
        <v>0</v>
      </c>
      <c r="V100" s="291">
        <f t="shared" ca="1" si="81"/>
        <v>0</v>
      </c>
      <c r="W100" s="291">
        <f t="shared" ca="1" si="81"/>
        <v>0</v>
      </c>
      <c r="X100" s="291">
        <f t="shared" ca="1" si="81"/>
        <v>0</v>
      </c>
      <c r="Y100" s="291">
        <f t="shared" ca="1" si="81"/>
        <v>0</v>
      </c>
      <c r="Z100" s="291">
        <f t="shared" ca="1" si="81"/>
        <v>0</v>
      </c>
      <c r="AA100" s="291">
        <f t="shared" ca="1" si="81"/>
        <v>0</v>
      </c>
      <c r="AB100" s="291">
        <f t="shared" ca="1" si="81"/>
        <v>0</v>
      </c>
      <c r="AC100" s="291" t="e">
        <f t="shared" ca="1" si="81"/>
        <v>#N/A</v>
      </c>
      <c r="AD100" s="291" t="e">
        <f t="shared" ca="1" si="81"/>
        <v>#N/A</v>
      </c>
      <c r="AE100" s="291" t="e">
        <f t="shared" ca="1" si="81"/>
        <v>#N/A</v>
      </c>
      <c r="AF100" s="291" t="e">
        <f t="shared" ca="1" si="81"/>
        <v>#N/A</v>
      </c>
      <c r="AG100" s="291" t="e">
        <f t="shared" ref="AG100" ca="1" si="82">+AG24+AG37+AG50+AG65+AG79+AG88</f>
        <v>#N/A</v>
      </c>
    </row>
    <row r="101" spans="3:33">
      <c r="C101" s="28" t="s">
        <v>826</v>
      </c>
      <c r="D101" s="291">
        <f>+D21+D22+D34+D35+D47+D48+D62+D63</f>
        <v>0</v>
      </c>
      <c r="E101" s="291">
        <f t="shared" ref="E101:AF101" si="83">+E21+E22+E34+E35+E47+E48+E62+E63</f>
        <v>0</v>
      </c>
      <c r="F101" s="291">
        <f t="shared" ca="1" si="83"/>
        <v>0</v>
      </c>
      <c r="G101" s="291">
        <f t="shared" ca="1" si="83"/>
        <v>0</v>
      </c>
      <c r="H101" s="291">
        <f t="shared" ca="1" si="83"/>
        <v>0</v>
      </c>
      <c r="I101" s="291">
        <f t="shared" ca="1" si="83"/>
        <v>0</v>
      </c>
      <c r="J101" s="291">
        <f t="shared" ca="1" si="83"/>
        <v>0</v>
      </c>
      <c r="K101" s="291">
        <f t="shared" ca="1" si="83"/>
        <v>0</v>
      </c>
      <c r="L101" s="291">
        <f t="shared" ca="1" si="83"/>
        <v>0</v>
      </c>
      <c r="M101" s="291">
        <f t="shared" ca="1" si="83"/>
        <v>0</v>
      </c>
      <c r="N101" s="291">
        <f t="shared" ca="1" si="83"/>
        <v>0</v>
      </c>
      <c r="O101" s="291">
        <f t="shared" ca="1" si="83"/>
        <v>0</v>
      </c>
      <c r="P101" s="291">
        <f t="shared" ca="1" si="83"/>
        <v>0</v>
      </c>
      <c r="Q101" s="291">
        <f t="shared" ca="1" si="83"/>
        <v>0</v>
      </c>
      <c r="R101" s="291">
        <f t="shared" ca="1" si="83"/>
        <v>0</v>
      </c>
      <c r="S101" s="291">
        <f t="shared" ca="1" si="83"/>
        <v>0</v>
      </c>
      <c r="T101" s="291">
        <f t="shared" ca="1" si="83"/>
        <v>0</v>
      </c>
      <c r="U101" s="291">
        <f t="shared" ca="1" si="83"/>
        <v>0</v>
      </c>
      <c r="V101" s="291">
        <f t="shared" ca="1" si="83"/>
        <v>0</v>
      </c>
      <c r="W101" s="291">
        <f t="shared" ca="1" si="83"/>
        <v>0</v>
      </c>
      <c r="X101" s="291">
        <f t="shared" ca="1" si="83"/>
        <v>0</v>
      </c>
      <c r="Y101" s="291">
        <f t="shared" ca="1" si="83"/>
        <v>0</v>
      </c>
      <c r="Z101" s="291">
        <f t="shared" ca="1" si="83"/>
        <v>0</v>
      </c>
      <c r="AA101" s="291">
        <f t="shared" ca="1" si="83"/>
        <v>0</v>
      </c>
      <c r="AB101" s="291">
        <f t="shared" ca="1" si="83"/>
        <v>0</v>
      </c>
      <c r="AC101" s="291" t="e">
        <f t="shared" ca="1" si="83"/>
        <v>#N/A</v>
      </c>
      <c r="AD101" s="291" t="e">
        <f t="shared" ca="1" si="83"/>
        <v>#N/A</v>
      </c>
      <c r="AE101" s="291" t="e">
        <f t="shared" ca="1" si="83"/>
        <v>#N/A</v>
      </c>
      <c r="AF101" s="291" t="e">
        <f t="shared" ca="1" si="83"/>
        <v>#N/A</v>
      </c>
      <c r="AG101" s="291" t="e">
        <f t="shared" ref="AG101" ca="1" si="84">+AG21+AG22+AG34+AG35+AG47+AG48+AG62+AG63</f>
        <v>#N/A</v>
      </c>
    </row>
    <row r="102" spans="3:33">
      <c r="C102" s="28" t="s">
        <v>827</v>
      </c>
      <c r="D102" s="291">
        <f>+D23+D36+D49+D64</f>
        <v>0</v>
      </c>
      <c r="E102" s="291">
        <f t="shared" ref="E102:AF102" ca="1" si="85">+E23+E36+E49+E64</f>
        <v>0</v>
      </c>
      <c r="F102" s="291">
        <f t="shared" ca="1" si="85"/>
        <v>0</v>
      </c>
      <c r="G102" s="291">
        <f t="shared" ca="1" si="85"/>
        <v>0</v>
      </c>
      <c r="H102" s="291">
        <f t="shared" ca="1" si="85"/>
        <v>0</v>
      </c>
      <c r="I102" s="291">
        <f t="shared" ca="1" si="85"/>
        <v>0</v>
      </c>
      <c r="J102" s="291">
        <f t="shared" ca="1" si="85"/>
        <v>0</v>
      </c>
      <c r="K102" s="291">
        <f t="shared" ca="1" si="85"/>
        <v>0</v>
      </c>
      <c r="L102" s="291">
        <f t="shared" ca="1" si="85"/>
        <v>0</v>
      </c>
      <c r="M102" s="291">
        <f t="shared" ca="1" si="85"/>
        <v>0</v>
      </c>
      <c r="N102" s="291">
        <f t="shared" ca="1" si="85"/>
        <v>0</v>
      </c>
      <c r="O102" s="291">
        <f t="shared" ca="1" si="85"/>
        <v>0</v>
      </c>
      <c r="P102" s="291">
        <f t="shared" ca="1" si="85"/>
        <v>0</v>
      </c>
      <c r="Q102" s="291">
        <f t="shared" ca="1" si="85"/>
        <v>0</v>
      </c>
      <c r="R102" s="291">
        <f t="shared" ca="1" si="85"/>
        <v>0</v>
      </c>
      <c r="S102" s="291">
        <f t="shared" ca="1" si="85"/>
        <v>0</v>
      </c>
      <c r="T102" s="291">
        <f t="shared" ca="1" si="85"/>
        <v>0</v>
      </c>
      <c r="U102" s="291">
        <f t="shared" ca="1" si="85"/>
        <v>0</v>
      </c>
      <c r="V102" s="291">
        <f t="shared" ca="1" si="85"/>
        <v>0</v>
      </c>
      <c r="W102" s="291">
        <f t="shared" ca="1" si="85"/>
        <v>0</v>
      </c>
      <c r="X102" s="291">
        <f t="shared" ca="1" si="85"/>
        <v>0</v>
      </c>
      <c r="Y102" s="291">
        <f t="shared" ca="1" si="85"/>
        <v>0</v>
      </c>
      <c r="Z102" s="291">
        <f t="shared" ca="1" si="85"/>
        <v>0</v>
      </c>
      <c r="AA102" s="291">
        <f t="shared" ca="1" si="85"/>
        <v>0</v>
      </c>
      <c r="AB102" s="291">
        <f t="shared" ca="1" si="85"/>
        <v>0</v>
      </c>
      <c r="AC102" s="291" t="e">
        <f t="shared" ca="1" si="85"/>
        <v>#N/A</v>
      </c>
      <c r="AD102" s="291" t="e">
        <f t="shared" ca="1" si="85"/>
        <v>#N/A</v>
      </c>
      <c r="AE102" s="291" t="e">
        <f t="shared" ca="1" si="85"/>
        <v>#N/A</v>
      </c>
      <c r="AF102" s="291" t="e">
        <f t="shared" ca="1" si="85"/>
        <v>#N/A</v>
      </c>
      <c r="AG102" s="291" t="e">
        <f t="shared" ref="AG102" ca="1" si="86">+AG23+AG36+AG49+AG64</f>
        <v>#N/A</v>
      </c>
    </row>
    <row r="103" spans="3:33">
      <c r="C103" s="28" t="s">
        <v>829</v>
      </c>
      <c r="D103" s="291">
        <f>+D25+D38+D51+D80</f>
        <v>0</v>
      </c>
      <c r="E103" s="291">
        <f t="shared" ref="E103:AF103" ca="1" si="87">+E25+E38+E51+E80</f>
        <v>0</v>
      </c>
      <c r="F103" s="291">
        <f t="shared" ca="1" si="87"/>
        <v>0</v>
      </c>
      <c r="G103" s="291">
        <f t="shared" ca="1" si="87"/>
        <v>0</v>
      </c>
      <c r="H103" s="291">
        <f t="shared" ca="1" si="87"/>
        <v>0</v>
      </c>
      <c r="I103" s="291">
        <f t="shared" ca="1" si="87"/>
        <v>0</v>
      </c>
      <c r="J103" s="291">
        <f t="shared" ca="1" si="87"/>
        <v>0</v>
      </c>
      <c r="K103" s="291">
        <f t="shared" ca="1" si="87"/>
        <v>0</v>
      </c>
      <c r="L103" s="291">
        <f t="shared" ca="1" si="87"/>
        <v>0</v>
      </c>
      <c r="M103" s="291">
        <f t="shared" ca="1" si="87"/>
        <v>0</v>
      </c>
      <c r="N103" s="291">
        <f t="shared" ca="1" si="87"/>
        <v>0</v>
      </c>
      <c r="O103" s="291">
        <f t="shared" ca="1" si="87"/>
        <v>0</v>
      </c>
      <c r="P103" s="291">
        <f t="shared" ca="1" si="87"/>
        <v>0</v>
      </c>
      <c r="Q103" s="291">
        <f t="shared" ca="1" si="87"/>
        <v>0</v>
      </c>
      <c r="R103" s="291">
        <f t="shared" ca="1" si="87"/>
        <v>0</v>
      </c>
      <c r="S103" s="291">
        <f t="shared" ca="1" si="87"/>
        <v>0</v>
      </c>
      <c r="T103" s="291">
        <f t="shared" ca="1" si="87"/>
        <v>0</v>
      </c>
      <c r="U103" s="291">
        <f t="shared" ca="1" si="87"/>
        <v>0</v>
      </c>
      <c r="V103" s="291">
        <f t="shared" ca="1" si="87"/>
        <v>0</v>
      </c>
      <c r="W103" s="291">
        <f t="shared" ca="1" si="87"/>
        <v>0</v>
      </c>
      <c r="X103" s="291">
        <f t="shared" ca="1" si="87"/>
        <v>0</v>
      </c>
      <c r="Y103" s="291">
        <f t="shared" ca="1" si="87"/>
        <v>0</v>
      </c>
      <c r="Z103" s="291">
        <f t="shared" ca="1" si="87"/>
        <v>0</v>
      </c>
      <c r="AA103" s="291">
        <f t="shared" ca="1" si="87"/>
        <v>0</v>
      </c>
      <c r="AB103" s="291" t="e">
        <f t="shared" ca="1" si="87"/>
        <v>#N/A</v>
      </c>
      <c r="AC103" s="291" t="e">
        <f t="shared" ca="1" si="87"/>
        <v>#N/A</v>
      </c>
      <c r="AD103" s="291" t="e">
        <f t="shared" ca="1" si="87"/>
        <v>#N/A</v>
      </c>
      <c r="AE103" s="291" t="e">
        <f t="shared" ca="1" si="87"/>
        <v>#N/A</v>
      </c>
      <c r="AF103" s="291" t="e">
        <f t="shared" ca="1" si="87"/>
        <v>#N/A</v>
      </c>
      <c r="AG103" s="291" t="e">
        <f t="shared" ref="AG103" ca="1" si="88">+AG25+AG38+AG51+AG80</f>
        <v>#N/A</v>
      </c>
    </row>
    <row r="104" spans="3:33">
      <c r="C104" s="28" t="s">
        <v>828</v>
      </c>
      <c r="D104" s="291">
        <f>+D25+D38+D51+D67+D80</f>
        <v>0</v>
      </c>
      <c r="E104" s="291">
        <f t="shared" ref="E104:AF104" ca="1" si="89">+E25+E38+E51+E67+E80</f>
        <v>0</v>
      </c>
      <c r="F104" s="291">
        <f t="shared" ca="1" si="89"/>
        <v>0</v>
      </c>
      <c r="G104" s="291">
        <f t="shared" ca="1" si="89"/>
        <v>0</v>
      </c>
      <c r="H104" s="291">
        <f t="shared" ca="1" si="89"/>
        <v>0</v>
      </c>
      <c r="I104" s="291">
        <f t="shared" ca="1" si="89"/>
        <v>0</v>
      </c>
      <c r="J104" s="291">
        <f t="shared" ca="1" si="89"/>
        <v>0</v>
      </c>
      <c r="K104" s="291">
        <f t="shared" ca="1" si="89"/>
        <v>0</v>
      </c>
      <c r="L104" s="291">
        <f t="shared" ca="1" si="89"/>
        <v>0</v>
      </c>
      <c r="M104" s="291">
        <f t="shared" ca="1" si="89"/>
        <v>0</v>
      </c>
      <c r="N104" s="291">
        <f t="shared" ca="1" si="89"/>
        <v>0</v>
      </c>
      <c r="O104" s="291">
        <f t="shared" ca="1" si="89"/>
        <v>0</v>
      </c>
      <c r="P104" s="291">
        <f t="shared" ca="1" si="89"/>
        <v>0</v>
      </c>
      <c r="Q104" s="291">
        <f t="shared" ca="1" si="89"/>
        <v>0</v>
      </c>
      <c r="R104" s="291">
        <f t="shared" ca="1" si="89"/>
        <v>0</v>
      </c>
      <c r="S104" s="291">
        <f t="shared" ca="1" si="89"/>
        <v>0</v>
      </c>
      <c r="T104" s="291">
        <f t="shared" ca="1" si="89"/>
        <v>0</v>
      </c>
      <c r="U104" s="291">
        <f t="shared" ca="1" si="89"/>
        <v>0</v>
      </c>
      <c r="V104" s="291">
        <f t="shared" ca="1" si="89"/>
        <v>0</v>
      </c>
      <c r="W104" s="291">
        <f t="shared" ca="1" si="89"/>
        <v>0</v>
      </c>
      <c r="X104" s="291">
        <f t="shared" ca="1" si="89"/>
        <v>0</v>
      </c>
      <c r="Y104" s="291">
        <f t="shared" ca="1" si="89"/>
        <v>0</v>
      </c>
      <c r="Z104" s="291">
        <f t="shared" ca="1" si="89"/>
        <v>0</v>
      </c>
      <c r="AA104" s="291">
        <f t="shared" ca="1" si="89"/>
        <v>0</v>
      </c>
      <c r="AB104" s="291" t="e">
        <f t="shared" ca="1" si="89"/>
        <v>#N/A</v>
      </c>
      <c r="AC104" s="291" t="e">
        <f t="shared" ca="1" si="89"/>
        <v>#N/A</v>
      </c>
      <c r="AD104" s="291" t="e">
        <f t="shared" ca="1" si="89"/>
        <v>#N/A</v>
      </c>
      <c r="AE104" s="291" t="e">
        <f t="shared" ca="1" si="89"/>
        <v>#N/A</v>
      </c>
      <c r="AF104" s="291" t="e">
        <f t="shared" ca="1" si="89"/>
        <v>#N/A</v>
      </c>
      <c r="AG104" s="291" t="e">
        <f t="shared" ref="AG104" ca="1" si="90">+AG25+AG38+AG51+AG67+AG80</f>
        <v>#N/A</v>
      </c>
    </row>
    <row r="105" spans="3:33">
      <c r="C105" s="28" t="s">
        <v>837</v>
      </c>
      <c r="D105" s="291">
        <f t="shared" ref="D105:AF105" si="91">D104-D80</f>
        <v>0</v>
      </c>
      <c r="E105" s="291">
        <f t="shared" ca="1" si="91"/>
        <v>0</v>
      </c>
      <c r="F105" s="291">
        <f t="shared" ca="1" si="91"/>
        <v>0</v>
      </c>
      <c r="G105" s="291">
        <f t="shared" ca="1" si="91"/>
        <v>0</v>
      </c>
      <c r="H105" s="291">
        <f t="shared" ca="1" si="91"/>
        <v>0</v>
      </c>
      <c r="I105" s="291">
        <f t="shared" ca="1" si="91"/>
        <v>0</v>
      </c>
      <c r="J105" s="291">
        <f t="shared" ca="1" si="91"/>
        <v>0</v>
      </c>
      <c r="K105" s="291">
        <f t="shared" ca="1" si="91"/>
        <v>0</v>
      </c>
      <c r="L105" s="291">
        <f t="shared" ca="1" si="91"/>
        <v>0</v>
      </c>
      <c r="M105" s="291">
        <f t="shared" ca="1" si="91"/>
        <v>0</v>
      </c>
      <c r="N105" s="291">
        <f t="shared" ca="1" si="91"/>
        <v>0</v>
      </c>
      <c r="O105" s="291">
        <f t="shared" ca="1" si="91"/>
        <v>0</v>
      </c>
      <c r="P105" s="291">
        <f t="shared" ca="1" si="91"/>
        <v>0</v>
      </c>
      <c r="Q105" s="291">
        <f t="shared" ca="1" si="91"/>
        <v>0</v>
      </c>
      <c r="R105" s="291">
        <f t="shared" ca="1" si="91"/>
        <v>0</v>
      </c>
      <c r="S105" s="291">
        <f t="shared" ca="1" si="91"/>
        <v>0</v>
      </c>
      <c r="T105" s="291">
        <f t="shared" ca="1" si="91"/>
        <v>0</v>
      </c>
      <c r="U105" s="291">
        <f t="shared" ca="1" si="91"/>
        <v>0</v>
      </c>
      <c r="V105" s="291">
        <f t="shared" ca="1" si="91"/>
        <v>0</v>
      </c>
      <c r="W105" s="291">
        <f t="shared" ca="1" si="91"/>
        <v>0</v>
      </c>
      <c r="X105" s="291">
        <f t="shared" ca="1" si="91"/>
        <v>0</v>
      </c>
      <c r="Y105" s="291">
        <f t="shared" ca="1" si="91"/>
        <v>0</v>
      </c>
      <c r="Z105" s="291">
        <f t="shared" ca="1" si="91"/>
        <v>0</v>
      </c>
      <c r="AA105" s="291">
        <f t="shared" ca="1" si="91"/>
        <v>0</v>
      </c>
      <c r="AB105" s="291" t="e">
        <f t="shared" ca="1" si="91"/>
        <v>#N/A</v>
      </c>
      <c r="AC105" s="291" t="e">
        <f t="shared" ca="1" si="91"/>
        <v>#N/A</v>
      </c>
      <c r="AD105" s="291" t="e">
        <f t="shared" ca="1" si="91"/>
        <v>#N/A</v>
      </c>
      <c r="AE105" s="291" t="e">
        <f t="shared" ca="1" si="91"/>
        <v>#N/A</v>
      </c>
      <c r="AF105" s="291" t="e">
        <f t="shared" ca="1" si="91"/>
        <v>#N/A</v>
      </c>
      <c r="AG105" s="291" t="e">
        <f t="shared" ref="AG105" ca="1" si="92">AG104-AG80</f>
        <v>#N/A</v>
      </c>
    </row>
    <row r="106" spans="3:33">
      <c r="C106" s="28" t="s">
        <v>830</v>
      </c>
      <c r="D106" s="291">
        <f>+D66</f>
        <v>0</v>
      </c>
      <c r="E106" s="291">
        <f t="shared" ref="E106:AF106" ca="1" si="93">+E66</f>
        <v>0</v>
      </c>
      <c r="F106" s="291">
        <f t="shared" ca="1" si="93"/>
        <v>0</v>
      </c>
      <c r="G106" s="291">
        <f t="shared" ca="1" si="93"/>
        <v>0</v>
      </c>
      <c r="H106" s="291">
        <f t="shared" ca="1" si="93"/>
        <v>0</v>
      </c>
      <c r="I106" s="291">
        <f t="shared" ca="1" si="93"/>
        <v>0</v>
      </c>
      <c r="J106" s="291">
        <f t="shared" ca="1" si="93"/>
        <v>0</v>
      </c>
      <c r="K106" s="291">
        <f t="shared" ca="1" si="93"/>
        <v>0</v>
      </c>
      <c r="L106" s="291">
        <f t="shared" ca="1" si="93"/>
        <v>0</v>
      </c>
      <c r="M106" s="291">
        <f t="shared" ca="1" si="93"/>
        <v>0</v>
      </c>
      <c r="N106" s="291">
        <f t="shared" ca="1" si="93"/>
        <v>0</v>
      </c>
      <c r="O106" s="291">
        <f t="shared" ca="1" si="93"/>
        <v>0</v>
      </c>
      <c r="P106" s="291">
        <f t="shared" ca="1" si="93"/>
        <v>0</v>
      </c>
      <c r="Q106" s="291">
        <f t="shared" ca="1" si="93"/>
        <v>0</v>
      </c>
      <c r="R106" s="291">
        <f t="shared" ca="1" si="93"/>
        <v>0</v>
      </c>
      <c r="S106" s="291">
        <f t="shared" ca="1" si="93"/>
        <v>0</v>
      </c>
      <c r="T106" s="291">
        <f t="shared" ca="1" si="93"/>
        <v>0</v>
      </c>
      <c r="U106" s="291">
        <f t="shared" ca="1" si="93"/>
        <v>0</v>
      </c>
      <c r="V106" s="291">
        <f t="shared" ca="1" si="93"/>
        <v>0</v>
      </c>
      <c r="W106" s="291">
        <f t="shared" ca="1" si="93"/>
        <v>0</v>
      </c>
      <c r="X106" s="291">
        <f t="shared" ca="1" si="93"/>
        <v>0</v>
      </c>
      <c r="Y106" s="291">
        <f t="shared" ca="1" si="93"/>
        <v>0</v>
      </c>
      <c r="Z106" s="291">
        <f t="shared" ca="1" si="93"/>
        <v>0</v>
      </c>
      <c r="AA106" s="291">
        <f t="shared" ca="1" si="93"/>
        <v>0</v>
      </c>
      <c r="AB106" s="291" t="e">
        <f t="shared" ca="1" si="93"/>
        <v>#N/A</v>
      </c>
      <c r="AC106" s="291" t="e">
        <f t="shared" ca="1" si="93"/>
        <v>#N/A</v>
      </c>
      <c r="AD106" s="291" t="e">
        <f t="shared" ca="1" si="93"/>
        <v>#N/A</v>
      </c>
      <c r="AE106" s="291" t="e">
        <f t="shared" ca="1" si="93"/>
        <v>#N/A</v>
      </c>
      <c r="AF106" s="291" t="e">
        <f t="shared" ca="1" si="93"/>
        <v>#N/A</v>
      </c>
      <c r="AG106" s="291" t="e">
        <f t="shared" ref="AG106" ca="1" si="94">+AG66</f>
        <v>#N/A</v>
      </c>
    </row>
    <row r="107" spans="3:33">
      <c r="C107" s="28" t="s">
        <v>755</v>
      </c>
      <c r="D107" s="291">
        <f>D91</f>
        <v>0</v>
      </c>
      <c r="E107" s="291">
        <f t="shared" ref="E107:AF107" ca="1" si="95">E91</f>
        <v>0</v>
      </c>
      <c r="F107" s="291">
        <f t="shared" ca="1" si="95"/>
        <v>0</v>
      </c>
      <c r="G107" s="291">
        <f t="shared" ca="1" si="95"/>
        <v>0</v>
      </c>
      <c r="H107" s="291">
        <f t="shared" ca="1" si="95"/>
        <v>0</v>
      </c>
      <c r="I107" s="291">
        <f t="shared" ca="1" si="95"/>
        <v>0</v>
      </c>
      <c r="J107" s="291">
        <f t="shared" ca="1" si="95"/>
        <v>0</v>
      </c>
      <c r="K107" s="291">
        <f t="shared" ca="1" si="95"/>
        <v>0</v>
      </c>
      <c r="L107" s="291">
        <f t="shared" ca="1" si="95"/>
        <v>0</v>
      </c>
      <c r="M107" s="291">
        <f t="shared" ca="1" si="95"/>
        <v>0</v>
      </c>
      <c r="N107" s="291">
        <f t="shared" ca="1" si="95"/>
        <v>0</v>
      </c>
      <c r="O107" s="291">
        <f t="shared" ca="1" si="95"/>
        <v>0</v>
      </c>
      <c r="P107" s="291">
        <f t="shared" ca="1" si="95"/>
        <v>0</v>
      </c>
      <c r="Q107" s="291">
        <f t="shared" ca="1" si="95"/>
        <v>0</v>
      </c>
      <c r="R107" s="291">
        <f t="shared" ca="1" si="95"/>
        <v>0</v>
      </c>
      <c r="S107" s="291">
        <f t="shared" ca="1" si="95"/>
        <v>0</v>
      </c>
      <c r="T107" s="291">
        <f t="shared" ca="1" si="95"/>
        <v>0</v>
      </c>
      <c r="U107" s="291">
        <f t="shared" ca="1" si="95"/>
        <v>0</v>
      </c>
      <c r="V107" s="291">
        <f t="shared" ca="1" si="95"/>
        <v>0</v>
      </c>
      <c r="W107" s="291">
        <f t="shared" ca="1" si="95"/>
        <v>0</v>
      </c>
      <c r="X107" s="291">
        <f t="shared" ca="1" si="95"/>
        <v>0</v>
      </c>
      <c r="Y107" s="291">
        <f t="shared" ca="1" si="95"/>
        <v>0</v>
      </c>
      <c r="Z107" s="291">
        <f t="shared" ca="1" si="95"/>
        <v>0</v>
      </c>
      <c r="AA107" s="291">
        <f t="shared" ca="1" si="95"/>
        <v>0</v>
      </c>
      <c r="AB107" s="291">
        <f t="shared" ca="1" si="95"/>
        <v>0</v>
      </c>
      <c r="AC107" s="291" t="e">
        <f t="shared" ca="1" si="95"/>
        <v>#N/A</v>
      </c>
      <c r="AD107" s="291" t="e">
        <f t="shared" ca="1" si="95"/>
        <v>#N/A</v>
      </c>
      <c r="AE107" s="291" t="e">
        <f t="shared" ca="1" si="95"/>
        <v>#N/A</v>
      </c>
      <c r="AF107" s="291" t="e">
        <f t="shared" ca="1" si="95"/>
        <v>#N/A</v>
      </c>
      <c r="AG107" s="291" t="e">
        <f t="shared" ref="AG107" ca="1" si="96">AG91</f>
        <v>#N/A</v>
      </c>
    </row>
  </sheetData>
  <phoneticPr fontId="52" type="noConversion"/>
  <conditionalFormatting sqref="D5:AG6">
    <cfRule type="cellIs" dxfId="10" priority="4" operator="equal">
      <formula>TRUE</formula>
    </cfRule>
  </conditionalFormatting>
  <conditionalFormatting sqref="D66:AG66">
    <cfRule type="cellIs" dxfId="9" priority="3" operator="greaterThan">
      <formula>0</formula>
    </cfRule>
  </conditionalFormatting>
  <conditionalFormatting sqref="D95:AG95">
    <cfRule type="cellIs" dxfId="8" priority="2" operator="lessThan">
      <formula>0</formula>
    </cfRule>
  </conditionalFormatting>
  <conditionalFormatting sqref="D95:AG95">
    <cfRule type="cellIs" dxfId="7" priority="1" operator="lessThan">
      <formula>0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1729" r:id="rId3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192024</xdr:colOff>
                    <xdr:row>2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30" r:id="rId4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192024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tabColor theme="0"/>
  </sheetPr>
  <dimension ref="C1:AP30"/>
  <sheetViews>
    <sheetView zoomScale="90" zoomScaleNormal="90" workbookViewId="0">
      <pane xSplit="3" ySplit="8" topLeftCell="D21" activePane="bottomRight" state="frozen"/>
      <selection activeCell="E19" sqref="E19"/>
      <selection pane="topRight" activeCell="E19" sqref="E19"/>
      <selection pane="bottomLeft" activeCell="E19" sqref="E19"/>
      <selection pane="bottomRight" activeCell="L23" sqref="L23"/>
    </sheetView>
  </sheetViews>
  <sheetFormatPr defaultColWidth="9.140625" defaultRowHeight="14.6" customHeight="1"/>
  <cols>
    <col min="1" max="1" width="3.5703125" style="1" customWidth="1"/>
    <col min="2" max="2" width="3.28515625" style="1" customWidth="1"/>
    <col min="3" max="3" width="32.5703125" style="1" customWidth="1"/>
    <col min="4" max="11" width="9.5703125" style="1" customWidth="1"/>
    <col min="12" max="36" width="14.140625" style="1" customWidth="1"/>
    <col min="37" max="42" width="11.5703125" style="1" customWidth="1"/>
    <col min="43" max="16384" width="9.140625" style="1"/>
  </cols>
  <sheetData>
    <row r="1" spans="3:42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Panel'!B9+1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3:42" s="209" customFormat="1" ht="14.6" customHeight="1">
      <c r="C2" s="209" t="s">
        <v>871</v>
      </c>
      <c r="D2" s="209">
        <f>'Financial summary'!E5</f>
        <v>1</v>
      </c>
      <c r="E2" s="209" t="e">
        <f>INDEX(#REF!,D2)</f>
        <v>#REF!</v>
      </c>
      <c r="I2" s="209" t="s">
        <v>693</v>
      </c>
      <c r="J2" s="209">
        <f>'Control Panel'!B5</f>
        <v>5</v>
      </c>
      <c r="L2" s="209" t="s">
        <v>859</v>
      </c>
      <c r="M2" s="209">
        <f>IF(stub_quarter=4,1,stub_quarter+1)</f>
        <v>1</v>
      </c>
    </row>
    <row r="4" spans="3:42" s="34" customFormat="1" ht="14.6" customHeight="1">
      <c r="C4" s="307" t="s">
        <v>719</v>
      </c>
      <c r="D4" s="307"/>
      <c r="E4" s="307"/>
      <c r="F4" s="307"/>
      <c r="G4" s="307"/>
      <c r="H4" s="307"/>
      <c r="I4" s="307"/>
      <c r="J4" s="307"/>
      <c r="K4" s="307"/>
      <c r="L4" s="307">
        <f>IF(stub_switch,EOMONTH('Control Panel'!B9,3),EOMONTH('Control Panel'!B11,2))</f>
        <v>43555</v>
      </c>
      <c r="M4" s="307">
        <f>EOMONTH(L4,3)</f>
        <v>43646</v>
      </c>
      <c r="N4" s="307">
        <f t="shared" ref="N4:AP4" si="0">EOMONTH(M4,3)</f>
        <v>43738</v>
      </c>
      <c r="O4" s="307">
        <f t="shared" si="0"/>
        <v>43830</v>
      </c>
      <c r="P4" s="307">
        <f t="shared" si="0"/>
        <v>43921</v>
      </c>
      <c r="Q4" s="307">
        <f t="shared" si="0"/>
        <v>44012</v>
      </c>
      <c r="R4" s="307">
        <f t="shared" si="0"/>
        <v>44104</v>
      </c>
      <c r="S4" s="307">
        <f t="shared" si="0"/>
        <v>44196</v>
      </c>
      <c r="T4" s="307">
        <f t="shared" si="0"/>
        <v>44286</v>
      </c>
      <c r="U4" s="307">
        <f t="shared" si="0"/>
        <v>44377</v>
      </c>
      <c r="V4" s="307">
        <f t="shared" si="0"/>
        <v>44469</v>
      </c>
      <c r="W4" s="307">
        <f t="shared" si="0"/>
        <v>44561</v>
      </c>
      <c r="X4" s="307">
        <f t="shared" si="0"/>
        <v>44651</v>
      </c>
      <c r="Y4" s="307">
        <f t="shared" si="0"/>
        <v>44742</v>
      </c>
      <c r="Z4" s="307">
        <f t="shared" si="0"/>
        <v>44834</v>
      </c>
      <c r="AA4" s="307">
        <f t="shared" si="0"/>
        <v>44926</v>
      </c>
      <c r="AB4" s="307">
        <f t="shared" si="0"/>
        <v>45016</v>
      </c>
      <c r="AC4" s="307">
        <f t="shared" si="0"/>
        <v>45107</v>
      </c>
      <c r="AD4" s="307">
        <f t="shared" si="0"/>
        <v>45199</v>
      </c>
      <c r="AE4" s="307">
        <f t="shared" si="0"/>
        <v>45291</v>
      </c>
      <c r="AF4" s="307">
        <f t="shared" si="0"/>
        <v>45382</v>
      </c>
      <c r="AG4" s="307">
        <f t="shared" si="0"/>
        <v>45473</v>
      </c>
      <c r="AH4" s="307">
        <f t="shared" si="0"/>
        <v>45565</v>
      </c>
      <c r="AI4" s="307">
        <f t="shared" si="0"/>
        <v>45657</v>
      </c>
      <c r="AJ4" s="307">
        <f t="shared" si="0"/>
        <v>45747</v>
      </c>
      <c r="AK4" s="307">
        <f t="shared" si="0"/>
        <v>45838</v>
      </c>
      <c r="AL4" s="307">
        <f t="shared" si="0"/>
        <v>45930</v>
      </c>
      <c r="AM4" s="307">
        <f t="shared" si="0"/>
        <v>46022</v>
      </c>
      <c r="AN4" s="307">
        <f t="shared" si="0"/>
        <v>46112</v>
      </c>
      <c r="AO4" s="307">
        <f t="shared" si="0"/>
        <v>46203</v>
      </c>
      <c r="AP4" s="307">
        <f t="shared" si="0"/>
        <v>46295</v>
      </c>
    </row>
    <row r="5" spans="3:42" s="28" customFormat="1" ht="14.6" customHeight="1">
      <c r="C5" s="28" t="s">
        <v>694</v>
      </c>
      <c r="L5" s="28" t="b">
        <f>L4&lt;=DATE('Control Panel'!$B$13,'Control Panel'!$B$6,'Control Panel'!$B$7)</f>
        <v>1</v>
      </c>
      <c r="M5" s="28" t="b">
        <f>M4&lt;=DATE('Control Panel'!$B$13,'Control Panel'!$B$6,'Control Panel'!$B$7)</f>
        <v>1</v>
      </c>
      <c r="N5" s="28" t="b">
        <f>N4&lt;=DATE('Control Panel'!$B$13,'Control Panel'!$B$6,'Control Panel'!$B$7)</f>
        <v>1</v>
      </c>
      <c r="O5" s="28" t="b">
        <f>O4&lt;=DATE('Control Panel'!$B$13,'Control Panel'!$B$6,'Control Panel'!$B$7)</f>
        <v>1</v>
      </c>
      <c r="P5" s="28" t="b">
        <f>P4&lt;=DATE('Control Panel'!$B$13,'Control Panel'!$B$6,'Control Panel'!$B$7)</f>
        <v>1</v>
      </c>
      <c r="Q5" s="28" t="b">
        <f>Q4&lt;=DATE('Control Panel'!$B$13,'Control Panel'!$B$6,'Control Panel'!$B$7)</f>
        <v>1</v>
      </c>
      <c r="R5" s="28" t="b">
        <f>R4&lt;=DATE('Control Panel'!$B$13,'Control Panel'!$B$6,'Control Panel'!$B$7)</f>
        <v>1</v>
      </c>
      <c r="S5" s="28" t="b">
        <f>S4&lt;=DATE('Control Panel'!$B$13,'Control Panel'!$B$6,'Control Panel'!$B$7)</f>
        <v>1</v>
      </c>
      <c r="T5" s="28" t="b">
        <f>T4&lt;=DATE('Control Panel'!$B$13,'Control Panel'!$B$6,'Control Panel'!$B$7)</f>
        <v>1</v>
      </c>
      <c r="U5" s="28" t="b">
        <f>U4&lt;=DATE('Control Panel'!$B$13,'Control Panel'!$B$6,'Control Panel'!$B$7)</f>
        <v>1</v>
      </c>
      <c r="V5" s="28" t="b">
        <f>V4&lt;=DATE('Control Panel'!$B$13,'Control Panel'!$B$6,'Control Panel'!$B$7)</f>
        <v>1</v>
      </c>
      <c r="W5" s="28" t="b">
        <f>W4&lt;=DATE('Control Panel'!$B$13,'Control Panel'!$B$6,'Control Panel'!$B$7)</f>
        <v>1</v>
      </c>
      <c r="X5" s="28" t="b">
        <f>X4&lt;=DATE('Control Panel'!$B$13,'Control Panel'!$B$6,'Control Panel'!$B$7)</f>
        <v>1</v>
      </c>
      <c r="Y5" s="28" t="b">
        <f>Y4&lt;=DATE('Control Panel'!$B$13,'Control Panel'!$B$6,'Control Panel'!$B$7)</f>
        <v>1</v>
      </c>
      <c r="Z5" s="28" t="b">
        <f>Z4&lt;=DATE('Control Panel'!$B$13,'Control Panel'!$B$6,'Control Panel'!$B$7)</f>
        <v>1</v>
      </c>
      <c r="AA5" s="28" t="b">
        <f>AA4&lt;=DATE('Control Panel'!$B$13,'Control Panel'!$B$6,'Control Panel'!$B$7)</f>
        <v>1</v>
      </c>
      <c r="AB5" s="28" t="b">
        <f>AB4&lt;=DATE('Control Panel'!$B$13,'Control Panel'!$B$6,'Control Panel'!$B$7)</f>
        <v>1</v>
      </c>
      <c r="AC5" s="28" t="b">
        <f>AC4&lt;=DATE('Control Panel'!$B$13,'Control Panel'!$B$6,'Control Panel'!$B$7)</f>
        <v>1</v>
      </c>
      <c r="AD5" s="28" t="b">
        <f>AD4&lt;=DATE('Control Panel'!$B$13,'Control Panel'!$B$6,'Control Panel'!$B$7)</f>
        <v>1</v>
      </c>
      <c r="AE5" s="28" t="b">
        <f>AE4&lt;=DATE('Control Panel'!$B$13,'Control Panel'!$B$6,'Control Panel'!$B$7)</f>
        <v>1</v>
      </c>
      <c r="AF5" s="28" t="b">
        <f>AF4&lt;=DATE('Control Panel'!$B$13,'Control Panel'!$B$6,'Control Panel'!$B$7)</f>
        <v>1</v>
      </c>
      <c r="AG5" s="28" t="b">
        <f>AG4&lt;=DATE('Control Panel'!$B$13,'Control Panel'!$B$6,'Control Panel'!$B$7)</f>
        <v>1</v>
      </c>
      <c r="AH5" s="28" t="b">
        <f>AH4&lt;=DATE('Control Panel'!$B$13,'Control Panel'!$B$6,'Control Panel'!$B$7)</f>
        <v>1</v>
      </c>
      <c r="AI5" s="28" t="b">
        <f>AI4&lt;=DATE('Control Panel'!$B$13,'Control Panel'!$B$6,'Control Panel'!$B$7)</f>
        <v>1</v>
      </c>
      <c r="AJ5" s="28" t="b">
        <f>AJ4&lt;=DATE('Control Panel'!$B$13,'Control Panel'!$B$6,'Control Panel'!$B$7)</f>
        <v>0</v>
      </c>
      <c r="AK5" s="28" t="b">
        <f>AK4&lt;=DATE('Control Panel'!$B$13,'Control Panel'!$B$6,'Control Panel'!$B$7)</f>
        <v>0</v>
      </c>
      <c r="AL5" s="28" t="b">
        <f>AL4&lt;=DATE('Control Panel'!$B$13,'Control Panel'!$B$6,'Control Panel'!$B$7)</f>
        <v>0</v>
      </c>
      <c r="AM5" s="28" t="b">
        <f>AM4&lt;=DATE('Control Panel'!$B$13,'Control Panel'!$B$6,'Control Panel'!$B$7)</f>
        <v>0</v>
      </c>
      <c r="AN5" s="28" t="b">
        <f>AN4&lt;=DATE('Control Panel'!$B$13,'Control Panel'!$B$6,'Control Panel'!$B$7)</f>
        <v>0</v>
      </c>
      <c r="AO5" s="28" t="b">
        <f>AO4&lt;=DATE('Control Panel'!$B$13,'Control Panel'!$B$6,'Control Panel'!$B$7)</f>
        <v>0</v>
      </c>
      <c r="AP5" s="28" t="b">
        <f>AP4&lt;=DATE('Control Panel'!$B$13,'Control Panel'!$B$6,'Control Panel'!$B$7)</f>
        <v>0</v>
      </c>
    </row>
    <row r="6" spans="3:42" s="28" customFormat="1" ht="14.6" customHeight="1">
      <c r="C6" s="28" t="s">
        <v>720</v>
      </c>
      <c r="L6" s="28" t="b">
        <f>L4&lt;=DATE(YEAR('Control Panel'!$B$9),'Control Panel'!$B$6,'Control Panel'!$B$7)*stub_switch</f>
        <v>0</v>
      </c>
      <c r="M6" s="28" t="b">
        <f>M4&lt;=DATE(YEAR('Control Panel'!$B$9),'Control Panel'!$B$6,'Control Panel'!$B$7)*stub_switch</f>
        <v>0</v>
      </c>
      <c r="N6" s="28" t="b">
        <f>N4&lt;=DATE(YEAR('Control Panel'!$B$9),'Control Panel'!$B$6,'Control Panel'!$B$7)*stub_switch</f>
        <v>0</v>
      </c>
      <c r="O6" s="28" t="b">
        <f>O4&lt;=DATE(YEAR('Control Panel'!$B$9),'Control Panel'!$B$6,'Control Panel'!$B$7)*stub_switch</f>
        <v>0</v>
      </c>
      <c r="P6" s="28" t="b">
        <f>P4&lt;=DATE(YEAR('Control Panel'!$B$9),'Control Panel'!$B$6,'Control Panel'!$B$7)*stub_switch</f>
        <v>0</v>
      </c>
      <c r="Q6" s="28" t="b">
        <f>Q4&lt;=DATE(YEAR('Control Panel'!$B$9),'Control Panel'!$B$6,'Control Panel'!$B$7)*stub_switch</f>
        <v>0</v>
      </c>
      <c r="R6" s="28" t="b">
        <f>R4&lt;=DATE(YEAR('Control Panel'!$B$9),'Control Panel'!$B$6,'Control Panel'!$B$7)*stub_switch</f>
        <v>0</v>
      </c>
      <c r="S6" s="28" t="b">
        <f>S4&lt;=DATE(YEAR('Control Panel'!$B$9),'Control Panel'!$B$6,'Control Panel'!$B$7)*stub_switch</f>
        <v>0</v>
      </c>
      <c r="T6" s="28" t="b">
        <f>T4&lt;=DATE(YEAR('Control Panel'!$B$9),'Control Panel'!$B$6,'Control Panel'!$B$7)*stub_switch</f>
        <v>0</v>
      </c>
      <c r="U6" s="28" t="b">
        <f>U4&lt;=DATE(YEAR('Control Panel'!$B$9),'Control Panel'!$B$6,'Control Panel'!$B$7)*stub_switch</f>
        <v>0</v>
      </c>
      <c r="V6" s="28" t="b">
        <f>V4&lt;=DATE(YEAR('Control Panel'!$B$9),'Control Panel'!$B$6,'Control Panel'!$B$7)*stub_switch</f>
        <v>0</v>
      </c>
      <c r="W6" s="28" t="b">
        <f>W4&lt;=DATE(YEAR('Control Panel'!$B$9),'Control Panel'!$B$6,'Control Panel'!$B$7)*stub_switch</f>
        <v>0</v>
      </c>
      <c r="X6" s="28" t="b">
        <f>X4&lt;=DATE(YEAR('Control Panel'!$B$9),'Control Panel'!$B$6,'Control Panel'!$B$7)*stub_switch</f>
        <v>0</v>
      </c>
      <c r="Y6" s="28" t="b">
        <f>Y4&lt;=DATE(YEAR('Control Panel'!$B$9),'Control Panel'!$B$6,'Control Panel'!$B$7)*stub_switch</f>
        <v>0</v>
      </c>
      <c r="Z6" s="28" t="b">
        <f>Z4&lt;=DATE(YEAR('Control Panel'!$B$9),'Control Panel'!$B$6,'Control Panel'!$B$7)*stub_switch</f>
        <v>0</v>
      </c>
      <c r="AA6" s="28" t="b">
        <f>AA4&lt;=DATE(YEAR('Control Panel'!$B$9),'Control Panel'!$B$6,'Control Panel'!$B$7)*stub_switch</f>
        <v>0</v>
      </c>
      <c r="AB6" s="28" t="b">
        <f>AB4&lt;=DATE(YEAR('Control Panel'!$B$9),'Control Panel'!$B$6,'Control Panel'!$B$7)*stub_switch</f>
        <v>0</v>
      </c>
      <c r="AC6" s="28" t="b">
        <f>AC4&lt;=DATE(YEAR('Control Panel'!$B$9),'Control Panel'!$B$6,'Control Panel'!$B$7)*stub_switch</f>
        <v>0</v>
      </c>
      <c r="AD6" s="28" t="b">
        <f>AD4&lt;=DATE(YEAR('Control Panel'!$B$9),'Control Panel'!$B$6,'Control Panel'!$B$7)*stub_switch</f>
        <v>0</v>
      </c>
      <c r="AE6" s="28" t="b">
        <f>AE4&lt;=DATE(YEAR('Control Panel'!$B$9),'Control Panel'!$B$6,'Control Panel'!$B$7)*stub_switch</f>
        <v>0</v>
      </c>
      <c r="AF6" s="28" t="b">
        <f>AF4&lt;=DATE(YEAR('Control Panel'!$B$9),'Control Panel'!$B$6,'Control Panel'!$B$7)*stub_switch</f>
        <v>0</v>
      </c>
      <c r="AG6" s="28" t="b">
        <f>AG4&lt;=DATE(YEAR('Control Panel'!$B$9),'Control Panel'!$B$6,'Control Panel'!$B$7)*stub_switch</f>
        <v>0</v>
      </c>
      <c r="AH6" s="28" t="b">
        <f>AH4&lt;=DATE(YEAR('Control Panel'!$B$9),'Control Panel'!$B$6,'Control Panel'!$B$7)*stub_switch</f>
        <v>0</v>
      </c>
      <c r="AI6" s="28" t="b">
        <f>AI4&lt;=DATE(YEAR('Control Panel'!$B$9),'Control Panel'!$B$6,'Control Panel'!$B$7)*stub_switch</f>
        <v>0</v>
      </c>
      <c r="AJ6" s="28" t="b">
        <f>AJ4&lt;=DATE(YEAR('Control Panel'!$B$9),'Control Panel'!$B$6,'Control Panel'!$B$7)*stub_switch</f>
        <v>0</v>
      </c>
      <c r="AK6" s="28" t="b">
        <f>AK4&lt;=DATE(YEAR('Control Panel'!$B$9),'Control Panel'!$B$6,'Control Panel'!$B$7)*stub_switch</f>
        <v>0</v>
      </c>
      <c r="AL6" s="28" t="b">
        <f>AL4&lt;=DATE(YEAR('Control Panel'!$B$9),'Control Panel'!$B$6,'Control Panel'!$B$7)*stub_switch</f>
        <v>0</v>
      </c>
      <c r="AM6" s="28" t="b">
        <f>AM4&lt;=DATE(YEAR('Control Panel'!$B$9),'Control Panel'!$B$6,'Control Panel'!$B$7)*stub_switch</f>
        <v>0</v>
      </c>
      <c r="AN6" s="28" t="b">
        <f>AN4&lt;=DATE(YEAR('Control Panel'!$B$9),'Control Panel'!$B$6,'Control Panel'!$B$7)*stub_switch</f>
        <v>0</v>
      </c>
      <c r="AO6" s="28" t="b">
        <f>AO4&lt;=DATE(YEAR('Control Panel'!$B$9),'Control Panel'!$B$6,'Control Panel'!$B$7)*stub_switch</f>
        <v>0</v>
      </c>
      <c r="AP6" s="28" t="b">
        <f>AP4&lt;=DATE(YEAR('Control Panel'!$B$9),'Control Panel'!$B$6,'Control Panel'!$B$7)*stub_switch</f>
        <v>0</v>
      </c>
    </row>
    <row r="7" spans="3:42" ht="14.6" customHeight="1">
      <c r="C7" s="209"/>
      <c r="D7" s="794" t="s">
        <v>717</v>
      </c>
      <c r="E7" s="794"/>
      <c r="F7" s="794"/>
      <c r="G7" s="794"/>
      <c r="H7" s="794" t="s">
        <v>718</v>
      </c>
      <c r="I7" s="794"/>
      <c r="J7" s="794"/>
      <c r="K7" s="794"/>
      <c r="L7" s="413" t="str">
        <f>CONCATENATE(YEAR(L4),"F")</f>
        <v>2019F</v>
      </c>
      <c r="M7" s="413" t="str">
        <f t="shared" ref="M7:AN7" si="1">CONCATENATE(YEAR(M4),"F")</f>
        <v>2019F</v>
      </c>
      <c r="N7" s="413" t="str">
        <f t="shared" si="1"/>
        <v>2019F</v>
      </c>
      <c r="O7" s="413" t="str">
        <f t="shared" si="1"/>
        <v>2019F</v>
      </c>
      <c r="P7" s="413" t="str">
        <f t="shared" si="1"/>
        <v>2020F</v>
      </c>
      <c r="Q7" s="413" t="str">
        <f t="shared" si="1"/>
        <v>2020F</v>
      </c>
      <c r="R7" s="413" t="str">
        <f t="shared" si="1"/>
        <v>2020F</v>
      </c>
      <c r="S7" s="413" t="str">
        <f t="shared" si="1"/>
        <v>2020F</v>
      </c>
      <c r="T7" s="413" t="str">
        <f t="shared" si="1"/>
        <v>2021F</v>
      </c>
      <c r="U7" s="413" t="str">
        <f t="shared" si="1"/>
        <v>2021F</v>
      </c>
      <c r="V7" s="413" t="str">
        <f t="shared" si="1"/>
        <v>2021F</v>
      </c>
      <c r="W7" s="413" t="str">
        <f t="shared" si="1"/>
        <v>2021F</v>
      </c>
      <c r="X7" s="413" t="str">
        <f t="shared" si="1"/>
        <v>2022F</v>
      </c>
      <c r="Y7" s="413" t="str">
        <f t="shared" si="1"/>
        <v>2022F</v>
      </c>
      <c r="Z7" s="413" t="str">
        <f t="shared" si="1"/>
        <v>2022F</v>
      </c>
      <c r="AA7" s="413" t="str">
        <f t="shared" si="1"/>
        <v>2022F</v>
      </c>
      <c r="AB7" s="413" t="str">
        <f t="shared" si="1"/>
        <v>2023F</v>
      </c>
      <c r="AC7" s="413" t="str">
        <f t="shared" si="1"/>
        <v>2023F</v>
      </c>
      <c r="AD7" s="413" t="str">
        <f t="shared" si="1"/>
        <v>2023F</v>
      </c>
      <c r="AE7" s="413" t="str">
        <f t="shared" si="1"/>
        <v>2023F</v>
      </c>
      <c r="AF7" s="413" t="str">
        <f t="shared" si="1"/>
        <v>2024F</v>
      </c>
      <c r="AG7" s="413" t="str">
        <f t="shared" si="1"/>
        <v>2024F</v>
      </c>
      <c r="AH7" s="413" t="str">
        <f t="shared" si="1"/>
        <v>2024F</v>
      </c>
      <c r="AI7" s="413" t="str">
        <f t="shared" si="1"/>
        <v>2024F</v>
      </c>
      <c r="AJ7" s="413" t="str">
        <f t="shared" si="1"/>
        <v>2025F</v>
      </c>
      <c r="AK7" s="413" t="str">
        <f t="shared" si="1"/>
        <v>2025F</v>
      </c>
      <c r="AL7" s="413" t="str">
        <f t="shared" si="1"/>
        <v>2025F</v>
      </c>
      <c r="AM7" s="413" t="str">
        <f t="shared" si="1"/>
        <v>2025F</v>
      </c>
      <c r="AN7" s="413" t="str">
        <f t="shared" si="1"/>
        <v>2026F</v>
      </c>
      <c r="AO7" s="413" t="str">
        <f t="shared" ref="AO7:AP7" si="2">CONCATENATE(YEAR(AO4),"F")</f>
        <v>2026F</v>
      </c>
      <c r="AP7" s="413" t="str">
        <f t="shared" si="2"/>
        <v>2026F</v>
      </c>
    </row>
    <row r="8" spans="3:42" ht="14.6" customHeight="1">
      <c r="C8" s="209"/>
      <c r="D8" s="309">
        <v>1</v>
      </c>
      <c r="E8" s="309">
        <f>D8+1</f>
        <v>2</v>
      </c>
      <c r="F8" s="309">
        <f>E8+1</f>
        <v>3</v>
      </c>
      <c r="G8" s="309">
        <f>F8+1</f>
        <v>4</v>
      </c>
      <c r="H8" s="309">
        <v>1</v>
      </c>
      <c r="I8" s="309">
        <f>H8+1</f>
        <v>2</v>
      </c>
      <c r="J8" s="309">
        <f>I8+1</f>
        <v>3</v>
      </c>
      <c r="K8" s="309">
        <f>J8+1</f>
        <v>4</v>
      </c>
      <c r="L8" s="309">
        <f>M2</f>
        <v>1</v>
      </c>
      <c r="M8" s="309">
        <f>IF(L8=4,1,L8+1)</f>
        <v>2</v>
      </c>
      <c r="N8" s="309">
        <f>IF(M8=4,1,M8+1)</f>
        <v>3</v>
      </c>
      <c r="O8" s="309">
        <f>IF(N8=4,1,N8+1)</f>
        <v>4</v>
      </c>
      <c r="P8" s="309">
        <f>IF(O8=4,1,O8+1)</f>
        <v>1</v>
      </c>
      <c r="Q8" s="309">
        <f t="shared" ref="Q8:AP8" si="3">IF(P8=4,1,P8+1)</f>
        <v>2</v>
      </c>
      <c r="R8" s="309">
        <f t="shared" si="3"/>
        <v>3</v>
      </c>
      <c r="S8" s="309">
        <f t="shared" si="3"/>
        <v>4</v>
      </c>
      <c r="T8" s="309">
        <f t="shared" si="3"/>
        <v>1</v>
      </c>
      <c r="U8" s="309">
        <f t="shared" si="3"/>
        <v>2</v>
      </c>
      <c r="V8" s="309">
        <f t="shared" si="3"/>
        <v>3</v>
      </c>
      <c r="W8" s="309">
        <f t="shared" si="3"/>
        <v>4</v>
      </c>
      <c r="X8" s="309">
        <f t="shared" si="3"/>
        <v>1</v>
      </c>
      <c r="Y8" s="309">
        <f t="shared" si="3"/>
        <v>2</v>
      </c>
      <c r="Z8" s="309">
        <f t="shared" si="3"/>
        <v>3</v>
      </c>
      <c r="AA8" s="309">
        <f t="shared" si="3"/>
        <v>4</v>
      </c>
      <c r="AB8" s="309">
        <f t="shared" si="3"/>
        <v>1</v>
      </c>
      <c r="AC8" s="309">
        <f t="shared" si="3"/>
        <v>2</v>
      </c>
      <c r="AD8" s="309">
        <f t="shared" si="3"/>
        <v>3</v>
      </c>
      <c r="AE8" s="309">
        <f t="shared" si="3"/>
        <v>4</v>
      </c>
      <c r="AF8" s="309">
        <f t="shared" si="3"/>
        <v>1</v>
      </c>
      <c r="AG8" s="309">
        <f t="shared" si="3"/>
        <v>2</v>
      </c>
      <c r="AH8" s="309">
        <f t="shared" si="3"/>
        <v>3</v>
      </c>
      <c r="AI8" s="309">
        <f t="shared" si="3"/>
        <v>4</v>
      </c>
      <c r="AJ8" s="309">
        <f t="shared" si="3"/>
        <v>1</v>
      </c>
      <c r="AK8" s="309">
        <f t="shared" si="3"/>
        <v>2</v>
      </c>
      <c r="AL8" s="309">
        <f t="shared" si="3"/>
        <v>3</v>
      </c>
      <c r="AM8" s="309">
        <f t="shared" si="3"/>
        <v>4</v>
      </c>
      <c r="AN8" s="309">
        <f t="shared" si="3"/>
        <v>1</v>
      </c>
      <c r="AO8" s="309">
        <f t="shared" si="3"/>
        <v>2</v>
      </c>
      <c r="AP8" s="309">
        <f t="shared" si="3"/>
        <v>3</v>
      </c>
    </row>
    <row r="9" spans="3:42" ht="14.6" customHeight="1">
      <c r="C9" s="209" t="s">
        <v>721</v>
      </c>
      <c r="D9" s="209"/>
      <c r="E9" s="209"/>
      <c r="F9" s="209"/>
      <c r="G9" s="209"/>
      <c r="H9" s="209"/>
      <c r="I9" s="209"/>
      <c r="J9" s="209"/>
      <c r="K9" s="209"/>
      <c r="L9" s="209"/>
      <c r="M9" s="209"/>
      <c r="N9" s="209"/>
      <c r="O9" s="209"/>
      <c r="P9" s="209"/>
      <c r="Q9" s="209"/>
      <c r="R9" s="209"/>
      <c r="S9" s="209"/>
      <c r="T9" s="209"/>
      <c r="U9" s="209"/>
      <c r="V9" s="209"/>
      <c r="W9" s="209"/>
      <c r="X9" s="209"/>
      <c r="Y9" s="209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3:42" s="34" customFormat="1" ht="14.6" customHeight="1">
      <c r="C10" s="180" t="s">
        <v>714</v>
      </c>
      <c r="D10" s="180"/>
      <c r="E10" s="274"/>
      <c r="F10" s="274">
        <v>0.5</v>
      </c>
      <c r="G10" s="274">
        <v>0.5</v>
      </c>
      <c r="H10" s="274">
        <v>0.25</v>
      </c>
      <c r="I10" s="274">
        <v>0.25</v>
      </c>
      <c r="J10" s="274">
        <v>0.25</v>
      </c>
      <c r="K10" s="274">
        <v>0.25</v>
      </c>
      <c r="L10" s="312">
        <f>IF(L$6,INDEX($D10:$G10,MATCH(L$8,$D$8:$G$8,0)),INDEX($H10:$K10,MATCH(L$8,$H$8:$K$8)))</f>
        <v>0.25</v>
      </c>
      <c r="M10" s="312">
        <f t="shared" ref="M10:AB15" si="4">IF(M$6,INDEX($D10:$G10,MATCH(M$8,$D$8:$G$8,0)),INDEX($H10:$K10,MATCH(M$8,$H$8:$K$8)))</f>
        <v>0.25</v>
      </c>
      <c r="N10" s="312">
        <f t="shared" si="4"/>
        <v>0.25</v>
      </c>
      <c r="O10" s="312">
        <f t="shared" si="4"/>
        <v>0.25</v>
      </c>
      <c r="P10" s="312">
        <f t="shared" si="4"/>
        <v>0.25</v>
      </c>
      <c r="Q10" s="312">
        <f t="shared" si="4"/>
        <v>0.25</v>
      </c>
      <c r="R10" s="312">
        <f t="shared" si="4"/>
        <v>0.25</v>
      </c>
      <c r="S10" s="312">
        <f t="shared" si="4"/>
        <v>0.25</v>
      </c>
      <c r="T10" s="312">
        <f t="shared" si="4"/>
        <v>0.25</v>
      </c>
      <c r="U10" s="312">
        <f t="shared" si="4"/>
        <v>0.25</v>
      </c>
      <c r="V10" s="312">
        <f t="shared" si="4"/>
        <v>0.25</v>
      </c>
      <c r="W10" s="312">
        <f t="shared" si="4"/>
        <v>0.25</v>
      </c>
      <c r="X10" s="312">
        <f t="shared" si="4"/>
        <v>0.25</v>
      </c>
      <c r="Y10" s="312">
        <f t="shared" si="4"/>
        <v>0.25</v>
      </c>
      <c r="Z10" s="312">
        <f t="shared" si="4"/>
        <v>0.25</v>
      </c>
      <c r="AA10" s="312">
        <f t="shared" si="4"/>
        <v>0.25</v>
      </c>
      <c r="AB10" s="312">
        <f t="shared" si="4"/>
        <v>0.25</v>
      </c>
      <c r="AC10" s="312">
        <f t="shared" ref="AC10:AP15" si="5">IF(AC$6,INDEX($D10:$G10,MATCH(AC$8,$D$8:$G$8,0)),INDEX($H10:$K10,MATCH(AC$8,$H$8:$K$8)))</f>
        <v>0.25</v>
      </c>
      <c r="AD10" s="312">
        <f t="shared" si="5"/>
        <v>0.25</v>
      </c>
      <c r="AE10" s="312">
        <f t="shared" si="5"/>
        <v>0.25</v>
      </c>
      <c r="AF10" s="312">
        <f t="shared" si="5"/>
        <v>0.25</v>
      </c>
      <c r="AG10" s="312">
        <f t="shared" si="5"/>
        <v>0.25</v>
      </c>
      <c r="AH10" s="312">
        <f t="shared" si="5"/>
        <v>0.25</v>
      </c>
      <c r="AI10" s="312">
        <f t="shared" si="5"/>
        <v>0.25</v>
      </c>
      <c r="AJ10" s="312">
        <f t="shared" si="5"/>
        <v>0.25</v>
      </c>
      <c r="AK10" s="312">
        <f t="shared" si="5"/>
        <v>0.25</v>
      </c>
      <c r="AL10" s="312">
        <f t="shared" si="5"/>
        <v>0.25</v>
      </c>
      <c r="AM10" s="312">
        <f t="shared" si="5"/>
        <v>0.25</v>
      </c>
      <c r="AN10" s="312">
        <f t="shared" si="5"/>
        <v>0.25</v>
      </c>
      <c r="AO10" s="312">
        <f t="shared" si="5"/>
        <v>0.25</v>
      </c>
      <c r="AP10" s="312">
        <f t="shared" si="5"/>
        <v>0.25</v>
      </c>
    </row>
    <row r="11" spans="3:42" ht="14.6" customHeight="1">
      <c r="C11" s="295" t="s">
        <v>1457</v>
      </c>
      <c r="E11" s="274"/>
      <c r="F11" s="274">
        <v>0.5</v>
      </c>
      <c r="G11" s="274">
        <v>0.5</v>
      </c>
      <c r="H11" s="274">
        <v>0.25</v>
      </c>
      <c r="I11" s="274">
        <v>0.25</v>
      </c>
      <c r="J11" s="274">
        <v>0.25</v>
      </c>
      <c r="K11" s="274">
        <v>0.25</v>
      </c>
      <c r="L11" s="183">
        <f t="shared" ref="L11:AA15" si="6">IF(L$6,INDEX($D11:$G11,MATCH(L$8,$D$8:$G$8,0)),INDEX($H11:$K11,MATCH(L$8,$H$8:$K$8)))</f>
        <v>0.25</v>
      </c>
      <c r="M11" s="183">
        <f t="shared" si="4"/>
        <v>0.25</v>
      </c>
      <c r="N11" s="183">
        <f t="shared" si="4"/>
        <v>0.25</v>
      </c>
      <c r="O11" s="183">
        <f t="shared" si="4"/>
        <v>0.25</v>
      </c>
      <c r="P11" s="183">
        <f t="shared" si="4"/>
        <v>0.25</v>
      </c>
      <c r="Q11" s="183">
        <f t="shared" si="4"/>
        <v>0.25</v>
      </c>
      <c r="R11" s="183">
        <f t="shared" si="4"/>
        <v>0.25</v>
      </c>
      <c r="S11" s="183">
        <f t="shared" si="4"/>
        <v>0.25</v>
      </c>
      <c r="T11" s="183">
        <f t="shared" si="4"/>
        <v>0.25</v>
      </c>
      <c r="U11" s="183">
        <f t="shared" si="4"/>
        <v>0.25</v>
      </c>
      <c r="V11" s="183">
        <f t="shared" si="4"/>
        <v>0.25</v>
      </c>
      <c r="W11" s="183">
        <f t="shared" si="4"/>
        <v>0.25</v>
      </c>
      <c r="X11" s="183">
        <f t="shared" si="4"/>
        <v>0.25</v>
      </c>
      <c r="Y11" s="183">
        <f t="shared" si="4"/>
        <v>0.25</v>
      </c>
      <c r="Z11" s="183">
        <f t="shared" si="4"/>
        <v>0.25</v>
      </c>
      <c r="AA11" s="183">
        <f t="shared" si="4"/>
        <v>0.25</v>
      </c>
      <c r="AB11" s="183">
        <f t="shared" si="4"/>
        <v>0.25</v>
      </c>
      <c r="AC11" s="183">
        <f t="shared" si="5"/>
        <v>0.25</v>
      </c>
      <c r="AD11" s="183">
        <f t="shared" si="5"/>
        <v>0.25</v>
      </c>
      <c r="AE11" s="183">
        <f t="shared" si="5"/>
        <v>0.25</v>
      </c>
      <c r="AF11" s="183">
        <f t="shared" si="5"/>
        <v>0.25</v>
      </c>
      <c r="AG11" s="183">
        <f t="shared" si="5"/>
        <v>0.25</v>
      </c>
      <c r="AH11" s="183">
        <f t="shared" si="5"/>
        <v>0.25</v>
      </c>
      <c r="AI11" s="183">
        <f t="shared" si="5"/>
        <v>0.25</v>
      </c>
      <c r="AJ11" s="183">
        <f t="shared" si="5"/>
        <v>0.25</v>
      </c>
      <c r="AK11" s="183">
        <f t="shared" si="5"/>
        <v>0.25</v>
      </c>
      <c r="AL11" s="183">
        <f t="shared" si="5"/>
        <v>0.25</v>
      </c>
      <c r="AM11" s="183">
        <f t="shared" si="5"/>
        <v>0.25</v>
      </c>
      <c r="AN11" s="183">
        <f t="shared" si="5"/>
        <v>0.25</v>
      </c>
      <c r="AO11" s="183">
        <f t="shared" si="5"/>
        <v>0.25</v>
      </c>
      <c r="AP11" s="183">
        <f t="shared" si="5"/>
        <v>0.25</v>
      </c>
    </row>
    <row r="12" spans="3:42" ht="14.6" customHeight="1">
      <c r="C12" s="295" t="s">
        <v>715</v>
      </c>
      <c r="E12" s="274"/>
      <c r="F12" s="274">
        <v>0.5</v>
      </c>
      <c r="G12" s="274">
        <v>0.5</v>
      </c>
      <c r="H12" s="274">
        <v>0.25</v>
      </c>
      <c r="I12" s="274">
        <v>0.25</v>
      </c>
      <c r="J12" s="274">
        <v>0.25</v>
      </c>
      <c r="K12" s="274">
        <v>0.25</v>
      </c>
      <c r="L12" s="183">
        <f t="shared" si="6"/>
        <v>0.25</v>
      </c>
      <c r="M12" s="183">
        <f t="shared" si="4"/>
        <v>0.25</v>
      </c>
      <c r="N12" s="183">
        <f t="shared" si="4"/>
        <v>0.25</v>
      </c>
      <c r="O12" s="183">
        <f t="shared" si="4"/>
        <v>0.25</v>
      </c>
      <c r="P12" s="183">
        <f t="shared" si="4"/>
        <v>0.25</v>
      </c>
      <c r="Q12" s="183">
        <f t="shared" si="4"/>
        <v>0.25</v>
      </c>
      <c r="R12" s="183">
        <f t="shared" si="4"/>
        <v>0.25</v>
      </c>
      <c r="S12" s="183">
        <f t="shared" si="4"/>
        <v>0.25</v>
      </c>
      <c r="T12" s="183">
        <f t="shared" si="4"/>
        <v>0.25</v>
      </c>
      <c r="U12" s="183">
        <f t="shared" si="4"/>
        <v>0.25</v>
      </c>
      <c r="V12" s="183">
        <f t="shared" si="4"/>
        <v>0.25</v>
      </c>
      <c r="W12" s="183">
        <f t="shared" si="4"/>
        <v>0.25</v>
      </c>
      <c r="X12" s="183">
        <f t="shared" si="4"/>
        <v>0.25</v>
      </c>
      <c r="Y12" s="183">
        <f t="shared" si="4"/>
        <v>0.25</v>
      </c>
      <c r="Z12" s="183">
        <f t="shared" si="4"/>
        <v>0.25</v>
      </c>
      <c r="AA12" s="183">
        <f t="shared" si="4"/>
        <v>0.25</v>
      </c>
      <c r="AB12" s="183">
        <f t="shared" si="4"/>
        <v>0.25</v>
      </c>
      <c r="AC12" s="183">
        <f t="shared" si="5"/>
        <v>0.25</v>
      </c>
      <c r="AD12" s="183">
        <f t="shared" si="5"/>
        <v>0.25</v>
      </c>
      <c r="AE12" s="183">
        <f t="shared" si="5"/>
        <v>0.25</v>
      </c>
      <c r="AF12" s="183">
        <f t="shared" si="5"/>
        <v>0.25</v>
      </c>
      <c r="AG12" s="183">
        <f t="shared" si="5"/>
        <v>0.25</v>
      </c>
      <c r="AH12" s="183">
        <f t="shared" si="5"/>
        <v>0.25</v>
      </c>
      <c r="AI12" s="183">
        <f t="shared" si="5"/>
        <v>0.25</v>
      </c>
      <c r="AJ12" s="183">
        <f t="shared" si="5"/>
        <v>0.25</v>
      </c>
      <c r="AK12" s="183">
        <f t="shared" si="5"/>
        <v>0.25</v>
      </c>
      <c r="AL12" s="183">
        <f t="shared" si="5"/>
        <v>0.25</v>
      </c>
      <c r="AM12" s="183">
        <f t="shared" si="5"/>
        <v>0.25</v>
      </c>
      <c r="AN12" s="183">
        <f t="shared" si="5"/>
        <v>0.25</v>
      </c>
      <c r="AO12" s="183">
        <f t="shared" si="5"/>
        <v>0.25</v>
      </c>
      <c r="AP12" s="183">
        <f t="shared" si="5"/>
        <v>0.25</v>
      </c>
    </row>
    <row r="13" spans="3:42" ht="14.6" customHeight="1">
      <c r="C13" s="295" t="s">
        <v>716</v>
      </c>
      <c r="E13" s="274"/>
      <c r="F13" s="274">
        <v>0.5</v>
      </c>
      <c r="G13" s="274">
        <v>0.5</v>
      </c>
      <c r="H13" s="274">
        <v>0.25</v>
      </c>
      <c r="I13" s="274">
        <v>0.25</v>
      </c>
      <c r="J13" s="274">
        <v>0.25</v>
      </c>
      <c r="K13" s="274">
        <v>0.25</v>
      </c>
      <c r="L13" s="183">
        <f t="shared" si="6"/>
        <v>0.25</v>
      </c>
      <c r="M13" s="183">
        <f t="shared" si="4"/>
        <v>0.25</v>
      </c>
      <c r="N13" s="183">
        <f t="shared" si="4"/>
        <v>0.25</v>
      </c>
      <c r="O13" s="183">
        <f t="shared" si="4"/>
        <v>0.25</v>
      </c>
      <c r="P13" s="183">
        <f t="shared" si="4"/>
        <v>0.25</v>
      </c>
      <c r="Q13" s="183">
        <f t="shared" si="4"/>
        <v>0.25</v>
      </c>
      <c r="R13" s="183">
        <f t="shared" si="4"/>
        <v>0.25</v>
      </c>
      <c r="S13" s="183">
        <f t="shared" si="4"/>
        <v>0.25</v>
      </c>
      <c r="T13" s="183">
        <f t="shared" si="4"/>
        <v>0.25</v>
      </c>
      <c r="U13" s="183">
        <f t="shared" si="4"/>
        <v>0.25</v>
      </c>
      <c r="V13" s="183">
        <f t="shared" si="4"/>
        <v>0.25</v>
      </c>
      <c r="W13" s="183">
        <f t="shared" si="4"/>
        <v>0.25</v>
      </c>
      <c r="X13" s="183">
        <f t="shared" si="4"/>
        <v>0.25</v>
      </c>
      <c r="Y13" s="183">
        <f t="shared" si="4"/>
        <v>0.25</v>
      </c>
      <c r="Z13" s="183">
        <f t="shared" si="4"/>
        <v>0.25</v>
      </c>
      <c r="AA13" s="183">
        <f t="shared" si="4"/>
        <v>0.25</v>
      </c>
      <c r="AB13" s="183">
        <f t="shared" si="4"/>
        <v>0.25</v>
      </c>
      <c r="AC13" s="183">
        <f t="shared" si="5"/>
        <v>0.25</v>
      </c>
      <c r="AD13" s="183">
        <f t="shared" si="5"/>
        <v>0.25</v>
      </c>
      <c r="AE13" s="183">
        <f t="shared" si="5"/>
        <v>0.25</v>
      </c>
      <c r="AF13" s="183">
        <f t="shared" si="5"/>
        <v>0.25</v>
      </c>
      <c r="AG13" s="183">
        <f t="shared" si="5"/>
        <v>0.25</v>
      </c>
      <c r="AH13" s="183">
        <f t="shared" si="5"/>
        <v>0.25</v>
      </c>
      <c r="AI13" s="183">
        <f t="shared" si="5"/>
        <v>0.25</v>
      </c>
      <c r="AJ13" s="183">
        <f t="shared" si="5"/>
        <v>0.25</v>
      </c>
      <c r="AK13" s="183">
        <f t="shared" si="5"/>
        <v>0.25</v>
      </c>
      <c r="AL13" s="183">
        <f t="shared" si="5"/>
        <v>0.25</v>
      </c>
      <c r="AM13" s="183">
        <f t="shared" si="5"/>
        <v>0.25</v>
      </c>
      <c r="AN13" s="183">
        <f t="shared" si="5"/>
        <v>0.25</v>
      </c>
      <c r="AO13" s="183">
        <f t="shared" si="5"/>
        <v>0.25</v>
      </c>
      <c r="AP13" s="183">
        <f t="shared" si="5"/>
        <v>0.25</v>
      </c>
    </row>
    <row r="14" spans="3:42" ht="14.6" customHeight="1">
      <c r="C14" s="295" t="s">
        <v>1458</v>
      </c>
      <c r="E14" s="274"/>
      <c r="F14" s="274">
        <v>0.5</v>
      </c>
      <c r="G14" s="274">
        <v>0.5</v>
      </c>
      <c r="H14" s="274">
        <v>0.25</v>
      </c>
      <c r="I14" s="274">
        <v>0.25</v>
      </c>
      <c r="J14" s="274">
        <v>0.25</v>
      </c>
      <c r="K14" s="274">
        <v>0.25</v>
      </c>
      <c r="L14" s="183">
        <f t="shared" si="6"/>
        <v>0.25</v>
      </c>
      <c r="M14" s="183">
        <f t="shared" si="4"/>
        <v>0.25</v>
      </c>
      <c r="N14" s="183">
        <f t="shared" si="4"/>
        <v>0.25</v>
      </c>
      <c r="O14" s="183">
        <f t="shared" si="4"/>
        <v>0.25</v>
      </c>
      <c r="P14" s="183">
        <f t="shared" si="4"/>
        <v>0.25</v>
      </c>
      <c r="Q14" s="183">
        <f t="shared" si="4"/>
        <v>0.25</v>
      </c>
      <c r="R14" s="183">
        <f t="shared" si="4"/>
        <v>0.25</v>
      </c>
      <c r="S14" s="183">
        <f t="shared" si="4"/>
        <v>0.25</v>
      </c>
      <c r="T14" s="183">
        <f t="shared" si="4"/>
        <v>0.25</v>
      </c>
      <c r="U14" s="183">
        <f t="shared" si="4"/>
        <v>0.25</v>
      </c>
      <c r="V14" s="183">
        <f t="shared" si="4"/>
        <v>0.25</v>
      </c>
      <c r="W14" s="183">
        <f t="shared" si="4"/>
        <v>0.25</v>
      </c>
      <c r="X14" s="183">
        <f t="shared" si="4"/>
        <v>0.25</v>
      </c>
      <c r="Y14" s="183">
        <f t="shared" si="4"/>
        <v>0.25</v>
      </c>
      <c r="Z14" s="183">
        <f t="shared" si="4"/>
        <v>0.25</v>
      </c>
      <c r="AA14" s="183">
        <f t="shared" si="4"/>
        <v>0.25</v>
      </c>
      <c r="AB14" s="183">
        <f t="shared" si="4"/>
        <v>0.25</v>
      </c>
      <c r="AC14" s="183">
        <f t="shared" si="5"/>
        <v>0.25</v>
      </c>
      <c r="AD14" s="183">
        <f t="shared" si="5"/>
        <v>0.25</v>
      </c>
      <c r="AE14" s="183">
        <f t="shared" si="5"/>
        <v>0.25</v>
      </c>
      <c r="AF14" s="183">
        <f t="shared" si="5"/>
        <v>0.25</v>
      </c>
      <c r="AG14" s="183">
        <f t="shared" si="5"/>
        <v>0.25</v>
      </c>
      <c r="AH14" s="183">
        <f t="shared" si="5"/>
        <v>0.25</v>
      </c>
      <c r="AI14" s="183">
        <f t="shared" si="5"/>
        <v>0.25</v>
      </c>
      <c r="AJ14" s="183">
        <f t="shared" si="5"/>
        <v>0.25</v>
      </c>
      <c r="AK14" s="183">
        <f t="shared" si="5"/>
        <v>0.25</v>
      </c>
      <c r="AL14" s="183">
        <f t="shared" si="5"/>
        <v>0.25</v>
      </c>
      <c r="AM14" s="183">
        <f t="shared" si="5"/>
        <v>0.25</v>
      </c>
      <c r="AN14" s="183">
        <f t="shared" si="5"/>
        <v>0.25</v>
      </c>
      <c r="AO14" s="183">
        <f t="shared" si="5"/>
        <v>0.25</v>
      </c>
      <c r="AP14" s="183">
        <f t="shared" si="5"/>
        <v>0.25</v>
      </c>
    </row>
    <row r="15" spans="3:42" ht="14.6" customHeight="1">
      <c r="C15" s="295" t="s">
        <v>1459</v>
      </c>
      <c r="E15" s="274"/>
      <c r="F15" s="274">
        <v>0.5</v>
      </c>
      <c r="G15" s="274">
        <v>0.5</v>
      </c>
      <c r="H15" s="274">
        <v>0.25</v>
      </c>
      <c r="I15" s="274">
        <v>0.25</v>
      </c>
      <c r="J15" s="274">
        <v>0.25</v>
      </c>
      <c r="K15" s="274">
        <v>0.25</v>
      </c>
      <c r="L15" s="183">
        <f t="shared" si="6"/>
        <v>0.25</v>
      </c>
      <c r="M15" s="183">
        <f t="shared" si="6"/>
        <v>0.25</v>
      </c>
      <c r="N15" s="183">
        <f t="shared" si="6"/>
        <v>0.25</v>
      </c>
      <c r="O15" s="183">
        <f t="shared" si="6"/>
        <v>0.25</v>
      </c>
      <c r="P15" s="183">
        <f t="shared" si="6"/>
        <v>0.25</v>
      </c>
      <c r="Q15" s="183">
        <f t="shared" si="6"/>
        <v>0.25</v>
      </c>
      <c r="R15" s="183">
        <f t="shared" si="6"/>
        <v>0.25</v>
      </c>
      <c r="S15" s="183">
        <f t="shared" si="6"/>
        <v>0.25</v>
      </c>
      <c r="T15" s="183">
        <f t="shared" si="6"/>
        <v>0.25</v>
      </c>
      <c r="U15" s="183">
        <f t="shared" si="6"/>
        <v>0.25</v>
      </c>
      <c r="V15" s="183">
        <f t="shared" si="6"/>
        <v>0.25</v>
      </c>
      <c r="W15" s="183">
        <f t="shared" si="6"/>
        <v>0.25</v>
      </c>
      <c r="X15" s="183">
        <f t="shared" si="6"/>
        <v>0.25</v>
      </c>
      <c r="Y15" s="183">
        <f t="shared" si="6"/>
        <v>0.25</v>
      </c>
      <c r="Z15" s="183">
        <f t="shared" si="6"/>
        <v>0.25</v>
      </c>
      <c r="AA15" s="183">
        <f t="shared" si="6"/>
        <v>0.25</v>
      </c>
      <c r="AB15" s="183">
        <f t="shared" si="4"/>
        <v>0.25</v>
      </c>
      <c r="AC15" s="183">
        <f t="shared" si="5"/>
        <v>0.25</v>
      </c>
      <c r="AD15" s="183">
        <f t="shared" si="5"/>
        <v>0.25</v>
      </c>
      <c r="AE15" s="183">
        <f t="shared" si="5"/>
        <v>0.25</v>
      </c>
      <c r="AF15" s="183">
        <f t="shared" si="5"/>
        <v>0.25</v>
      </c>
      <c r="AG15" s="183">
        <f t="shared" si="5"/>
        <v>0.25</v>
      </c>
      <c r="AH15" s="183">
        <f t="shared" si="5"/>
        <v>0.25</v>
      </c>
      <c r="AI15" s="183">
        <f t="shared" si="5"/>
        <v>0.25</v>
      </c>
      <c r="AJ15" s="183">
        <f t="shared" si="5"/>
        <v>0.25</v>
      </c>
      <c r="AK15" s="183">
        <f t="shared" si="5"/>
        <v>0.25</v>
      </c>
      <c r="AL15" s="183">
        <f t="shared" si="5"/>
        <v>0.25</v>
      </c>
      <c r="AM15" s="183">
        <f t="shared" si="5"/>
        <v>0.25</v>
      </c>
      <c r="AN15" s="183">
        <f t="shared" si="5"/>
        <v>0.25</v>
      </c>
      <c r="AO15" s="183">
        <f t="shared" si="5"/>
        <v>0.25</v>
      </c>
      <c r="AP15" s="183">
        <f t="shared" si="5"/>
        <v>0.25</v>
      </c>
    </row>
    <row r="16" spans="3:42" ht="14.6" customHeight="1">
      <c r="C16" s="180" t="s">
        <v>1460</v>
      </c>
      <c r="E16" s="274"/>
      <c r="F16" s="274"/>
      <c r="G16" s="274"/>
      <c r="H16" s="274"/>
      <c r="I16" s="274"/>
      <c r="J16" s="274"/>
      <c r="K16" s="274"/>
      <c r="L16" s="183"/>
      <c r="M16" s="183"/>
      <c r="N16" s="183"/>
      <c r="O16" s="183"/>
      <c r="P16" s="183"/>
      <c r="Q16" s="183"/>
      <c r="R16" s="183"/>
      <c r="S16" s="183"/>
      <c r="T16" s="183"/>
      <c r="U16" s="183"/>
      <c r="V16" s="183"/>
      <c r="W16" s="183"/>
      <c r="X16" s="183"/>
      <c r="Y16" s="183"/>
      <c r="Z16" s="183"/>
      <c r="AA16" s="183"/>
      <c r="AB16" s="183"/>
      <c r="AC16" s="183"/>
      <c r="AD16" s="183"/>
      <c r="AE16" s="183"/>
      <c r="AF16" s="183"/>
      <c r="AG16" s="183"/>
      <c r="AH16" s="183"/>
      <c r="AI16" s="183"/>
      <c r="AJ16" s="183"/>
      <c r="AK16" s="183"/>
      <c r="AL16" s="183"/>
      <c r="AM16" s="183"/>
      <c r="AN16" s="183"/>
      <c r="AO16" s="183"/>
      <c r="AP16" s="183"/>
    </row>
    <row r="17" spans="3:42" ht="14.6" customHeight="1">
      <c r="C17" s="295" t="s">
        <v>1461</v>
      </c>
      <c r="E17" s="274"/>
      <c r="F17" s="274">
        <v>0.5</v>
      </c>
      <c r="G17" s="274">
        <v>0.5</v>
      </c>
      <c r="H17" s="274">
        <v>0.25</v>
      </c>
      <c r="I17" s="274">
        <v>0.25</v>
      </c>
      <c r="J17" s="274">
        <v>0.25</v>
      </c>
      <c r="K17" s="274">
        <v>0.25</v>
      </c>
      <c r="L17" s="183">
        <f t="shared" ref="L17:AA19" si="7">IF(L$6,INDEX($D17:$G17,MATCH(L$8,$D$8:$G$8,0)),INDEX($H17:$K17,MATCH(L$8,$H$8:$K$8)))</f>
        <v>0.25</v>
      </c>
      <c r="M17" s="183">
        <f t="shared" si="7"/>
        <v>0.25</v>
      </c>
      <c r="N17" s="183">
        <f t="shared" si="7"/>
        <v>0.25</v>
      </c>
      <c r="O17" s="183">
        <f t="shared" si="7"/>
        <v>0.25</v>
      </c>
      <c r="P17" s="183">
        <f t="shared" si="7"/>
        <v>0.25</v>
      </c>
      <c r="Q17" s="183">
        <f t="shared" si="7"/>
        <v>0.25</v>
      </c>
      <c r="R17" s="183">
        <f t="shared" si="7"/>
        <v>0.25</v>
      </c>
      <c r="S17" s="183">
        <f t="shared" si="7"/>
        <v>0.25</v>
      </c>
      <c r="T17" s="183">
        <f t="shared" si="7"/>
        <v>0.25</v>
      </c>
      <c r="U17" s="183">
        <f t="shared" si="7"/>
        <v>0.25</v>
      </c>
      <c r="V17" s="183">
        <f t="shared" si="7"/>
        <v>0.25</v>
      </c>
      <c r="W17" s="183">
        <f t="shared" si="7"/>
        <v>0.25</v>
      </c>
      <c r="X17" s="183">
        <f t="shared" si="7"/>
        <v>0.25</v>
      </c>
      <c r="Y17" s="183">
        <f t="shared" si="7"/>
        <v>0.25</v>
      </c>
      <c r="Z17" s="183">
        <f t="shared" si="7"/>
        <v>0.25</v>
      </c>
      <c r="AA17" s="183">
        <f t="shared" si="7"/>
        <v>0.25</v>
      </c>
      <c r="AB17" s="183">
        <f t="shared" ref="AB17:AP19" si="8">IF(AB$6,INDEX($D17:$G17,MATCH(AB$8,$D$8:$G$8,0)),INDEX($H17:$K17,MATCH(AB$8,$H$8:$K$8)))</f>
        <v>0.25</v>
      </c>
      <c r="AC17" s="183">
        <f t="shared" si="8"/>
        <v>0.25</v>
      </c>
      <c r="AD17" s="183">
        <f t="shared" si="8"/>
        <v>0.25</v>
      </c>
      <c r="AE17" s="183">
        <f t="shared" si="8"/>
        <v>0.25</v>
      </c>
      <c r="AF17" s="183">
        <f t="shared" si="8"/>
        <v>0.25</v>
      </c>
      <c r="AG17" s="183">
        <f t="shared" si="8"/>
        <v>0.25</v>
      </c>
      <c r="AH17" s="183">
        <f t="shared" si="8"/>
        <v>0.25</v>
      </c>
      <c r="AI17" s="183">
        <f t="shared" si="8"/>
        <v>0.25</v>
      </c>
      <c r="AJ17" s="183">
        <f t="shared" si="8"/>
        <v>0.25</v>
      </c>
      <c r="AK17" s="183">
        <f t="shared" si="8"/>
        <v>0.25</v>
      </c>
      <c r="AL17" s="183">
        <f t="shared" si="8"/>
        <v>0.25</v>
      </c>
      <c r="AM17" s="183">
        <f t="shared" si="8"/>
        <v>0.25</v>
      </c>
      <c r="AN17" s="183">
        <f t="shared" si="8"/>
        <v>0.25</v>
      </c>
      <c r="AO17" s="183">
        <f t="shared" si="8"/>
        <v>0.25</v>
      </c>
      <c r="AP17" s="183">
        <f t="shared" si="8"/>
        <v>0.25</v>
      </c>
    </row>
    <row r="18" spans="3:42" ht="14.6" customHeight="1">
      <c r="C18" s="295" t="s">
        <v>1462</v>
      </c>
      <c r="E18" s="274"/>
      <c r="F18" s="274">
        <v>0.5</v>
      </c>
      <c r="G18" s="274">
        <v>0.5</v>
      </c>
      <c r="H18" s="274">
        <v>0.25</v>
      </c>
      <c r="I18" s="274">
        <v>0.25</v>
      </c>
      <c r="J18" s="274">
        <v>0.25</v>
      </c>
      <c r="K18" s="274">
        <v>0.25</v>
      </c>
      <c r="L18" s="183">
        <f t="shared" si="7"/>
        <v>0.25</v>
      </c>
      <c r="M18" s="183">
        <f t="shared" si="7"/>
        <v>0.25</v>
      </c>
      <c r="N18" s="183">
        <f t="shared" si="7"/>
        <v>0.25</v>
      </c>
      <c r="O18" s="183">
        <f t="shared" si="7"/>
        <v>0.25</v>
      </c>
      <c r="P18" s="183">
        <f t="shared" si="7"/>
        <v>0.25</v>
      </c>
      <c r="Q18" s="183">
        <f t="shared" si="7"/>
        <v>0.25</v>
      </c>
      <c r="R18" s="183">
        <f t="shared" si="7"/>
        <v>0.25</v>
      </c>
      <c r="S18" s="183">
        <f t="shared" si="7"/>
        <v>0.25</v>
      </c>
      <c r="T18" s="183">
        <f t="shared" si="7"/>
        <v>0.25</v>
      </c>
      <c r="U18" s="183">
        <f t="shared" si="7"/>
        <v>0.25</v>
      </c>
      <c r="V18" s="183">
        <f t="shared" si="7"/>
        <v>0.25</v>
      </c>
      <c r="W18" s="183">
        <f t="shared" si="7"/>
        <v>0.25</v>
      </c>
      <c r="X18" s="183">
        <f t="shared" si="7"/>
        <v>0.25</v>
      </c>
      <c r="Y18" s="183">
        <f t="shared" si="7"/>
        <v>0.25</v>
      </c>
      <c r="Z18" s="183">
        <f t="shared" si="7"/>
        <v>0.25</v>
      </c>
      <c r="AA18" s="183">
        <f t="shared" si="7"/>
        <v>0.25</v>
      </c>
      <c r="AB18" s="183">
        <f t="shared" si="8"/>
        <v>0.25</v>
      </c>
      <c r="AC18" s="183">
        <f t="shared" si="8"/>
        <v>0.25</v>
      </c>
      <c r="AD18" s="183">
        <f t="shared" si="8"/>
        <v>0.25</v>
      </c>
      <c r="AE18" s="183">
        <f t="shared" si="8"/>
        <v>0.25</v>
      </c>
      <c r="AF18" s="183">
        <f t="shared" si="8"/>
        <v>0.25</v>
      </c>
      <c r="AG18" s="183">
        <f t="shared" si="8"/>
        <v>0.25</v>
      </c>
      <c r="AH18" s="183">
        <f t="shared" si="8"/>
        <v>0.25</v>
      </c>
      <c r="AI18" s="183">
        <f t="shared" si="8"/>
        <v>0.25</v>
      </c>
      <c r="AJ18" s="183">
        <f t="shared" si="8"/>
        <v>0.25</v>
      </c>
      <c r="AK18" s="183">
        <f t="shared" si="8"/>
        <v>0.25</v>
      </c>
      <c r="AL18" s="183">
        <f t="shared" si="8"/>
        <v>0.25</v>
      </c>
      <c r="AM18" s="183">
        <f t="shared" si="8"/>
        <v>0.25</v>
      </c>
      <c r="AN18" s="183">
        <f t="shared" si="8"/>
        <v>0.25</v>
      </c>
      <c r="AO18" s="183">
        <f t="shared" si="8"/>
        <v>0.25</v>
      </c>
      <c r="AP18" s="183">
        <f t="shared" si="8"/>
        <v>0.25</v>
      </c>
    </row>
    <row r="19" spans="3:42" ht="14.6" customHeight="1">
      <c r="C19" s="295" t="s">
        <v>1463</v>
      </c>
      <c r="E19" s="274"/>
      <c r="F19" s="274">
        <v>0.5</v>
      </c>
      <c r="G19" s="274">
        <v>0.5</v>
      </c>
      <c r="H19" s="274">
        <v>0.25</v>
      </c>
      <c r="I19" s="274">
        <v>0.25</v>
      </c>
      <c r="J19" s="274">
        <v>0.25</v>
      </c>
      <c r="K19" s="274">
        <v>0.25</v>
      </c>
      <c r="L19" s="183">
        <f t="shared" si="7"/>
        <v>0.25</v>
      </c>
      <c r="M19" s="183">
        <f t="shared" si="7"/>
        <v>0.25</v>
      </c>
      <c r="N19" s="183">
        <f t="shared" si="7"/>
        <v>0.25</v>
      </c>
      <c r="O19" s="183">
        <f t="shared" si="7"/>
        <v>0.25</v>
      </c>
      <c r="P19" s="183">
        <f t="shared" si="7"/>
        <v>0.25</v>
      </c>
      <c r="Q19" s="183">
        <f t="shared" si="7"/>
        <v>0.25</v>
      </c>
      <c r="R19" s="183">
        <f t="shared" si="7"/>
        <v>0.25</v>
      </c>
      <c r="S19" s="183">
        <f t="shared" si="7"/>
        <v>0.25</v>
      </c>
      <c r="T19" s="183">
        <f t="shared" si="7"/>
        <v>0.25</v>
      </c>
      <c r="U19" s="183">
        <f t="shared" si="7"/>
        <v>0.25</v>
      </c>
      <c r="V19" s="183">
        <f t="shared" si="7"/>
        <v>0.25</v>
      </c>
      <c r="W19" s="183">
        <f t="shared" si="7"/>
        <v>0.25</v>
      </c>
      <c r="X19" s="183">
        <f t="shared" si="7"/>
        <v>0.25</v>
      </c>
      <c r="Y19" s="183">
        <f t="shared" si="7"/>
        <v>0.25</v>
      </c>
      <c r="Z19" s="183">
        <f t="shared" si="7"/>
        <v>0.25</v>
      </c>
      <c r="AA19" s="183">
        <f t="shared" si="7"/>
        <v>0.25</v>
      </c>
      <c r="AB19" s="183">
        <f t="shared" si="8"/>
        <v>0.25</v>
      </c>
      <c r="AC19" s="183">
        <f t="shared" si="8"/>
        <v>0.25</v>
      </c>
      <c r="AD19" s="183">
        <f t="shared" si="8"/>
        <v>0.25</v>
      </c>
      <c r="AE19" s="183">
        <f t="shared" si="8"/>
        <v>0.25</v>
      </c>
      <c r="AF19" s="183">
        <f t="shared" si="8"/>
        <v>0.25</v>
      </c>
      <c r="AG19" s="183">
        <f t="shared" si="8"/>
        <v>0.25</v>
      </c>
      <c r="AH19" s="183">
        <f t="shared" si="8"/>
        <v>0.25</v>
      </c>
      <c r="AI19" s="183">
        <f t="shared" si="8"/>
        <v>0.25</v>
      </c>
      <c r="AJ19" s="183">
        <f t="shared" si="8"/>
        <v>0.25</v>
      </c>
      <c r="AK19" s="183">
        <f t="shared" si="8"/>
        <v>0.25</v>
      </c>
      <c r="AL19" s="183">
        <f t="shared" si="8"/>
        <v>0.25</v>
      </c>
      <c r="AM19" s="183">
        <f t="shared" si="8"/>
        <v>0.25</v>
      </c>
      <c r="AN19" s="183">
        <f t="shared" si="8"/>
        <v>0.25</v>
      </c>
      <c r="AO19" s="183">
        <f t="shared" si="8"/>
        <v>0.25</v>
      </c>
      <c r="AP19" s="183">
        <f t="shared" si="8"/>
        <v>0.25</v>
      </c>
    </row>
    <row r="20" spans="3:42" ht="14.6" customHeight="1">
      <c r="C20" s="180" t="s">
        <v>1464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  <c r="AI20" s="28"/>
      <c r="AJ20" s="28"/>
      <c r="AK20" s="28"/>
      <c r="AL20" s="28"/>
      <c r="AM20" s="28"/>
      <c r="AN20" s="28"/>
      <c r="AO20" s="28"/>
      <c r="AP20" s="28"/>
    </row>
    <row r="21" spans="3:42" ht="14.6" customHeight="1"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  <c r="AI21" s="28"/>
      <c r="AJ21" s="28"/>
      <c r="AK21" s="28"/>
      <c r="AL21" s="28"/>
      <c r="AM21" s="28"/>
      <c r="AN21" s="28"/>
      <c r="AO21" s="28"/>
      <c r="AP21" s="28"/>
    </row>
    <row r="22" spans="3:42" ht="14.6" customHeight="1">
      <c r="C22" s="209" t="s">
        <v>722</v>
      </c>
      <c r="D22" s="213"/>
      <c r="E22" s="213"/>
      <c r="F22" s="213"/>
      <c r="G22" s="213"/>
      <c r="H22" s="213"/>
      <c r="I22" s="213"/>
      <c r="J22" s="213"/>
      <c r="K22" s="213"/>
      <c r="L22" s="213"/>
      <c r="M22" s="213"/>
      <c r="N22" s="213"/>
      <c r="O22" s="213"/>
      <c r="P22" s="213"/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</row>
    <row r="23" spans="3:42" ht="14.6" customHeight="1">
      <c r="C23" s="180" t="str">
        <f t="shared" ref="C23:C24" si="9">C10</f>
        <v>Business Unit EBITDA</v>
      </c>
      <c r="D23" s="180"/>
      <c r="E23" s="180"/>
      <c r="F23" s="180"/>
      <c r="G23" s="180"/>
      <c r="H23" s="180"/>
      <c r="I23" s="180"/>
      <c r="J23" s="180"/>
      <c r="K23" s="180"/>
      <c r="L23" s="180">
        <f>L$5*L10*INDEX('CF onshore'!23:23,MATCH(L$7,'CF onshore'!$17:$17,0))</f>
        <v>0</v>
      </c>
      <c r="M23" s="180">
        <f>M$5*M10*INDEX('CF onshore'!23:23,MATCH(M$7,'CF onshore'!$17:$17,0))</f>
        <v>0</v>
      </c>
      <c r="N23" s="180">
        <f>N$5*N10*INDEX('CF onshore'!23:23,MATCH(N$7,'CF onshore'!$17:$17,0))</f>
        <v>0</v>
      </c>
      <c r="O23" s="180">
        <f>O$5*O10*INDEX('CF onshore'!23:23,MATCH(O$7,'CF onshore'!$17:$17,0))</f>
        <v>0</v>
      </c>
      <c r="P23" s="180">
        <f>P$5*P10*INDEX('CF onshore'!23:23,MATCH(P$7,'CF onshore'!$17:$17,0))</f>
        <v>0</v>
      </c>
      <c r="Q23" s="180">
        <f>Q$5*Q10*INDEX('CF onshore'!23:23,MATCH(Q$7,'CF onshore'!$17:$17,0))</f>
        <v>0</v>
      </c>
      <c r="R23" s="180">
        <f>R$5*R10*INDEX('CF onshore'!23:23,MATCH(R$7,'CF onshore'!$17:$17,0))</f>
        <v>0</v>
      </c>
      <c r="S23" s="180">
        <f>S$5*S10*INDEX('CF onshore'!23:23,MATCH(S$7,'CF onshore'!$17:$17,0))</f>
        <v>0</v>
      </c>
      <c r="T23" s="180">
        <f>T$5*T10*INDEX('CF onshore'!23:23,MATCH(T$7,'CF onshore'!$17:$17,0))</f>
        <v>0</v>
      </c>
      <c r="U23" s="180">
        <f>U$5*U10*INDEX('CF onshore'!23:23,MATCH(U$7,'CF onshore'!$17:$17,0))</f>
        <v>0</v>
      </c>
      <c r="V23" s="180">
        <f>V$5*V10*INDEX('CF onshore'!23:23,MATCH(V$7,'CF onshore'!$17:$17,0))</f>
        <v>0</v>
      </c>
      <c r="W23" s="180">
        <f>W$5*W10*INDEX('CF onshore'!23:23,MATCH(W$7,'CF onshore'!$17:$17,0))</f>
        <v>0</v>
      </c>
      <c r="X23" s="180">
        <f>X$5*X10*INDEX('CF onshore'!23:23,MATCH(X$7,'CF onshore'!$17:$17,0))</f>
        <v>0</v>
      </c>
      <c r="Y23" s="180">
        <f>Y$5*Y10*INDEX('CF onshore'!23:23,MATCH(Y$7,'CF onshore'!$17:$17,0))</f>
        <v>0</v>
      </c>
      <c r="Z23" s="180">
        <f>Z$5*Z10*INDEX('CF onshore'!23:23,MATCH(Z$7,'CF onshore'!$17:$17,0))</f>
        <v>0</v>
      </c>
      <c r="AA23" s="180">
        <f>AA$5*AA10*INDEX('CF onshore'!23:23,MATCH(AA$7,'CF onshore'!$17:$17,0))</f>
        <v>0</v>
      </c>
      <c r="AB23" s="180">
        <f>AB$5*AB10*INDEX('CF onshore'!23:23,MATCH(AB$7,'CF onshore'!$17:$17,0))</f>
        <v>0</v>
      </c>
      <c r="AC23" s="180">
        <f>AC$5*AC10*INDEX('CF onshore'!23:23,MATCH(AC$7,'CF onshore'!$17:$17,0))</f>
        <v>0</v>
      </c>
      <c r="AD23" s="180">
        <f>AD$5*AD10*INDEX('CF onshore'!23:23,MATCH(AD$7,'CF onshore'!$17:$17,0))</f>
        <v>0</v>
      </c>
      <c r="AE23" s="180">
        <f>AE$5*AE10*INDEX('CF onshore'!23:23,MATCH(AE$7,'CF onshore'!$17:$17,0))</f>
        <v>0</v>
      </c>
      <c r="AF23" s="180">
        <f>AF$5*AF10*INDEX('CF onshore'!23:23,MATCH(AF$7,'CF onshore'!$17:$17,0))</f>
        <v>0</v>
      </c>
      <c r="AG23" s="180">
        <f>AG$5*AG10*INDEX('CF onshore'!23:23,MATCH(AG$7,'CF onshore'!$17:$17,0))</f>
        <v>0</v>
      </c>
      <c r="AH23" s="180">
        <f>AH$5*AH10*INDEX('CF onshore'!23:23,MATCH(AH$7,'CF onshore'!$17:$17,0))</f>
        <v>0</v>
      </c>
      <c r="AI23" s="180">
        <f>AI$5*AI10*INDEX('CF onshore'!23:23,MATCH(AI$7,'CF onshore'!$17:$17,0))</f>
        <v>0</v>
      </c>
      <c r="AJ23" s="180" t="e">
        <f>AJ$5*AJ10*INDEX('CF onshore'!23:23,MATCH(AJ$7,'CF onshore'!$17:$17,0))</f>
        <v>#N/A</v>
      </c>
      <c r="AK23" s="180" t="e">
        <f>AK$5*AK10*INDEX('CF onshore'!23:23,MATCH(AK$7,'CF onshore'!$17:$17,0))</f>
        <v>#N/A</v>
      </c>
      <c r="AL23" s="180" t="e">
        <f>AL$5*AL10*INDEX('CF onshore'!23:23,MATCH(AL$7,'CF onshore'!$17:$17,0))</f>
        <v>#N/A</v>
      </c>
      <c r="AM23" s="180" t="e">
        <f>AM$5*AM10*INDEX('CF onshore'!23:23,MATCH(AM$7,'CF onshore'!$17:$17,0))</f>
        <v>#N/A</v>
      </c>
      <c r="AN23" s="180" t="e">
        <f>AN$5*AN10*INDEX('CF onshore'!23:23,MATCH(AN$7,'CF onshore'!$17:$17,0))</f>
        <v>#N/A</v>
      </c>
      <c r="AO23" s="180" t="e">
        <f>AO$5*AO10*INDEX('CF onshore'!23:23,MATCH(AO$7,'CF onshore'!$17:$17,0))</f>
        <v>#N/A</v>
      </c>
      <c r="AP23" s="180" t="e">
        <f>AP$5*AP10*INDEX('CF onshore'!23:23,MATCH(AP$7,'CF onshore'!$17:$17,0))</f>
        <v>#N/A</v>
      </c>
    </row>
    <row r="24" spans="3:42" ht="14.6" customHeight="1">
      <c r="C24" s="28" t="str">
        <f t="shared" si="9"/>
        <v>- change in working capital</v>
      </c>
      <c r="D24" s="291"/>
      <c r="E24" s="291"/>
      <c r="F24" s="291"/>
      <c r="G24" s="291"/>
      <c r="H24" s="291"/>
      <c r="I24" s="291"/>
      <c r="J24" s="291"/>
      <c r="K24" s="291"/>
      <c r="L24" s="376">
        <f ca="1">L$5*L11*INDEX('CF onshore'!24:24,MATCH(L$7,'CF onshore'!$17:$17,0))</f>
        <v>0</v>
      </c>
      <c r="M24" s="376">
        <f ca="1">M$5*M11*INDEX('CF onshore'!24:24,MATCH(M$7,'CF onshore'!$17:$17,0))</f>
        <v>0</v>
      </c>
      <c r="N24" s="376">
        <f ca="1">N$5*N11*INDEX('CF onshore'!24:24,MATCH(N$7,'CF onshore'!$17:$17,0))</f>
        <v>0</v>
      </c>
      <c r="O24" s="376">
        <f ca="1">O$5*O11*INDEX('CF onshore'!24:24,MATCH(O$7,'CF onshore'!$17:$17,0))</f>
        <v>0</v>
      </c>
      <c r="P24" s="376">
        <f ca="1">P$5*P11*INDEX('CF onshore'!24:24,MATCH(P$7,'CF onshore'!$17:$17,0))</f>
        <v>0</v>
      </c>
      <c r="Q24" s="376">
        <f ca="1">Q$5*Q11*INDEX('CF onshore'!24:24,MATCH(Q$7,'CF onshore'!$17:$17,0))</f>
        <v>0</v>
      </c>
      <c r="R24" s="376">
        <f ca="1">R$5*R11*INDEX('CF onshore'!24:24,MATCH(R$7,'CF onshore'!$17:$17,0))</f>
        <v>0</v>
      </c>
      <c r="S24" s="376">
        <f ca="1">S$5*S11*INDEX('CF onshore'!24:24,MATCH(S$7,'CF onshore'!$17:$17,0))</f>
        <v>0</v>
      </c>
      <c r="T24" s="376">
        <f ca="1">T$5*T11*INDEX('CF onshore'!24:24,MATCH(T$7,'CF onshore'!$17:$17,0))</f>
        <v>0</v>
      </c>
      <c r="U24" s="376">
        <f ca="1">U$5*U11*INDEX('CF onshore'!24:24,MATCH(U$7,'CF onshore'!$17:$17,0))</f>
        <v>0</v>
      </c>
      <c r="V24" s="376">
        <f ca="1">V$5*V11*INDEX('CF onshore'!24:24,MATCH(V$7,'CF onshore'!$17:$17,0))</f>
        <v>0</v>
      </c>
      <c r="W24" s="376">
        <f ca="1">W$5*W11*INDEX('CF onshore'!24:24,MATCH(W$7,'CF onshore'!$17:$17,0))</f>
        <v>0</v>
      </c>
      <c r="X24" s="376">
        <f ca="1">X$5*X11*INDEX('CF onshore'!24:24,MATCH(X$7,'CF onshore'!$17:$17,0))</f>
        <v>0</v>
      </c>
      <c r="Y24" s="376">
        <f ca="1">Y$5*Y11*INDEX('CF onshore'!24:24,MATCH(Y$7,'CF onshore'!$17:$17,0))</f>
        <v>0</v>
      </c>
      <c r="Z24" s="376">
        <f ca="1">Z$5*Z11*INDEX('CF onshore'!24:24,MATCH(Z$7,'CF onshore'!$17:$17,0))</f>
        <v>0</v>
      </c>
      <c r="AA24" s="376">
        <f ca="1">AA$5*AA11*INDEX('CF onshore'!24:24,MATCH(AA$7,'CF onshore'!$17:$17,0))</f>
        <v>0</v>
      </c>
      <c r="AB24" s="376">
        <f ca="1">AB$5*AB11*INDEX('CF onshore'!24:24,MATCH(AB$7,'CF onshore'!$17:$17,0))</f>
        <v>0</v>
      </c>
      <c r="AC24" s="376">
        <f ca="1">AC$5*AC11*INDEX('CF onshore'!24:24,MATCH(AC$7,'CF onshore'!$17:$17,0))</f>
        <v>0</v>
      </c>
      <c r="AD24" s="376">
        <f ca="1">AD$5*AD11*INDEX('CF onshore'!24:24,MATCH(AD$7,'CF onshore'!$17:$17,0))</f>
        <v>0</v>
      </c>
      <c r="AE24" s="376">
        <f ca="1">AE$5*AE11*INDEX('CF onshore'!24:24,MATCH(AE$7,'CF onshore'!$17:$17,0))</f>
        <v>0</v>
      </c>
      <c r="AF24" s="376">
        <f ca="1">AF$5*AF11*INDEX('CF onshore'!24:24,MATCH(AF$7,'CF onshore'!$17:$17,0))</f>
        <v>0</v>
      </c>
      <c r="AG24" s="376">
        <f ca="1">AG$5*AG11*INDEX('CF onshore'!24:24,MATCH(AG$7,'CF onshore'!$17:$17,0))</f>
        <v>0</v>
      </c>
      <c r="AH24" s="376">
        <f ca="1">AH$5*AH11*INDEX('CF onshore'!24:24,MATCH(AH$7,'CF onshore'!$17:$17,0))</f>
        <v>0</v>
      </c>
      <c r="AI24" s="376">
        <f ca="1">AI$5*AI11*INDEX('CF onshore'!24:24,MATCH(AI$7,'CF onshore'!$17:$17,0))</f>
        <v>0</v>
      </c>
      <c r="AJ24" s="376" t="e">
        <f>AJ$5*AJ11*INDEX('CF onshore'!24:24,MATCH(AJ$7,'CF onshore'!$17:$17,0))</f>
        <v>#N/A</v>
      </c>
      <c r="AK24" s="376" t="e">
        <f>AK$5*AK11*INDEX('CF onshore'!24:24,MATCH(AK$7,'CF onshore'!$17:$17,0))</f>
        <v>#N/A</v>
      </c>
      <c r="AL24" s="376" t="e">
        <f>AL$5*AL11*INDEX('CF onshore'!24:24,MATCH(AL$7,'CF onshore'!$17:$17,0))</f>
        <v>#N/A</v>
      </c>
      <c r="AM24" s="376" t="e">
        <f>AM$5*AM11*INDEX('CF onshore'!24:24,MATCH(AM$7,'CF onshore'!$17:$17,0))</f>
        <v>#N/A</v>
      </c>
      <c r="AN24" s="376" t="e">
        <f>AN$5*AN11*INDEX('CF onshore'!24:24,MATCH(AN$7,'CF onshore'!$17:$17,0))</f>
        <v>#N/A</v>
      </c>
      <c r="AO24" s="376" t="e">
        <f>AO$5*AO11*INDEX('CF onshore'!24:24,MATCH(AO$7,'CF onshore'!$17:$17,0))</f>
        <v>#N/A</v>
      </c>
      <c r="AP24" s="376" t="e">
        <f>AP$5*AP11*INDEX('CF onshore'!24:24,MATCH(AP$7,'CF onshore'!$17:$17,0))</f>
        <v>#N/A</v>
      </c>
    </row>
    <row r="25" spans="3:42" ht="14.6" customHeight="1">
      <c r="C25" s="28" t="str">
        <f>C14</f>
        <v>- Tax</v>
      </c>
      <c r="D25" s="291"/>
      <c r="E25" s="291"/>
      <c r="F25" s="291"/>
      <c r="G25" s="291"/>
      <c r="H25" s="291"/>
      <c r="I25" s="291"/>
      <c r="J25" s="291"/>
      <c r="K25" s="291"/>
      <c r="L25" s="376">
        <f>L$5*L12*INDEX('CF onshore'!25:25,MATCH(L$7,'CF onshore'!$17:$17,0))</f>
        <v>0</v>
      </c>
      <c r="M25" s="376">
        <f>M$5*M12*INDEX('CF onshore'!25:25,MATCH(M$7,'CF onshore'!$17:$17,0))</f>
        <v>0</v>
      </c>
      <c r="N25" s="376">
        <f>N$5*N12*INDEX('CF onshore'!25:25,MATCH(N$7,'CF onshore'!$17:$17,0))</f>
        <v>0</v>
      </c>
      <c r="O25" s="376">
        <f>O$5*O12*INDEX('CF onshore'!25:25,MATCH(O$7,'CF onshore'!$17:$17,0))</f>
        <v>0</v>
      </c>
      <c r="P25" s="376">
        <f>P$5*P12*INDEX('CF onshore'!25:25,MATCH(P$7,'CF onshore'!$17:$17,0))</f>
        <v>0</v>
      </c>
      <c r="Q25" s="376">
        <f>Q$5*Q12*INDEX('CF onshore'!25:25,MATCH(Q$7,'CF onshore'!$17:$17,0))</f>
        <v>0</v>
      </c>
      <c r="R25" s="376">
        <f>R$5*R12*INDEX('CF onshore'!25:25,MATCH(R$7,'CF onshore'!$17:$17,0))</f>
        <v>0</v>
      </c>
      <c r="S25" s="376">
        <f>S$5*S12*INDEX('CF onshore'!25:25,MATCH(S$7,'CF onshore'!$17:$17,0))</f>
        <v>0</v>
      </c>
      <c r="T25" s="376">
        <f>T$5*T12*INDEX('CF onshore'!25:25,MATCH(T$7,'CF onshore'!$17:$17,0))</f>
        <v>0</v>
      </c>
      <c r="U25" s="376">
        <f>U$5*U12*INDEX('CF onshore'!25:25,MATCH(U$7,'CF onshore'!$17:$17,0))</f>
        <v>0</v>
      </c>
      <c r="V25" s="376">
        <f>V$5*V12*INDEX('CF onshore'!25:25,MATCH(V$7,'CF onshore'!$17:$17,0))</f>
        <v>0</v>
      </c>
      <c r="W25" s="376">
        <f>W$5*W12*INDEX('CF onshore'!25:25,MATCH(W$7,'CF onshore'!$17:$17,0))</f>
        <v>0</v>
      </c>
      <c r="X25" s="376">
        <f>X$5*X12*INDEX('CF onshore'!25:25,MATCH(X$7,'CF onshore'!$17:$17,0))</f>
        <v>0</v>
      </c>
      <c r="Y25" s="376">
        <f>Y$5*Y12*INDEX('CF onshore'!25:25,MATCH(Y$7,'CF onshore'!$17:$17,0))</f>
        <v>0</v>
      </c>
      <c r="Z25" s="376">
        <f>Z$5*Z12*INDEX('CF onshore'!25:25,MATCH(Z$7,'CF onshore'!$17:$17,0))</f>
        <v>0</v>
      </c>
      <c r="AA25" s="376">
        <f>AA$5*AA12*INDEX('CF onshore'!25:25,MATCH(AA$7,'CF onshore'!$17:$17,0))</f>
        <v>0</v>
      </c>
      <c r="AB25" s="376">
        <f>AB$5*AB12*INDEX('CF onshore'!25:25,MATCH(AB$7,'CF onshore'!$17:$17,0))</f>
        <v>0</v>
      </c>
      <c r="AC25" s="376">
        <f>AC$5*AC12*INDEX('CF onshore'!25:25,MATCH(AC$7,'CF onshore'!$17:$17,0))</f>
        <v>0</v>
      </c>
      <c r="AD25" s="376">
        <f>AD$5*AD12*INDEX('CF onshore'!25:25,MATCH(AD$7,'CF onshore'!$17:$17,0))</f>
        <v>0</v>
      </c>
      <c r="AE25" s="376">
        <f>AE$5*AE12*INDEX('CF onshore'!25:25,MATCH(AE$7,'CF onshore'!$17:$17,0))</f>
        <v>0</v>
      </c>
      <c r="AF25" s="376">
        <f>AF$5*AF12*INDEX('CF onshore'!25:25,MATCH(AF$7,'CF onshore'!$17:$17,0))</f>
        <v>0</v>
      </c>
      <c r="AG25" s="376">
        <f>AG$5*AG12*INDEX('CF onshore'!25:25,MATCH(AG$7,'CF onshore'!$17:$17,0))</f>
        <v>0</v>
      </c>
      <c r="AH25" s="376">
        <f>AH$5*AH12*INDEX('CF onshore'!25:25,MATCH(AH$7,'CF onshore'!$17:$17,0))</f>
        <v>0</v>
      </c>
      <c r="AI25" s="376">
        <f>AI$5*AI12*INDEX('CF onshore'!25:25,MATCH(AI$7,'CF onshore'!$17:$17,0))</f>
        <v>0</v>
      </c>
      <c r="AJ25" s="376" t="e">
        <f>AJ$5*AJ12*INDEX('CF onshore'!25:25,MATCH(AJ$7,'CF onshore'!$17:$17,0))</f>
        <v>#N/A</v>
      </c>
      <c r="AK25" s="376" t="e">
        <f>AK$5*AK12*INDEX('CF onshore'!25:25,MATCH(AK$7,'CF onshore'!$17:$17,0))</f>
        <v>#N/A</v>
      </c>
      <c r="AL25" s="376" t="e">
        <f>AL$5*AL12*INDEX('CF onshore'!25:25,MATCH(AL$7,'CF onshore'!$17:$17,0))</f>
        <v>#N/A</v>
      </c>
      <c r="AM25" s="376" t="e">
        <f>AM$5*AM12*INDEX('CF onshore'!25:25,MATCH(AM$7,'CF onshore'!$17:$17,0))</f>
        <v>#N/A</v>
      </c>
      <c r="AN25" s="376" t="e">
        <f>AN$5*AN12*INDEX('CF onshore'!25:25,MATCH(AN$7,'CF onshore'!$17:$17,0))</f>
        <v>#N/A</v>
      </c>
      <c r="AO25" s="376" t="e">
        <f>AO$5*AO12*INDEX('CF onshore'!25:25,MATCH(AO$7,'CF onshore'!$17:$17,0))</f>
        <v>#N/A</v>
      </c>
      <c r="AP25" s="376" t="e">
        <f>AP$5*AP12*INDEX('CF onshore'!25:25,MATCH(AP$7,'CF onshore'!$17:$17,0))</f>
        <v>#N/A</v>
      </c>
    </row>
    <row r="26" spans="3:42" ht="14.6" customHeight="1">
      <c r="C26" s="28" t="str">
        <f>C15</f>
        <v>- Change in deferred tax</v>
      </c>
      <c r="D26" s="291"/>
      <c r="E26" s="291"/>
      <c r="F26" s="291"/>
      <c r="G26" s="291"/>
      <c r="H26" s="291"/>
      <c r="I26" s="291"/>
      <c r="J26" s="291"/>
      <c r="K26" s="291"/>
      <c r="L26" s="376">
        <f>L$5*L13*INDEX('CF onshore'!26:26,MATCH(L$7,'CF onshore'!$17:$17,0))</f>
        <v>0</v>
      </c>
      <c r="M26" s="376">
        <f>M$5*M13*INDEX('CF onshore'!26:26,MATCH(M$7,'CF onshore'!$17:$17,0))</f>
        <v>0</v>
      </c>
      <c r="N26" s="376">
        <f>N$5*N13*INDEX('CF onshore'!26:26,MATCH(N$7,'CF onshore'!$17:$17,0))</f>
        <v>0</v>
      </c>
      <c r="O26" s="376">
        <f>O$5*O13*INDEX('CF onshore'!26:26,MATCH(O$7,'CF onshore'!$17:$17,0))</f>
        <v>0</v>
      </c>
      <c r="P26" s="376">
        <f>P$5*P13*INDEX('CF onshore'!26:26,MATCH(P$7,'CF onshore'!$17:$17,0))</f>
        <v>0</v>
      </c>
      <c r="Q26" s="376">
        <f>Q$5*Q13*INDEX('CF onshore'!26:26,MATCH(Q$7,'CF onshore'!$17:$17,0))</f>
        <v>0</v>
      </c>
      <c r="R26" s="376">
        <f>R$5*R13*INDEX('CF onshore'!26:26,MATCH(R$7,'CF onshore'!$17:$17,0))</f>
        <v>0</v>
      </c>
      <c r="S26" s="376">
        <f>S$5*S13*INDEX('CF onshore'!26:26,MATCH(S$7,'CF onshore'!$17:$17,0))</f>
        <v>0</v>
      </c>
      <c r="T26" s="376">
        <f>T$5*T13*INDEX('CF onshore'!26:26,MATCH(T$7,'CF onshore'!$17:$17,0))</f>
        <v>0</v>
      </c>
      <c r="U26" s="376">
        <f>U$5*U13*INDEX('CF onshore'!26:26,MATCH(U$7,'CF onshore'!$17:$17,0))</f>
        <v>0</v>
      </c>
      <c r="V26" s="376">
        <f>V$5*V13*INDEX('CF onshore'!26:26,MATCH(V$7,'CF onshore'!$17:$17,0))</f>
        <v>0</v>
      </c>
      <c r="W26" s="376">
        <f>W$5*W13*INDEX('CF onshore'!26:26,MATCH(W$7,'CF onshore'!$17:$17,0))</f>
        <v>0</v>
      </c>
      <c r="X26" s="376">
        <f>X$5*X13*INDEX('CF onshore'!26:26,MATCH(X$7,'CF onshore'!$17:$17,0))</f>
        <v>0</v>
      </c>
      <c r="Y26" s="376">
        <f>Y$5*Y13*INDEX('CF onshore'!26:26,MATCH(Y$7,'CF onshore'!$17:$17,0))</f>
        <v>0</v>
      </c>
      <c r="Z26" s="376">
        <f>Z$5*Z13*INDEX('CF onshore'!26:26,MATCH(Z$7,'CF onshore'!$17:$17,0))</f>
        <v>0</v>
      </c>
      <c r="AA26" s="376">
        <f>AA$5*AA13*INDEX('CF onshore'!26:26,MATCH(AA$7,'CF onshore'!$17:$17,0))</f>
        <v>0</v>
      </c>
      <c r="AB26" s="376">
        <f>AB$5*AB13*INDEX('CF onshore'!26:26,MATCH(AB$7,'CF onshore'!$17:$17,0))</f>
        <v>0</v>
      </c>
      <c r="AC26" s="376">
        <f>AC$5*AC13*INDEX('CF onshore'!26:26,MATCH(AC$7,'CF onshore'!$17:$17,0))</f>
        <v>0</v>
      </c>
      <c r="AD26" s="376">
        <f>AD$5*AD13*INDEX('CF onshore'!26:26,MATCH(AD$7,'CF onshore'!$17:$17,0))</f>
        <v>0</v>
      </c>
      <c r="AE26" s="376">
        <f>AE$5*AE13*INDEX('CF onshore'!26:26,MATCH(AE$7,'CF onshore'!$17:$17,0))</f>
        <v>0</v>
      </c>
      <c r="AF26" s="376">
        <f>AF$5*AF13*INDEX('CF onshore'!26:26,MATCH(AF$7,'CF onshore'!$17:$17,0))</f>
        <v>0</v>
      </c>
      <c r="AG26" s="376">
        <f>AG$5*AG13*INDEX('CF onshore'!26:26,MATCH(AG$7,'CF onshore'!$17:$17,0))</f>
        <v>0</v>
      </c>
      <c r="AH26" s="376">
        <f>AH$5*AH13*INDEX('CF onshore'!26:26,MATCH(AH$7,'CF onshore'!$17:$17,0))</f>
        <v>0</v>
      </c>
      <c r="AI26" s="376">
        <f>AI$5*AI13*INDEX('CF onshore'!26:26,MATCH(AI$7,'CF onshore'!$17:$17,0))</f>
        <v>0</v>
      </c>
      <c r="AJ26" s="376" t="e">
        <f>AJ$5*AJ13*INDEX('CF onshore'!26:26,MATCH(AJ$7,'CF onshore'!$17:$17,0))</f>
        <v>#N/A</v>
      </c>
      <c r="AK26" s="376" t="e">
        <f>AK$5*AK13*INDEX('CF onshore'!26:26,MATCH(AK$7,'CF onshore'!$17:$17,0))</f>
        <v>#N/A</v>
      </c>
      <c r="AL26" s="376" t="e">
        <f>AL$5*AL13*INDEX('CF onshore'!26:26,MATCH(AL$7,'CF onshore'!$17:$17,0))</f>
        <v>#N/A</v>
      </c>
      <c r="AM26" s="376" t="e">
        <f>AM$5*AM13*INDEX('CF onshore'!26:26,MATCH(AM$7,'CF onshore'!$17:$17,0))</f>
        <v>#N/A</v>
      </c>
      <c r="AN26" s="376" t="e">
        <f>AN$5*AN13*INDEX('CF onshore'!26:26,MATCH(AN$7,'CF onshore'!$17:$17,0))</f>
        <v>#N/A</v>
      </c>
      <c r="AO26" s="376" t="e">
        <f>AO$5*AO13*INDEX('CF onshore'!26:26,MATCH(AO$7,'CF onshore'!$17:$17,0))</f>
        <v>#N/A</v>
      </c>
      <c r="AP26" s="376" t="e">
        <f>AP$5*AP13*INDEX('CF onshore'!26:26,MATCH(AP$7,'CF onshore'!$17:$17,0))</f>
        <v>#N/A</v>
      </c>
    </row>
    <row r="27" spans="3:42" ht="14.6" customHeight="1">
      <c r="C27" s="199" t="str">
        <f>C16</f>
        <v>Operating cash flow</v>
      </c>
      <c r="D27" s="199"/>
      <c r="E27" s="199"/>
      <c r="F27" s="199"/>
      <c r="G27" s="199"/>
      <c r="H27" s="199"/>
      <c r="I27" s="199"/>
      <c r="J27" s="199"/>
      <c r="K27" s="199"/>
      <c r="L27" s="199">
        <f t="shared" ref="L27:AJ27" ca="1" si="10">SUM(L23:L26)</f>
        <v>0</v>
      </c>
      <c r="M27" s="199">
        <f t="shared" ca="1" si="10"/>
        <v>0</v>
      </c>
      <c r="N27" s="199">
        <f t="shared" ca="1" si="10"/>
        <v>0</v>
      </c>
      <c r="O27" s="199">
        <f t="shared" ca="1" si="10"/>
        <v>0</v>
      </c>
      <c r="P27" s="199">
        <f t="shared" ca="1" si="10"/>
        <v>0</v>
      </c>
      <c r="Q27" s="199">
        <f t="shared" ca="1" si="10"/>
        <v>0</v>
      </c>
      <c r="R27" s="199">
        <f t="shared" ca="1" si="10"/>
        <v>0</v>
      </c>
      <c r="S27" s="199">
        <f t="shared" ca="1" si="10"/>
        <v>0</v>
      </c>
      <c r="T27" s="199">
        <f t="shared" ca="1" si="10"/>
        <v>0</v>
      </c>
      <c r="U27" s="199">
        <f t="shared" ca="1" si="10"/>
        <v>0</v>
      </c>
      <c r="V27" s="199">
        <f t="shared" ca="1" si="10"/>
        <v>0</v>
      </c>
      <c r="W27" s="199">
        <f t="shared" ca="1" si="10"/>
        <v>0</v>
      </c>
      <c r="X27" s="199">
        <f t="shared" ca="1" si="10"/>
        <v>0</v>
      </c>
      <c r="Y27" s="199">
        <f t="shared" ca="1" si="10"/>
        <v>0</v>
      </c>
      <c r="Z27" s="199">
        <f t="shared" ca="1" si="10"/>
        <v>0</v>
      </c>
      <c r="AA27" s="199">
        <f t="shared" ca="1" si="10"/>
        <v>0</v>
      </c>
      <c r="AB27" s="199">
        <f t="shared" ca="1" si="10"/>
        <v>0</v>
      </c>
      <c r="AC27" s="199">
        <f t="shared" ca="1" si="10"/>
        <v>0</v>
      </c>
      <c r="AD27" s="199">
        <f t="shared" ca="1" si="10"/>
        <v>0</v>
      </c>
      <c r="AE27" s="199">
        <f t="shared" ca="1" si="10"/>
        <v>0</v>
      </c>
      <c r="AF27" s="199">
        <f t="shared" ca="1" si="10"/>
        <v>0</v>
      </c>
      <c r="AG27" s="199">
        <f t="shared" ca="1" si="10"/>
        <v>0</v>
      </c>
      <c r="AH27" s="199">
        <f t="shared" ca="1" si="10"/>
        <v>0</v>
      </c>
      <c r="AI27" s="199">
        <f t="shared" ca="1" si="10"/>
        <v>0</v>
      </c>
      <c r="AJ27" s="199" t="e">
        <f t="shared" si="10"/>
        <v>#N/A</v>
      </c>
      <c r="AK27" s="199" t="e">
        <f t="shared" ref="AK27:AN27" si="11">SUM(AK23:AK26)</f>
        <v>#N/A</v>
      </c>
      <c r="AL27" s="199" t="e">
        <f t="shared" si="11"/>
        <v>#N/A</v>
      </c>
      <c r="AM27" s="199" t="e">
        <f t="shared" si="11"/>
        <v>#N/A</v>
      </c>
      <c r="AN27" s="199" t="e">
        <f t="shared" si="11"/>
        <v>#N/A</v>
      </c>
      <c r="AO27" s="199" t="e">
        <f t="shared" ref="AO27:AP27" si="12">SUM(AO23:AO26)</f>
        <v>#N/A</v>
      </c>
      <c r="AP27" s="199" t="e">
        <f t="shared" si="12"/>
        <v>#N/A</v>
      </c>
    </row>
    <row r="28" spans="3:42" ht="14.6" customHeight="1">
      <c r="C28" s="28" t="str">
        <f>C17</f>
        <v>- Capex</v>
      </c>
      <c r="D28" s="291"/>
      <c r="E28" s="291"/>
      <c r="F28" s="291"/>
      <c r="G28" s="291"/>
      <c r="H28" s="291"/>
      <c r="I28" s="291"/>
      <c r="J28" s="291"/>
      <c r="K28" s="291"/>
      <c r="L28" s="376">
        <f>L$5*L15*INDEX('CF onshore'!28:28,MATCH(L$7,'CF onshore'!$17:$17,0))</f>
        <v>0</v>
      </c>
      <c r="M28" s="376">
        <f>M$5*M15*INDEX('CF onshore'!28:28,MATCH(M$7,'CF onshore'!$17:$17,0))</f>
        <v>0</v>
      </c>
      <c r="N28" s="376">
        <f>N$5*N15*INDEX('CF onshore'!28:28,MATCH(N$7,'CF onshore'!$17:$17,0))</f>
        <v>0</v>
      </c>
      <c r="O28" s="376">
        <f>O$5*O15*INDEX('CF onshore'!28:28,MATCH(O$7,'CF onshore'!$17:$17,0))</f>
        <v>0</v>
      </c>
      <c r="P28" s="376">
        <f>P$5*P15*INDEX('CF onshore'!28:28,MATCH(P$7,'CF onshore'!$17:$17,0))</f>
        <v>0</v>
      </c>
      <c r="Q28" s="376">
        <f>Q$5*Q15*INDEX('CF onshore'!28:28,MATCH(Q$7,'CF onshore'!$17:$17,0))</f>
        <v>0</v>
      </c>
      <c r="R28" s="376">
        <f>R$5*R15*INDEX('CF onshore'!28:28,MATCH(R$7,'CF onshore'!$17:$17,0))</f>
        <v>0</v>
      </c>
      <c r="S28" s="376">
        <f>S$5*S15*INDEX('CF onshore'!28:28,MATCH(S$7,'CF onshore'!$17:$17,0))</f>
        <v>0</v>
      </c>
      <c r="T28" s="376">
        <f>T$5*T15*INDEX('CF onshore'!28:28,MATCH(T$7,'CF onshore'!$17:$17,0))</f>
        <v>0</v>
      </c>
      <c r="U28" s="376">
        <f>U$5*U15*INDEX('CF onshore'!28:28,MATCH(U$7,'CF onshore'!$17:$17,0))</f>
        <v>0</v>
      </c>
      <c r="V28" s="376">
        <f>V$5*V15*INDEX('CF onshore'!28:28,MATCH(V$7,'CF onshore'!$17:$17,0))</f>
        <v>0</v>
      </c>
      <c r="W28" s="376">
        <f>W$5*W15*INDEX('CF onshore'!28:28,MATCH(W$7,'CF onshore'!$17:$17,0))</f>
        <v>0</v>
      </c>
      <c r="X28" s="376">
        <f>X$5*X15*INDEX('CF onshore'!28:28,MATCH(X$7,'CF onshore'!$17:$17,0))</f>
        <v>0</v>
      </c>
      <c r="Y28" s="376">
        <f>Y$5*Y15*INDEX('CF onshore'!28:28,MATCH(Y$7,'CF onshore'!$17:$17,0))</f>
        <v>0</v>
      </c>
      <c r="Z28" s="376">
        <f>Z$5*Z15*INDEX('CF onshore'!28:28,MATCH(Z$7,'CF onshore'!$17:$17,0))</f>
        <v>0</v>
      </c>
      <c r="AA28" s="376">
        <f>AA$5*AA15*INDEX('CF onshore'!28:28,MATCH(AA$7,'CF onshore'!$17:$17,0))</f>
        <v>0</v>
      </c>
      <c r="AB28" s="376">
        <f>AB$5*AB15*INDEX('CF onshore'!28:28,MATCH(AB$7,'CF onshore'!$17:$17,0))</f>
        <v>0</v>
      </c>
      <c r="AC28" s="376">
        <f>AC$5*AC15*INDEX('CF onshore'!28:28,MATCH(AC$7,'CF onshore'!$17:$17,0))</f>
        <v>0</v>
      </c>
      <c r="AD28" s="376">
        <f>AD$5*AD15*INDEX('CF onshore'!28:28,MATCH(AD$7,'CF onshore'!$17:$17,0))</f>
        <v>0</v>
      </c>
      <c r="AE28" s="376">
        <f>AE$5*AE15*INDEX('CF onshore'!28:28,MATCH(AE$7,'CF onshore'!$17:$17,0))</f>
        <v>0</v>
      </c>
      <c r="AF28" s="376">
        <f>AF$5*AF15*INDEX('CF onshore'!28:28,MATCH(AF$7,'CF onshore'!$17:$17,0))</f>
        <v>0</v>
      </c>
      <c r="AG28" s="376">
        <f>AG$5*AG15*INDEX('CF onshore'!28:28,MATCH(AG$7,'CF onshore'!$17:$17,0))</f>
        <v>0</v>
      </c>
      <c r="AH28" s="376">
        <f>AH$5*AH15*INDEX('CF onshore'!28:28,MATCH(AH$7,'CF onshore'!$17:$17,0))</f>
        <v>0</v>
      </c>
      <c r="AI28" s="376">
        <f>AI$5*AI15*INDEX('CF onshore'!28:28,MATCH(AI$7,'CF onshore'!$17:$17,0))</f>
        <v>0</v>
      </c>
      <c r="AJ28" s="376" t="e">
        <f>AJ$5*AJ15*INDEX('CF onshore'!28:28,MATCH(AJ$7,'CF onshore'!$17:$17,0))</f>
        <v>#N/A</v>
      </c>
      <c r="AK28" s="376" t="e">
        <f>AK$5*AK15*INDEX('CF onshore'!28:28,MATCH(AK$7,'CF onshore'!$17:$17,0))</f>
        <v>#N/A</v>
      </c>
      <c r="AL28" s="376" t="e">
        <f>AL$5*AL15*INDEX('CF onshore'!28:28,MATCH(AL$7,'CF onshore'!$17:$17,0))</f>
        <v>#N/A</v>
      </c>
      <c r="AM28" s="376" t="e">
        <f>AM$5*AM15*INDEX('CF onshore'!28:28,MATCH(AM$7,'CF onshore'!$17:$17,0))</f>
        <v>#N/A</v>
      </c>
      <c r="AN28" s="376" t="e">
        <f>AN$5*AN15*INDEX('CF onshore'!28:28,MATCH(AN$7,'CF onshore'!$17:$17,0))</f>
        <v>#N/A</v>
      </c>
      <c r="AO28" s="376" t="e">
        <f>AO$5*AO15*INDEX('CF onshore'!28:28,MATCH(AO$7,'CF onshore'!$17:$17,0))</f>
        <v>#N/A</v>
      </c>
      <c r="AP28" s="376" t="e">
        <f>AP$5*AP15*INDEX('CF onshore'!28:28,MATCH(AP$7,'CF onshore'!$17:$17,0))</f>
        <v>#N/A</v>
      </c>
    </row>
    <row r="29" spans="3:42" ht="14.6" customHeight="1">
      <c r="C29" s="195" t="str">
        <f>C20</f>
        <v>Cash flow from investing activities</v>
      </c>
      <c r="D29" s="195"/>
      <c r="E29" s="195"/>
      <c r="F29" s="195"/>
      <c r="G29" s="195"/>
      <c r="H29" s="195"/>
      <c r="I29" s="195"/>
      <c r="J29" s="195"/>
      <c r="K29" s="195"/>
      <c r="L29" s="195">
        <f>SUM(L28:L28)</f>
        <v>0</v>
      </c>
      <c r="M29" s="195">
        <f t="shared" ref="M29:AN29" si="13">SUM(M28:M28)</f>
        <v>0</v>
      </c>
      <c r="N29" s="195">
        <f t="shared" si="13"/>
        <v>0</v>
      </c>
      <c r="O29" s="195">
        <f t="shared" si="13"/>
        <v>0</v>
      </c>
      <c r="P29" s="195">
        <f t="shared" si="13"/>
        <v>0</v>
      </c>
      <c r="Q29" s="195">
        <f t="shared" si="13"/>
        <v>0</v>
      </c>
      <c r="R29" s="195">
        <f t="shared" si="13"/>
        <v>0</v>
      </c>
      <c r="S29" s="195">
        <f t="shared" si="13"/>
        <v>0</v>
      </c>
      <c r="T29" s="195">
        <f t="shared" si="13"/>
        <v>0</v>
      </c>
      <c r="U29" s="195">
        <f t="shared" si="13"/>
        <v>0</v>
      </c>
      <c r="V29" s="195">
        <f t="shared" si="13"/>
        <v>0</v>
      </c>
      <c r="W29" s="195">
        <f t="shared" si="13"/>
        <v>0</v>
      </c>
      <c r="X29" s="195">
        <f t="shared" si="13"/>
        <v>0</v>
      </c>
      <c r="Y29" s="195">
        <f t="shared" si="13"/>
        <v>0</v>
      </c>
      <c r="Z29" s="195">
        <f t="shared" si="13"/>
        <v>0</v>
      </c>
      <c r="AA29" s="195">
        <f t="shared" si="13"/>
        <v>0</v>
      </c>
      <c r="AB29" s="195">
        <f t="shared" si="13"/>
        <v>0</v>
      </c>
      <c r="AC29" s="195">
        <f t="shared" si="13"/>
        <v>0</v>
      </c>
      <c r="AD29" s="195">
        <f t="shared" si="13"/>
        <v>0</v>
      </c>
      <c r="AE29" s="195">
        <f t="shared" si="13"/>
        <v>0</v>
      </c>
      <c r="AF29" s="195">
        <f t="shared" si="13"/>
        <v>0</v>
      </c>
      <c r="AG29" s="195">
        <f t="shared" si="13"/>
        <v>0</v>
      </c>
      <c r="AH29" s="195">
        <f t="shared" si="13"/>
        <v>0</v>
      </c>
      <c r="AI29" s="195">
        <f t="shared" si="13"/>
        <v>0</v>
      </c>
      <c r="AJ29" s="195" t="e">
        <f t="shared" si="13"/>
        <v>#N/A</v>
      </c>
      <c r="AK29" s="195" t="e">
        <f t="shared" si="13"/>
        <v>#N/A</v>
      </c>
      <c r="AL29" s="195" t="e">
        <f t="shared" si="13"/>
        <v>#N/A</v>
      </c>
      <c r="AM29" s="195" t="e">
        <f t="shared" si="13"/>
        <v>#N/A</v>
      </c>
      <c r="AN29" s="195" t="e">
        <f t="shared" si="13"/>
        <v>#N/A</v>
      </c>
      <c r="AO29" s="195" t="e">
        <f t="shared" ref="AO29:AP29" si="14">SUM(AO28:AO28)</f>
        <v>#N/A</v>
      </c>
      <c r="AP29" s="195" t="e">
        <f t="shared" si="14"/>
        <v>#N/A</v>
      </c>
    </row>
    <row r="30" spans="3:42" ht="14.6" customHeight="1">
      <c r="C30" s="195" t="s">
        <v>1046</v>
      </c>
      <c r="D30" s="195"/>
      <c r="E30" s="195"/>
      <c r="F30" s="195"/>
      <c r="G30" s="195"/>
      <c r="H30" s="195"/>
      <c r="I30" s="195"/>
      <c r="J30" s="195"/>
      <c r="K30" s="195"/>
      <c r="L30" s="195">
        <f ca="1">L29+L27</f>
        <v>0</v>
      </c>
      <c r="M30" s="195">
        <f t="shared" ref="M30:AN30" ca="1" si="15">M29+M27</f>
        <v>0</v>
      </c>
      <c r="N30" s="195">
        <f t="shared" ca="1" si="15"/>
        <v>0</v>
      </c>
      <c r="O30" s="195">
        <f t="shared" ca="1" si="15"/>
        <v>0</v>
      </c>
      <c r="P30" s="195">
        <f t="shared" ca="1" si="15"/>
        <v>0</v>
      </c>
      <c r="Q30" s="195">
        <f t="shared" ca="1" si="15"/>
        <v>0</v>
      </c>
      <c r="R30" s="195">
        <f t="shared" ca="1" si="15"/>
        <v>0</v>
      </c>
      <c r="S30" s="195">
        <f t="shared" ca="1" si="15"/>
        <v>0</v>
      </c>
      <c r="T30" s="195">
        <f t="shared" ca="1" si="15"/>
        <v>0</v>
      </c>
      <c r="U30" s="195">
        <f t="shared" ca="1" si="15"/>
        <v>0</v>
      </c>
      <c r="V30" s="195">
        <f t="shared" ca="1" si="15"/>
        <v>0</v>
      </c>
      <c r="W30" s="195">
        <f t="shared" ca="1" si="15"/>
        <v>0</v>
      </c>
      <c r="X30" s="195">
        <f t="shared" ca="1" si="15"/>
        <v>0</v>
      </c>
      <c r="Y30" s="195">
        <f t="shared" ca="1" si="15"/>
        <v>0</v>
      </c>
      <c r="Z30" s="195">
        <f t="shared" ca="1" si="15"/>
        <v>0</v>
      </c>
      <c r="AA30" s="195">
        <f t="shared" ca="1" si="15"/>
        <v>0</v>
      </c>
      <c r="AB30" s="195">
        <f t="shared" ca="1" si="15"/>
        <v>0</v>
      </c>
      <c r="AC30" s="195">
        <f t="shared" ca="1" si="15"/>
        <v>0</v>
      </c>
      <c r="AD30" s="195">
        <f t="shared" ca="1" si="15"/>
        <v>0</v>
      </c>
      <c r="AE30" s="195">
        <f t="shared" ca="1" si="15"/>
        <v>0</v>
      </c>
      <c r="AF30" s="195">
        <f t="shared" ca="1" si="15"/>
        <v>0</v>
      </c>
      <c r="AG30" s="195">
        <f t="shared" ca="1" si="15"/>
        <v>0</v>
      </c>
      <c r="AH30" s="195">
        <f t="shared" ca="1" si="15"/>
        <v>0</v>
      </c>
      <c r="AI30" s="195">
        <f t="shared" ca="1" si="15"/>
        <v>0</v>
      </c>
      <c r="AJ30" s="195" t="e">
        <f t="shared" si="15"/>
        <v>#N/A</v>
      </c>
      <c r="AK30" s="195" t="e">
        <f t="shared" si="15"/>
        <v>#N/A</v>
      </c>
      <c r="AL30" s="195" t="e">
        <f t="shared" si="15"/>
        <v>#N/A</v>
      </c>
      <c r="AM30" s="195" t="e">
        <f t="shared" si="15"/>
        <v>#N/A</v>
      </c>
      <c r="AN30" s="195" t="e">
        <f t="shared" si="15"/>
        <v>#N/A</v>
      </c>
      <c r="AO30" s="195" t="e">
        <f t="shared" ref="AO30:AP30" si="16">AO29+AO27</f>
        <v>#N/A</v>
      </c>
      <c r="AP30" s="195" t="e">
        <f t="shared" si="16"/>
        <v>#N/A</v>
      </c>
    </row>
  </sheetData>
  <mergeCells count="2">
    <mergeCell ref="D7:G7"/>
    <mergeCell ref="H7:K7"/>
  </mergeCells>
  <phoneticPr fontId="52" type="noConversion"/>
  <conditionalFormatting sqref="D5:AP6">
    <cfRule type="cellIs" dxfId="6" priority="1" operator="equal">
      <formula>TRUE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2753" r:id="rId4" name="Drop Down 1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6</xdr:col>
                    <xdr:colOff>73152</xdr:colOff>
                    <xdr:row>2</xdr:row>
                    <xdr:rowOff>18288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54" r:id="rId5" name="Drop Down 2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6</xdr:col>
                    <xdr:colOff>73152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6"/>
  </sheetPr>
  <dimension ref="A1"/>
  <sheetViews>
    <sheetView workbookViewId="0">
      <selection activeCell="E19" sqref="E19"/>
    </sheetView>
  </sheetViews>
  <sheetFormatPr defaultRowHeight="13.7"/>
  <sheetData/>
  <phoneticPr fontId="2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tabColor theme="6"/>
  </sheetPr>
  <dimension ref="A1:AK155"/>
  <sheetViews>
    <sheetView zoomScale="70" zoomScaleNormal="70" workbookViewId="0">
      <selection activeCell="H57" sqref="H57"/>
    </sheetView>
  </sheetViews>
  <sheetFormatPr defaultColWidth="9.140625" defaultRowHeight="14.4" outlineLevelRow="1"/>
  <cols>
    <col min="1" max="1" width="11" style="1" customWidth="1"/>
    <col min="2" max="2" width="11" style="1" hidden="1" customWidth="1"/>
    <col min="3" max="3" width="3" style="1" customWidth="1"/>
    <col min="4" max="4" width="41.5703125" style="1" bestFit="1" customWidth="1"/>
    <col min="5" max="8" width="18" style="1" customWidth="1"/>
    <col min="9" max="9" width="11.5703125" style="1" customWidth="1"/>
    <col min="10" max="16384" width="9.140625" style="1"/>
  </cols>
  <sheetData>
    <row r="1" spans="1:37" s="209" customFormat="1" ht="14.6" customHeight="1">
      <c r="D1" s="209" t="s">
        <v>870</v>
      </c>
      <c r="E1" s="209">
        <f>'Control Panel'!B12</f>
        <v>2019</v>
      </c>
      <c r="G1" s="209" t="s">
        <v>689</v>
      </c>
      <c r="H1" s="304">
        <f>'Control Panel'!B11</f>
        <v>43466</v>
      </c>
      <c r="J1" s="209" t="s">
        <v>691</v>
      </c>
      <c r="K1" s="304">
        <f>'Control Panel'!B9</f>
        <v>43465</v>
      </c>
      <c r="M1" s="209" t="s">
        <v>705</v>
      </c>
      <c r="N1" s="209">
        <f>'Control Panel'!B13-'Control Panel'!B12+1</f>
        <v>6</v>
      </c>
    </row>
    <row r="2" spans="1:37" s="209" customFormat="1" ht="14.6" customHeight="1">
      <c r="D2" s="209" t="s">
        <v>871</v>
      </c>
      <c r="E2" s="209">
        <f>'Financial summary'!E5</f>
        <v>1</v>
      </c>
      <c r="F2" s="209">
        <f>INDEX(E33:E51,E2)</f>
        <v>0</v>
      </c>
      <c r="J2" s="209" t="s">
        <v>693</v>
      </c>
      <c r="K2" s="209">
        <f>'Control Panel'!B5</f>
        <v>5</v>
      </c>
    </row>
    <row r="3" spans="1:37">
      <c r="B3" s="28"/>
      <c r="C3" s="28"/>
    </row>
    <row r="4" spans="1:37">
      <c r="B4" s="28"/>
      <c r="C4" s="28"/>
      <c r="D4" s="180" t="s">
        <v>692</v>
      </c>
      <c r="E4" s="180">
        <v>1</v>
      </c>
      <c r="F4" s="180">
        <f>E4+1</f>
        <v>2</v>
      </c>
      <c r="G4" s="180">
        <f t="shared" ref="G4:U4" si="0">F4+1</f>
        <v>3</v>
      </c>
      <c r="H4" s="180">
        <f t="shared" si="0"/>
        <v>4</v>
      </c>
      <c r="I4" s="180">
        <f t="shared" si="0"/>
        <v>5</v>
      </c>
      <c r="J4" s="180">
        <f t="shared" si="0"/>
        <v>6</v>
      </c>
      <c r="K4" s="180">
        <f t="shared" si="0"/>
        <v>7</v>
      </c>
      <c r="L4" s="180">
        <f t="shared" si="0"/>
        <v>8</v>
      </c>
      <c r="M4" s="180">
        <f t="shared" si="0"/>
        <v>9</v>
      </c>
      <c r="N4" s="180">
        <f t="shared" si="0"/>
        <v>10</v>
      </c>
      <c r="O4" s="180">
        <f t="shared" si="0"/>
        <v>11</v>
      </c>
      <c r="P4" s="180">
        <f t="shared" si="0"/>
        <v>12</v>
      </c>
      <c r="Q4" s="180">
        <f t="shared" si="0"/>
        <v>13</v>
      </c>
      <c r="R4" s="180">
        <f t="shared" si="0"/>
        <v>14</v>
      </c>
      <c r="S4" s="180">
        <f t="shared" si="0"/>
        <v>15</v>
      </c>
      <c r="T4" s="180">
        <f t="shared" si="0"/>
        <v>16</v>
      </c>
      <c r="U4" s="180">
        <f t="shared" si="0"/>
        <v>17</v>
      </c>
    </row>
    <row r="5" spans="1:37" s="34" customFormat="1" ht="14.6" customHeight="1">
      <c r="B5" s="28"/>
      <c r="C5" s="28"/>
      <c r="D5" s="307" t="s">
        <v>719</v>
      </c>
      <c r="E5" s="307">
        <f>DATE('Control Panel'!B4,'Control Panel'!B6,'Control Panel'!B7)</f>
        <v>42004</v>
      </c>
      <c r="F5" s="307">
        <f>F6*EOMONTH(E5,12)+F7*$K$1</f>
        <v>42369</v>
      </c>
      <c r="G5" s="307">
        <f t="shared" ref="G5:U5" si="1">G6*EOMONTH(F5,12)+G7*$K$1</f>
        <v>42735</v>
      </c>
      <c r="H5" s="307">
        <f t="shared" si="1"/>
        <v>43100</v>
      </c>
      <c r="I5" s="307">
        <f t="shared" si="1"/>
        <v>43465</v>
      </c>
      <c r="J5" s="307">
        <f t="shared" si="1"/>
        <v>0</v>
      </c>
      <c r="K5" s="307">
        <f t="shared" si="1"/>
        <v>0</v>
      </c>
      <c r="L5" s="307">
        <f t="shared" si="1"/>
        <v>0</v>
      </c>
      <c r="M5" s="307">
        <f t="shared" si="1"/>
        <v>0</v>
      </c>
      <c r="N5" s="307">
        <f t="shared" si="1"/>
        <v>0</v>
      </c>
      <c r="O5" s="307">
        <f t="shared" si="1"/>
        <v>0</v>
      </c>
      <c r="P5" s="307">
        <f t="shared" si="1"/>
        <v>0</v>
      </c>
      <c r="Q5" s="307">
        <f t="shared" si="1"/>
        <v>0</v>
      </c>
      <c r="R5" s="307">
        <f t="shared" si="1"/>
        <v>0</v>
      </c>
      <c r="S5" s="307">
        <f t="shared" si="1"/>
        <v>0</v>
      </c>
      <c r="T5" s="307">
        <f t="shared" si="1"/>
        <v>0</v>
      </c>
      <c r="U5" s="307">
        <f t="shared" si="1"/>
        <v>0</v>
      </c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  <c r="AK5" s="307"/>
    </row>
    <row r="6" spans="1:37">
      <c r="B6" s="28"/>
      <c r="C6" s="28"/>
      <c r="D6" s="28" t="s">
        <v>686</v>
      </c>
      <c r="E6" s="28" t="b">
        <f>E4&lt;=$K$2</f>
        <v>1</v>
      </c>
      <c r="F6" s="28" t="b">
        <f t="shared" ref="F6" si="2">F4&lt;=$K$2</f>
        <v>1</v>
      </c>
      <c r="G6" s="28" t="b">
        <f t="shared" ref="G6:U6" si="3">G4&lt;=$K$2</f>
        <v>1</v>
      </c>
      <c r="H6" s="28" t="b">
        <f t="shared" si="3"/>
        <v>1</v>
      </c>
      <c r="I6" s="28" t="b">
        <f t="shared" si="3"/>
        <v>1</v>
      </c>
      <c r="J6" s="28" t="b">
        <f t="shared" si="3"/>
        <v>0</v>
      </c>
      <c r="K6" s="28" t="b">
        <f t="shared" si="3"/>
        <v>0</v>
      </c>
      <c r="L6" s="28" t="b">
        <f t="shared" si="3"/>
        <v>0</v>
      </c>
      <c r="M6" s="28" t="b">
        <f t="shared" si="3"/>
        <v>0</v>
      </c>
      <c r="N6" s="28" t="b">
        <f t="shared" si="3"/>
        <v>0</v>
      </c>
      <c r="O6" s="28" t="b">
        <f t="shared" si="3"/>
        <v>0</v>
      </c>
      <c r="P6" s="28" t="b">
        <f t="shared" si="3"/>
        <v>0</v>
      </c>
      <c r="Q6" s="28" t="b">
        <f t="shared" si="3"/>
        <v>0</v>
      </c>
      <c r="R6" s="28" t="b">
        <f t="shared" si="3"/>
        <v>0</v>
      </c>
      <c r="S6" s="28" t="b">
        <f t="shared" si="3"/>
        <v>0</v>
      </c>
      <c r="T6" s="28" t="b">
        <f t="shared" si="3"/>
        <v>0</v>
      </c>
      <c r="U6" s="28" t="b">
        <f t="shared" si="3"/>
        <v>0</v>
      </c>
    </row>
    <row r="7" spans="1:37">
      <c r="B7" s="28"/>
      <c r="C7" s="28"/>
      <c r="D7" s="28" t="s">
        <v>687</v>
      </c>
      <c r="E7" s="28" t="b">
        <f t="shared" ref="E7:F7" si="4">(E4=$K$2+1)*stub_switch=1</f>
        <v>0</v>
      </c>
      <c r="F7" s="28" t="b">
        <f t="shared" si="4"/>
        <v>0</v>
      </c>
      <c r="G7" s="28" t="b">
        <f t="shared" ref="G7:U7" si="5">(G4=$K$2+1)*stub_switch=1</f>
        <v>0</v>
      </c>
      <c r="H7" s="28" t="b">
        <f t="shared" si="5"/>
        <v>0</v>
      </c>
      <c r="I7" s="28" t="b">
        <f t="shared" si="5"/>
        <v>0</v>
      </c>
      <c r="J7" s="28" t="b">
        <f t="shared" si="5"/>
        <v>0</v>
      </c>
      <c r="K7" s="28" t="b">
        <f t="shared" si="5"/>
        <v>0</v>
      </c>
      <c r="L7" s="28" t="b">
        <f t="shared" si="5"/>
        <v>0</v>
      </c>
      <c r="M7" s="28" t="b">
        <f t="shared" si="5"/>
        <v>0</v>
      </c>
      <c r="N7" s="28" t="b">
        <f t="shared" si="5"/>
        <v>0</v>
      </c>
      <c r="O7" s="28" t="b">
        <f t="shared" si="5"/>
        <v>0</v>
      </c>
      <c r="P7" s="28" t="b">
        <f t="shared" si="5"/>
        <v>0</v>
      </c>
      <c r="Q7" s="28" t="b">
        <f t="shared" si="5"/>
        <v>0</v>
      </c>
      <c r="R7" s="28" t="b">
        <f t="shared" si="5"/>
        <v>0</v>
      </c>
      <c r="S7" s="28" t="b">
        <f t="shared" si="5"/>
        <v>0</v>
      </c>
      <c r="T7" s="28" t="b">
        <f t="shared" si="5"/>
        <v>0</v>
      </c>
      <c r="U7" s="28" t="b">
        <f t="shared" si="5"/>
        <v>0</v>
      </c>
    </row>
    <row r="8" spans="1:37">
      <c r="A8" s="113"/>
      <c r="B8" s="113"/>
      <c r="C8" s="113"/>
      <c r="D8" s="114"/>
      <c r="E8" s="113"/>
      <c r="F8" s="113"/>
      <c r="G8" s="113"/>
      <c r="H8" s="113"/>
    </row>
    <row r="9" spans="1:37">
      <c r="A9" s="113" t="s">
        <v>193</v>
      </c>
      <c r="B9" s="113"/>
      <c r="C9" s="113"/>
      <c r="D9" s="113" t="s">
        <v>194</v>
      </c>
      <c r="E9" s="115">
        <f>E11</f>
        <v>42004</v>
      </c>
      <c r="F9" s="115">
        <f>F11</f>
        <v>42369</v>
      </c>
      <c r="G9" s="115">
        <f>G11</f>
        <v>42735</v>
      </c>
      <c r="H9" s="115">
        <f>H11</f>
        <v>43100</v>
      </c>
      <c r="I9" s="115">
        <f t="shared" ref="I9:U9" si="6">I11</f>
        <v>43465</v>
      </c>
      <c r="J9" s="115">
        <f t="shared" si="6"/>
        <v>0</v>
      </c>
      <c r="K9" s="115">
        <f t="shared" si="6"/>
        <v>0</v>
      </c>
      <c r="L9" s="115">
        <f t="shared" si="6"/>
        <v>0</v>
      </c>
      <c r="M9" s="115">
        <f t="shared" si="6"/>
        <v>0</v>
      </c>
      <c r="N9" s="115">
        <f t="shared" si="6"/>
        <v>0</v>
      </c>
      <c r="O9" s="115">
        <f t="shared" si="6"/>
        <v>0</v>
      </c>
      <c r="P9" s="115">
        <f t="shared" si="6"/>
        <v>0</v>
      </c>
      <c r="Q9" s="115">
        <f t="shared" si="6"/>
        <v>0</v>
      </c>
      <c r="R9" s="115">
        <f t="shared" si="6"/>
        <v>0</v>
      </c>
      <c r="S9" s="115">
        <f t="shared" si="6"/>
        <v>0</v>
      </c>
      <c r="T9" s="115">
        <f t="shared" si="6"/>
        <v>0</v>
      </c>
      <c r="U9" s="115">
        <f t="shared" si="6"/>
        <v>0</v>
      </c>
    </row>
    <row r="10" spans="1:37">
      <c r="A10" s="113" t="s">
        <v>195</v>
      </c>
      <c r="B10" s="113"/>
      <c r="C10" s="113"/>
      <c r="D10" s="113" t="s">
        <v>196</v>
      </c>
      <c r="E10" s="113">
        <v>365</v>
      </c>
      <c r="F10" s="116">
        <f>F11-E11</f>
        <v>365</v>
      </c>
      <c r="G10" s="116">
        <f>G11-F11</f>
        <v>366</v>
      </c>
      <c r="H10" s="116">
        <f>H11-G11</f>
        <v>365</v>
      </c>
      <c r="I10" s="116">
        <f t="shared" ref="I10:U10" si="7">I11-H11</f>
        <v>365</v>
      </c>
      <c r="J10" s="116">
        <f t="shared" si="7"/>
        <v>-43465</v>
      </c>
      <c r="K10" s="116">
        <f t="shared" si="7"/>
        <v>0</v>
      </c>
      <c r="L10" s="116">
        <f t="shared" si="7"/>
        <v>0</v>
      </c>
      <c r="M10" s="116">
        <f t="shared" si="7"/>
        <v>0</v>
      </c>
      <c r="N10" s="116">
        <f t="shared" si="7"/>
        <v>0</v>
      </c>
      <c r="O10" s="116">
        <f t="shared" si="7"/>
        <v>0</v>
      </c>
      <c r="P10" s="116">
        <f t="shared" si="7"/>
        <v>0</v>
      </c>
      <c r="Q10" s="116">
        <f t="shared" si="7"/>
        <v>0</v>
      </c>
      <c r="R10" s="116">
        <f t="shared" si="7"/>
        <v>0</v>
      </c>
      <c r="S10" s="116">
        <f t="shared" si="7"/>
        <v>0</v>
      </c>
      <c r="T10" s="116">
        <f t="shared" si="7"/>
        <v>0</v>
      </c>
      <c r="U10" s="116">
        <f t="shared" si="7"/>
        <v>0</v>
      </c>
    </row>
    <row r="11" spans="1:37">
      <c r="A11" s="113" t="s">
        <v>197</v>
      </c>
      <c r="B11" s="113"/>
      <c r="C11" s="113"/>
      <c r="D11" s="113" t="s">
        <v>198</v>
      </c>
      <c r="E11" s="117">
        <f>E5</f>
        <v>42004</v>
      </c>
      <c r="F11" s="117">
        <f t="shared" ref="F11:U11" si="8">F5</f>
        <v>42369</v>
      </c>
      <c r="G11" s="117">
        <f t="shared" si="8"/>
        <v>42735</v>
      </c>
      <c r="H11" s="117">
        <f t="shared" si="8"/>
        <v>43100</v>
      </c>
      <c r="I11" s="117">
        <f t="shared" si="8"/>
        <v>43465</v>
      </c>
      <c r="J11" s="117">
        <f t="shared" si="8"/>
        <v>0</v>
      </c>
      <c r="K11" s="117">
        <f t="shared" si="8"/>
        <v>0</v>
      </c>
      <c r="L11" s="117">
        <f t="shared" si="8"/>
        <v>0</v>
      </c>
      <c r="M11" s="117">
        <f t="shared" si="8"/>
        <v>0</v>
      </c>
      <c r="N11" s="117">
        <f t="shared" si="8"/>
        <v>0</v>
      </c>
      <c r="O11" s="117">
        <f t="shared" si="8"/>
        <v>0</v>
      </c>
      <c r="P11" s="117">
        <f t="shared" si="8"/>
        <v>0</v>
      </c>
      <c r="Q11" s="117">
        <f t="shared" si="8"/>
        <v>0</v>
      </c>
      <c r="R11" s="117">
        <f t="shared" si="8"/>
        <v>0</v>
      </c>
      <c r="S11" s="117">
        <f t="shared" si="8"/>
        <v>0</v>
      </c>
      <c r="T11" s="117">
        <f t="shared" si="8"/>
        <v>0</v>
      </c>
      <c r="U11" s="117">
        <f t="shared" si="8"/>
        <v>0</v>
      </c>
    </row>
    <row r="12" spans="1:37" hidden="1">
      <c r="A12" s="113" t="s">
        <v>199</v>
      </c>
      <c r="B12" s="113"/>
      <c r="C12" s="113"/>
      <c r="D12" s="113" t="s">
        <v>977</v>
      </c>
      <c r="E12" s="118" t="s">
        <v>978</v>
      </c>
      <c r="F12" s="118" t="s">
        <v>978</v>
      </c>
      <c r="G12" s="118" t="s">
        <v>978</v>
      </c>
      <c r="H12" s="118" t="s">
        <v>978</v>
      </c>
      <c r="I12" s="118" t="s">
        <v>978</v>
      </c>
      <c r="J12" s="118" t="s">
        <v>978</v>
      </c>
      <c r="K12" s="118" t="s">
        <v>978</v>
      </c>
      <c r="L12" s="118" t="s">
        <v>978</v>
      </c>
      <c r="M12" s="118" t="s">
        <v>978</v>
      </c>
      <c r="N12" s="118" t="s">
        <v>978</v>
      </c>
      <c r="O12" s="118" t="s">
        <v>978</v>
      </c>
      <c r="P12" s="118" t="s">
        <v>978</v>
      </c>
      <c r="Q12" s="118" t="s">
        <v>978</v>
      </c>
      <c r="R12" s="118" t="s">
        <v>978</v>
      </c>
      <c r="S12" s="118" t="s">
        <v>978</v>
      </c>
      <c r="T12" s="118" t="s">
        <v>978</v>
      </c>
      <c r="U12" s="118" t="s">
        <v>978</v>
      </c>
    </row>
    <row r="13" spans="1:37" ht="15.15" thickBot="1">
      <c r="A13" s="119" t="s">
        <v>200</v>
      </c>
      <c r="B13" s="119"/>
      <c r="C13" s="119"/>
      <c r="D13" s="119" t="s">
        <v>979</v>
      </c>
      <c r="E13" s="120">
        <f>E9</f>
        <v>42004</v>
      </c>
      <c r="F13" s="120">
        <f>F9</f>
        <v>42369</v>
      </c>
      <c r="G13" s="120">
        <f>G9</f>
        <v>42735</v>
      </c>
      <c r="H13" s="120">
        <f>H9</f>
        <v>43100</v>
      </c>
      <c r="I13" s="120">
        <f t="shared" ref="I13:U13" si="9">I9</f>
        <v>43465</v>
      </c>
      <c r="J13" s="120">
        <f t="shared" si="9"/>
        <v>0</v>
      </c>
      <c r="K13" s="120">
        <f t="shared" si="9"/>
        <v>0</v>
      </c>
      <c r="L13" s="120">
        <f t="shared" si="9"/>
        <v>0</v>
      </c>
      <c r="M13" s="120">
        <f t="shared" si="9"/>
        <v>0</v>
      </c>
      <c r="N13" s="120">
        <f t="shared" si="9"/>
        <v>0</v>
      </c>
      <c r="O13" s="120">
        <f t="shared" si="9"/>
        <v>0</v>
      </c>
      <c r="P13" s="120">
        <f t="shared" si="9"/>
        <v>0</v>
      </c>
      <c r="Q13" s="120">
        <f t="shared" si="9"/>
        <v>0</v>
      </c>
      <c r="R13" s="120">
        <f t="shared" si="9"/>
        <v>0</v>
      </c>
      <c r="S13" s="120">
        <f t="shared" si="9"/>
        <v>0</v>
      </c>
      <c r="T13" s="120">
        <f t="shared" si="9"/>
        <v>0</v>
      </c>
      <c r="U13" s="120">
        <f t="shared" si="9"/>
        <v>0</v>
      </c>
    </row>
    <row r="14" spans="1:37">
      <c r="A14" s="111" t="s">
        <v>169</v>
      </c>
      <c r="B14" s="111"/>
      <c r="C14" s="111" t="s">
        <v>170</v>
      </c>
      <c r="D14" s="111"/>
      <c r="E14" s="344">
        <f>SUM(E15:E19)</f>
        <v>0</v>
      </c>
      <c r="F14" s="344">
        <f t="shared" ref="F14:U14" si="10">SUM(F15:F19)</f>
        <v>0</v>
      </c>
      <c r="G14" s="344">
        <f t="shared" si="10"/>
        <v>0</v>
      </c>
      <c r="H14" s="344">
        <f t="shared" si="10"/>
        <v>0</v>
      </c>
      <c r="I14" s="344">
        <f t="shared" si="10"/>
        <v>0</v>
      </c>
      <c r="J14" s="344">
        <f t="shared" si="10"/>
        <v>0</v>
      </c>
      <c r="K14" s="344">
        <f t="shared" si="10"/>
        <v>0</v>
      </c>
      <c r="L14" s="344">
        <f t="shared" si="10"/>
        <v>0</v>
      </c>
      <c r="M14" s="344">
        <f t="shared" si="10"/>
        <v>0</v>
      </c>
      <c r="N14" s="344">
        <f t="shared" si="10"/>
        <v>0</v>
      </c>
      <c r="O14" s="344">
        <f t="shared" si="10"/>
        <v>0</v>
      </c>
      <c r="P14" s="344">
        <f t="shared" si="10"/>
        <v>0</v>
      </c>
      <c r="Q14" s="344">
        <f t="shared" si="10"/>
        <v>0</v>
      </c>
      <c r="R14" s="344">
        <f t="shared" si="10"/>
        <v>0</v>
      </c>
      <c r="S14" s="344">
        <f t="shared" si="10"/>
        <v>0</v>
      </c>
      <c r="T14" s="344">
        <f t="shared" si="10"/>
        <v>0</v>
      </c>
      <c r="U14" s="344">
        <f t="shared" si="10"/>
        <v>0</v>
      </c>
    </row>
    <row r="15" spans="1:37" outlineLevel="1">
      <c r="A15" s="343"/>
      <c r="B15" s="343"/>
      <c r="C15" s="343"/>
      <c r="D15" s="341" t="s">
        <v>1105</v>
      </c>
      <c r="E15" s="341">
        <f>'Consolidation adjustments'!D14</f>
        <v>0</v>
      </c>
      <c r="F15" s="341">
        <f>'Consolidation adjustments'!E14</f>
        <v>0</v>
      </c>
      <c r="G15" s="341">
        <f>'Consolidation adjustments'!F14</f>
        <v>0</v>
      </c>
      <c r="H15" s="341">
        <f>'Consolidation adjustments'!G14</f>
        <v>0</v>
      </c>
      <c r="I15" s="341">
        <f>'Consolidation adjustments'!H14</f>
        <v>0</v>
      </c>
      <c r="J15" s="341">
        <f>'Consolidation adjustments'!I14</f>
        <v>0</v>
      </c>
      <c r="K15" s="341">
        <f>'Consolidation adjustments'!J14</f>
        <v>0</v>
      </c>
      <c r="L15" s="341">
        <f>'Consolidation adjustments'!K14</f>
        <v>0</v>
      </c>
      <c r="M15" s="341">
        <f>'Consolidation adjustments'!L14</f>
        <v>0</v>
      </c>
      <c r="N15" s="341">
        <f>'Consolidation adjustments'!M14</f>
        <v>0</v>
      </c>
      <c r="O15" s="341">
        <f>'Consolidation adjustments'!N14</f>
        <v>0</v>
      </c>
      <c r="P15" s="341">
        <f>'Consolidation adjustments'!O14</f>
        <v>0</v>
      </c>
      <c r="Q15" s="341">
        <f>'Consolidation adjustments'!P14</f>
        <v>0</v>
      </c>
      <c r="R15" s="341">
        <f>'Consolidation adjustments'!Q14</f>
        <v>0</v>
      </c>
      <c r="S15" s="341">
        <f>'Consolidation adjustments'!R14</f>
        <v>0</v>
      </c>
      <c r="T15" s="341">
        <f>'Consolidation adjustments'!S14</f>
        <v>0</v>
      </c>
      <c r="U15" s="341">
        <f>'Consolidation adjustments'!T14</f>
        <v>0</v>
      </c>
    </row>
    <row r="16" spans="1:37" outlineLevel="1">
      <c r="A16" s="343"/>
      <c r="B16" s="343"/>
      <c r="C16" s="343"/>
      <c r="D16" s="341" t="s">
        <v>1106</v>
      </c>
      <c r="E16" s="341">
        <f>'Historical Holdco'!D14</f>
        <v>0</v>
      </c>
      <c r="F16" s="341">
        <f>'Historical Holdco'!E14</f>
        <v>0</v>
      </c>
      <c r="G16" s="341">
        <f>'Historical Holdco'!F14</f>
        <v>0</v>
      </c>
      <c r="H16" s="341">
        <f>'Historical Holdco'!G14</f>
        <v>0</v>
      </c>
      <c r="I16" s="341">
        <f>'Historical Holdco'!H14</f>
        <v>0</v>
      </c>
      <c r="J16" s="341">
        <f>'Historical Holdco'!I14</f>
        <v>0</v>
      </c>
      <c r="K16" s="341">
        <f>'Historical Holdco'!J14</f>
        <v>0</v>
      </c>
      <c r="L16" s="341">
        <f>'Historical Holdco'!K14</f>
        <v>0</v>
      </c>
      <c r="M16" s="341">
        <f>'Historical Holdco'!L14</f>
        <v>0</v>
      </c>
      <c r="N16" s="341">
        <f>'Historical Holdco'!M14</f>
        <v>0</v>
      </c>
      <c r="O16" s="341">
        <f>'Historical Holdco'!N14</f>
        <v>0</v>
      </c>
      <c r="P16" s="341">
        <f>'Historical Holdco'!O14</f>
        <v>0</v>
      </c>
      <c r="Q16" s="341">
        <f>'Historical Holdco'!P14</f>
        <v>0</v>
      </c>
      <c r="R16" s="341">
        <f>'Historical Holdco'!Q14</f>
        <v>0</v>
      </c>
      <c r="S16" s="341">
        <f>'Historical Holdco'!R14</f>
        <v>0</v>
      </c>
      <c r="T16" s="341">
        <f>'Historical Holdco'!S14</f>
        <v>0</v>
      </c>
      <c r="U16" s="341">
        <f>'Historical Holdco'!T14</f>
        <v>0</v>
      </c>
    </row>
    <row r="17" spans="1:21" outlineLevel="1">
      <c r="A17" s="343"/>
      <c r="B17" s="343"/>
      <c r="C17" s="343"/>
      <c r="D17" s="341" t="s">
        <v>1107</v>
      </c>
      <c r="E17" s="341">
        <f>'Historical BU1'!D14*Currency_conversion_BU1</f>
        <v>0</v>
      </c>
      <c r="F17" s="341">
        <f>'Historical BU1'!E14*Currency_conversion_BU1</f>
        <v>0</v>
      </c>
      <c r="G17" s="341">
        <f>'Historical BU1'!F14*Currency_conversion_BU1</f>
        <v>0</v>
      </c>
      <c r="H17" s="341">
        <f>'Historical BU1'!G14*Currency_conversion_BU1</f>
        <v>0</v>
      </c>
      <c r="I17" s="341">
        <f>'Historical BU1'!H14*Currency_conversion_BU1</f>
        <v>0</v>
      </c>
      <c r="J17" s="341">
        <f>'Historical BU1'!I14*Currency_conversion_BU1</f>
        <v>0</v>
      </c>
      <c r="K17" s="341">
        <f>'Historical BU1'!J14*Currency_conversion_BU1</f>
        <v>0</v>
      </c>
      <c r="L17" s="341">
        <f>'Historical BU1'!K14*Currency_conversion_BU1</f>
        <v>0</v>
      </c>
      <c r="M17" s="341">
        <f>'Historical BU1'!L14*Currency_conversion_BU1</f>
        <v>0</v>
      </c>
      <c r="N17" s="341">
        <f>'Historical BU1'!M14*Currency_conversion_BU1</f>
        <v>0</v>
      </c>
      <c r="O17" s="341">
        <f>'Historical BU1'!N14*Currency_conversion_BU1</f>
        <v>0</v>
      </c>
      <c r="P17" s="341">
        <f>'Historical BU1'!O14*Currency_conversion_BU1</f>
        <v>0</v>
      </c>
      <c r="Q17" s="341">
        <f>'Historical BU1'!P14*Currency_conversion_BU1</f>
        <v>0</v>
      </c>
      <c r="R17" s="341">
        <f>'Historical BU1'!Q14*Currency_conversion_BU1</f>
        <v>0</v>
      </c>
      <c r="S17" s="341">
        <f>'Historical BU1'!R14*Currency_conversion_BU1</f>
        <v>0</v>
      </c>
      <c r="T17" s="341">
        <f>'Historical BU1'!S14*Currency_conversion_BU1</f>
        <v>0</v>
      </c>
      <c r="U17" s="341">
        <f>'Historical BU1'!T14*Currency_conversion_BU1</f>
        <v>0</v>
      </c>
    </row>
    <row r="18" spans="1:21" outlineLevel="1">
      <c r="A18" s="343"/>
      <c r="B18" s="343"/>
      <c r="C18" s="343"/>
      <c r="D18" s="341" t="s">
        <v>1108</v>
      </c>
      <c r="E18" s="341">
        <f>'Historical BU2'!D14*Currency_conversion_rate_BU2</f>
        <v>0</v>
      </c>
      <c r="F18" s="341">
        <f>'Historical BU2'!E14*Currency_conversion_rate_BU2</f>
        <v>0</v>
      </c>
      <c r="G18" s="341">
        <f>'Historical BU2'!F14*Currency_conversion_rate_BU2</f>
        <v>0</v>
      </c>
      <c r="H18" s="341">
        <f>'Historical BU2'!G14*Currency_conversion_rate_BU2</f>
        <v>0</v>
      </c>
      <c r="I18" s="341">
        <f>'Historical BU2'!H14*Currency_conversion_rate_BU2</f>
        <v>0</v>
      </c>
      <c r="J18" s="341">
        <f>'Historical BU2'!I14*Currency_conversion_rate_BU2</f>
        <v>0</v>
      </c>
      <c r="K18" s="341">
        <f>'Historical BU2'!J14*Currency_conversion_rate_BU2</f>
        <v>0</v>
      </c>
      <c r="L18" s="341">
        <f>'Historical BU2'!K14*Currency_conversion_rate_BU2</f>
        <v>0</v>
      </c>
      <c r="M18" s="341">
        <f>'Historical BU2'!L14*Currency_conversion_rate_BU2</f>
        <v>0</v>
      </c>
      <c r="N18" s="341">
        <f>'Historical BU2'!M14*Currency_conversion_rate_BU2</f>
        <v>0</v>
      </c>
      <c r="O18" s="341">
        <f>'Historical BU2'!N14*Currency_conversion_rate_BU2</f>
        <v>0</v>
      </c>
      <c r="P18" s="341">
        <f>'Historical BU2'!O14*Currency_conversion_rate_BU2</f>
        <v>0</v>
      </c>
      <c r="Q18" s="341">
        <f>'Historical BU2'!P14*Currency_conversion_rate_BU2</f>
        <v>0</v>
      </c>
      <c r="R18" s="341">
        <f>'Historical BU2'!Q14*Currency_conversion_rate_BU2</f>
        <v>0</v>
      </c>
      <c r="S18" s="341">
        <f>'Historical BU2'!R14*Currency_conversion_rate_BU2</f>
        <v>0</v>
      </c>
      <c r="T18" s="341">
        <f>'Historical BU2'!S14*Currency_conversion_rate_BU2</f>
        <v>0</v>
      </c>
      <c r="U18" s="341">
        <f>'Historical BU2'!T14*Currency_conversion_rate_BU2</f>
        <v>0</v>
      </c>
    </row>
    <row r="19" spans="1:21" outlineLevel="1">
      <c r="A19" s="343"/>
      <c r="B19" s="343"/>
      <c r="C19" s="343"/>
      <c r="D19" s="341" t="s">
        <v>1109</v>
      </c>
      <c r="E19" s="341">
        <f>'Historical other'!D14*Currency_conversion_rate_other</f>
        <v>0</v>
      </c>
      <c r="F19" s="341">
        <f>'Historical other'!E14*Currency_conversion_rate_other</f>
        <v>0</v>
      </c>
      <c r="G19" s="341">
        <f>'Historical other'!F14*Currency_conversion_rate_other</f>
        <v>0</v>
      </c>
      <c r="H19" s="341">
        <f>'Historical other'!G14*Currency_conversion_rate_other</f>
        <v>0</v>
      </c>
      <c r="I19" s="341">
        <f>'Historical other'!H14*Currency_conversion_rate_other</f>
        <v>0</v>
      </c>
      <c r="J19" s="341">
        <f>'Historical other'!I14*Currency_conversion_rate_other</f>
        <v>0</v>
      </c>
      <c r="K19" s="341">
        <f>'Historical other'!J14*Currency_conversion_rate_other</f>
        <v>0</v>
      </c>
      <c r="L19" s="341">
        <f>'Historical other'!K14*Currency_conversion_rate_other</f>
        <v>0</v>
      </c>
      <c r="M19" s="341">
        <f>'Historical other'!L14*Currency_conversion_rate_other</f>
        <v>0</v>
      </c>
      <c r="N19" s="341">
        <f>'Historical other'!M14*Currency_conversion_rate_other</f>
        <v>0</v>
      </c>
      <c r="O19" s="341">
        <f>'Historical other'!N14*Currency_conversion_rate_other</f>
        <v>0</v>
      </c>
      <c r="P19" s="341">
        <f>'Historical other'!O14*Currency_conversion_rate_other</f>
        <v>0</v>
      </c>
      <c r="Q19" s="341">
        <f>'Historical other'!P14*Currency_conversion_rate_other</f>
        <v>0</v>
      </c>
      <c r="R19" s="341">
        <f>'Historical other'!Q14*Currency_conversion_rate_other</f>
        <v>0</v>
      </c>
      <c r="S19" s="341">
        <f>'Historical other'!R14*Currency_conversion_rate_other</f>
        <v>0</v>
      </c>
      <c r="T19" s="341">
        <f>'Historical other'!S14*Currency_conversion_rate_other</f>
        <v>0</v>
      </c>
      <c r="U19" s="341">
        <f>'Historical other'!T14*Currency_conversion_rate_other</f>
        <v>0</v>
      </c>
    </row>
    <row r="20" spans="1:21">
      <c r="A20" s="56" t="s">
        <v>180</v>
      </c>
      <c r="B20" s="56"/>
      <c r="C20" s="56" t="s">
        <v>968</v>
      </c>
      <c r="D20" s="56"/>
      <c r="E20" s="345">
        <f>SUM(E21:E25)</f>
        <v>0</v>
      </c>
      <c r="F20" s="345">
        <f t="shared" ref="F20:U20" si="11">SUM(F21:F25)</f>
        <v>0</v>
      </c>
      <c r="G20" s="345">
        <f t="shared" si="11"/>
        <v>0</v>
      </c>
      <c r="H20" s="345">
        <f t="shared" si="11"/>
        <v>0</v>
      </c>
      <c r="I20" s="345">
        <f t="shared" si="11"/>
        <v>0</v>
      </c>
      <c r="J20" s="345">
        <f t="shared" si="11"/>
        <v>0</v>
      </c>
      <c r="K20" s="345">
        <f t="shared" si="11"/>
        <v>0</v>
      </c>
      <c r="L20" s="345">
        <f t="shared" si="11"/>
        <v>0</v>
      </c>
      <c r="M20" s="345">
        <f t="shared" si="11"/>
        <v>0</v>
      </c>
      <c r="N20" s="345">
        <f t="shared" si="11"/>
        <v>0</v>
      </c>
      <c r="O20" s="345">
        <f t="shared" si="11"/>
        <v>0</v>
      </c>
      <c r="P20" s="345">
        <f t="shared" si="11"/>
        <v>0</v>
      </c>
      <c r="Q20" s="345">
        <f t="shared" si="11"/>
        <v>0</v>
      </c>
      <c r="R20" s="345">
        <f t="shared" si="11"/>
        <v>0</v>
      </c>
      <c r="S20" s="345">
        <f t="shared" si="11"/>
        <v>0</v>
      </c>
      <c r="T20" s="345">
        <f t="shared" si="11"/>
        <v>0</v>
      </c>
      <c r="U20" s="345">
        <f t="shared" si="11"/>
        <v>0</v>
      </c>
    </row>
    <row r="21" spans="1:21" outlineLevel="1">
      <c r="A21" s="343"/>
      <c r="B21" s="343"/>
      <c r="C21" s="343"/>
      <c r="D21" s="341" t="s">
        <v>1105</v>
      </c>
      <c r="E21" s="341">
        <f>'Consolidation adjustments'!D15</f>
        <v>0</v>
      </c>
      <c r="F21" s="341">
        <f>'Consolidation adjustments'!E15</f>
        <v>0</v>
      </c>
      <c r="G21" s="341">
        <f>'Consolidation adjustments'!F15</f>
        <v>0</v>
      </c>
      <c r="H21" s="341">
        <f>'Consolidation adjustments'!G15</f>
        <v>0</v>
      </c>
      <c r="I21" s="341">
        <f>'Consolidation adjustments'!H15</f>
        <v>0</v>
      </c>
      <c r="J21" s="341">
        <f>'Consolidation adjustments'!I15</f>
        <v>0</v>
      </c>
      <c r="K21" s="341">
        <f>'Consolidation adjustments'!J15</f>
        <v>0</v>
      </c>
      <c r="L21" s="341">
        <f>'Consolidation adjustments'!K15</f>
        <v>0</v>
      </c>
      <c r="M21" s="341">
        <f>'Consolidation adjustments'!L15</f>
        <v>0</v>
      </c>
      <c r="N21" s="341">
        <f>'Consolidation adjustments'!M15</f>
        <v>0</v>
      </c>
      <c r="O21" s="341">
        <f>'Consolidation adjustments'!N15</f>
        <v>0</v>
      </c>
      <c r="P21" s="341">
        <f>'Consolidation adjustments'!O15</f>
        <v>0</v>
      </c>
      <c r="Q21" s="341">
        <f>'Consolidation adjustments'!P15</f>
        <v>0</v>
      </c>
      <c r="R21" s="341">
        <f>'Consolidation adjustments'!Q15</f>
        <v>0</v>
      </c>
      <c r="S21" s="341">
        <f>'Consolidation adjustments'!R15</f>
        <v>0</v>
      </c>
      <c r="T21" s="341">
        <f>'Consolidation adjustments'!S15</f>
        <v>0</v>
      </c>
      <c r="U21" s="341">
        <f>'Consolidation adjustments'!T15</f>
        <v>0</v>
      </c>
    </row>
    <row r="22" spans="1:21" outlineLevel="1">
      <c r="A22" s="343"/>
      <c r="B22" s="343"/>
      <c r="C22" s="343"/>
      <c r="D22" s="341" t="s">
        <v>1106</v>
      </c>
      <c r="E22" s="341">
        <f>'Historical Holdco'!D15</f>
        <v>0</v>
      </c>
      <c r="F22" s="341">
        <f>'Historical Holdco'!E15</f>
        <v>0</v>
      </c>
      <c r="G22" s="341">
        <f>'Historical Holdco'!F15</f>
        <v>0</v>
      </c>
      <c r="H22" s="341">
        <f>'Historical Holdco'!G15</f>
        <v>0</v>
      </c>
      <c r="I22" s="341">
        <f>'Historical Holdco'!H15</f>
        <v>0</v>
      </c>
      <c r="J22" s="341">
        <f>'Historical Holdco'!I15</f>
        <v>0</v>
      </c>
      <c r="K22" s="341">
        <f>'Historical Holdco'!J15</f>
        <v>0</v>
      </c>
      <c r="L22" s="341">
        <f>'Historical Holdco'!K15</f>
        <v>0</v>
      </c>
      <c r="M22" s="341">
        <f>'Historical Holdco'!L15</f>
        <v>0</v>
      </c>
      <c r="N22" s="341">
        <f>'Historical Holdco'!M15</f>
        <v>0</v>
      </c>
      <c r="O22" s="341">
        <f>'Historical Holdco'!N15</f>
        <v>0</v>
      </c>
      <c r="P22" s="341">
        <f>'Historical Holdco'!O15</f>
        <v>0</v>
      </c>
      <c r="Q22" s="341">
        <f>'Historical Holdco'!P15</f>
        <v>0</v>
      </c>
      <c r="R22" s="341">
        <f>'Historical Holdco'!Q15</f>
        <v>0</v>
      </c>
      <c r="S22" s="341">
        <f>'Historical Holdco'!R15</f>
        <v>0</v>
      </c>
      <c r="T22" s="341">
        <f>'Historical Holdco'!S15</f>
        <v>0</v>
      </c>
      <c r="U22" s="341">
        <f>'Historical Holdco'!T15</f>
        <v>0</v>
      </c>
    </row>
    <row r="23" spans="1:21" outlineLevel="1">
      <c r="A23" s="343"/>
      <c r="B23" s="343"/>
      <c r="C23" s="343"/>
      <c r="D23" s="341" t="s">
        <v>1107</v>
      </c>
      <c r="E23" s="341">
        <f>'Historical BU1'!D15*Currency_conversion_BU1</f>
        <v>0</v>
      </c>
      <c r="F23" s="341">
        <f>'Historical BU1'!E15*Currency_conversion_BU1</f>
        <v>0</v>
      </c>
      <c r="G23" s="341">
        <f>'Historical BU1'!F15*Currency_conversion_BU1</f>
        <v>0</v>
      </c>
      <c r="H23" s="341">
        <f>'Historical BU1'!G15*Currency_conversion_BU1</f>
        <v>0</v>
      </c>
      <c r="I23" s="341">
        <f>'Historical BU1'!H15*Currency_conversion_BU1</f>
        <v>0</v>
      </c>
      <c r="J23" s="341">
        <f>'Historical BU1'!I15*Currency_conversion_BU1</f>
        <v>0</v>
      </c>
      <c r="K23" s="341">
        <f>'Historical BU1'!J15*Currency_conversion_BU1</f>
        <v>0</v>
      </c>
      <c r="L23" s="341">
        <f>'Historical BU1'!K15*Currency_conversion_BU1</f>
        <v>0</v>
      </c>
      <c r="M23" s="341">
        <f>'Historical BU1'!L15*Currency_conversion_BU1</f>
        <v>0</v>
      </c>
      <c r="N23" s="341">
        <f>'Historical BU1'!M15*Currency_conversion_BU1</f>
        <v>0</v>
      </c>
      <c r="O23" s="341">
        <f>'Historical BU1'!N15*Currency_conversion_BU1</f>
        <v>0</v>
      </c>
      <c r="P23" s="341">
        <f>'Historical BU1'!O15*Currency_conversion_BU1</f>
        <v>0</v>
      </c>
      <c r="Q23" s="341">
        <f>'Historical BU1'!P15*Currency_conversion_BU1</f>
        <v>0</v>
      </c>
      <c r="R23" s="341">
        <f>'Historical BU1'!Q15*Currency_conversion_BU1</f>
        <v>0</v>
      </c>
      <c r="S23" s="341">
        <f>'Historical BU1'!R15*Currency_conversion_BU1</f>
        <v>0</v>
      </c>
      <c r="T23" s="341">
        <f>'Historical BU1'!S15*Currency_conversion_BU1</f>
        <v>0</v>
      </c>
      <c r="U23" s="341">
        <f>'Historical BU1'!T15*Currency_conversion_BU1</f>
        <v>0</v>
      </c>
    </row>
    <row r="24" spans="1:21" outlineLevel="1">
      <c r="A24" s="343"/>
      <c r="B24" s="343"/>
      <c r="C24" s="343"/>
      <c r="D24" s="341" t="s">
        <v>1108</v>
      </c>
      <c r="E24" s="341">
        <f>'Historical BU2'!D15*Currency_conversion_rate_BU2</f>
        <v>0</v>
      </c>
      <c r="F24" s="341">
        <f>'Historical BU2'!E15*Currency_conversion_rate_BU2</f>
        <v>0</v>
      </c>
      <c r="G24" s="341">
        <f>'Historical BU2'!F15*Currency_conversion_rate_BU2</f>
        <v>0</v>
      </c>
      <c r="H24" s="341">
        <f>'Historical BU2'!G15*Currency_conversion_rate_BU2</f>
        <v>0</v>
      </c>
      <c r="I24" s="341">
        <f>'Historical BU2'!H15*Currency_conversion_rate_BU2</f>
        <v>0</v>
      </c>
      <c r="J24" s="341">
        <f>'Historical BU2'!I15*Currency_conversion_rate_BU2</f>
        <v>0</v>
      </c>
      <c r="K24" s="341">
        <f>'Historical BU2'!J15*Currency_conversion_rate_BU2</f>
        <v>0</v>
      </c>
      <c r="L24" s="341">
        <f>'Historical BU2'!K15*Currency_conversion_rate_BU2</f>
        <v>0</v>
      </c>
      <c r="M24" s="341">
        <f>'Historical BU2'!L15*Currency_conversion_rate_BU2</f>
        <v>0</v>
      </c>
      <c r="N24" s="341">
        <f>'Historical BU2'!M15*Currency_conversion_rate_BU2</f>
        <v>0</v>
      </c>
      <c r="O24" s="341">
        <f>'Historical BU2'!N15*Currency_conversion_rate_BU2</f>
        <v>0</v>
      </c>
      <c r="P24" s="341">
        <f>'Historical BU2'!O15*Currency_conversion_rate_BU2</f>
        <v>0</v>
      </c>
      <c r="Q24" s="341">
        <f>'Historical BU2'!P15*Currency_conversion_rate_BU2</f>
        <v>0</v>
      </c>
      <c r="R24" s="341">
        <f>'Historical BU2'!Q15*Currency_conversion_rate_BU2</f>
        <v>0</v>
      </c>
      <c r="S24" s="341">
        <f>'Historical BU2'!R15*Currency_conversion_rate_BU2</f>
        <v>0</v>
      </c>
      <c r="T24" s="341">
        <f>'Historical BU2'!S15*Currency_conversion_rate_BU2</f>
        <v>0</v>
      </c>
      <c r="U24" s="341">
        <f>'Historical BU2'!T15*Currency_conversion_rate_BU2</f>
        <v>0</v>
      </c>
    </row>
    <row r="25" spans="1:21" outlineLevel="1">
      <c r="A25" s="343"/>
      <c r="B25" s="343"/>
      <c r="C25" s="343"/>
      <c r="D25" s="341" t="s">
        <v>1109</v>
      </c>
      <c r="E25" s="341">
        <f>'Historical other'!D15*Currency_conversion_rate_other</f>
        <v>0</v>
      </c>
      <c r="F25" s="341">
        <f>'Historical other'!E15*Currency_conversion_rate_other</f>
        <v>0</v>
      </c>
      <c r="G25" s="341">
        <f>'Historical other'!F15*Currency_conversion_rate_other</f>
        <v>0</v>
      </c>
      <c r="H25" s="341">
        <f>'Historical other'!G15*Currency_conversion_rate_other</f>
        <v>0</v>
      </c>
      <c r="I25" s="341">
        <f>'Historical other'!H15*Currency_conversion_rate_other</f>
        <v>0</v>
      </c>
      <c r="J25" s="341">
        <f>'Historical other'!I15*Currency_conversion_rate_other</f>
        <v>0</v>
      </c>
      <c r="K25" s="341">
        <f>'Historical other'!J15*Currency_conversion_rate_other</f>
        <v>0</v>
      </c>
      <c r="L25" s="341">
        <f>'Historical other'!K15*Currency_conversion_rate_other</f>
        <v>0</v>
      </c>
      <c r="M25" s="341">
        <f>'Historical other'!L15*Currency_conversion_rate_other</f>
        <v>0</v>
      </c>
      <c r="N25" s="341">
        <f>'Historical other'!M15*Currency_conversion_rate_other</f>
        <v>0</v>
      </c>
      <c r="O25" s="341">
        <f>'Historical other'!N15*Currency_conversion_rate_other</f>
        <v>0</v>
      </c>
      <c r="P25" s="341">
        <f>'Historical other'!O15*Currency_conversion_rate_other</f>
        <v>0</v>
      </c>
      <c r="Q25" s="341">
        <f>'Historical other'!P15*Currency_conversion_rate_other</f>
        <v>0</v>
      </c>
      <c r="R25" s="341">
        <f>'Historical other'!Q15*Currency_conversion_rate_other</f>
        <v>0</v>
      </c>
      <c r="S25" s="341">
        <f>'Historical other'!R15*Currency_conversion_rate_other</f>
        <v>0</v>
      </c>
      <c r="T25" s="341">
        <f>'Historical other'!S15*Currency_conversion_rate_other</f>
        <v>0</v>
      </c>
      <c r="U25" s="341">
        <f>'Historical other'!T15*Currency_conversion_rate_other</f>
        <v>0</v>
      </c>
    </row>
    <row r="26" spans="1:21">
      <c r="A26" s="98"/>
      <c r="B26" s="98"/>
      <c r="C26" s="98" t="s">
        <v>969</v>
      </c>
      <c r="D26" s="98"/>
      <c r="E26" s="346">
        <f>E14+E20</f>
        <v>0</v>
      </c>
      <c r="F26" s="346">
        <f t="shared" ref="F26:U26" si="12">F14+F20</f>
        <v>0</v>
      </c>
      <c r="G26" s="346">
        <f t="shared" si="12"/>
        <v>0</v>
      </c>
      <c r="H26" s="346">
        <f t="shared" si="12"/>
        <v>0</v>
      </c>
      <c r="I26" s="346">
        <f t="shared" si="12"/>
        <v>0</v>
      </c>
      <c r="J26" s="346">
        <f t="shared" si="12"/>
        <v>0</v>
      </c>
      <c r="K26" s="346">
        <f t="shared" si="12"/>
        <v>0</v>
      </c>
      <c r="L26" s="346">
        <f t="shared" si="12"/>
        <v>0</v>
      </c>
      <c r="M26" s="346">
        <f t="shared" si="12"/>
        <v>0</v>
      </c>
      <c r="N26" s="346">
        <f t="shared" si="12"/>
        <v>0</v>
      </c>
      <c r="O26" s="346">
        <f t="shared" si="12"/>
        <v>0</v>
      </c>
      <c r="P26" s="346">
        <f t="shared" si="12"/>
        <v>0</v>
      </c>
      <c r="Q26" s="346">
        <f t="shared" si="12"/>
        <v>0</v>
      </c>
      <c r="R26" s="346">
        <f t="shared" si="12"/>
        <v>0</v>
      </c>
      <c r="S26" s="346">
        <f t="shared" si="12"/>
        <v>0</v>
      </c>
      <c r="T26" s="346">
        <f t="shared" si="12"/>
        <v>0</v>
      </c>
      <c r="U26" s="346">
        <f t="shared" si="12"/>
        <v>0</v>
      </c>
    </row>
    <row r="27" spans="1:21">
      <c r="A27" s="56" t="s">
        <v>182</v>
      </c>
      <c r="B27" s="56"/>
      <c r="C27" s="56" t="s">
        <v>201</v>
      </c>
      <c r="D27" s="56"/>
      <c r="E27" s="345">
        <f>SUM(E28:E32)</f>
        <v>0</v>
      </c>
      <c r="F27" s="345">
        <f t="shared" ref="F27:U27" si="13">SUM(F28:F32)</f>
        <v>0</v>
      </c>
      <c r="G27" s="345">
        <f t="shared" si="13"/>
        <v>0</v>
      </c>
      <c r="H27" s="345">
        <f t="shared" si="13"/>
        <v>0</v>
      </c>
      <c r="I27" s="345">
        <f t="shared" si="13"/>
        <v>0</v>
      </c>
      <c r="J27" s="345">
        <f t="shared" si="13"/>
        <v>0</v>
      </c>
      <c r="K27" s="345">
        <f t="shared" si="13"/>
        <v>0</v>
      </c>
      <c r="L27" s="345">
        <f t="shared" si="13"/>
        <v>0</v>
      </c>
      <c r="M27" s="345">
        <f t="shared" si="13"/>
        <v>0</v>
      </c>
      <c r="N27" s="345">
        <f t="shared" si="13"/>
        <v>0</v>
      </c>
      <c r="O27" s="345">
        <f t="shared" si="13"/>
        <v>0</v>
      </c>
      <c r="P27" s="345">
        <f t="shared" si="13"/>
        <v>0</v>
      </c>
      <c r="Q27" s="345">
        <f t="shared" si="13"/>
        <v>0</v>
      </c>
      <c r="R27" s="345">
        <f t="shared" si="13"/>
        <v>0</v>
      </c>
      <c r="S27" s="345">
        <f t="shared" si="13"/>
        <v>0</v>
      </c>
      <c r="T27" s="345">
        <f t="shared" si="13"/>
        <v>0</v>
      </c>
      <c r="U27" s="345">
        <f t="shared" si="13"/>
        <v>0</v>
      </c>
    </row>
    <row r="28" spans="1:21" outlineLevel="1">
      <c r="A28" s="343"/>
      <c r="B28" s="343"/>
      <c r="C28" s="343"/>
      <c r="D28" s="341" t="s">
        <v>1105</v>
      </c>
      <c r="E28" s="341">
        <f>'Consolidation adjustments'!D17</f>
        <v>0</v>
      </c>
      <c r="F28" s="341">
        <f>'Consolidation adjustments'!E17</f>
        <v>0</v>
      </c>
      <c r="G28" s="341">
        <f>'Consolidation adjustments'!F17</f>
        <v>0</v>
      </c>
      <c r="H28" s="341">
        <f>'Consolidation adjustments'!G17</f>
        <v>0</v>
      </c>
      <c r="I28" s="341">
        <f>'Consolidation adjustments'!H17</f>
        <v>0</v>
      </c>
      <c r="J28" s="341">
        <f>'Consolidation adjustments'!I17</f>
        <v>0</v>
      </c>
      <c r="K28" s="341">
        <f>'Consolidation adjustments'!J17</f>
        <v>0</v>
      </c>
      <c r="L28" s="341">
        <f>'Consolidation adjustments'!K17</f>
        <v>0</v>
      </c>
      <c r="M28" s="341">
        <f>'Consolidation adjustments'!L17</f>
        <v>0</v>
      </c>
      <c r="N28" s="341">
        <f>'Consolidation adjustments'!M17</f>
        <v>0</v>
      </c>
      <c r="O28" s="341">
        <f>'Consolidation adjustments'!N17</f>
        <v>0</v>
      </c>
      <c r="P28" s="341">
        <f>'Consolidation adjustments'!O17</f>
        <v>0</v>
      </c>
      <c r="Q28" s="341">
        <f>'Consolidation adjustments'!P17</f>
        <v>0</v>
      </c>
      <c r="R28" s="341">
        <f>'Consolidation adjustments'!Q17</f>
        <v>0</v>
      </c>
      <c r="S28" s="341">
        <f>'Consolidation adjustments'!R17</f>
        <v>0</v>
      </c>
      <c r="T28" s="341">
        <f>'Consolidation adjustments'!S17</f>
        <v>0</v>
      </c>
      <c r="U28" s="341">
        <f>'Consolidation adjustments'!T17</f>
        <v>0</v>
      </c>
    </row>
    <row r="29" spans="1:21" outlineLevel="1">
      <c r="A29" s="343"/>
      <c r="B29" s="343"/>
      <c r="C29" s="343"/>
      <c r="D29" s="341" t="s">
        <v>1106</v>
      </c>
      <c r="E29" s="341">
        <f>'Historical Holdco'!D17</f>
        <v>0</v>
      </c>
      <c r="F29" s="341">
        <f>'Historical Holdco'!E17</f>
        <v>0</v>
      </c>
      <c r="G29" s="341">
        <f>'Historical Holdco'!F17</f>
        <v>0</v>
      </c>
      <c r="H29" s="341">
        <f>'Historical Holdco'!G17</f>
        <v>0</v>
      </c>
      <c r="I29" s="341">
        <f>'Historical Holdco'!H17</f>
        <v>0</v>
      </c>
      <c r="J29" s="341">
        <f>'Historical Holdco'!I17</f>
        <v>0</v>
      </c>
      <c r="K29" s="341">
        <f>'Historical Holdco'!J17</f>
        <v>0</v>
      </c>
      <c r="L29" s="341">
        <f>'Historical Holdco'!K17</f>
        <v>0</v>
      </c>
      <c r="M29" s="341">
        <f>'Historical Holdco'!L17</f>
        <v>0</v>
      </c>
      <c r="N29" s="341">
        <f>'Historical Holdco'!M17</f>
        <v>0</v>
      </c>
      <c r="O29" s="341">
        <f>'Historical Holdco'!N17</f>
        <v>0</v>
      </c>
      <c r="P29" s="341">
        <f>'Historical Holdco'!O17</f>
        <v>0</v>
      </c>
      <c r="Q29" s="341">
        <f>'Historical Holdco'!P17</f>
        <v>0</v>
      </c>
      <c r="R29" s="341">
        <f>'Historical Holdco'!Q17</f>
        <v>0</v>
      </c>
      <c r="S29" s="341">
        <f>'Historical Holdco'!R17</f>
        <v>0</v>
      </c>
      <c r="T29" s="341">
        <f>'Historical Holdco'!S17</f>
        <v>0</v>
      </c>
      <c r="U29" s="341">
        <f>'Historical Holdco'!T17</f>
        <v>0</v>
      </c>
    </row>
    <row r="30" spans="1:21" outlineLevel="1">
      <c r="A30" s="343"/>
      <c r="B30" s="343"/>
      <c r="C30" s="343"/>
      <c r="D30" s="341" t="s">
        <v>1107</v>
      </c>
      <c r="E30" s="341">
        <f>'Historical BU1'!D17*Currency_conversion_BU1</f>
        <v>0</v>
      </c>
      <c r="F30" s="341">
        <f>'Historical BU1'!E17*Currency_conversion_BU1</f>
        <v>0</v>
      </c>
      <c r="G30" s="341">
        <f>'Historical BU1'!F17*Currency_conversion_BU1</f>
        <v>0</v>
      </c>
      <c r="H30" s="341">
        <f>'Historical BU1'!G17*Currency_conversion_BU1</f>
        <v>0</v>
      </c>
      <c r="I30" s="341">
        <f>'Historical BU1'!H17*Currency_conversion_BU1</f>
        <v>0</v>
      </c>
      <c r="J30" s="341">
        <f>'Historical BU1'!I17*Currency_conversion_BU1</f>
        <v>0</v>
      </c>
      <c r="K30" s="341">
        <f>'Historical BU1'!J17*Currency_conversion_BU1</f>
        <v>0</v>
      </c>
      <c r="L30" s="341">
        <f>'Historical BU1'!K17*Currency_conversion_BU1</f>
        <v>0</v>
      </c>
      <c r="M30" s="341">
        <f>'Historical BU1'!L17*Currency_conversion_BU1</f>
        <v>0</v>
      </c>
      <c r="N30" s="341">
        <f>'Historical BU1'!M17*Currency_conversion_BU1</f>
        <v>0</v>
      </c>
      <c r="O30" s="341">
        <f>'Historical BU1'!N17*Currency_conversion_BU1</f>
        <v>0</v>
      </c>
      <c r="P30" s="341">
        <f>'Historical BU1'!O17*Currency_conversion_BU1</f>
        <v>0</v>
      </c>
      <c r="Q30" s="341">
        <f>'Historical BU1'!P17*Currency_conversion_BU1</f>
        <v>0</v>
      </c>
      <c r="R30" s="341">
        <f>'Historical BU1'!Q17*Currency_conversion_BU1</f>
        <v>0</v>
      </c>
      <c r="S30" s="341">
        <f>'Historical BU1'!R17*Currency_conversion_BU1</f>
        <v>0</v>
      </c>
      <c r="T30" s="341">
        <f>'Historical BU1'!S17*Currency_conversion_BU1</f>
        <v>0</v>
      </c>
      <c r="U30" s="341">
        <f>'Historical BU1'!T17*Currency_conversion_BU1</f>
        <v>0</v>
      </c>
    </row>
    <row r="31" spans="1:21" outlineLevel="1">
      <c r="A31" s="343"/>
      <c r="B31" s="343"/>
      <c r="C31" s="343"/>
      <c r="D31" s="341" t="s">
        <v>1108</v>
      </c>
      <c r="E31" s="341">
        <f>'Historical BU2'!D17*Currency_conversion_rate_BU2</f>
        <v>0</v>
      </c>
      <c r="F31" s="341">
        <f>'Historical BU2'!E17*Currency_conversion_rate_BU2</f>
        <v>0</v>
      </c>
      <c r="G31" s="341">
        <f>'Historical BU2'!F17*Currency_conversion_rate_BU2</f>
        <v>0</v>
      </c>
      <c r="H31" s="341">
        <f>'Historical BU2'!G17*Currency_conversion_rate_BU2</f>
        <v>0</v>
      </c>
      <c r="I31" s="341">
        <f>'Historical BU2'!H17*Currency_conversion_rate_BU2</f>
        <v>0</v>
      </c>
      <c r="J31" s="341">
        <f>'Historical BU2'!I17*Currency_conversion_rate_BU2</f>
        <v>0</v>
      </c>
      <c r="K31" s="341">
        <f>'Historical BU2'!J17*Currency_conversion_rate_BU2</f>
        <v>0</v>
      </c>
      <c r="L31" s="341">
        <f>'Historical BU2'!K17*Currency_conversion_rate_BU2</f>
        <v>0</v>
      </c>
      <c r="M31" s="341">
        <f>'Historical BU2'!L17*Currency_conversion_rate_BU2</f>
        <v>0</v>
      </c>
      <c r="N31" s="341">
        <f>'Historical BU2'!M17*Currency_conversion_rate_BU2</f>
        <v>0</v>
      </c>
      <c r="O31" s="341">
        <f>'Historical BU2'!N17*Currency_conversion_rate_BU2</f>
        <v>0</v>
      </c>
      <c r="P31" s="341">
        <f>'Historical BU2'!O17*Currency_conversion_rate_BU2</f>
        <v>0</v>
      </c>
      <c r="Q31" s="341">
        <f>'Historical BU2'!P17*Currency_conversion_rate_BU2</f>
        <v>0</v>
      </c>
      <c r="R31" s="341">
        <f>'Historical BU2'!Q17*Currency_conversion_rate_BU2</f>
        <v>0</v>
      </c>
      <c r="S31" s="341">
        <f>'Historical BU2'!R17*Currency_conversion_rate_BU2</f>
        <v>0</v>
      </c>
      <c r="T31" s="341">
        <f>'Historical BU2'!S17*Currency_conversion_rate_BU2</f>
        <v>0</v>
      </c>
      <c r="U31" s="341">
        <f>'Historical BU2'!T17*Currency_conversion_rate_BU2</f>
        <v>0</v>
      </c>
    </row>
    <row r="32" spans="1:21" outlineLevel="1">
      <c r="A32" s="343"/>
      <c r="B32" s="343"/>
      <c r="C32" s="343"/>
      <c r="D32" s="341" t="s">
        <v>1109</v>
      </c>
      <c r="E32" s="341">
        <f>'Historical other'!D17*Currency_conversion_rate_other</f>
        <v>0</v>
      </c>
      <c r="F32" s="341">
        <f>'Historical other'!E17*Currency_conversion_rate_other</f>
        <v>0</v>
      </c>
      <c r="G32" s="341">
        <f>'Historical other'!F17*Currency_conversion_rate_other</f>
        <v>0</v>
      </c>
      <c r="H32" s="341">
        <f>'Historical other'!G17*Currency_conversion_rate_other</f>
        <v>0</v>
      </c>
      <c r="I32" s="341">
        <f>'Historical other'!H17*Currency_conversion_rate_other</f>
        <v>0</v>
      </c>
      <c r="J32" s="341">
        <f>'Historical other'!I17*Currency_conversion_rate_other</f>
        <v>0</v>
      </c>
      <c r="K32" s="341">
        <f>'Historical other'!J17*Currency_conversion_rate_other</f>
        <v>0</v>
      </c>
      <c r="L32" s="341">
        <f>'Historical other'!K17*Currency_conversion_rate_other</f>
        <v>0</v>
      </c>
      <c r="M32" s="341">
        <f>'Historical other'!L17*Currency_conversion_rate_other</f>
        <v>0</v>
      </c>
      <c r="N32" s="341">
        <f>'Historical other'!M17*Currency_conversion_rate_other</f>
        <v>0</v>
      </c>
      <c r="O32" s="341">
        <f>'Historical other'!N17*Currency_conversion_rate_other</f>
        <v>0</v>
      </c>
      <c r="P32" s="341">
        <f>'Historical other'!O17*Currency_conversion_rate_other</f>
        <v>0</v>
      </c>
      <c r="Q32" s="341">
        <f>'Historical other'!P17*Currency_conversion_rate_other</f>
        <v>0</v>
      </c>
      <c r="R32" s="341">
        <f>'Historical other'!Q17*Currency_conversion_rate_other</f>
        <v>0</v>
      </c>
      <c r="S32" s="341">
        <f>'Historical other'!R17*Currency_conversion_rate_other</f>
        <v>0</v>
      </c>
      <c r="T32" s="341">
        <f>'Historical other'!S17*Currency_conversion_rate_other</f>
        <v>0</v>
      </c>
      <c r="U32" s="341">
        <f>'Historical other'!T17*Currency_conversion_rate_other</f>
        <v>0</v>
      </c>
    </row>
    <row r="33" spans="1:21">
      <c r="A33" s="56" t="s">
        <v>608</v>
      </c>
      <c r="B33" s="56"/>
      <c r="C33" s="56" t="s">
        <v>970</v>
      </c>
      <c r="D33" s="56"/>
      <c r="E33" s="345">
        <f>SUM(E34:E38)</f>
        <v>0</v>
      </c>
      <c r="F33" s="345">
        <f t="shared" ref="F33:U33" si="14">SUM(F34:F38)</f>
        <v>0</v>
      </c>
      <c r="G33" s="345">
        <f t="shared" si="14"/>
        <v>0</v>
      </c>
      <c r="H33" s="345">
        <f t="shared" si="14"/>
        <v>0</v>
      </c>
      <c r="I33" s="345">
        <f t="shared" si="14"/>
        <v>0</v>
      </c>
      <c r="J33" s="345">
        <f t="shared" si="14"/>
        <v>0</v>
      </c>
      <c r="K33" s="345">
        <f t="shared" si="14"/>
        <v>0</v>
      </c>
      <c r="L33" s="345">
        <f t="shared" si="14"/>
        <v>0</v>
      </c>
      <c r="M33" s="345">
        <f t="shared" si="14"/>
        <v>0</v>
      </c>
      <c r="N33" s="345">
        <f t="shared" si="14"/>
        <v>0</v>
      </c>
      <c r="O33" s="345">
        <f t="shared" si="14"/>
        <v>0</v>
      </c>
      <c r="P33" s="345">
        <f t="shared" si="14"/>
        <v>0</v>
      </c>
      <c r="Q33" s="345">
        <f t="shared" si="14"/>
        <v>0</v>
      </c>
      <c r="R33" s="345">
        <f t="shared" si="14"/>
        <v>0</v>
      </c>
      <c r="S33" s="345">
        <f t="shared" si="14"/>
        <v>0</v>
      </c>
      <c r="T33" s="345">
        <f t="shared" si="14"/>
        <v>0</v>
      </c>
      <c r="U33" s="345">
        <f t="shared" si="14"/>
        <v>0</v>
      </c>
    </row>
    <row r="34" spans="1:21" outlineLevel="1">
      <c r="A34" s="343"/>
      <c r="B34" s="343"/>
      <c r="C34" s="343"/>
      <c r="D34" s="341" t="s">
        <v>1105</v>
      </c>
      <c r="E34" s="341">
        <f>'Consolidation adjustments'!D18</f>
        <v>0</v>
      </c>
      <c r="F34" s="341">
        <f>'Consolidation adjustments'!E18</f>
        <v>0</v>
      </c>
      <c r="G34" s="341">
        <f>'Consolidation adjustments'!F18</f>
        <v>0</v>
      </c>
      <c r="H34" s="341">
        <f>'Consolidation adjustments'!G18</f>
        <v>0</v>
      </c>
      <c r="I34" s="341">
        <f>'Consolidation adjustments'!H18</f>
        <v>0</v>
      </c>
      <c r="J34" s="341">
        <f>'Consolidation adjustments'!I18</f>
        <v>0</v>
      </c>
      <c r="K34" s="341">
        <f>'Consolidation adjustments'!J18</f>
        <v>0</v>
      </c>
      <c r="L34" s="341">
        <f>'Consolidation adjustments'!K18</f>
        <v>0</v>
      </c>
      <c r="M34" s="341">
        <f>'Consolidation adjustments'!L18</f>
        <v>0</v>
      </c>
      <c r="N34" s="341">
        <f>'Consolidation adjustments'!M18</f>
        <v>0</v>
      </c>
      <c r="O34" s="341">
        <f>'Consolidation adjustments'!N18</f>
        <v>0</v>
      </c>
      <c r="P34" s="341">
        <f>'Consolidation adjustments'!O18</f>
        <v>0</v>
      </c>
      <c r="Q34" s="341">
        <f>'Consolidation adjustments'!P18</f>
        <v>0</v>
      </c>
      <c r="R34" s="341">
        <f>'Consolidation adjustments'!Q18</f>
        <v>0</v>
      </c>
      <c r="S34" s="341">
        <f>'Consolidation adjustments'!R18</f>
        <v>0</v>
      </c>
      <c r="T34" s="341">
        <f>'Consolidation adjustments'!S18</f>
        <v>0</v>
      </c>
      <c r="U34" s="341">
        <f>'Consolidation adjustments'!T18</f>
        <v>0</v>
      </c>
    </row>
    <row r="35" spans="1:21" outlineLevel="1">
      <c r="A35" s="343"/>
      <c r="B35" s="343"/>
      <c r="C35" s="343"/>
      <c r="D35" s="341" t="s">
        <v>1106</v>
      </c>
      <c r="E35" s="341">
        <f>'Historical Holdco'!D18</f>
        <v>0</v>
      </c>
      <c r="F35" s="341">
        <f>'Historical Holdco'!E18</f>
        <v>0</v>
      </c>
      <c r="G35" s="341">
        <f>'Historical Holdco'!F18</f>
        <v>0</v>
      </c>
      <c r="H35" s="341">
        <f>'Historical Holdco'!G18</f>
        <v>0</v>
      </c>
      <c r="I35" s="341">
        <f>'Historical Holdco'!H18</f>
        <v>0</v>
      </c>
      <c r="J35" s="341">
        <f>'Historical Holdco'!I18</f>
        <v>0</v>
      </c>
      <c r="K35" s="341">
        <f>'Historical Holdco'!J18</f>
        <v>0</v>
      </c>
      <c r="L35" s="341">
        <f>'Historical Holdco'!K18</f>
        <v>0</v>
      </c>
      <c r="M35" s="341">
        <f>'Historical Holdco'!L18</f>
        <v>0</v>
      </c>
      <c r="N35" s="341">
        <f>'Historical Holdco'!M18</f>
        <v>0</v>
      </c>
      <c r="O35" s="341">
        <f>'Historical Holdco'!N18</f>
        <v>0</v>
      </c>
      <c r="P35" s="341">
        <f>'Historical Holdco'!O18</f>
        <v>0</v>
      </c>
      <c r="Q35" s="341">
        <f>'Historical Holdco'!P18</f>
        <v>0</v>
      </c>
      <c r="R35" s="341">
        <f>'Historical Holdco'!Q18</f>
        <v>0</v>
      </c>
      <c r="S35" s="341">
        <f>'Historical Holdco'!R18</f>
        <v>0</v>
      </c>
      <c r="T35" s="341">
        <f>'Historical Holdco'!S18</f>
        <v>0</v>
      </c>
      <c r="U35" s="341">
        <f>'Historical Holdco'!T18</f>
        <v>0</v>
      </c>
    </row>
    <row r="36" spans="1:21" outlineLevel="1">
      <c r="A36" s="343"/>
      <c r="B36" s="343"/>
      <c r="C36" s="343"/>
      <c r="D36" s="341" t="s">
        <v>1107</v>
      </c>
      <c r="E36" s="341">
        <f>'Historical BU1'!D18*Currency_conversion_BU1</f>
        <v>0</v>
      </c>
      <c r="F36" s="341">
        <f>'Historical BU1'!E18*Currency_conversion_BU1</f>
        <v>0</v>
      </c>
      <c r="G36" s="341">
        <f>'Historical BU1'!F18*Currency_conversion_BU1</f>
        <v>0</v>
      </c>
      <c r="H36" s="341">
        <f>'Historical BU1'!G18*Currency_conversion_BU1</f>
        <v>0</v>
      </c>
      <c r="I36" s="341">
        <f>'Historical BU1'!H18*Currency_conversion_BU1</f>
        <v>0</v>
      </c>
      <c r="J36" s="341">
        <f>'Historical BU1'!I18*Currency_conversion_BU1</f>
        <v>0</v>
      </c>
      <c r="K36" s="341">
        <f>'Historical BU1'!J18*Currency_conversion_BU1</f>
        <v>0</v>
      </c>
      <c r="L36" s="341">
        <f>'Historical BU1'!K18*Currency_conversion_BU1</f>
        <v>0</v>
      </c>
      <c r="M36" s="341">
        <f>'Historical BU1'!L18*Currency_conversion_BU1</f>
        <v>0</v>
      </c>
      <c r="N36" s="341">
        <f>'Historical BU1'!M18*Currency_conversion_BU1</f>
        <v>0</v>
      </c>
      <c r="O36" s="341">
        <f>'Historical BU1'!N18*Currency_conversion_BU1</f>
        <v>0</v>
      </c>
      <c r="P36" s="341">
        <f>'Historical BU1'!O18*Currency_conversion_BU1</f>
        <v>0</v>
      </c>
      <c r="Q36" s="341">
        <f>'Historical BU1'!P18*Currency_conversion_BU1</f>
        <v>0</v>
      </c>
      <c r="R36" s="341">
        <f>'Historical BU1'!Q18*Currency_conversion_BU1</f>
        <v>0</v>
      </c>
      <c r="S36" s="341">
        <f>'Historical BU1'!R18*Currency_conversion_BU1</f>
        <v>0</v>
      </c>
      <c r="T36" s="341">
        <f>'Historical BU1'!S18*Currency_conversion_BU1</f>
        <v>0</v>
      </c>
      <c r="U36" s="341">
        <f>'Historical BU1'!T18*Currency_conversion_BU1</f>
        <v>0</v>
      </c>
    </row>
    <row r="37" spans="1:21" outlineLevel="1">
      <c r="A37" s="343"/>
      <c r="B37" s="343"/>
      <c r="C37" s="343"/>
      <c r="D37" s="341" t="s">
        <v>1108</v>
      </c>
      <c r="E37" s="341">
        <f>'Historical BU2'!D18*Currency_conversion_rate_BU2</f>
        <v>0</v>
      </c>
      <c r="F37" s="341">
        <f>'Historical BU2'!E18*Currency_conversion_rate_BU2</f>
        <v>0</v>
      </c>
      <c r="G37" s="341">
        <f>'Historical BU2'!F18*Currency_conversion_rate_BU2</f>
        <v>0</v>
      </c>
      <c r="H37" s="341">
        <f>'Historical BU2'!G18*Currency_conversion_rate_BU2</f>
        <v>0</v>
      </c>
      <c r="I37" s="341">
        <f>'Historical BU2'!H18*Currency_conversion_rate_BU2</f>
        <v>0</v>
      </c>
      <c r="J37" s="341">
        <f>'Historical BU2'!I18*Currency_conversion_rate_BU2</f>
        <v>0</v>
      </c>
      <c r="K37" s="341">
        <f>'Historical BU2'!J18*Currency_conversion_rate_BU2</f>
        <v>0</v>
      </c>
      <c r="L37" s="341">
        <f>'Historical BU2'!K18*Currency_conversion_rate_BU2</f>
        <v>0</v>
      </c>
      <c r="M37" s="341">
        <f>'Historical BU2'!L18*Currency_conversion_rate_BU2</f>
        <v>0</v>
      </c>
      <c r="N37" s="341">
        <f>'Historical BU2'!M18*Currency_conversion_rate_BU2</f>
        <v>0</v>
      </c>
      <c r="O37" s="341">
        <f>'Historical BU2'!N18*Currency_conversion_rate_BU2</f>
        <v>0</v>
      </c>
      <c r="P37" s="341">
        <f>'Historical BU2'!O18*Currency_conversion_rate_BU2</f>
        <v>0</v>
      </c>
      <c r="Q37" s="341">
        <f>'Historical BU2'!P18*Currency_conversion_rate_BU2</f>
        <v>0</v>
      </c>
      <c r="R37" s="341">
        <f>'Historical BU2'!Q18*Currency_conversion_rate_BU2</f>
        <v>0</v>
      </c>
      <c r="S37" s="341">
        <f>'Historical BU2'!R18*Currency_conversion_rate_BU2</f>
        <v>0</v>
      </c>
      <c r="T37" s="341">
        <f>'Historical BU2'!S18*Currency_conversion_rate_BU2</f>
        <v>0</v>
      </c>
      <c r="U37" s="341">
        <f>'Historical BU2'!T18*Currency_conversion_rate_BU2</f>
        <v>0</v>
      </c>
    </row>
    <row r="38" spans="1:21" outlineLevel="1">
      <c r="A38" s="343"/>
      <c r="B38" s="343"/>
      <c r="C38" s="343"/>
      <c r="D38" s="341" t="s">
        <v>1109</v>
      </c>
      <c r="E38" s="341">
        <f>'Historical other'!D18*Currency_conversion_rate_other</f>
        <v>0</v>
      </c>
      <c r="F38" s="341">
        <f>'Historical other'!E18*Currency_conversion_rate_other</f>
        <v>0</v>
      </c>
      <c r="G38" s="341">
        <f>'Historical other'!F18*Currency_conversion_rate_other</f>
        <v>0</v>
      </c>
      <c r="H38" s="341">
        <f>'Historical other'!G18*Currency_conversion_rate_other</f>
        <v>0</v>
      </c>
      <c r="I38" s="341">
        <f>'Historical other'!H18*Currency_conversion_rate_other</f>
        <v>0</v>
      </c>
      <c r="J38" s="341">
        <f>'Historical other'!I18*Currency_conversion_rate_other</f>
        <v>0</v>
      </c>
      <c r="K38" s="341">
        <f>'Historical other'!J18*Currency_conversion_rate_other</f>
        <v>0</v>
      </c>
      <c r="L38" s="341">
        <f>'Historical other'!K18*Currency_conversion_rate_other</f>
        <v>0</v>
      </c>
      <c r="M38" s="341">
        <f>'Historical other'!L18*Currency_conversion_rate_other</f>
        <v>0</v>
      </c>
      <c r="N38" s="341">
        <f>'Historical other'!M18*Currency_conversion_rate_other</f>
        <v>0</v>
      </c>
      <c r="O38" s="341">
        <f>'Historical other'!N18*Currency_conversion_rate_other</f>
        <v>0</v>
      </c>
      <c r="P38" s="341">
        <f>'Historical other'!O18*Currency_conversion_rate_other</f>
        <v>0</v>
      </c>
      <c r="Q38" s="341">
        <f>'Historical other'!P18*Currency_conversion_rate_other</f>
        <v>0</v>
      </c>
      <c r="R38" s="341">
        <f>'Historical other'!Q18*Currency_conversion_rate_other</f>
        <v>0</v>
      </c>
      <c r="S38" s="341">
        <f>'Historical other'!R18*Currency_conversion_rate_other</f>
        <v>0</v>
      </c>
      <c r="T38" s="341">
        <f>'Historical other'!S18*Currency_conversion_rate_other</f>
        <v>0</v>
      </c>
      <c r="U38" s="341">
        <f>'Historical other'!T18*Currency_conversion_rate_other</f>
        <v>0</v>
      </c>
    </row>
    <row r="39" spans="1:21">
      <c r="A39" s="56" t="s">
        <v>611</v>
      </c>
      <c r="B39" s="56"/>
      <c r="C39" s="56" t="s">
        <v>971</v>
      </c>
      <c r="D39" s="56"/>
      <c r="E39" s="345">
        <f>SUM(E40:E44)</f>
        <v>0</v>
      </c>
      <c r="F39" s="345">
        <f t="shared" ref="F39:U39" si="15">SUM(F40:F44)</f>
        <v>0</v>
      </c>
      <c r="G39" s="345">
        <f t="shared" si="15"/>
        <v>0</v>
      </c>
      <c r="H39" s="345">
        <f t="shared" si="15"/>
        <v>0</v>
      </c>
      <c r="I39" s="345">
        <f t="shared" si="15"/>
        <v>0</v>
      </c>
      <c r="J39" s="345">
        <f t="shared" si="15"/>
        <v>0</v>
      </c>
      <c r="K39" s="345">
        <f t="shared" si="15"/>
        <v>0</v>
      </c>
      <c r="L39" s="345">
        <f t="shared" si="15"/>
        <v>0</v>
      </c>
      <c r="M39" s="345">
        <f t="shared" si="15"/>
        <v>0</v>
      </c>
      <c r="N39" s="345">
        <f t="shared" si="15"/>
        <v>0</v>
      </c>
      <c r="O39" s="345">
        <f t="shared" si="15"/>
        <v>0</v>
      </c>
      <c r="P39" s="345">
        <f t="shared" si="15"/>
        <v>0</v>
      </c>
      <c r="Q39" s="345">
        <f t="shared" si="15"/>
        <v>0</v>
      </c>
      <c r="R39" s="345">
        <f t="shared" si="15"/>
        <v>0</v>
      </c>
      <c r="S39" s="345">
        <f t="shared" si="15"/>
        <v>0</v>
      </c>
      <c r="T39" s="345">
        <f t="shared" si="15"/>
        <v>0</v>
      </c>
      <c r="U39" s="345">
        <f t="shared" si="15"/>
        <v>0</v>
      </c>
    </row>
    <row r="40" spans="1:21" outlineLevel="1">
      <c r="A40" s="343"/>
      <c r="B40" s="343"/>
      <c r="C40" s="343"/>
      <c r="D40" s="341" t="s">
        <v>1105</v>
      </c>
      <c r="E40" s="341">
        <f>'Consolidation adjustments'!D19</f>
        <v>0</v>
      </c>
      <c r="F40" s="341">
        <f>'Consolidation adjustments'!E19</f>
        <v>0</v>
      </c>
      <c r="G40" s="341">
        <f>'Consolidation adjustments'!F19</f>
        <v>0</v>
      </c>
      <c r="H40" s="341">
        <f>'Consolidation adjustments'!G19</f>
        <v>0</v>
      </c>
      <c r="I40" s="341">
        <f>'Consolidation adjustments'!H19</f>
        <v>0</v>
      </c>
      <c r="J40" s="341">
        <f>'Consolidation adjustments'!I19</f>
        <v>0</v>
      </c>
      <c r="K40" s="341">
        <f>'Consolidation adjustments'!J19</f>
        <v>0</v>
      </c>
      <c r="L40" s="341">
        <f>'Consolidation adjustments'!K19</f>
        <v>0</v>
      </c>
      <c r="M40" s="341">
        <f>'Consolidation adjustments'!L19</f>
        <v>0</v>
      </c>
      <c r="N40" s="341">
        <f>'Consolidation adjustments'!M19</f>
        <v>0</v>
      </c>
      <c r="O40" s="341">
        <f>'Consolidation adjustments'!N19</f>
        <v>0</v>
      </c>
      <c r="P40" s="341">
        <f>'Consolidation adjustments'!O19</f>
        <v>0</v>
      </c>
      <c r="Q40" s="341">
        <f>'Consolidation adjustments'!P19</f>
        <v>0</v>
      </c>
      <c r="R40" s="341">
        <f>'Consolidation adjustments'!Q19</f>
        <v>0</v>
      </c>
      <c r="S40" s="341">
        <f>'Consolidation adjustments'!R19</f>
        <v>0</v>
      </c>
      <c r="T40" s="341">
        <f>'Consolidation adjustments'!S19</f>
        <v>0</v>
      </c>
      <c r="U40" s="341">
        <f>'Consolidation adjustments'!T19</f>
        <v>0</v>
      </c>
    </row>
    <row r="41" spans="1:21" outlineLevel="1">
      <c r="A41" s="343"/>
      <c r="B41" s="343"/>
      <c r="C41" s="343"/>
      <c r="D41" s="341" t="s">
        <v>1106</v>
      </c>
      <c r="E41" s="341">
        <f>'Historical Holdco'!D19</f>
        <v>0</v>
      </c>
      <c r="F41" s="341">
        <f>'Historical Holdco'!E19</f>
        <v>0</v>
      </c>
      <c r="G41" s="341">
        <f>'Historical Holdco'!F19</f>
        <v>0</v>
      </c>
      <c r="H41" s="341">
        <f>'Historical Holdco'!G19</f>
        <v>0</v>
      </c>
      <c r="I41" s="341">
        <f>'Historical Holdco'!H19</f>
        <v>0</v>
      </c>
      <c r="J41" s="341">
        <f>'Historical Holdco'!I19</f>
        <v>0</v>
      </c>
      <c r="K41" s="341">
        <f>'Historical Holdco'!J19</f>
        <v>0</v>
      </c>
      <c r="L41" s="341">
        <f>'Historical Holdco'!K19</f>
        <v>0</v>
      </c>
      <c r="M41" s="341">
        <f>'Historical Holdco'!L19</f>
        <v>0</v>
      </c>
      <c r="N41" s="341">
        <f>'Historical Holdco'!M19</f>
        <v>0</v>
      </c>
      <c r="O41" s="341">
        <f>'Historical Holdco'!N19</f>
        <v>0</v>
      </c>
      <c r="P41" s="341">
        <f>'Historical Holdco'!O19</f>
        <v>0</v>
      </c>
      <c r="Q41" s="341">
        <f>'Historical Holdco'!P19</f>
        <v>0</v>
      </c>
      <c r="R41" s="341">
        <f>'Historical Holdco'!Q19</f>
        <v>0</v>
      </c>
      <c r="S41" s="341">
        <f>'Historical Holdco'!R19</f>
        <v>0</v>
      </c>
      <c r="T41" s="341">
        <f>'Historical Holdco'!S19</f>
        <v>0</v>
      </c>
      <c r="U41" s="341">
        <f>'Historical Holdco'!T19</f>
        <v>0</v>
      </c>
    </row>
    <row r="42" spans="1:21" outlineLevel="1">
      <c r="A42" s="343"/>
      <c r="B42" s="343"/>
      <c r="C42" s="343"/>
      <c r="D42" s="341" t="s">
        <v>1107</v>
      </c>
      <c r="E42" s="341">
        <f>'Historical BU1'!D19*Currency_conversion_BU1</f>
        <v>0</v>
      </c>
      <c r="F42" s="341">
        <f>'Historical BU1'!E19*Currency_conversion_BU1</f>
        <v>0</v>
      </c>
      <c r="G42" s="341">
        <f>'Historical BU1'!F19*Currency_conversion_BU1</f>
        <v>0</v>
      </c>
      <c r="H42" s="341">
        <f>'Historical BU1'!G19*Currency_conversion_BU1</f>
        <v>0</v>
      </c>
      <c r="I42" s="341">
        <f>'Historical BU1'!H19*Currency_conversion_BU1</f>
        <v>0</v>
      </c>
      <c r="J42" s="341">
        <f>'Historical BU1'!I19*Currency_conversion_BU1</f>
        <v>0</v>
      </c>
      <c r="K42" s="341">
        <f>'Historical BU1'!J19*Currency_conversion_BU1</f>
        <v>0</v>
      </c>
      <c r="L42" s="341">
        <f>'Historical BU1'!K19*Currency_conversion_BU1</f>
        <v>0</v>
      </c>
      <c r="M42" s="341">
        <f>'Historical BU1'!L19*Currency_conversion_BU1</f>
        <v>0</v>
      </c>
      <c r="N42" s="341">
        <f>'Historical BU1'!M19*Currency_conversion_BU1</f>
        <v>0</v>
      </c>
      <c r="O42" s="341">
        <f>'Historical BU1'!N19*Currency_conversion_BU1</f>
        <v>0</v>
      </c>
      <c r="P42" s="341">
        <f>'Historical BU1'!O19*Currency_conversion_BU1</f>
        <v>0</v>
      </c>
      <c r="Q42" s="341">
        <f>'Historical BU1'!P19*Currency_conversion_BU1</f>
        <v>0</v>
      </c>
      <c r="R42" s="341">
        <f>'Historical BU1'!Q19*Currency_conversion_BU1</f>
        <v>0</v>
      </c>
      <c r="S42" s="341">
        <f>'Historical BU1'!R19*Currency_conversion_BU1</f>
        <v>0</v>
      </c>
      <c r="T42" s="341">
        <f>'Historical BU1'!S19*Currency_conversion_BU1</f>
        <v>0</v>
      </c>
      <c r="U42" s="341">
        <f>'Historical BU1'!T19*Currency_conversion_BU1</f>
        <v>0</v>
      </c>
    </row>
    <row r="43" spans="1:21" outlineLevel="1">
      <c r="A43" s="343"/>
      <c r="B43" s="343"/>
      <c r="C43" s="343"/>
      <c r="D43" s="341" t="s">
        <v>1108</v>
      </c>
      <c r="E43" s="341">
        <f>'Historical BU2'!D19*Currency_conversion_rate_BU2</f>
        <v>0</v>
      </c>
      <c r="F43" s="341">
        <f>'Historical BU2'!E19*Currency_conversion_rate_BU2</f>
        <v>0</v>
      </c>
      <c r="G43" s="341">
        <f>'Historical BU2'!F19*Currency_conversion_rate_BU2</f>
        <v>0</v>
      </c>
      <c r="H43" s="341">
        <f>'Historical BU2'!G19*Currency_conversion_rate_BU2</f>
        <v>0</v>
      </c>
      <c r="I43" s="341">
        <f>'Historical BU2'!H19*Currency_conversion_rate_BU2</f>
        <v>0</v>
      </c>
      <c r="J43" s="341">
        <f>'Historical BU2'!I19*Currency_conversion_rate_BU2</f>
        <v>0</v>
      </c>
      <c r="K43" s="341">
        <f>'Historical BU2'!J19*Currency_conversion_rate_BU2</f>
        <v>0</v>
      </c>
      <c r="L43" s="341">
        <f>'Historical BU2'!K19*Currency_conversion_rate_BU2</f>
        <v>0</v>
      </c>
      <c r="M43" s="341">
        <f>'Historical BU2'!L19*Currency_conversion_rate_BU2</f>
        <v>0</v>
      </c>
      <c r="N43" s="341">
        <f>'Historical BU2'!M19*Currency_conversion_rate_BU2</f>
        <v>0</v>
      </c>
      <c r="O43" s="341">
        <f>'Historical BU2'!N19*Currency_conversion_rate_BU2</f>
        <v>0</v>
      </c>
      <c r="P43" s="341">
        <f>'Historical BU2'!O19*Currency_conversion_rate_BU2</f>
        <v>0</v>
      </c>
      <c r="Q43" s="341">
        <f>'Historical BU2'!P19*Currency_conversion_rate_BU2</f>
        <v>0</v>
      </c>
      <c r="R43" s="341">
        <f>'Historical BU2'!Q19*Currency_conversion_rate_BU2</f>
        <v>0</v>
      </c>
      <c r="S43" s="341">
        <f>'Historical BU2'!R19*Currency_conversion_rate_BU2</f>
        <v>0</v>
      </c>
      <c r="T43" s="341">
        <f>'Historical BU2'!S19*Currency_conversion_rate_BU2</f>
        <v>0</v>
      </c>
      <c r="U43" s="341">
        <f>'Historical BU2'!T19*Currency_conversion_rate_BU2</f>
        <v>0</v>
      </c>
    </row>
    <row r="44" spans="1:21" outlineLevel="1">
      <c r="A44" s="343"/>
      <c r="B44" s="343"/>
      <c r="C44" s="343"/>
      <c r="D44" s="341" t="s">
        <v>1109</v>
      </c>
      <c r="E44" s="341">
        <f>'Historical other'!D19*Currency_conversion_rate_other</f>
        <v>0</v>
      </c>
      <c r="F44" s="341">
        <f>'Historical other'!E19*Currency_conversion_rate_other</f>
        <v>0</v>
      </c>
      <c r="G44" s="341">
        <f>'Historical other'!F19*Currency_conversion_rate_other</f>
        <v>0</v>
      </c>
      <c r="H44" s="341">
        <f>'Historical other'!G19*Currency_conversion_rate_other</f>
        <v>0</v>
      </c>
      <c r="I44" s="341">
        <f>'Historical other'!H19*Currency_conversion_rate_other</f>
        <v>0</v>
      </c>
      <c r="J44" s="341">
        <f>'Historical other'!I19*Currency_conversion_rate_other</f>
        <v>0</v>
      </c>
      <c r="K44" s="341">
        <f>'Historical other'!J19*Currency_conversion_rate_other</f>
        <v>0</v>
      </c>
      <c r="L44" s="341">
        <f>'Historical other'!K19*Currency_conversion_rate_other</f>
        <v>0</v>
      </c>
      <c r="M44" s="341">
        <f>'Historical other'!L19*Currency_conversion_rate_other</f>
        <v>0</v>
      </c>
      <c r="N44" s="341">
        <f>'Historical other'!M19*Currency_conversion_rate_other</f>
        <v>0</v>
      </c>
      <c r="O44" s="341">
        <f>'Historical other'!N19*Currency_conversion_rate_other</f>
        <v>0</v>
      </c>
      <c r="P44" s="341">
        <f>'Historical other'!O19*Currency_conversion_rate_other</f>
        <v>0</v>
      </c>
      <c r="Q44" s="341">
        <f>'Historical other'!P19*Currency_conversion_rate_other</f>
        <v>0</v>
      </c>
      <c r="R44" s="341">
        <f>'Historical other'!Q19*Currency_conversion_rate_other</f>
        <v>0</v>
      </c>
      <c r="S44" s="341">
        <f>'Historical other'!R19*Currency_conversion_rate_other</f>
        <v>0</v>
      </c>
      <c r="T44" s="341">
        <f>'Historical other'!S19*Currency_conversion_rate_other</f>
        <v>0</v>
      </c>
      <c r="U44" s="341">
        <f>'Historical other'!T19*Currency_conversion_rate_other</f>
        <v>0</v>
      </c>
    </row>
    <row r="45" spans="1:21">
      <c r="A45" s="56" t="s">
        <v>171</v>
      </c>
      <c r="B45" s="56"/>
      <c r="C45" s="56" t="s">
        <v>972</v>
      </c>
      <c r="D45" s="56"/>
      <c r="E45" s="345">
        <f>SUM(E46:E50)</f>
        <v>0</v>
      </c>
      <c r="F45" s="345">
        <f t="shared" ref="F45:U45" si="16">SUM(F46:F50)</f>
        <v>0</v>
      </c>
      <c r="G45" s="345">
        <f t="shared" si="16"/>
        <v>0</v>
      </c>
      <c r="H45" s="345">
        <f t="shared" si="16"/>
        <v>0</v>
      </c>
      <c r="I45" s="345">
        <f t="shared" si="16"/>
        <v>0</v>
      </c>
      <c r="J45" s="345">
        <f t="shared" si="16"/>
        <v>0</v>
      </c>
      <c r="K45" s="345">
        <f t="shared" si="16"/>
        <v>0</v>
      </c>
      <c r="L45" s="345">
        <f t="shared" si="16"/>
        <v>0</v>
      </c>
      <c r="M45" s="345">
        <f t="shared" si="16"/>
        <v>0</v>
      </c>
      <c r="N45" s="345">
        <f t="shared" si="16"/>
        <v>0</v>
      </c>
      <c r="O45" s="345">
        <f t="shared" si="16"/>
        <v>0</v>
      </c>
      <c r="P45" s="345">
        <f t="shared" si="16"/>
        <v>0</v>
      </c>
      <c r="Q45" s="345">
        <f t="shared" si="16"/>
        <v>0</v>
      </c>
      <c r="R45" s="345">
        <f t="shared" si="16"/>
        <v>0</v>
      </c>
      <c r="S45" s="345">
        <f t="shared" si="16"/>
        <v>0</v>
      </c>
      <c r="T45" s="345">
        <f t="shared" si="16"/>
        <v>0</v>
      </c>
      <c r="U45" s="345">
        <f t="shared" si="16"/>
        <v>0</v>
      </c>
    </row>
    <row r="46" spans="1:21" outlineLevel="1">
      <c r="A46" s="343"/>
      <c r="B46" s="343"/>
      <c r="C46" s="343"/>
      <c r="D46" s="341" t="s">
        <v>1105</v>
      </c>
      <c r="E46" s="341">
        <f>'Consolidation adjustments'!D20</f>
        <v>0</v>
      </c>
      <c r="F46" s="341">
        <f>'Consolidation adjustments'!E20</f>
        <v>0</v>
      </c>
      <c r="G46" s="341">
        <f>'Consolidation adjustments'!F20</f>
        <v>0</v>
      </c>
      <c r="H46" s="341">
        <f>'Consolidation adjustments'!G20</f>
        <v>0</v>
      </c>
      <c r="I46" s="341">
        <f>'Consolidation adjustments'!H20</f>
        <v>0</v>
      </c>
      <c r="J46" s="341">
        <f>'Consolidation adjustments'!I20</f>
        <v>0</v>
      </c>
      <c r="K46" s="341">
        <f>'Consolidation adjustments'!J20</f>
        <v>0</v>
      </c>
      <c r="L46" s="341">
        <f>'Consolidation adjustments'!K20</f>
        <v>0</v>
      </c>
      <c r="M46" s="341">
        <f>'Consolidation adjustments'!L20</f>
        <v>0</v>
      </c>
      <c r="N46" s="341">
        <f>'Consolidation adjustments'!M20</f>
        <v>0</v>
      </c>
      <c r="O46" s="341">
        <f>'Consolidation adjustments'!N20</f>
        <v>0</v>
      </c>
      <c r="P46" s="341">
        <f>'Consolidation adjustments'!O20</f>
        <v>0</v>
      </c>
      <c r="Q46" s="341">
        <f>'Consolidation adjustments'!P20</f>
        <v>0</v>
      </c>
      <c r="R46" s="341">
        <f>'Consolidation adjustments'!Q20</f>
        <v>0</v>
      </c>
      <c r="S46" s="341">
        <f>'Consolidation adjustments'!R20</f>
        <v>0</v>
      </c>
      <c r="T46" s="341">
        <f>'Consolidation adjustments'!S20</f>
        <v>0</v>
      </c>
      <c r="U46" s="341">
        <f>'Consolidation adjustments'!T20</f>
        <v>0</v>
      </c>
    </row>
    <row r="47" spans="1:21" outlineLevel="1">
      <c r="A47" s="343"/>
      <c r="B47" s="343"/>
      <c r="C47" s="343"/>
      <c r="D47" s="341" t="s">
        <v>1106</v>
      </c>
      <c r="E47" s="341">
        <f>'Historical Holdco'!D20</f>
        <v>0</v>
      </c>
      <c r="F47" s="341">
        <f>'Historical Holdco'!E20</f>
        <v>0</v>
      </c>
      <c r="G47" s="341">
        <f>'Historical Holdco'!F20</f>
        <v>0</v>
      </c>
      <c r="H47" s="341">
        <f>'Historical Holdco'!G20</f>
        <v>0</v>
      </c>
      <c r="I47" s="341">
        <f>'Historical Holdco'!H20</f>
        <v>0</v>
      </c>
      <c r="J47" s="341">
        <f>'Historical Holdco'!I20</f>
        <v>0</v>
      </c>
      <c r="K47" s="341">
        <f>'Historical Holdco'!J20</f>
        <v>0</v>
      </c>
      <c r="L47" s="341">
        <f>'Historical Holdco'!K20</f>
        <v>0</v>
      </c>
      <c r="M47" s="341">
        <f>'Historical Holdco'!L20</f>
        <v>0</v>
      </c>
      <c r="N47" s="341">
        <f>'Historical Holdco'!M20</f>
        <v>0</v>
      </c>
      <c r="O47" s="341">
        <f>'Historical Holdco'!N20</f>
        <v>0</v>
      </c>
      <c r="P47" s="341">
        <f>'Historical Holdco'!O20</f>
        <v>0</v>
      </c>
      <c r="Q47" s="341">
        <f>'Historical Holdco'!P20</f>
        <v>0</v>
      </c>
      <c r="R47" s="341">
        <f>'Historical Holdco'!Q20</f>
        <v>0</v>
      </c>
      <c r="S47" s="341">
        <f>'Historical Holdco'!R20</f>
        <v>0</v>
      </c>
      <c r="T47" s="341">
        <f>'Historical Holdco'!S20</f>
        <v>0</v>
      </c>
      <c r="U47" s="341">
        <f>'Historical Holdco'!T20</f>
        <v>0</v>
      </c>
    </row>
    <row r="48" spans="1:21" outlineLevel="1">
      <c r="A48" s="343"/>
      <c r="B48" s="343"/>
      <c r="C48" s="343"/>
      <c r="D48" s="341" t="s">
        <v>1107</v>
      </c>
      <c r="E48" s="347">
        <f>'Historical BU1'!D20*Currency_conversion_BU1</f>
        <v>0</v>
      </c>
      <c r="F48" s="347">
        <f>'Historical BU1'!E20*Currency_conversion_BU1</f>
        <v>0</v>
      </c>
      <c r="G48" s="347">
        <f>'Historical BU1'!F20*Currency_conversion_BU1</f>
        <v>0</v>
      </c>
      <c r="H48" s="347">
        <f>'Historical BU1'!G20*Currency_conversion_BU1</f>
        <v>0</v>
      </c>
      <c r="I48" s="347">
        <f>'Historical BU1'!H20*Currency_conversion_BU1</f>
        <v>0</v>
      </c>
      <c r="J48" s="347">
        <f>'Historical BU1'!I20*Currency_conversion_BU1</f>
        <v>0</v>
      </c>
      <c r="K48" s="347">
        <f>'Historical BU1'!J20*Currency_conversion_BU1</f>
        <v>0</v>
      </c>
      <c r="L48" s="347">
        <f>'Historical BU1'!K20*Currency_conversion_BU1</f>
        <v>0</v>
      </c>
      <c r="M48" s="347">
        <f>'Historical BU1'!L20*Currency_conversion_BU1</f>
        <v>0</v>
      </c>
      <c r="N48" s="347">
        <f>'Historical BU1'!M20*Currency_conversion_BU1</f>
        <v>0</v>
      </c>
      <c r="O48" s="347">
        <f>'Historical BU1'!N20*Currency_conversion_BU1</f>
        <v>0</v>
      </c>
      <c r="P48" s="347">
        <f>'Historical BU1'!O20*Currency_conversion_BU1</f>
        <v>0</v>
      </c>
      <c r="Q48" s="347">
        <f>'Historical BU1'!P20*Currency_conversion_BU1</f>
        <v>0</v>
      </c>
      <c r="R48" s="347">
        <f>'Historical BU1'!Q20*Currency_conversion_BU1</f>
        <v>0</v>
      </c>
      <c r="S48" s="347">
        <f>'Historical BU1'!R20*Currency_conversion_BU1</f>
        <v>0</v>
      </c>
      <c r="T48" s="347">
        <f>'Historical BU1'!S20*Currency_conversion_BU1</f>
        <v>0</v>
      </c>
      <c r="U48" s="347">
        <f>'Historical BU1'!T20*Currency_conversion_BU1</f>
        <v>0</v>
      </c>
    </row>
    <row r="49" spans="1:21" outlineLevel="1">
      <c r="A49" s="343"/>
      <c r="B49" s="343"/>
      <c r="C49" s="343"/>
      <c r="D49" s="341" t="s">
        <v>1108</v>
      </c>
      <c r="E49" s="341">
        <f>'Historical BU2'!D20*Currency_conversion_rate_BU2</f>
        <v>0</v>
      </c>
      <c r="F49" s="341">
        <f>'Historical BU2'!E20*Currency_conversion_rate_BU2</f>
        <v>0</v>
      </c>
      <c r="G49" s="341">
        <f>'Historical BU2'!F20*Currency_conversion_rate_BU2</f>
        <v>0</v>
      </c>
      <c r="H49" s="341">
        <f>'Historical BU2'!G20*Currency_conversion_rate_BU2</f>
        <v>0</v>
      </c>
      <c r="I49" s="341">
        <f>'Historical BU2'!H20*Currency_conversion_rate_BU2</f>
        <v>0</v>
      </c>
      <c r="J49" s="341">
        <f>'Historical BU2'!I20*Currency_conversion_rate_BU2</f>
        <v>0</v>
      </c>
      <c r="K49" s="341">
        <f>'Historical BU2'!J20*Currency_conversion_rate_BU2</f>
        <v>0</v>
      </c>
      <c r="L49" s="341">
        <f>'Historical BU2'!K20*Currency_conversion_rate_BU2</f>
        <v>0</v>
      </c>
      <c r="M49" s="341">
        <f>'Historical BU2'!L20*Currency_conversion_rate_BU2</f>
        <v>0</v>
      </c>
      <c r="N49" s="341">
        <f>'Historical BU2'!M20*Currency_conversion_rate_BU2</f>
        <v>0</v>
      </c>
      <c r="O49" s="341">
        <f>'Historical BU2'!N20*Currency_conversion_rate_BU2</f>
        <v>0</v>
      </c>
      <c r="P49" s="341">
        <f>'Historical BU2'!O20*Currency_conversion_rate_BU2</f>
        <v>0</v>
      </c>
      <c r="Q49" s="341">
        <f>'Historical BU2'!P20*Currency_conversion_rate_BU2</f>
        <v>0</v>
      </c>
      <c r="R49" s="341">
        <f>'Historical BU2'!Q20*Currency_conversion_rate_BU2</f>
        <v>0</v>
      </c>
      <c r="S49" s="341">
        <f>'Historical BU2'!R20*Currency_conversion_rate_BU2</f>
        <v>0</v>
      </c>
      <c r="T49" s="341">
        <f>'Historical BU2'!S20*Currency_conversion_rate_BU2</f>
        <v>0</v>
      </c>
      <c r="U49" s="341">
        <f>'Historical BU2'!T20*Currency_conversion_rate_BU2</f>
        <v>0</v>
      </c>
    </row>
    <row r="50" spans="1:21" outlineLevel="1">
      <c r="A50" s="343"/>
      <c r="B50" s="343"/>
      <c r="C50" s="343"/>
      <c r="D50" s="341" t="s">
        <v>1109</v>
      </c>
      <c r="E50" s="341">
        <f>'Historical other'!D20*Currency_conversion_rate_other</f>
        <v>0</v>
      </c>
      <c r="F50" s="341">
        <f>'Historical other'!E20*Currency_conversion_rate_other</f>
        <v>0</v>
      </c>
      <c r="G50" s="341">
        <f>'Historical other'!F20*Currency_conversion_rate_other</f>
        <v>0</v>
      </c>
      <c r="H50" s="341">
        <f>'Historical other'!G20*Currency_conversion_rate_other</f>
        <v>0</v>
      </c>
      <c r="I50" s="341">
        <f>'Historical other'!H20*Currency_conversion_rate_other</f>
        <v>0</v>
      </c>
      <c r="J50" s="341">
        <f>'Historical other'!I20*Currency_conversion_rate_other</f>
        <v>0</v>
      </c>
      <c r="K50" s="341">
        <f>'Historical other'!J20*Currency_conversion_rate_other</f>
        <v>0</v>
      </c>
      <c r="L50" s="341">
        <f>'Historical other'!K20*Currency_conversion_rate_other</f>
        <v>0</v>
      </c>
      <c r="M50" s="341">
        <f>'Historical other'!L20*Currency_conversion_rate_other</f>
        <v>0</v>
      </c>
      <c r="N50" s="341">
        <f>'Historical other'!M20*Currency_conversion_rate_other</f>
        <v>0</v>
      </c>
      <c r="O50" s="341">
        <f>'Historical other'!N20*Currency_conversion_rate_other</f>
        <v>0</v>
      </c>
      <c r="P50" s="341">
        <f>'Historical other'!O20*Currency_conversion_rate_other</f>
        <v>0</v>
      </c>
      <c r="Q50" s="341">
        <f>'Historical other'!P20*Currency_conversion_rate_other</f>
        <v>0</v>
      </c>
      <c r="R50" s="341">
        <f>'Historical other'!Q20*Currency_conversion_rate_other</f>
        <v>0</v>
      </c>
      <c r="S50" s="341">
        <f>'Historical other'!R20*Currency_conversion_rate_other</f>
        <v>0</v>
      </c>
      <c r="T50" s="341">
        <f>'Historical other'!S20*Currency_conversion_rate_other</f>
        <v>0</v>
      </c>
      <c r="U50" s="341">
        <f>'Historical other'!T20*Currency_conversion_rate_other</f>
        <v>0</v>
      </c>
    </row>
    <row r="51" spans="1:21">
      <c r="A51" s="56"/>
      <c r="B51" s="56"/>
      <c r="C51" s="112" t="s">
        <v>973</v>
      </c>
      <c r="D51" s="112"/>
      <c r="E51" s="112">
        <f t="shared" ref="E51" si="17">depr_inc*(-E53-E59)</f>
        <v>0</v>
      </c>
      <c r="F51" s="112">
        <f t="shared" ref="F51:U51" si="18">depr_inc*(-F53-F59)</f>
        <v>0</v>
      </c>
      <c r="G51" s="112">
        <f t="shared" si="18"/>
        <v>0</v>
      </c>
      <c r="H51" s="112">
        <f t="shared" si="18"/>
        <v>0</v>
      </c>
      <c r="I51" s="112">
        <f t="shared" si="18"/>
        <v>0</v>
      </c>
      <c r="J51" s="112">
        <f t="shared" si="18"/>
        <v>0</v>
      </c>
      <c r="K51" s="112">
        <f t="shared" si="18"/>
        <v>0</v>
      </c>
      <c r="L51" s="112">
        <f t="shared" si="18"/>
        <v>0</v>
      </c>
      <c r="M51" s="112">
        <f t="shared" si="18"/>
        <v>0</v>
      </c>
      <c r="N51" s="112">
        <f t="shared" si="18"/>
        <v>0</v>
      </c>
      <c r="O51" s="112">
        <f t="shared" si="18"/>
        <v>0</v>
      </c>
      <c r="P51" s="112">
        <f t="shared" si="18"/>
        <v>0</v>
      </c>
      <c r="Q51" s="112">
        <f t="shared" si="18"/>
        <v>0</v>
      </c>
      <c r="R51" s="112">
        <f t="shared" si="18"/>
        <v>0</v>
      </c>
      <c r="S51" s="112">
        <f t="shared" si="18"/>
        <v>0</v>
      </c>
      <c r="T51" s="112">
        <f t="shared" si="18"/>
        <v>0</v>
      </c>
      <c r="U51" s="112">
        <f t="shared" si="18"/>
        <v>0</v>
      </c>
    </row>
    <row r="52" spans="1:21">
      <c r="A52" s="56"/>
      <c r="B52" s="56"/>
      <c r="C52" s="98" t="s">
        <v>684</v>
      </c>
      <c r="D52" s="98"/>
      <c r="E52" s="346">
        <f>E26+E27+E33+E39+E45+E51</f>
        <v>0</v>
      </c>
      <c r="F52" s="346">
        <f t="shared" ref="F52:U52" si="19">F26+F27+F33+F39+F45+F51</f>
        <v>0</v>
      </c>
      <c r="G52" s="346">
        <f t="shared" si="19"/>
        <v>0</v>
      </c>
      <c r="H52" s="346">
        <f t="shared" si="19"/>
        <v>0</v>
      </c>
      <c r="I52" s="346">
        <f t="shared" si="19"/>
        <v>0</v>
      </c>
      <c r="J52" s="346">
        <f t="shared" si="19"/>
        <v>0</v>
      </c>
      <c r="K52" s="346">
        <f t="shared" si="19"/>
        <v>0</v>
      </c>
      <c r="L52" s="346">
        <f t="shared" si="19"/>
        <v>0</v>
      </c>
      <c r="M52" s="346">
        <f t="shared" si="19"/>
        <v>0</v>
      </c>
      <c r="N52" s="346">
        <f t="shared" si="19"/>
        <v>0</v>
      </c>
      <c r="O52" s="346">
        <f t="shared" si="19"/>
        <v>0</v>
      </c>
      <c r="P52" s="346">
        <f t="shared" si="19"/>
        <v>0</v>
      </c>
      <c r="Q52" s="346">
        <f t="shared" si="19"/>
        <v>0</v>
      </c>
      <c r="R52" s="346">
        <f t="shared" si="19"/>
        <v>0</v>
      </c>
      <c r="S52" s="346">
        <f t="shared" si="19"/>
        <v>0</v>
      </c>
      <c r="T52" s="346">
        <f t="shared" si="19"/>
        <v>0</v>
      </c>
      <c r="U52" s="346">
        <f t="shared" si="19"/>
        <v>0</v>
      </c>
    </row>
    <row r="53" spans="1:21">
      <c r="A53" s="56" t="s">
        <v>675</v>
      </c>
      <c r="B53" s="56"/>
      <c r="C53" s="112" t="s">
        <v>202</v>
      </c>
      <c r="D53" s="112"/>
      <c r="E53" s="348">
        <f>SUM(E54:E58)</f>
        <v>0</v>
      </c>
      <c r="F53" s="348">
        <f t="shared" ref="F53:U53" si="20">SUM(F54:F58)</f>
        <v>0</v>
      </c>
      <c r="G53" s="348">
        <f t="shared" si="20"/>
        <v>0</v>
      </c>
      <c r="H53" s="348">
        <f t="shared" si="20"/>
        <v>0</v>
      </c>
      <c r="I53" s="348">
        <f t="shared" si="20"/>
        <v>0</v>
      </c>
      <c r="J53" s="348">
        <f t="shared" si="20"/>
        <v>0</v>
      </c>
      <c r="K53" s="348">
        <f t="shared" si="20"/>
        <v>0</v>
      </c>
      <c r="L53" s="348">
        <f t="shared" si="20"/>
        <v>0</v>
      </c>
      <c r="M53" s="348">
        <f t="shared" si="20"/>
        <v>0</v>
      </c>
      <c r="N53" s="348">
        <f t="shared" si="20"/>
        <v>0</v>
      </c>
      <c r="O53" s="348">
        <f t="shared" si="20"/>
        <v>0</v>
      </c>
      <c r="P53" s="348">
        <f t="shared" si="20"/>
        <v>0</v>
      </c>
      <c r="Q53" s="348">
        <f t="shared" si="20"/>
        <v>0</v>
      </c>
      <c r="R53" s="348">
        <f t="shared" si="20"/>
        <v>0</v>
      </c>
      <c r="S53" s="348">
        <f t="shared" si="20"/>
        <v>0</v>
      </c>
      <c r="T53" s="348">
        <f t="shared" si="20"/>
        <v>0</v>
      </c>
      <c r="U53" s="348">
        <f t="shared" si="20"/>
        <v>0</v>
      </c>
    </row>
    <row r="54" spans="1:21" outlineLevel="1">
      <c r="A54" s="343"/>
      <c r="B54" s="343"/>
      <c r="C54" s="343"/>
      <c r="D54" s="341" t="s">
        <v>1105</v>
      </c>
      <c r="E54" s="341">
        <f>'Consolidation adjustments'!D23</f>
        <v>0</v>
      </c>
      <c r="F54" s="341">
        <f>'Consolidation adjustments'!E23</f>
        <v>0</v>
      </c>
      <c r="G54" s="341">
        <f>'Consolidation adjustments'!F23</f>
        <v>0</v>
      </c>
      <c r="H54" s="341">
        <f>'Consolidation adjustments'!G23</f>
        <v>0</v>
      </c>
      <c r="I54" s="341">
        <f>'Consolidation adjustments'!H23</f>
        <v>0</v>
      </c>
      <c r="J54" s="341">
        <f>'Consolidation adjustments'!I23</f>
        <v>0</v>
      </c>
      <c r="K54" s="341">
        <f>'Consolidation adjustments'!J23</f>
        <v>0</v>
      </c>
      <c r="L54" s="341">
        <f>'Consolidation adjustments'!K23</f>
        <v>0</v>
      </c>
      <c r="M54" s="341">
        <f>'Consolidation adjustments'!L23</f>
        <v>0</v>
      </c>
      <c r="N54" s="341">
        <f>'Consolidation adjustments'!M23</f>
        <v>0</v>
      </c>
      <c r="O54" s="341">
        <f>'Consolidation adjustments'!N23</f>
        <v>0</v>
      </c>
      <c r="P54" s="341">
        <f>'Consolidation adjustments'!O23</f>
        <v>0</v>
      </c>
      <c r="Q54" s="341">
        <f>'Consolidation adjustments'!P23</f>
        <v>0</v>
      </c>
      <c r="R54" s="341">
        <f>'Consolidation adjustments'!Q23</f>
        <v>0</v>
      </c>
      <c r="S54" s="341">
        <f>'Consolidation adjustments'!R23</f>
        <v>0</v>
      </c>
      <c r="T54" s="341">
        <f>'Consolidation adjustments'!S23</f>
        <v>0</v>
      </c>
      <c r="U54" s="341">
        <f>'Consolidation adjustments'!T23</f>
        <v>0</v>
      </c>
    </row>
    <row r="55" spans="1:21" outlineLevel="1">
      <c r="A55" s="343"/>
      <c r="B55" s="343"/>
      <c r="C55" s="343"/>
      <c r="D55" s="341" t="s">
        <v>1106</v>
      </c>
      <c r="E55" s="341">
        <f>'Historical Holdco'!D23</f>
        <v>0</v>
      </c>
      <c r="F55" s="341">
        <f>'Historical Holdco'!E23</f>
        <v>0</v>
      </c>
      <c r="G55" s="341">
        <f>'Historical Holdco'!F23</f>
        <v>0</v>
      </c>
      <c r="H55" s="341">
        <f>'Historical Holdco'!G23</f>
        <v>0</v>
      </c>
      <c r="I55" s="341">
        <f>'Historical Holdco'!H23</f>
        <v>0</v>
      </c>
      <c r="J55" s="341">
        <f>'Historical Holdco'!I23</f>
        <v>0</v>
      </c>
      <c r="K55" s="341">
        <f>'Historical Holdco'!J23</f>
        <v>0</v>
      </c>
      <c r="L55" s="341">
        <f>'Historical Holdco'!K23</f>
        <v>0</v>
      </c>
      <c r="M55" s="341">
        <f>'Historical Holdco'!L23</f>
        <v>0</v>
      </c>
      <c r="N55" s="341">
        <f>'Historical Holdco'!M23</f>
        <v>0</v>
      </c>
      <c r="O55" s="341">
        <f>'Historical Holdco'!N23</f>
        <v>0</v>
      </c>
      <c r="P55" s="341">
        <f>'Historical Holdco'!O23</f>
        <v>0</v>
      </c>
      <c r="Q55" s="341">
        <f>'Historical Holdco'!P23</f>
        <v>0</v>
      </c>
      <c r="R55" s="341">
        <f>'Historical Holdco'!Q23</f>
        <v>0</v>
      </c>
      <c r="S55" s="341">
        <f>'Historical Holdco'!R23</f>
        <v>0</v>
      </c>
      <c r="T55" s="341">
        <f>'Historical Holdco'!S23</f>
        <v>0</v>
      </c>
      <c r="U55" s="341">
        <f>'Historical Holdco'!T23</f>
        <v>0</v>
      </c>
    </row>
    <row r="56" spans="1:21" outlineLevel="1">
      <c r="A56" s="343"/>
      <c r="B56" s="343"/>
      <c r="C56" s="343"/>
      <c r="D56" s="341" t="s">
        <v>1107</v>
      </c>
      <c r="E56" s="347">
        <f>'Historical BU1'!D23*Currency_conversion_BU1</f>
        <v>0</v>
      </c>
      <c r="F56" s="347">
        <f>'Historical BU1'!E23*Currency_conversion_BU1</f>
        <v>0</v>
      </c>
      <c r="G56" s="347">
        <f>'Historical BU1'!F23*Currency_conversion_BU1</f>
        <v>0</v>
      </c>
      <c r="H56" s="347">
        <f>'Historical BU1'!G23*Currency_conversion_BU1</f>
        <v>0</v>
      </c>
      <c r="I56" s="347">
        <f>'Historical BU1'!H23*Currency_conversion_BU1</f>
        <v>0</v>
      </c>
      <c r="J56" s="347">
        <f>'Historical BU1'!I23*Currency_conversion_BU1</f>
        <v>0</v>
      </c>
      <c r="K56" s="347">
        <f>'Historical BU1'!J23*Currency_conversion_BU1</f>
        <v>0</v>
      </c>
      <c r="L56" s="347">
        <f>'Historical BU1'!K23*Currency_conversion_BU1</f>
        <v>0</v>
      </c>
      <c r="M56" s="347">
        <f>'Historical BU1'!L23*Currency_conversion_BU1</f>
        <v>0</v>
      </c>
      <c r="N56" s="347">
        <f>'Historical BU1'!M23*Currency_conversion_BU1</f>
        <v>0</v>
      </c>
      <c r="O56" s="347">
        <f>'Historical BU1'!N23*Currency_conversion_BU1</f>
        <v>0</v>
      </c>
      <c r="P56" s="347">
        <f>'Historical BU1'!O23*Currency_conversion_BU1</f>
        <v>0</v>
      </c>
      <c r="Q56" s="347">
        <f>'Historical BU1'!P23*Currency_conversion_BU1</f>
        <v>0</v>
      </c>
      <c r="R56" s="347">
        <f>'Historical BU1'!Q23*Currency_conversion_BU1</f>
        <v>0</v>
      </c>
      <c r="S56" s="347">
        <f>'Historical BU1'!R23*Currency_conversion_BU1</f>
        <v>0</v>
      </c>
      <c r="T56" s="347">
        <f>'Historical BU1'!S23*Currency_conversion_BU1</f>
        <v>0</v>
      </c>
      <c r="U56" s="347">
        <f>'Historical BU1'!T23*Currency_conversion_BU1</f>
        <v>0</v>
      </c>
    </row>
    <row r="57" spans="1:21" outlineLevel="1">
      <c r="A57" s="343"/>
      <c r="B57" s="343"/>
      <c r="C57" s="343"/>
      <c r="D57" s="341" t="s">
        <v>1108</v>
      </c>
      <c r="E57" s="341">
        <f>'Historical BU2'!D23*Currency_conversion_rate_BU2</f>
        <v>0</v>
      </c>
      <c r="F57" s="341">
        <f>'Historical BU2'!E23*Currency_conversion_rate_BU2</f>
        <v>0</v>
      </c>
      <c r="G57" s="341">
        <f>'Historical BU2'!F23*Currency_conversion_rate_BU2</f>
        <v>0</v>
      </c>
      <c r="H57" s="341">
        <f>'Historical BU2'!G23*Currency_conversion_rate_BU2</f>
        <v>0</v>
      </c>
      <c r="I57" s="341">
        <f>'Historical BU2'!H23*Currency_conversion_rate_BU2</f>
        <v>0</v>
      </c>
      <c r="J57" s="341">
        <f>'Historical BU2'!I23*Currency_conversion_rate_BU2</f>
        <v>0</v>
      </c>
      <c r="K57" s="341">
        <f>'Historical BU2'!J23*Currency_conversion_rate_BU2</f>
        <v>0</v>
      </c>
      <c r="L57" s="341">
        <f>'Historical BU2'!K23*Currency_conversion_rate_BU2</f>
        <v>0</v>
      </c>
      <c r="M57" s="341">
        <f>'Historical BU2'!L23*Currency_conversion_rate_BU2</f>
        <v>0</v>
      </c>
      <c r="N57" s="341">
        <f>'Historical BU2'!M23*Currency_conversion_rate_BU2</f>
        <v>0</v>
      </c>
      <c r="O57" s="341">
        <f>'Historical BU2'!N23*Currency_conversion_rate_BU2</f>
        <v>0</v>
      </c>
      <c r="P57" s="341">
        <f>'Historical BU2'!O23*Currency_conversion_rate_BU2</f>
        <v>0</v>
      </c>
      <c r="Q57" s="341">
        <f>'Historical BU2'!P23*Currency_conversion_rate_BU2</f>
        <v>0</v>
      </c>
      <c r="R57" s="341">
        <f>'Historical BU2'!Q23*Currency_conversion_rate_BU2</f>
        <v>0</v>
      </c>
      <c r="S57" s="341">
        <f>'Historical BU2'!R23*Currency_conversion_rate_BU2</f>
        <v>0</v>
      </c>
      <c r="T57" s="341">
        <f>'Historical BU2'!S23*Currency_conversion_rate_BU2</f>
        <v>0</v>
      </c>
      <c r="U57" s="341">
        <f>'Historical BU2'!T23*Currency_conversion_rate_BU2</f>
        <v>0</v>
      </c>
    </row>
    <row r="58" spans="1:21" outlineLevel="1">
      <c r="A58" s="343"/>
      <c r="B58" s="343"/>
      <c r="C58" s="343"/>
      <c r="D58" s="341" t="s">
        <v>1109</v>
      </c>
      <c r="E58" s="341">
        <f>'Historical other'!D23*Currency_conversion_rate_other</f>
        <v>0</v>
      </c>
      <c r="F58" s="341">
        <f>'Historical other'!E23*Currency_conversion_rate_other</f>
        <v>0</v>
      </c>
      <c r="G58" s="341">
        <f>'Historical other'!F23*Currency_conversion_rate_other</f>
        <v>0</v>
      </c>
      <c r="H58" s="341">
        <f>'Historical other'!G23*Currency_conversion_rate_other</f>
        <v>0</v>
      </c>
      <c r="I58" s="341">
        <f>'Historical other'!H23*Currency_conversion_rate_other</f>
        <v>0</v>
      </c>
      <c r="J58" s="341">
        <f>'Historical other'!I23*Currency_conversion_rate_other</f>
        <v>0</v>
      </c>
      <c r="K58" s="341">
        <f>'Historical other'!J23*Currency_conversion_rate_other</f>
        <v>0</v>
      </c>
      <c r="L58" s="341">
        <f>'Historical other'!K23*Currency_conversion_rate_other</f>
        <v>0</v>
      </c>
      <c r="M58" s="341">
        <f>'Historical other'!L23*Currency_conversion_rate_other</f>
        <v>0</v>
      </c>
      <c r="N58" s="341">
        <f>'Historical other'!M23*Currency_conversion_rate_other</f>
        <v>0</v>
      </c>
      <c r="O58" s="341">
        <f>'Historical other'!N23*Currency_conversion_rate_other</f>
        <v>0</v>
      </c>
      <c r="P58" s="341">
        <f>'Historical other'!O23*Currency_conversion_rate_other</f>
        <v>0</v>
      </c>
      <c r="Q58" s="341">
        <f>'Historical other'!P23*Currency_conversion_rate_other</f>
        <v>0</v>
      </c>
      <c r="R58" s="341">
        <f>'Historical other'!Q23*Currency_conversion_rate_other</f>
        <v>0</v>
      </c>
      <c r="S58" s="341">
        <f>'Historical other'!R23*Currency_conversion_rate_other</f>
        <v>0</v>
      </c>
      <c r="T58" s="341">
        <f>'Historical other'!S23*Currency_conversion_rate_other</f>
        <v>0</v>
      </c>
      <c r="U58" s="341">
        <f>'Historical other'!T23*Currency_conversion_rate_other</f>
        <v>0</v>
      </c>
    </row>
    <row r="59" spans="1:21">
      <c r="A59" s="56" t="s">
        <v>676</v>
      </c>
      <c r="B59" s="56"/>
      <c r="C59" s="112" t="s">
        <v>203</v>
      </c>
      <c r="D59" s="112"/>
      <c r="E59" s="348">
        <f>SUM(E60:E64)</f>
        <v>0</v>
      </c>
      <c r="F59" s="348">
        <f t="shared" ref="F59:U59" si="21">SUM(F60:F64)</f>
        <v>0</v>
      </c>
      <c r="G59" s="348">
        <f t="shared" si="21"/>
        <v>0</v>
      </c>
      <c r="H59" s="348">
        <f t="shared" si="21"/>
        <v>0</v>
      </c>
      <c r="I59" s="348">
        <f t="shared" si="21"/>
        <v>0</v>
      </c>
      <c r="J59" s="348">
        <f t="shared" si="21"/>
        <v>0</v>
      </c>
      <c r="K59" s="348">
        <f t="shared" si="21"/>
        <v>0</v>
      </c>
      <c r="L59" s="348">
        <f t="shared" si="21"/>
        <v>0</v>
      </c>
      <c r="M59" s="348">
        <f t="shared" si="21"/>
        <v>0</v>
      </c>
      <c r="N59" s="348">
        <f t="shared" si="21"/>
        <v>0</v>
      </c>
      <c r="O59" s="348">
        <f t="shared" si="21"/>
        <v>0</v>
      </c>
      <c r="P59" s="348">
        <f t="shared" si="21"/>
        <v>0</v>
      </c>
      <c r="Q59" s="348">
        <f t="shared" si="21"/>
        <v>0</v>
      </c>
      <c r="R59" s="348">
        <f t="shared" si="21"/>
        <v>0</v>
      </c>
      <c r="S59" s="348">
        <f t="shared" si="21"/>
        <v>0</v>
      </c>
      <c r="T59" s="348">
        <f t="shared" si="21"/>
        <v>0</v>
      </c>
      <c r="U59" s="348">
        <f t="shared" si="21"/>
        <v>0</v>
      </c>
    </row>
    <row r="60" spans="1:21" outlineLevel="1">
      <c r="A60" s="343"/>
      <c r="B60" s="343"/>
      <c r="C60" s="343"/>
      <c r="D60" s="341" t="s">
        <v>1105</v>
      </c>
      <c r="E60" s="341">
        <f>'Consolidation adjustments'!D24</f>
        <v>0</v>
      </c>
      <c r="F60" s="341">
        <f>'Consolidation adjustments'!E24</f>
        <v>0</v>
      </c>
      <c r="G60" s="341">
        <f>'Consolidation adjustments'!F24</f>
        <v>0</v>
      </c>
      <c r="H60" s="341">
        <f>'Consolidation adjustments'!G24</f>
        <v>0</v>
      </c>
      <c r="I60" s="341">
        <f>'Consolidation adjustments'!H24</f>
        <v>0</v>
      </c>
      <c r="J60" s="341">
        <f>'Consolidation adjustments'!I24</f>
        <v>0</v>
      </c>
      <c r="K60" s="341">
        <f>'Consolidation adjustments'!J24</f>
        <v>0</v>
      </c>
      <c r="L60" s="341">
        <f>'Consolidation adjustments'!K24</f>
        <v>0</v>
      </c>
      <c r="M60" s="341">
        <f>'Consolidation adjustments'!L24</f>
        <v>0</v>
      </c>
      <c r="N60" s="341">
        <f>'Consolidation adjustments'!M24</f>
        <v>0</v>
      </c>
      <c r="O60" s="341">
        <f>'Consolidation adjustments'!N24</f>
        <v>0</v>
      </c>
      <c r="P60" s="341">
        <f>'Consolidation adjustments'!O24</f>
        <v>0</v>
      </c>
      <c r="Q60" s="341">
        <f>'Consolidation adjustments'!P24</f>
        <v>0</v>
      </c>
      <c r="R60" s="341">
        <f>'Consolidation adjustments'!Q24</f>
        <v>0</v>
      </c>
      <c r="S60" s="341">
        <f>'Consolidation adjustments'!R24</f>
        <v>0</v>
      </c>
      <c r="T60" s="341">
        <f>'Consolidation adjustments'!S24</f>
        <v>0</v>
      </c>
      <c r="U60" s="341">
        <f>'Consolidation adjustments'!T24</f>
        <v>0</v>
      </c>
    </row>
    <row r="61" spans="1:21" outlineLevel="1">
      <c r="A61" s="343"/>
      <c r="B61" s="343"/>
      <c r="C61" s="343"/>
      <c r="D61" s="341" t="s">
        <v>1106</v>
      </c>
      <c r="E61" s="341">
        <f>'Historical Holdco'!D24</f>
        <v>0</v>
      </c>
      <c r="F61" s="341">
        <f>'Historical Holdco'!E24</f>
        <v>0</v>
      </c>
      <c r="G61" s="341">
        <f>'Historical Holdco'!F24</f>
        <v>0</v>
      </c>
      <c r="H61" s="341">
        <f>'Historical Holdco'!G24</f>
        <v>0</v>
      </c>
      <c r="I61" s="341">
        <f>'Historical Holdco'!H24</f>
        <v>0</v>
      </c>
      <c r="J61" s="341">
        <f>'Historical Holdco'!I24</f>
        <v>0</v>
      </c>
      <c r="K61" s="341">
        <f>'Historical Holdco'!J24</f>
        <v>0</v>
      </c>
      <c r="L61" s="341">
        <f>'Historical Holdco'!K24</f>
        <v>0</v>
      </c>
      <c r="M61" s="341">
        <f>'Historical Holdco'!L24</f>
        <v>0</v>
      </c>
      <c r="N61" s="341">
        <f>'Historical Holdco'!M24</f>
        <v>0</v>
      </c>
      <c r="O61" s="341">
        <f>'Historical Holdco'!N24</f>
        <v>0</v>
      </c>
      <c r="P61" s="341">
        <f>'Historical Holdco'!O24</f>
        <v>0</v>
      </c>
      <c r="Q61" s="341">
        <f>'Historical Holdco'!P24</f>
        <v>0</v>
      </c>
      <c r="R61" s="341">
        <f>'Historical Holdco'!Q24</f>
        <v>0</v>
      </c>
      <c r="S61" s="341">
        <f>'Historical Holdco'!R24</f>
        <v>0</v>
      </c>
      <c r="T61" s="341">
        <f>'Historical Holdco'!S24</f>
        <v>0</v>
      </c>
      <c r="U61" s="341">
        <f>'Historical Holdco'!T24</f>
        <v>0</v>
      </c>
    </row>
    <row r="62" spans="1:21" outlineLevel="1">
      <c r="A62" s="343"/>
      <c r="B62" s="343"/>
      <c r="C62" s="343"/>
      <c r="D62" s="341" t="s">
        <v>1107</v>
      </c>
      <c r="E62" s="347">
        <f>'Historical BU1'!D24*Currency_conversion_BU1</f>
        <v>0</v>
      </c>
      <c r="F62" s="347">
        <f>'Historical BU1'!E24*Currency_conversion_BU1</f>
        <v>0</v>
      </c>
      <c r="G62" s="347">
        <f>'Historical BU1'!F24*Currency_conversion_BU1</f>
        <v>0</v>
      </c>
      <c r="H62" s="347">
        <f>'Historical BU1'!G24*Currency_conversion_BU1</f>
        <v>0</v>
      </c>
      <c r="I62" s="347">
        <f>'Historical BU1'!H24*Currency_conversion_BU1</f>
        <v>0</v>
      </c>
      <c r="J62" s="347">
        <f>'Historical BU1'!I24*Currency_conversion_BU1</f>
        <v>0</v>
      </c>
      <c r="K62" s="347">
        <f>'Historical BU1'!J24*Currency_conversion_BU1</f>
        <v>0</v>
      </c>
      <c r="L62" s="347">
        <f>'Historical BU1'!K24*Currency_conversion_BU1</f>
        <v>0</v>
      </c>
      <c r="M62" s="347">
        <f>'Historical BU1'!L24*Currency_conversion_BU1</f>
        <v>0</v>
      </c>
      <c r="N62" s="347">
        <f>'Historical BU1'!M24*Currency_conversion_BU1</f>
        <v>0</v>
      </c>
      <c r="O62" s="347">
        <f>'Historical BU1'!N24*Currency_conversion_BU1</f>
        <v>0</v>
      </c>
      <c r="P62" s="347">
        <f>'Historical BU1'!O24*Currency_conversion_BU1</f>
        <v>0</v>
      </c>
      <c r="Q62" s="347">
        <f>'Historical BU1'!P24*Currency_conversion_BU1</f>
        <v>0</v>
      </c>
      <c r="R62" s="347">
        <f>'Historical BU1'!Q24*Currency_conversion_BU1</f>
        <v>0</v>
      </c>
      <c r="S62" s="347">
        <f>'Historical BU1'!R24*Currency_conversion_BU1</f>
        <v>0</v>
      </c>
      <c r="T62" s="347">
        <f>'Historical BU1'!S24*Currency_conversion_BU1</f>
        <v>0</v>
      </c>
      <c r="U62" s="347">
        <f>'Historical BU1'!T24*Currency_conversion_BU1</f>
        <v>0</v>
      </c>
    </row>
    <row r="63" spans="1:21" outlineLevel="1">
      <c r="A63" s="343"/>
      <c r="B63" s="343"/>
      <c r="C63" s="343"/>
      <c r="D63" s="341" t="s">
        <v>1108</v>
      </c>
      <c r="E63" s="341">
        <f>'Historical BU2'!D24*Currency_conversion_rate_BU2</f>
        <v>0</v>
      </c>
      <c r="F63" s="341">
        <f>'Historical BU2'!E24*Currency_conversion_rate_BU2</f>
        <v>0</v>
      </c>
      <c r="G63" s="341">
        <f>'Historical BU2'!F24*Currency_conversion_rate_BU2</f>
        <v>0</v>
      </c>
      <c r="H63" s="341">
        <f>'Historical BU2'!G24*Currency_conversion_rate_BU2</f>
        <v>0</v>
      </c>
      <c r="I63" s="341">
        <f>'Historical BU2'!H24*Currency_conversion_rate_BU2</f>
        <v>0</v>
      </c>
      <c r="J63" s="341">
        <f>'Historical BU2'!I24*Currency_conversion_rate_BU2</f>
        <v>0</v>
      </c>
      <c r="K63" s="341">
        <f>'Historical BU2'!J24*Currency_conversion_rate_BU2</f>
        <v>0</v>
      </c>
      <c r="L63" s="341">
        <f>'Historical BU2'!K24*Currency_conversion_rate_BU2</f>
        <v>0</v>
      </c>
      <c r="M63" s="341">
        <f>'Historical BU2'!L24*Currency_conversion_rate_BU2</f>
        <v>0</v>
      </c>
      <c r="N63" s="341">
        <f>'Historical BU2'!M24*Currency_conversion_rate_BU2</f>
        <v>0</v>
      </c>
      <c r="O63" s="341">
        <f>'Historical BU2'!N24*Currency_conversion_rate_BU2</f>
        <v>0</v>
      </c>
      <c r="P63" s="341">
        <f>'Historical BU2'!O24*Currency_conversion_rate_BU2</f>
        <v>0</v>
      </c>
      <c r="Q63" s="341">
        <f>'Historical BU2'!P24*Currency_conversion_rate_BU2</f>
        <v>0</v>
      </c>
      <c r="R63" s="341">
        <f>'Historical BU2'!Q24*Currency_conversion_rate_BU2</f>
        <v>0</v>
      </c>
      <c r="S63" s="341">
        <f>'Historical BU2'!R24*Currency_conversion_rate_BU2</f>
        <v>0</v>
      </c>
      <c r="T63" s="341">
        <f>'Historical BU2'!S24*Currency_conversion_rate_BU2</f>
        <v>0</v>
      </c>
      <c r="U63" s="341">
        <f>'Historical BU2'!T24*Currency_conversion_rate_BU2</f>
        <v>0</v>
      </c>
    </row>
    <row r="64" spans="1:21" outlineLevel="1">
      <c r="A64" s="343"/>
      <c r="B64" s="343"/>
      <c r="C64" s="343"/>
      <c r="D64" s="341" t="s">
        <v>1109</v>
      </c>
      <c r="E64" s="341">
        <f>'Historical other'!D24*Currency_conversion_rate_other</f>
        <v>0</v>
      </c>
      <c r="F64" s="341">
        <f>'Historical other'!E24*Currency_conversion_rate_other</f>
        <v>0</v>
      </c>
      <c r="G64" s="341">
        <f>'Historical other'!F24*Currency_conversion_rate_other</f>
        <v>0</v>
      </c>
      <c r="H64" s="341">
        <f>'Historical other'!G24*Currency_conversion_rate_other</f>
        <v>0</v>
      </c>
      <c r="I64" s="341">
        <f>'Historical other'!H24*Currency_conversion_rate_other</f>
        <v>0</v>
      </c>
      <c r="J64" s="341">
        <f>'Historical other'!I24*Currency_conversion_rate_other</f>
        <v>0</v>
      </c>
      <c r="K64" s="341">
        <f>'Historical other'!J24*Currency_conversion_rate_other</f>
        <v>0</v>
      </c>
      <c r="L64" s="341">
        <f>'Historical other'!K24*Currency_conversion_rate_other</f>
        <v>0</v>
      </c>
      <c r="M64" s="341">
        <f>'Historical other'!L24*Currency_conversion_rate_other</f>
        <v>0</v>
      </c>
      <c r="N64" s="341">
        <f>'Historical other'!M24*Currency_conversion_rate_other</f>
        <v>0</v>
      </c>
      <c r="O64" s="341">
        <f>'Historical other'!N24*Currency_conversion_rate_other</f>
        <v>0</v>
      </c>
      <c r="P64" s="341">
        <f>'Historical other'!O24*Currency_conversion_rate_other</f>
        <v>0</v>
      </c>
      <c r="Q64" s="341">
        <f>'Historical other'!P24*Currency_conversion_rate_other</f>
        <v>0</v>
      </c>
      <c r="R64" s="341">
        <f>'Historical other'!Q24*Currency_conversion_rate_other</f>
        <v>0</v>
      </c>
      <c r="S64" s="341">
        <f>'Historical other'!R24*Currency_conversion_rate_other</f>
        <v>0</v>
      </c>
      <c r="T64" s="341">
        <f>'Historical other'!S24*Currency_conversion_rate_other</f>
        <v>0</v>
      </c>
      <c r="U64" s="341">
        <f>'Historical other'!T24*Currency_conversion_rate_other</f>
        <v>0</v>
      </c>
    </row>
    <row r="65" spans="1:21">
      <c r="A65" s="98"/>
      <c r="B65" s="98"/>
      <c r="C65" s="98" t="s">
        <v>204</v>
      </c>
      <c r="D65" s="98"/>
      <c r="E65" s="346">
        <f>E52+E53+E59</f>
        <v>0</v>
      </c>
      <c r="F65" s="346">
        <f t="shared" ref="F65:U65" si="22">F52+F53+F59</f>
        <v>0</v>
      </c>
      <c r="G65" s="346">
        <f t="shared" si="22"/>
        <v>0</v>
      </c>
      <c r="H65" s="346">
        <f t="shared" si="22"/>
        <v>0</v>
      </c>
      <c r="I65" s="346">
        <f t="shared" si="22"/>
        <v>0</v>
      </c>
      <c r="J65" s="346">
        <f t="shared" si="22"/>
        <v>0</v>
      </c>
      <c r="K65" s="346">
        <f t="shared" si="22"/>
        <v>0</v>
      </c>
      <c r="L65" s="346">
        <f t="shared" si="22"/>
        <v>0</v>
      </c>
      <c r="M65" s="346">
        <f t="shared" si="22"/>
        <v>0</v>
      </c>
      <c r="N65" s="346">
        <f t="shared" si="22"/>
        <v>0</v>
      </c>
      <c r="O65" s="346">
        <f t="shared" si="22"/>
        <v>0</v>
      </c>
      <c r="P65" s="346">
        <f t="shared" si="22"/>
        <v>0</v>
      </c>
      <c r="Q65" s="346">
        <f t="shared" si="22"/>
        <v>0</v>
      </c>
      <c r="R65" s="346">
        <f t="shared" si="22"/>
        <v>0</v>
      </c>
      <c r="S65" s="346">
        <f t="shared" si="22"/>
        <v>0</v>
      </c>
      <c r="T65" s="346">
        <f t="shared" si="22"/>
        <v>0</v>
      </c>
      <c r="U65" s="346">
        <f t="shared" si="22"/>
        <v>0</v>
      </c>
    </row>
    <row r="66" spans="1:21">
      <c r="A66" s="56" t="s">
        <v>628</v>
      </c>
      <c r="B66" s="56"/>
      <c r="C66" s="56" t="s">
        <v>974</v>
      </c>
      <c r="D66" s="56"/>
      <c r="E66" s="345">
        <f>SUM(E67:E71)</f>
        <v>0</v>
      </c>
      <c r="F66" s="345">
        <f t="shared" ref="F66:U66" si="23">SUM(F67:F71)</f>
        <v>0</v>
      </c>
      <c r="G66" s="345">
        <f t="shared" si="23"/>
        <v>0</v>
      </c>
      <c r="H66" s="345">
        <f t="shared" si="23"/>
        <v>0</v>
      </c>
      <c r="I66" s="345">
        <f t="shared" si="23"/>
        <v>0</v>
      </c>
      <c r="J66" s="345">
        <f t="shared" si="23"/>
        <v>0</v>
      </c>
      <c r="K66" s="345">
        <f t="shared" si="23"/>
        <v>0</v>
      </c>
      <c r="L66" s="345">
        <f t="shared" si="23"/>
        <v>0</v>
      </c>
      <c r="M66" s="345">
        <f t="shared" si="23"/>
        <v>0</v>
      </c>
      <c r="N66" s="345">
        <f t="shared" si="23"/>
        <v>0</v>
      </c>
      <c r="O66" s="345">
        <f t="shared" si="23"/>
        <v>0</v>
      </c>
      <c r="P66" s="345">
        <f t="shared" si="23"/>
        <v>0</v>
      </c>
      <c r="Q66" s="345">
        <f t="shared" si="23"/>
        <v>0</v>
      </c>
      <c r="R66" s="345">
        <f t="shared" si="23"/>
        <v>0</v>
      </c>
      <c r="S66" s="345">
        <f t="shared" si="23"/>
        <v>0</v>
      </c>
      <c r="T66" s="345">
        <f t="shared" si="23"/>
        <v>0</v>
      </c>
      <c r="U66" s="345">
        <f t="shared" si="23"/>
        <v>0</v>
      </c>
    </row>
    <row r="67" spans="1:21" outlineLevel="1">
      <c r="A67" s="343"/>
      <c r="B67" s="343"/>
      <c r="C67" s="343"/>
      <c r="D67" s="341" t="s">
        <v>1105</v>
      </c>
      <c r="E67" s="341">
        <f>'Consolidation adjustments'!D26</f>
        <v>0</v>
      </c>
      <c r="F67" s="341">
        <f>'Consolidation adjustments'!E26</f>
        <v>0</v>
      </c>
      <c r="G67" s="341">
        <f>'Consolidation adjustments'!F26</f>
        <v>0</v>
      </c>
      <c r="H67" s="341">
        <f>'Consolidation adjustments'!G26</f>
        <v>0</v>
      </c>
      <c r="I67" s="341">
        <f>'Consolidation adjustments'!H26</f>
        <v>0</v>
      </c>
      <c r="J67" s="341">
        <f>'Consolidation adjustments'!I26</f>
        <v>0</v>
      </c>
      <c r="K67" s="341">
        <f>'Consolidation adjustments'!J26</f>
        <v>0</v>
      </c>
      <c r="L67" s="341">
        <f>'Consolidation adjustments'!K26</f>
        <v>0</v>
      </c>
      <c r="M67" s="341">
        <f>'Consolidation adjustments'!L26</f>
        <v>0</v>
      </c>
      <c r="N67" s="341">
        <f>'Consolidation adjustments'!M26</f>
        <v>0</v>
      </c>
      <c r="O67" s="341">
        <f>'Consolidation adjustments'!N26</f>
        <v>0</v>
      </c>
      <c r="P67" s="341">
        <f>'Consolidation adjustments'!O26</f>
        <v>0</v>
      </c>
      <c r="Q67" s="341">
        <f>'Consolidation adjustments'!P26</f>
        <v>0</v>
      </c>
      <c r="R67" s="341">
        <f>'Consolidation adjustments'!Q26</f>
        <v>0</v>
      </c>
      <c r="S67" s="341">
        <f>'Consolidation adjustments'!R26</f>
        <v>0</v>
      </c>
      <c r="T67" s="341">
        <f>'Consolidation adjustments'!S26</f>
        <v>0</v>
      </c>
      <c r="U67" s="341">
        <f>'Consolidation adjustments'!T26</f>
        <v>0</v>
      </c>
    </row>
    <row r="68" spans="1:21" outlineLevel="1">
      <c r="A68" s="343"/>
      <c r="B68" s="343"/>
      <c r="C68" s="343"/>
      <c r="D68" s="341" t="s">
        <v>1106</v>
      </c>
      <c r="E68" s="341">
        <f>'Historical Holdco'!D26</f>
        <v>0</v>
      </c>
      <c r="F68" s="341">
        <f>'Historical Holdco'!E26</f>
        <v>0</v>
      </c>
      <c r="G68" s="341">
        <f>'Historical Holdco'!F26</f>
        <v>0</v>
      </c>
      <c r="H68" s="341">
        <f>'Historical Holdco'!G26</f>
        <v>0</v>
      </c>
      <c r="I68" s="341">
        <f>'Historical Holdco'!H26</f>
        <v>0</v>
      </c>
      <c r="J68" s="341">
        <f>'Historical Holdco'!I26</f>
        <v>0</v>
      </c>
      <c r="K68" s="341">
        <f>'Historical Holdco'!J26</f>
        <v>0</v>
      </c>
      <c r="L68" s="341">
        <f>'Historical Holdco'!K26</f>
        <v>0</v>
      </c>
      <c r="M68" s="341">
        <f>'Historical Holdco'!L26</f>
        <v>0</v>
      </c>
      <c r="N68" s="341">
        <f>'Historical Holdco'!M26</f>
        <v>0</v>
      </c>
      <c r="O68" s="341">
        <f>'Historical Holdco'!N26</f>
        <v>0</v>
      </c>
      <c r="P68" s="341">
        <f>'Historical Holdco'!O26</f>
        <v>0</v>
      </c>
      <c r="Q68" s="341">
        <f>'Historical Holdco'!P26</f>
        <v>0</v>
      </c>
      <c r="R68" s="341">
        <f>'Historical Holdco'!Q26</f>
        <v>0</v>
      </c>
      <c r="S68" s="341">
        <f>'Historical Holdco'!R26</f>
        <v>0</v>
      </c>
      <c r="T68" s="341">
        <f>'Historical Holdco'!S26</f>
        <v>0</v>
      </c>
      <c r="U68" s="341">
        <f>'Historical Holdco'!T26</f>
        <v>0</v>
      </c>
    </row>
    <row r="69" spans="1:21" outlineLevel="1">
      <c r="A69" s="343"/>
      <c r="B69" s="343"/>
      <c r="C69" s="343"/>
      <c r="D69" s="341" t="s">
        <v>1107</v>
      </c>
      <c r="E69" s="347">
        <f>'Historical BU1'!D26*Currency_conversion_BU1</f>
        <v>0</v>
      </c>
      <c r="F69" s="347">
        <f>'Historical BU1'!E26*Currency_conversion_BU1</f>
        <v>0</v>
      </c>
      <c r="G69" s="347">
        <f>'Historical BU1'!F26*Currency_conversion_BU1</f>
        <v>0</v>
      </c>
      <c r="H69" s="347">
        <f>'Historical BU1'!G26*Currency_conversion_BU1</f>
        <v>0</v>
      </c>
      <c r="I69" s="347">
        <f>'Historical BU1'!H26*Currency_conversion_BU1</f>
        <v>0</v>
      </c>
      <c r="J69" s="347">
        <f>'Historical BU1'!I26*Currency_conversion_BU1</f>
        <v>0</v>
      </c>
      <c r="K69" s="347">
        <f>'Historical BU1'!J26*Currency_conversion_BU1</f>
        <v>0</v>
      </c>
      <c r="L69" s="347">
        <f>'Historical BU1'!K26*Currency_conversion_BU1</f>
        <v>0</v>
      </c>
      <c r="M69" s="347">
        <f>'Historical BU1'!L26*Currency_conversion_BU1</f>
        <v>0</v>
      </c>
      <c r="N69" s="347">
        <f>'Historical BU1'!M26*Currency_conversion_BU1</f>
        <v>0</v>
      </c>
      <c r="O69" s="347">
        <f>'Historical BU1'!N26*Currency_conversion_BU1</f>
        <v>0</v>
      </c>
      <c r="P69" s="347">
        <f>'Historical BU1'!O26*Currency_conversion_BU1</f>
        <v>0</v>
      </c>
      <c r="Q69" s="347">
        <f>'Historical BU1'!P26*Currency_conversion_BU1</f>
        <v>0</v>
      </c>
      <c r="R69" s="347">
        <f>'Historical BU1'!Q26*Currency_conversion_BU1</f>
        <v>0</v>
      </c>
      <c r="S69" s="347">
        <f>'Historical BU1'!R26*Currency_conversion_BU1</f>
        <v>0</v>
      </c>
      <c r="T69" s="347">
        <f>'Historical BU1'!S26*Currency_conversion_BU1</f>
        <v>0</v>
      </c>
      <c r="U69" s="347">
        <f>'Historical BU1'!T26*Currency_conversion_BU1</f>
        <v>0</v>
      </c>
    </row>
    <row r="70" spans="1:21" outlineLevel="1">
      <c r="A70" s="343"/>
      <c r="B70" s="343"/>
      <c r="C70" s="343"/>
      <c r="D70" s="341" t="s">
        <v>1108</v>
      </c>
      <c r="E70" s="341">
        <f>'Historical BU2'!D26*Currency_conversion_rate_BU2</f>
        <v>0</v>
      </c>
      <c r="F70" s="341">
        <f>'Historical BU2'!E26*Currency_conversion_rate_BU2</f>
        <v>0</v>
      </c>
      <c r="G70" s="341">
        <f>'Historical BU2'!F26*Currency_conversion_rate_BU2</f>
        <v>0</v>
      </c>
      <c r="H70" s="341">
        <f>'Historical BU2'!G26*Currency_conversion_rate_BU2</f>
        <v>0</v>
      </c>
      <c r="I70" s="341">
        <f>'Historical BU2'!H26*Currency_conversion_rate_BU2</f>
        <v>0</v>
      </c>
      <c r="J70" s="341">
        <f>'Historical BU2'!I26*Currency_conversion_rate_BU2</f>
        <v>0</v>
      </c>
      <c r="K70" s="341">
        <f>'Historical BU2'!J26*Currency_conversion_rate_BU2</f>
        <v>0</v>
      </c>
      <c r="L70" s="341">
        <f>'Historical BU2'!K26*Currency_conversion_rate_BU2</f>
        <v>0</v>
      </c>
      <c r="M70" s="341">
        <f>'Historical BU2'!L26*Currency_conversion_rate_BU2</f>
        <v>0</v>
      </c>
      <c r="N70" s="341">
        <f>'Historical BU2'!M26*Currency_conversion_rate_BU2</f>
        <v>0</v>
      </c>
      <c r="O70" s="341">
        <f>'Historical BU2'!N26*Currency_conversion_rate_BU2</f>
        <v>0</v>
      </c>
      <c r="P70" s="341">
        <f>'Historical BU2'!O26*Currency_conversion_rate_BU2</f>
        <v>0</v>
      </c>
      <c r="Q70" s="341">
        <f>'Historical BU2'!P26*Currency_conversion_rate_BU2</f>
        <v>0</v>
      </c>
      <c r="R70" s="341">
        <f>'Historical BU2'!Q26*Currency_conversion_rate_BU2</f>
        <v>0</v>
      </c>
      <c r="S70" s="341">
        <f>'Historical BU2'!R26*Currency_conversion_rate_BU2</f>
        <v>0</v>
      </c>
      <c r="T70" s="341">
        <f>'Historical BU2'!S26*Currency_conversion_rate_BU2</f>
        <v>0</v>
      </c>
      <c r="U70" s="341">
        <f>'Historical BU2'!T26*Currency_conversion_rate_BU2</f>
        <v>0</v>
      </c>
    </row>
    <row r="71" spans="1:21" outlineLevel="1">
      <c r="A71" s="343"/>
      <c r="B71" s="343"/>
      <c r="C71" s="343"/>
      <c r="D71" s="341" t="s">
        <v>1109</v>
      </c>
      <c r="E71" s="341">
        <f>'Historical other'!D26*Currency_conversion_rate_other</f>
        <v>0</v>
      </c>
      <c r="F71" s="341">
        <f>'Historical other'!E26*Currency_conversion_rate_other</f>
        <v>0</v>
      </c>
      <c r="G71" s="341">
        <f>'Historical other'!F26*Currency_conversion_rate_other</f>
        <v>0</v>
      </c>
      <c r="H71" s="341">
        <f>'Historical other'!G26*Currency_conversion_rate_other</f>
        <v>0</v>
      </c>
      <c r="I71" s="341">
        <f>'Historical other'!H26*Currency_conversion_rate_other</f>
        <v>0</v>
      </c>
      <c r="J71" s="341">
        <f>'Historical other'!I26*Currency_conversion_rate_other</f>
        <v>0</v>
      </c>
      <c r="K71" s="341">
        <f>'Historical other'!J26*Currency_conversion_rate_other</f>
        <v>0</v>
      </c>
      <c r="L71" s="341">
        <f>'Historical other'!K26*Currency_conversion_rate_other</f>
        <v>0</v>
      </c>
      <c r="M71" s="341">
        <f>'Historical other'!L26*Currency_conversion_rate_other</f>
        <v>0</v>
      </c>
      <c r="N71" s="341">
        <f>'Historical other'!M26*Currency_conversion_rate_other</f>
        <v>0</v>
      </c>
      <c r="O71" s="341">
        <f>'Historical other'!N26*Currency_conversion_rate_other</f>
        <v>0</v>
      </c>
      <c r="P71" s="341">
        <f>'Historical other'!O26*Currency_conversion_rate_other</f>
        <v>0</v>
      </c>
      <c r="Q71" s="341">
        <f>'Historical other'!P26*Currency_conversion_rate_other</f>
        <v>0</v>
      </c>
      <c r="R71" s="341">
        <f>'Historical other'!Q26*Currency_conversion_rate_other</f>
        <v>0</v>
      </c>
      <c r="S71" s="341">
        <f>'Historical other'!R26*Currency_conversion_rate_other</f>
        <v>0</v>
      </c>
      <c r="T71" s="341">
        <f>'Historical other'!S26*Currency_conversion_rate_other</f>
        <v>0</v>
      </c>
      <c r="U71" s="341">
        <f>'Historical other'!T26*Currency_conversion_rate_other</f>
        <v>0</v>
      </c>
    </row>
    <row r="72" spans="1:21">
      <c r="A72" s="56" t="s">
        <v>641</v>
      </c>
      <c r="B72" s="56"/>
      <c r="C72" s="97" t="s">
        <v>975</v>
      </c>
      <c r="D72" s="97"/>
      <c r="E72" s="345">
        <f>SUM(E73:E77)</f>
        <v>0</v>
      </c>
      <c r="F72" s="345">
        <f t="shared" ref="F72:U72" si="24">SUM(F73:F77)</f>
        <v>0</v>
      </c>
      <c r="G72" s="345">
        <f t="shared" si="24"/>
        <v>0</v>
      </c>
      <c r="H72" s="345">
        <f t="shared" si="24"/>
        <v>0</v>
      </c>
      <c r="I72" s="345">
        <f t="shared" si="24"/>
        <v>0</v>
      </c>
      <c r="J72" s="345">
        <f t="shared" si="24"/>
        <v>0</v>
      </c>
      <c r="K72" s="345">
        <f t="shared" si="24"/>
        <v>0</v>
      </c>
      <c r="L72" s="345">
        <f t="shared" si="24"/>
        <v>0</v>
      </c>
      <c r="M72" s="345">
        <f t="shared" si="24"/>
        <v>0</v>
      </c>
      <c r="N72" s="345">
        <f t="shared" si="24"/>
        <v>0</v>
      </c>
      <c r="O72" s="345">
        <f t="shared" si="24"/>
        <v>0</v>
      </c>
      <c r="P72" s="345">
        <f t="shared" si="24"/>
        <v>0</v>
      </c>
      <c r="Q72" s="345">
        <f t="shared" si="24"/>
        <v>0</v>
      </c>
      <c r="R72" s="345">
        <f t="shared" si="24"/>
        <v>0</v>
      </c>
      <c r="S72" s="345">
        <f t="shared" si="24"/>
        <v>0</v>
      </c>
      <c r="T72" s="345">
        <f t="shared" si="24"/>
        <v>0</v>
      </c>
      <c r="U72" s="345">
        <f t="shared" si="24"/>
        <v>0</v>
      </c>
    </row>
    <row r="73" spans="1:21" outlineLevel="1">
      <c r="A73" s="343"/>
      <c r="B73" s="343"/>
      <c r="C73" s="343"/>
      <c r="D73" s="341" t="s">
        <v>1105</v>
      </c>
      <c r="E73" s="341">
        <f>'Consolidation adjustments'!D27</f>
        <v>0</v>
      </c>
      <c r="F73" s="341">
        <f>'Consolidation adjustments'!E27</f>
        <v>0</v>
      </c>
      <c r="G73" s="341">
        <f>'Consolidation adjustments'!F27</f>
        <v>0</v>
      </c>
      <c r="H73" s="341">
        <f>'Consolidation adjustments'!G27</f>
        <v>0</v>
      </c>
      <c r="I73" s="341">
        <f>'Consolidation adjustments'!H27</f>
        <v>0</v>
      </c>
      <c r="J73" s="341">
        <f>'Consolidation adjustments'!I27</f>
        <v>0</v>
      </c>
      <c r="K73" s="341">
        <f>'Consolidation adjustments'!J27</f>
        <v>0</v>
      </c>
      <c r="L73" s="341">
        <f>'Consolidation adjustments'!K27</f>
        <v>0</v>
      </c>
      <c r="M73" s="341">
        <f>'Consolidation adjustments'!L27</f>
        <v>0</v>
      </c>
      <c r="N73" s="341">
        <f>'Consolidation adjustments'!M27</f>
        <v>0</v>
      </c>
      <c r="O73" s="341">
        <f>'Consolidation adjustments'!N27</f>
        <v>0</v>
      </c>
      <c r="P73" s="341">
        <f>'Consolidation adjustments'!O27</f>
        <v>0</v>
      </c>
      <c r="Q73" s="341">
        <f>'Consolidation adjustments'!P27</f>
        <v>0</v>
      </c>
      <c r="R73" s="341">
        <f>'Consolidation adjustments'!Q27</f>
        <v>0</v>
      </c>
      <c r="S73" s="341">
        <f>'Consolidation adjustments'!R27</f>
        <v>0</v>
      </c>
      <c r="T73" s="341">
        <f>'Consolidation adjustments'!S27</f>
        <v>0</v>
      </c>
      <c r="U73" s="341">
        <f>'Consolidation adjustments'!T27</f>
        <v>0</v>
      </c>
    </row>
    <row r="74" spans="1:21" outlineLevel="1">
      <c r="A74" s="343"/>
      <c r="B74" s="343"/>
      <c r="C74" s="343"/>
      <c r="D74" s="341" t="s">
        <v>1106</v>
      </c>
      <c r="E74" s="341">
        <f>'Historical Holdco'!D27</f>
        <v>0</v>
      </c>
      <c r="F74" s="341">
        <f>'Historical Holdco'!E27</f>
        <v>0</v>
      </c>
      <c r="G74" s="341">
        <f>'Historical Holdco'!F27</f>
        <v>0</v>
      </c>
      <c r="H74" s="341">
        <f>'Historical Holdco'!G27</f>
        <v>0</v>
      </c>
      <c r="I74" s="341">
        <f>'Historical Holdco'!H27</f>
        <v>0</v>
      </c>
      <c r="J74" s="341">
        <f>'Historical Holdco'!I27</f>
        <v>0</v>
      </c>
      <c r="K74" s="341">
        <f>'Historical Holdco'!J27</f>
        <v>0</v>
      </c>
      <c r="L74" s="341">
        <f>'Historical Holdco'!K27</f>
        <v>0</v>
      </c>
      <c r="M74" s="341">
        <f>'Historical Holdco'!L27</f>
        <v>0</v>
      </c>
      <c r="N74" s="341">
        <f>'Historical Holdco'!M27</f>
        <v>0</v>
      </c>
      <c r="O74" s="341">
        <f>'Historical Holdco'!N27</f>
        <v>0</v>
      </c>
      <c r="P74" s="341">
        <f>'Historical Holdco'!O27</f>
        <v>0</v>
      </c>
      <c r="Q74" s="341">
        <f>'Historical Holdco'!P27</f>
        <v>0</v>
      </c>
      <c r="R74" s="341">
        <f>'Historical Holdco'!Q27</f>
        <v>0</v>
      </c>
      <c r="S74" s="341">
        <f>'Historical Holdco'!R27</f>
        <v>0</v>
      </c>
      <c r="T74" s="341">
        <f>'Historical Holdco'!S27</f>
        <v>0</v>
      </c>
      <c r="U74" s="341">
        <f>'Historical Holdco'!T27</f>
        <v>0</v>
      </c>
    </row>
    <row r="75" spans="1:21" outlineLevel="1">
      <c r="A75" s="343"/>
      <c r="B75" s="343"/>
      <c r="C75" s="343"/>
      <c r="D75" s="341" t="s">
        <v>1107</v>
      </c>
      <c r="E75" s="347">
        <f>'Historical BU1'!D27*Currency_conversion_BU1</f>
        <v>0</v>
      </c>
      <c r="F75" s="347">
        <f>'Historical BU1'!E27*Currency_conversion_BU1</f>
        <v>0</v>
      </c>
      <c r="G75" s="347">
        <f>'Historical BU1'!F27*Currency_conversion_BU1</f>
        <v>0</v>
      </c>
      <c r="H75" s="347">
        <f>'Historical BU1'!G27*Currency_conversion_BU1</f>
        <v>0</v>
      </c>
      <c r="I75" s="347">
        <f>'Historical BU1'!H27*Currency_conversion_BU1</f>
        <v>0</v>
      </c>
      <c r="J75" s="347">
        <f>'Historical BU1'!I27*Currency_conversion_BU1</f>
        <v>0</v>
      </c>
      <c r="K75" s="347">
        <f>'Historical BU1'!J27*Currency_conversion_BU1</f>
        <v>0</v>
      </c>
      <c r="L75" s="347">
        <f>'Historical BU1'!K27*Currency_conversion_BU1</f>
        <v>0</v>
      </c>
      <c r="M75" s="347">
        <f>'Historical BU1'!L27*Currency_conversion_BU1</f>
        <v>0</v>
      </c>
      <c r="N75" s="347">
        <f>'Historical BU1'!M27*Currency_conversion_BU1</f>
        <v>0</v>
      </c>
      <c r="O75" s="347">
        <f>'Historical BU1'!N27*Currency_conversion_BU1</f>
        <v>0</v>
      </c>
      <c r="P75" s="347">
        <f>'Historical BU1'!O27*Currency_conversion_BU1</f>
        <v>0</v>
      </c>
      <c r="Q75" s="347">
        <f>'Historical BU1'!P27*Currency_conversion_BU1</f>
        <v>0</v>
      </c>
      <c r="R75" s="347">
        <f>'Historical BU1'!Q27*Currency_conversion_BU1</f>
        <v>0</v>
      </c>
      <c r="S75" s="347">
        <f>'Historical BU1'!R27*Currency_conversion_BU1</f>
        <v>0</v>
      </c>
      <c r="T75" s="347">
        <f>'Historical BU1'!S27*Currency_conversion_BU1</f>
        <v>0</v>
      </c>
      <c r="U75" s="347">
        <f>'Historical BU1'!T27*Currency_conversion_BU1</f>
        <v>0</v>
      </c>
    </row>
    <row r="76" spans="1:21" outlineLevel="1">
      <c r="A76" s="343"/>
      <c r="B76" s="343"/>
      <c r="C76" s="343"/>
      <c r="D76" s="341" t="s">
        <v>1108</v>
      </c>
      <c r="E76" s="341">
        <f>'Historical BU2'!D27*Currency_conversion_rate_BU2</f>
        <v>0</v>
      </c>
      <c r="F76" s="341">
        <f>'Historical BU2'!E27*Currency_conversion_rate_BU2</f>
        <v>0</v>
      </c>
      <c r="G76" s="341">
        <f>'Historical BU2'!F27*Currency_conversion_rate_BU2</f>
        <v>0</v>
      </c>
      <c r="H76" s="341">
        <f>'Historical BU2'!G27*Currency_conversion_rate_BU2</f>
        <v>0</v>
      </c>
      <c r="I76" s="341">
        <f>'Historical BU2'!H27*Currency_conversion_rate_BU2</f>
        <v>0</v>
      </c>
      <c r="J76" s="341">
        <f>'Historical BU2'!I27*Currency_conversion_rate_BU2</f>
        <v>0</v>
      </c>
      <c r="K76" s="341">
        <f>'Historical BU2'!J27*Currency_conversion_rate_BU2</f>
        <v>0</v>
      </c>
      <c r="L76" s="341">
        <f>'Historical BU2'!K27*Currency_conversion_rate_BU2</f>
        <v>0</v>
      </c>
      <c r="M76" s="341">
        <f>'Historical BU2'!L27*Currency_conversion_rate_BU2</f>
        <v>0</v>
      </c>
      <c r="N76" s="341">
        <f>'Historical BU2'!M27*Currency_conversion_rate_BU2</f>
        <v>0</v>
      </c>
      <c r="O76" s="341">
        <f>'Historical BU2'!N27*Currency_conversion_rate_BU2</f>
        <v>0</v>
      </c>
      <c r="P76" s="341">
        <f>'Historical BU2'!O27*Currency_conversion_rate_BU2</f>
        <v>0</v>
      </c>
      <c r="Q76" s="341">
        <f>'Historical BU2'!P27*Currency_conversion_rate_BU2</f>
        <v>0</v>
      </c>
      <c r="R76" s="341">
        <f>'Historical BU2'!Q27*Currency_conversion_rate_BU2</f>
        <v>0</v>
      </c>
      <c r="S76" s="341">
        <f>'Historical BU2'!R27*Currency_conversion_rate_BU2</f>
        <v>0</v>
      </c>
      <c r="T76" s="341">
        <f>'Historical BU2'!S27*Currency_conversion_rate_BU2</f>
        <v>0</v>
      </c>
      <c r="U76" s="341">
        <f>'Historical BU2'!T27*Currency_conversion_rate_BU2</f>
        <v>0</v>
      </c>
    </row>
    <row r="77" spans="1:21" outlineLevel="1">
      <c r="A77" s="343"/>
      <c r="B77" s="343"/>
      <c r="C77" s="343"/>
      <c r="D77" s="341" t="s">
        <v>1109</v>
      </c>
      <c r="E77" s="341">
        <f>'Historical other'!D27*Currency_conversion_rate_other</f>
        <v>0</v>
      </c>
      <c r="F77" s="341">
        <f>'Historical other'!E27*Currency_conversion_rate_other</f>
        <v>0</v>
      </c>
      <c r="G77" s="341">
        <f>'Historical other'!F27*Currency_conversion_rate_other</f>
        <v>0</v>
      </c>
      <c r="H77" s="341">
        <f>'Historical other'!G27*Currency_conversion_rate_other</f>
        <v>0</v>
      </c>
      <c r="I77" s="341">
        <f>'Historical other'!H27*Currency_conversion_rate_other</f>
        <v>0</v>
      </c>
      <c r="J77" s="341">
        <f>'Historical other'!I27*Currency_conversion_rate_other</f>
        <v>0</v>
      </c>
      <c r="K77" s="341">
        <f>'Historical other'!J27*Currency_conversion_rate_other</f>
        <v>0</v>
      </c>
      <c r="L77" s="341">
        <f>'Historical other'!K27*Currency_conversion_rate_other</f>
        <v>0</v>
      </c>
      <c r="M77" s="341">
        <f>'Historical other'!L27*Currency_conversion_rate_other</f>
        <v>0</v>
      </c>
      <c r="N77" s="341">
        <f>'Historical other'!M27*Currency_conversion_rate_other</f>
        <v>0</v>
      </c>
      <c r="O77" s="341">
        <f>'Historical other'!N27*Currency_conversion_rate_other</f>
        <v>0</v>
      </c>
      <c r="P77" s="341">
        <f>'Historical other'!O27*Currency_conversion_rate_other</f>
        <v>0</v>
      </c>
      <c r="Q77" s="341">
        <f>'Historical other'!P27*Currency_conversion_rate_other</f>
        <v>0</v>
      </c>
      <c r="R77" s="341">
        <f>'Historical other'!Q27*Currency_conversion_rate_other</f>
        <v>0</v>
      </c>
      <c r="S77" s="341">
        <f>'Historical other'!R27*Currency_conversion_rate_other</f>
        <v>0</v>
      </c>
      <c r="T77" s="341">
        <f>'Historical other'!S27*Currency_conversion_rate_other</f>
        <v>0</v>
      </c>
      <c r="U77" s="341">
        <f>'Historical other'!T27*Currency_conversion_rate_other</f>
        <v>0</v>
      </c>
    </row>
    <row r="78" spans="1:21">
      <c r="A78" s="56" t="s">
        <v>76</v>
      </c>
      <c r="B78" s="56"/>
      <c r="C78" s="97" t="s">
        <v>205</v>
      </c>
      <c r="D78" s="97"/>
      <c r="E78" s="345">
        <f>SUM(E79:E83)</f>
        <v>0</v>
      </c>
      <c r="F78" s="345">
        <f t="shared" ref="F78:U78" si="25">SUM(F79:F83)</f>
        <v>0</v>
      </c>
      <c r="G78" s="345">
        <f t="shared" si="25"/>
        <v>0</v>
      </c>
      <c r="H78" s="345">
        <f t="shared" si="25"/>
        <v>0</v>
      </c>
      <c r="I78" s="345">
        <f t="shared" si="25"/>
        <v>0</v>
      </c>
      <c r="J78" s="345">
        <f t="shared" si="25"/>
        <v>0</v>
      </c>
      <c r="K78" s="345">
        <f t="shared" si="25"/>
        <v>0</v>
      </c>
      <c r="L78" s="345">
        <f t="shared" si="25"/>
        <v>0</v>
      </c>
      <c r="M78" s="345">
        <f t="shared" si="25"/>
        <v>0</v>
      </c>
      <c r="N78" s="345">
        <f t="shared" si="25"/>
        <v>0</v>
      </c>
      <c r="O78" s="345">
        <f t="shared" si="25"/>
        <v>0</v>
      </c>
      <c r="P78" s="345">
        <f t="shared" si="25"/>
        <v>0</v>
      </c>
      <c r="Q78" s="345">
        <f t="shared" si="25"/>
        <v>0</v>
      </c>
      <c r="R78" s="345">
        <f t="shared" si="25"/>
        <v>0</v>
      </c>
      <c r="S78" s="345">
        <f t="shared" si="25"/>
        <v>0</v>
      </c>
      <c r="T78" s="345">
        <f t="shared" si="25"/>
        <v>0</v>
      </c>
      <c r="U78" s="345">
        <f t="shared" si="25"/>
        <v>0</v>
      </c>
    </row>
    <row r="79" spans="1:21" outlineLevel="1">
      <c r="A79" s="343"/>
      <c r="B79" s="343"/>
      <c r="C79" s="343"/>
      <c r="D79" s="341" t="s">
        <v>1105</v>
      </c>
      <c r="E79" s="341">
        <f>'Consolidation adjustments'!D28</f>
        <v>0</v>
      </c>
      <c r="F79" s="341">
        <f>'Consolidation adjustments'!E28</f>
        <v>0</v>
      </c>
      <c r="G79" s="341">
        <f>'Consolidation adjustments'!F28</f>
        <v>0</v>
      </c>
      <c r="H79" s="341">
        <f>'Consolidation adjustments'!G28</f>
        <v>0</v>
      </c>
      <c r="I79" s="341">
        <f>'Consolidation adjustments'!H28</f>
        <v>0</v>
      </c>
      <c r="J79" s="341">
        <f>'Consolidation adjustments'!I28</f>
        <v>0</v>
      </c>
      <c r="K79" s="341">
        <f>'Consolidation adjustments'!J28</f>
        <v>0</v>
      </c>
      <c r="L79" s="341">
        <f>'Consolidation adjustments'!K28</f>
        <v>0</v>
      </c>
      <c r="M79" s="341">
        <f>'Consolidation adjustments'!L28</f>
        <v>0</v>
      </c>
      <c r="N79" s="341">
        <f>'Consolidation adjustments'!M28</f>
        <v>0</v>
      </c>
      <c r="O79" s="341">
        <f>'Consolidation adjustments'!N28</f>
        <v>0</v>
      </c>
      <c r="P79" s="341">
        <f>'Consolidation adjustments'!O28</f>
        <v>0</v>
      </c>
      <c r="Q79" s="341">
        <f>'Consolidation adjustments'!P28</f>
        <v>0</v>
      </c>
      <c r="R79" s="341">
        <f>'Consolidation adjustments'!Q28</f>
        <v>0</v>
      </c>
      <c r="S79" s="341">
        <f>'Consolidation adjustments'!R28</f>
        <v>0</v>
      </c>
      <c r="T79" s="341">
        <f>'Consolidation adjustments'!S28</f>
        <v>0</v>
      </c>
      <c r="U79" s="341">
        <f>'Consolidation adjustments'!T28</f>
        <v>0</v>
      </c>
    </row>
    <row r="80" spans="1:21" outlineLevel="1">
      <c r="A80" s="343"/>
      <c r="B80" s="343"/>
      <c r="C80" s="343"/>
      <c r="D80" s="341" t="s">
        <v>1106</v>
      </c>
      <c r="E80" s="341">
        <f>'Historical Holdco'!D28</f>
        <v>0</v>
      </c>
      <c r="F80" s="341">
        <f>'Historical Holdco'!E28</f>
        <v>0</v>
      </c>
      <c r="G80" s="341">
        <f>'Historical Holdco'!F28</f>
        <v>0</v>
      </c>
      <c r="H80" s="341">
        <f>'Historical Holdco'!G28</f>
        <v>0</v>
      </c>
      <c r="I80" s="341">
        <f>'Historical Holdco'!H28</f>
        <v>0</v>
      </c>
      <c r="J80" s="341">
        <f>'Historical Holdco'!I28</f>
        <v>0</v>
      </c>
      <c r="K80" s="341">
        <f>'Historical Holdco'!J28</f>
        <v>0</v>
      </c>
      <c r="L80" s="341">
        <f>'Historical Holdco'!K28</f>
        <v>0</v>
      </c>
      <c r="M80" s="341">
        <f>'Historical Holdco'!L28</f>
        <v>0</v>
      </c>
      <c r="N80" s="341">
        <f>'Historical Holdco'!M28</f>
        <v>0</v>
      </c>
      <c r="O80" s="341">
        <f>'Historical Holdco'!N28</f>
        <v>0</v>
      </c>
      <c r="P80" s="341">
        <f>'Historical Holdco'!O28</f>
        <v>0</v>
      </c>
      <c r="Q80" s="341">
        <f>'Historical Holdco'!P28</f>
        <v>0</v>
      </c>
      <c r="R80" s="341">
        <f>'Historical Holdco'!Q28</f>
        <v>0</v>
      </c>
      <c r="S80" s="341">
        <f>'Historical Holdco'!R28</f>
        <v>0</v>
      </c>
      <c r="T80" s="341">
        <f>'Historical Holdco'!S28</f>
        <v>0</v>
      </c>
      <c r="U80" s="341">
        <f>'Historical Holdco'!T28</f>
        <v>0</v>
      </c>
    </row>
    <row r="81" spans="1:21" outlineLevel="1">
      <c r="A81" s="343"/>
      <c r="B81" s="343"/>
      <c r="C81" s="343"/>
      <c r="D81" s="341" t="s">
        <v>1107</v>
      </c>
      <c r="E81" s="347">
        <f>'Historical BU1'!D28*Currency_conversion_BU1</f>
        <v>0</v>
      </c>
      <c r="F81" s="347">
        <f>'Historical BU1'!E28*Currency_conversion_BU1</f>
        <v>0</v>
      </c>
      <c r="G81" s="347">
        <f>'Historical BU1'!F28*Currency_conversion_BU1</f>
        <v>0</v>
      </c>
      <c r="H81" s="347">
        <f>'Historical BU1'!G28*Currency_conversion_BU1</f>
        <v>0</v>
      </c>
      <c r="I81" s="347">
        <f>'Historical BU1'!H28*Currency_conversion_BU1</f>
        <v>0</v>
      </c>
      <c r="J81" s="347">
        <f>'Historical BU1'!I28*Currency_conversion_BU1</f>
        <v>0</v>
      </c>
      <c r="K81" s="347">
        <f>'Historical BU1'!J28*Currency_conversion_BU1</f>
        <v>0</v>
      </c>
      <c r="L81" s="347">
        <f>'Historical BU1'!K28*Currency_conversion_BU1</f>
        <v>0</v>
      </c>
      <c r="M81" s="347">
        <f>'Historical BU1'!L28*Currency_conversion_BU1</f>
        <v>0</v>
      </c>
      <c r="N81" s="347">
        <f>'Historical BU1'!M28*Currency_conversion_BU1</f>
        <v>0</v>
      </c>
      <c r="O81" s="347">
        <f>'Historical BU1'!N28*Currency_conversion_BU1</f>
        <v>0</v>
      </c>
      <c r="P81" s="347">
        <f>'Historical BU1'!O28*Currency_conversion_BU1</f>
        <v>0</v>
      </c>
      <c r="Q81" s="347">
        <f>'Historical BU1'!P28*Currency_conversion_BU1</f>
        <v>0</v>
      </c>
      <c r="R81" s="347">
        <f>'Historical BU1'!Q28*Currency_conversion_BU1</f>
        <v>0</v>
      </c>
      <c r="S81" s="347">
        <f>'Historical BU1'!R28*Currency_conversion_BU1</f>
        <v>0</v>
      </c>
      <c r="T81" s="347">
        <f>'Historical BU1'!S28*Currency_conversion_BU1</f>
        <v>0</v>
      </c>
      <c r="U81" s="347">
        <f>'Historical BU1'!T28*Currency_conversion_BU1</f>
        <v>0</v>
      </c>
    </row>
    <row r="82" spans="1:21" outlineLevel="1">
      <c r="A82" s="343"/>
      <c r="B82" s="343"/>
      <c r="C82" s="343"/>
      <c r="D82" s="341" t="s">
        <v>1108</v>
      </c>
      <c r="E82" s="341">
        <f>'Historical BU2'!D28*Currency_conversion_rate_BU2</f>
        <v>0</v>
      </c>
      <c r="F82" s="341">
        <f>'Historical BU2'!E28*Currency_conversion_rate_BU2</f>
        <v>0</v>
      </c>
      <c r="G82" s="341">
        <f>'Historical BU2'!F28*Currency_conversion_rate_BU2</f>
        <v>0</v>
      </c>
      <c r="H82" s="341">
        <f>'Historical BU2'!G28*Currency_conversion_rate_BU2</f>
        <v>0</v>
      </c>
      <c r="I82" s="341">
        <f>'Historical BU2'!H28*Currency_conversion_rate_BU2</f>
        <v>0</v>
      </c>
      <c r="J82" s="341">
        <f>'Historical BU2'!I28*Currency_conversion_rate_BU2</f>
        <v>0</v>
      </c>
      <c r="K82" s="341">
        <f>'Historical BU2'!J28*Currency_conversion_rate_BU2</f>
        <v>0</v>
      </c>
      <c r="L82" s="341">
        <f>'Historical BU2'!K28*Currency_conversion_rate_BU2</f>
        <v>0</v>
      </c>
      <c r="M82" s="341">
        <f>'Historical BU2'!L28*Currency_conversion_rate_BU2</f>
        <v>0</v>
      </c>
      <c r="N82" s="341">
        <f>'Historical BU2'!M28*Currency_conversion_rate_BU2</f>
        <v>0</v>
      </c>
      <c r="O82" s="341">
        <f>'Historical BU2'!N28*Currency_conversion_rate_BU2</f>
        <v>0</v>
      </c>
      <c r="P82" s="341">
        <f>'Historical BU2'!O28*Currency_conversion_rate_BU2</f>
        <v>0</v>
      </c>
      <c r="Q82" s="341">
        <f>'Historical BU2'!P28*Currency_conversion_rate_BU2</f>
        <v>0</v>
      </c>
      <c r="R82" s="341">
        <f>'Historical BU2'!Q28*Currency_conversion_rate_BU2</f>
        <v>0</v>
      </c>
      <c r="S82" s="341">
        <f>'Historical BU2'!R28*Currency_conversion_rate_BU2</f>
        <v>0</v>
      </c>
      <c r="T82" s="341">
        <f>'Historical BU2'!S28*Currency_conversion_rate_BU2</f>
        <v>0</v>
      </c>
      <c r="U82" s="341">
        <f>'Historical BU2'!T28*Currency_conversion_rate_BU2</f>
        <v>0</v>
      </c>
    </row>
    <row r="83" spans="1:21" outlineLevel="1">
      <c r="A83" s="343"/>
      <c r="B83" s="343"/>
      <c r="C83" s="343"/>
      <c r="D83" s="341" t="s">
        <v>1109</v>
      </c>
      <c r="E83" s="341">
        <f>'Historical other'!D28*Currency_conversion_rate_other</f>
        <v>0</v>
      </c>
      <c r="F83" s="341">
        <f>'Historical other'!E28*Currency_conversion_rate_other</f>
        <v>0</v>
      </c>
      <c r="G83" s="341">
        <f>'Historical other'!F28*Currency_conversion_rate_other</f>
        <v>0</v>
      </c>
      <c r="H83" s="341">
        <f>'Historical other'!G28*Currency_conversion_rate_other</f>
        <v>0</v>
      </c>
      <c r="I83" s="341">
        <f>'Historical other'!H28*Currency_conversion_rate_other</f>
        <v>0</v>
      </c>
      <c r="J83" s="341">
        <f>'Historical other'!I28*Currency_conversion_rate_other</f>
        <v>0</v>
      </c>
      <c r="K83" s="341">
        <f>'Historical other'!J28*Currency_conversion_rate_other</f>
        <v>0</v>
      </c>
      <c r="L83" s="341">
        <f>'Historical other'!K28*Currency_conversion_rate_other</f>
        <v>0</v>
      </c>
      <c r="M83" s="341">
        <f>'Historical other'!L28*Currency_conversion_rate_other</f>
        <v>0</v>
      </c>
      <c r="N83" s="341">
        <f>'Historical other'!M28*Currency_conversion_rate_other</f>
        <v>0</v>
      </c>
      <c r="O83" s="341">
        <f>'Historical other'!N28*Currency_conversion_rate_other</f>
        <v>0</v>
      </c>
      <c r="P83" s="341">
        <f>'Historical other'!O28*Currency_conversion_rate_other</f>
        <v>0</v>
      </c>
      <c r="Q83" s="341">
        <f>'Historical other'!P28*Currency_conversion_rate_other</f>
        <v>0</v>
      </c>
      <c r="R83" s="341">
        <f>'Historical other'!Q28*Currency_conversion_rate_other</f>
        <v>0</v>
      </c>
      <c r="S83" s="341">
        <f>'Historical other'!R28*Currency_conversion_rate_other</f>
        <v>0</v>
      </c>
      <c r="T83" s="341">
        <f>'Historical other'!S28*Currency_conversion_rate_other</f>
        <v>0</v>
      </c>
      <c r="U83" s="341">
        <f>'Historical other'!T28*Currency_conversion_rate_other</f>
        <v>0</v>
      </c>
    </row>
    <row r="84" spans="1:21">
      <c r="A84" s="56" t="s">
        <v>616</v>
      </c>
      <c r="B84" s="56"/>
      <c r="C84" s="97" t="s">
        <v>206</v>
      </c>
      <c r="D84" s="97"/>
      <c r="E84" s="345">
        <f>SUM(E85:E89)</f>
        <v>0</v>
      </c>
      <c r="F84" s="345">
        <f t="shared" ref="F84:U84" si="26">SUM(F85:F89)</f>
        <v>0</v>
      </c>
      <c r="G84" s="345">
        <f t="shared" si="26"/>
        <v>0</v>
      </c>
      <c r="H84" s="345">
        <f t="shared" si="26"/>
        <v>0</v>
      </c>
      <c r="I84" s="345">
        <f t="shared" si="26"/>
        <v>0</v>
      </c>
      <c r="J84" s="345">
        <f t="shared" si="26"/>
        <v>0</v>
      </c>
      <c r="K84" s="345">
        <f t="shared" si="26"/>
        <v>0</v>
      </c>
      <c r="L84" s="345">
        <f t="shared" si="26"/>
        <v>0</v>
      </c>
      <c r="M84" s="345">
        <f t="shared" si="26"/>
        <v>0</v>
      </c>
      <c r="N84" s="345">
        <f t="shared" si="26"/>
        <v>0</v>
      </c>
      <c r="O84" s="345">
        <f t="shared" si="26"/>
        <v>0</v>
      </c>
      <c r="P84" s="345">
        <f t="shared" si="26"/>
        <v>0</v>
      </c>
      <c r="Q84" s="345">
        <f t="shared" si="26"/>
        <v>0</v>
      </c>
      <c r="R84" s="345">
        <f t="shared" si="26"/>
        <v>0</v>
      </c>
      <c r="S84" s="345">
        <f t="shared" si="26"/>
        <v>0</v>
      </c>
      <c r="T84" s="345">
        <f t="shared" si="26"/>
        <v>0</v>
      </c>
      <c r="U84" s="345">
        <f t="shared" si="26"/>
        <v>0</v>
      </c>
    </row>
    <row r="85" spans="1:21" outlineLevel="1">
      <c r="A85" s="343"/>
      <c r="B85" s="343"/>
      <c r="C85" s="343"/>
      <c r="D85" s="341" t="s">
        <v>1105</v>
      </c>
      <c r="E85" s="341">
        <f>'Consolidation adjustments'!D29</f>
        <v>0</v>
      </c>
      <c r="F85" s="341">
        <f>'Consolidation adjustments'!E29</f>
        <v>0</v>
      </c>
      <c r="G85" s="341">
        <f>'Consolidation adjustments'!F29</f>
        <v>0</v>
      </c>
      <c r="H85" s="341">
        <f>'Consolidation adjustments'!G29</f>
        <v>0</v>
      </c>
      <c r="I85" s="341">
        <f>'Consolidation adjustments'!H29</f>
        <v>0</v>
      </c>
      <c r="J85" s="341">
        <f>'Consolidation adjustments'!I29</f>
        <v>0</v>
      </c>
      <c r="K85" s="341">
        <f>'Consolidation adjustments'!J29</f>
        <v>0</v>
      </c>
      <c r="L85" s="341">
        <f>'Consolidation adjustments'!K29</f>
        <v>0</v>
      </c>
      <c r="M85" s="341">
        <f>'Consolidation adjustments'!L29</f>
        <v>0</v>
      </c>
      <c r="N85" s="341">
        <f>'Consolidation adjustments'!M29</f>
        <v>0</v>
      </c>
      <c r="O85" s="341">
        <f>'Consolidation adjustments'!N29</f>
        <v>0</v>
      </c>
      <c r="P85" s="341">
        <f>'Consolidation adjustments'!O29</f>
        <v>0</v>
      </c>
      <c r="Q85" s="341">
        <f>'Consolidation adjustments'!P29</f>
        <v>0</v>
      </c>
      <c r="R85" s="341">
        <f>'Consolidation adjustments'!Q29</f>
        <v>0</v>
      </c>
      <c r="S85" s="341">
        <f>'Consolidation adjustments'!R29</f>
        <v>0</v>
      </c>
      <c r="T85" s="341">
        <f>'Consolidation adjustments'!S29</f>
        <v>0</v>
      </c>
      <c r="U85" s="341">
        <f>'Consolidation adjustments'!T29</f>
        <v>0</v>
      </c>
    </row>
    <row r="86" spans="1:21" outlineLevel="1">
      <c r="A86" s="343"/>
      <c r="B86" s="343"/>
      <c r="C86" s="343"/>
      <c r="D86" s="341" t="s">
        <v>1106</v>
      </c>
      <c r="E86" s="341">
        <f>'Historical Holdco'!D29</f>
        <v>0</v>
      </c>
      <c r="F86" s="341">
        <f>'Historical Holdco'!E29</f>
        <v>0</v>
      </c>
      <c r="G86" s="341">
        <f>'Historical Holdco'!F29</f>
        <v>0</v>
      </c>
      <c r="H86" s="341">
        <f>'Historical Holdco'!G29</f>
        <v>0</v>
      </c>
      <c r="I86" s="341">
        <f>'Historical Holdco'!H29</f>
        <v>0</v>
      </c>
      <c r="J86" s="341">
        <f>'Historical Holdco'!I29</f>
        <v>0</v>
      </c>
      <c r="K86" s="341">
        <f>'Historical Holdco'!J29</f>
        <v>0</v>
      </c>
      <c r="L86" s="341">
        <f>'Historical Holdco'!K29</f>
        <v>0</v>
      </c>
      <c r="M86" s="341">
        <f>'Historical Holdco'!L29</f>
        <v>0</v>
      </c>
      <c r="N86" s="341">
        <f>'Historical Holdco'!M29</f>
        <v>0</v>
      </c>
      <c r="O86" s="341">
        <f>'Historical Holdco'!N29</f>
        <v>0</v>
      </c>
      <c r="P86" s="341">
        <f>'Historical Holdco'!O29</f>
        <v>0</v>
      </c>
      <c r="Q86" s="341">
        <f>'Historical Holdco'!P29</f>
        <v>0</v>
      </c>
      <c r="R86" s="341">
        <f>'Historical Holdco'!Q29</f>
        <v>0</v>
      </c>
      <c r="S86" s="341">
        <f>'Historical Holdco'!R29</f>
        <v>0</v>
      </c>
      <c r="T86" s="341">
        <f>'Historical Holdco'!S29</f>
        <v>0</v>
      </c>
      <c r="U86" s="341">
        <f>'Historical Holdco'!T29</f>
        <v>0</v>
      </c>
    </row>
    <row r="87" spans="1:21" outlineLevel="1">
      <c r="A87" s="343"/>
      <c r="B87" s="343"/>
      <c r="C87" s="343"/>
      <c r="D87" s="341" t="s">
        <v>1107</v>
      </c>
      <c r="E87" s="347">
        <f>'Historical BU1'!D29*Currency_conversion_BU1</f>
        <v>0</v>
      </c>
      <c r="F87" s="347">
        <f>'Historical BU1'!E29*Currency_conversion_BU1</f>
        <v>0</v>
      </c>
      <c r="G87" s="347">
        <f>'Historical BU1'!F29*Currency_conversion_BU1</f>
        <v>0</v>
      </c>
      <c r="H87" s="347">
        <f>'Historical BU1'!G29*Currency_conversion_BU1</f>
        <v>0</v>
      </c>
      <c r="I87" s="347">
        <f>'Historical BU1'!H29*Currency_conversion_BU1</f>
        <v>0</v>
      </c>
      <c r="J87" s="347">
        <f>'Historical BU1'!I29*Currency_conversion_BU1</f>
        <v>0</v>
      </c>
      <c r="K87" s="347">
        <f>'Historical BU1'!J29*Currency_conversion_BU1</f>
        <v>0</v>
      </c>
      <c r="L87" s="347">
        <f>'Historical BU1'!K29*Currency_conversion_BU1</f>
        <v>0</v>
      </c>
      <c r="M87" s="347">
        <f>'Historical BU1'!L29*Currency_conversion_BU1</f>
        <v>0</v>
      </c>
      <c r="N87" s="347">
        <f>'Historical BU1'!M29*Currency_conversion_BU1</f>
        <v>0</v>
      </c>
      <c r="O87" s="347">
        <f>'Historical BU1'!N29*Currency_conversion_BU1</f>
        <v>0</v>
      </c>
      <c r="P87" s="347">
        <f>'Historical BU1'!O29*Currency_conversion_BU1</f>
        <v>0</v>
      </c>
      <c r="Q87" s="347">
        <f>'Historical BU1'!P29*Currency_conversion_BU1</f>
        <v>0</v>
      </c>
      <c r="R87" s="347">
        <f>'Historical BU1'!Q29*Currency_conversion_BU1</f>
        <v>0</v>
      </c>
      <c r="S87" s="347">
        <f>'Historical BU1'!R29*Currency_conversion_BU1</f>
        <v>0</v>
      </c>
      <c r="T87" s="347">
        <f>'Historical BU1'!S29*Currency_conversion_BU1</f>
        <v>0</v>
      </c>
      <c r="U87" s="347">
        <f>'Historical BU1'!T29*Currency_conversion_BU1</f>
        <v>0</v>
      </c>
    </row>
    <row r="88" spans="1:21" outlineLevel="1">
      <c r="A88" s="343"/>
      <c r="B88" s="343"/>
      <c r="C88" s="343"/>
      <c r="D88" s="341" t="s">
        <v>1108</v>
      </c>
      <c r="E88" s="341">
        <f>'Historical BU2'!D29*Currency_conversion_rate_BU2</f>
        <v>0</v>
      </c>
      <c r="F88" s="341">
        <f>'Historical BU2'!E29*Currency_conversion_rate_BU2</f>
        <v>0</v>
      </c>
      <c r="G88" s="341">
        <f>'Historical BU2'!F29*Currency_conversion_rate_BU2</f>
        <v>0</v>
      </c>
      <c r="H88" s="341">
        <f>'Historical BU2'!G29*Currency_conversion_rate_BU2</f>
        <v>0</v>
      </c>
      <c r="I88" s="341">
        <f>'Historical BU2'!H29*Currency_conversion_rate_BU2</f>
        <v>0</v>
      </c>
      <c r="J88" s="341">
        <f>'Historical BU2'!I29*Currency_conversion_rate_BU2</f>
        <v>0</v>
      </c>
      <c r="K88" s="341">
        <f>'Historical BU2'!J29*Currency_conversion_rate_BU2</f>
        <v>0</v>
      </c>
      <c r="L88" s="341">
        <f>'Historical BU2'!K29*Currency_conversion_rate_BU2</f>
        <v>0</v>
      </c>
      <c r="M88" s="341">
        <f>'Historical BU2'!L29*Currency_conversion_rate_BU2</f>
        <v>0</v>
      </c>
      <c r="N88" s="341">
        <f>'Historical BU2'!M29*Currency_conversion_rate_BU2</f>
        <v>0</v>
      </c>
      <c r="O88" s="341">
        <f>'Historical BU2'!N29*Currency_conversion_rate_BU2</f>
        <v>0</v>
      </c>
      <c r="P88" s="341">
        <f>'Historical BU2'!O29*Currency_conversion_rate_BU2</f>
        <v>0</v>
      </c>
      <c r="Q88" s="341">
        <f>'Historical BU2'!P29*Currency_conversion_rate_BU2</f>
        <v>0</v>
      </c>
      <c r="R88" s="341">
        <f>'Historical BU2'!Q29*Currency_conversion_rate_BU2</f>
        <v>0</v>
      </c>
      <c r="S88" s="341">
        <f>'Historical BU2'!R29*Currency_conversion_rate_BU2</f>
        <v>0</v>
      </c>
      <c r="T88" s="341">
        <f>'Historical BU2'!S29*Currency_conversion_rate_BU2</f>
        <v>0</v>
      </c>
      <c r="U88" s="341">
        <f>'Historical BU2'!T29*Currency_conversion_rate_BU2</f>
        <v>0</v>
      </c>
    </row>
    <row r="89" spans="1:21" outlineLevel="1">
      <c r="A89" s="343"/>
      <c r="B89" s="343"/>
      <c r="C89" s="343"/>
      <c r="D89" s="341" t="s">
        <v>1109</v>
      </c>
      <c r="E89" s="341">
        <f>'Historical other'!D29*Currency_conversion_rate_other</f>
        <v>0</v>
      </c>
      <c r="F89" s="341">
        <f>'Historical other'!E29*Currency_conversion_rate_other</f>
        <v>0</v>
      </c>
      <c r="G89" s="341">
        <f>'Historical other'!F29*Currency_conversion_rate_other</f>
        <v>0</v>
      </c>
      <c r="H89" s="341">
        <f>'Historical other'!G29*Currency_conversion_rate_other</f>
        <v>0</v>
      </c>
      <c r="I89" s="341">
        <f>'Historical other'!H29*Currency_conversion_rate_other</f>
        <v>0</v>
      </c>
      <c r="J89" s="341">
        <f>'Historical other'!I29*Currency_conversion_rate_other</f>
        <v>0</v>
      </c>
      <c r="K89" s="341">
        <f>'Historical other'!J29*Currency_conversion_rate_other</f>
        <v>0</v>
      </c>
      <c r="L89" s="341">
        <f>'Historical other'!K29*Currency_conversion_rate_other</f>
        <v>0</v>
      </c>
      <c r="M89" s="341">
        <f>'Historical other'!L29*Currency_conversion_rate_other</f>
        <v>0</v>
      </c>
      <c r="N89" s="341">
        <f>'Historical other'!M29*Currency_conversion_rate_other</f>
        <v>0</v>
      </c>
      <c r="O89" s="341">
        <f>'Historical other'!N29*Currency_conversion_rate_other</f>
        <v>0</v>
      </c>
      <c r="P89" s="341">
        <f>'Historical other'!O29*Currency_conversion_rate_other</f>
        <v>0</v>
      </c>
      <c r="Q89" s="341">
        <f>'Historical other'!P29*Currency_conversion_rate_other</f>
        <v>0</v>
      </c>
      <c r="R89" s="341">
        <f>'Historical other'!Q29*Currency_conversion_rate_other</f>
        <v>0</v>
      </c>
      <c r="S89" s="341">
        <f>'Historical other'!R29*Currency_conversion_rate_other</f>
        <v>0</v>
      </c>
      <c r="T89" s="341">
        <f>'Historical other'!S29*Currency_conversion_rate_other</f>
        <v>0</v>
      </c>
      <c r="U89" s="341">
        <f>'Historical other'!T29*Currency_conversion_rate_other</f>
        <v>0</v>
      </c>
    </row>
    <row r="90" spans="1:21">
      <c r="A90" s="56" t="s">
        <v>620</v>
      </c>
      <c r="B90" s="56"/>
      <c r="C90" s="97" t="s">
        <v>976</v>
      </c>
      <c r="D90" s="97"/>
      <c r="E90" s="345">
        <f>SUM(E91:E95)</f>
        <v>0</v>
      </c>
      <c r="F90" s="345">
        <f t="shared" ref="F90:U90" si="27">SUM(F91:F95)</f>
        <v>0</v>
      </c>
      <c r="G90" s="345">
        <f t="shared" si="27"/>
        <v>0</v>
      </c>
      <c r="H90" s="345">
        <f t="shared" si="27"/>
        <v>0</v>
      </c>
      <c r="I90" s="345">
        <f t="shared" si="27"/>
        <v>0</v>
      </c>
      <c r="J90" s="345">
        <f t="shared" si="27"/>
        <v>0</v>
      </c>
      <c r="K90" s="345">
        <f t="shared" si="27"/>
        <v>0</v>
      </c>
      <c r="L90" s="345">
        <f t="shared" si="27"/>
        <v>0</v>
      </c>
      <c r="M90" s="345">
        <f t="shared" si="27"/>
        <v>0</v>
      </c>
      <c r="N90" s="345">
        <f t="shared" si="27"/>
        <v>0</v>
      </c>
      <c r="O90" s="345">
        <f t="shared" si="27"/>
        <v>0</v>
      </c>
      <c r="P90" s="345">
        <f t="shared" si="27"/>
        <v>0</v>
      </c>
      <c r="Q90" s="345">
        <f t="shared" si="27"/>
        <v>0</v>
      </c>
      <c r="R90" s="345">
        <f t="shared" si="27"/>
        <v>0</v>
      </c>
      <c r="S90" s="345">
        <f t="shared" si="27"/>
        <v>0</v>
      </c>
      <c r="T90" s="345">
        <f t="shared" si="27"/>
        <v>0</v>
      </c>
      <c r="U90" s="345">
        <f t="shared" si="27"/>
        <v>0</v>
      </c>
    </row>
    <row r="91" spans="1:21" outlineLevel="1">
      <c r="A91" s="343"/>
      <c r="B91" s="343"/>
      <c r="C91" s="343"/>
      <c r="D91" s="341" t="s">
        <v>1105</v>
      </c>
      <c r="E91" s="341">
        <f>'Consolidation adjustments'!D30</f>
        <v>0</v>
      </c>
      <c r="F91" s="341">
        <f>'Consolidation adjustments'!E30</f>
        <v>0</v>
      </c>
      <c r="G91" s="341">
        <f>'Consolidation adjustments'!F30</f>
        <v>0</v>
      </c>
      <c r="H91" s="341">
        <f>'Consolidation adjustments'!G30</f>
        <v>0</v>
      </c>
      <c r="I91" s="341">
        <f>'Consolidation adjustments'!H30</f>
        <v>0</v>
      </c>
      <c r="J91" s="341">
        <f>'Consolidation adjustments'!I30</f>
        <v>0</v>
      </c>
      <c r="K91" s="341">
        <f>'Consolidation adjustments'!J30</f>
        <v>0</v>
      </c>
      <c r="L91" s="341">
        <f>'Consolidation adjustments'!K30</f>
        <v>0</v>
      </c>
      <c r="M91" s="341">
        <f>'Consolidation adjustments'!L30</f>
        <v>0</v>
      </c>
      <c r="N91" s="341">
        <f>'Consolidation adjustments'!M30</f>
        <v>0</v>
      </c>
      <c r="O91" s="341">
        <f>'Consolidation adjustments'!N30</f>
        <v>0</v>
      </c>
      <c r="P91" s="341">
        <f>'Consolidation adjustments'!O30</f>
        <v>0</v>
      </c>
      <c r="Q91" s="341">
        <f>'Consolidation adjustments'!P30</f>
        <v>0</v>
      </c>
      <c r="R91" s="341">
        <f>'Consolidation adjustments'!Q30</f>
        <v>0</v>
      </c>
      <c r="S91" s="341">
        <f>'Consolidation adjustments'!R30</f>
        <v>0</v>
      </c>
      <c r="T91" s="341">
        <f>'Consolidation adjustments'!S30</f>
        <v>0</v>
      </c>
      <c r="U91" s="341">
        <f>'Consolidation adjustments'!T30</f>
        <v>0</v>
      </c>
    </row>
    <row r="92" spans="1:21" outlineLevel="1">
      <c r="A92" s="343"/>
      <c r="B92" s="343"/>
      <c r="C92" s="343"/>
      <c r="D92" s="341" t="s">
        <v>1106</v>
      </c>
      <c r="E92" s="341">
        <f>'Historical Holdco'!D30</f>
        <v>0</v>
      </c>
      <c r="F92" s="341">
        <f>'Historical Holdco'!E30</f>
        <v>0</v>
      </c>
      <c r="G92" s="341">
        <f>'Historical Holdco'!F30</f>
        <v>0</v>
      </c>
      <c r="H92" s="341">
        <f>'Historical Holdco'!G30</f>
        <v>0</v>
      </c>
      <c r="I92" s="341">
        <f>'Historical Holdco'!H30</f>
        <v>0</v>
      </c>
      <c r="J92" s="341">
        <f>'Historical Holdco'!I30</f>
        <v>0</v>
      </c>
      <c r="K92" s="341">
        <f>'Historical Holdco'!J30</f>
        <v>0</v>
      </c>
      <c r="L92" s="341">
        <f>'Historical Holdco'!K30</f>
        <v>0</v>
      </c>
      <c r="M92" s="341">
        <f>'Historical Holdco'!L30</f>
        <v>0</v>
      </c>
      <c r="N92" s="341">
        <f>'Historical Holdco'!M30</f>
        <v>0</v>
      </c>
      <c r="O92" s="341">
        <f>'Historical Holdco'!N30</f>
        <v>0</v>
      </c>
      <c r="P92" s="341">
        <f>'Historical Holdco'!O30</f>
        <v>0</v>
      </c>
      <c r="Q92" s="341">
        <f>'Historical Holdco'!P30</f>
        <v>0</v>
      </c>
      <c r="R92" s="341">
        <f>'Historical Holdco'!Q30</f>
        <v>0</v>
      </c>
      <c r="S92" s="341">
        <f>'Historical Holdco'!R30</f>
        <v>0</v>
      </c>
      <c r="T92" s="341">
        <f>'Historical Holdco'!S30</f>
        <v>0</v>
      </c>
      <c r="U92" s="341">
        <f>'Historical Holdco'!T30</f>
        <v>0</v>
      </c>
    </row>
    <row r="93" spans="1:21" outlineLevel="1">
      <c r="A93" s="343"/>
      <c r="B93" s="343"/>
      <c r="C93" s="343"/>
      <c r="D93" s="341" t="s">
        <v>1107</v>
      </c>
      <c r="E93" s="347">
        <f>'Historical BU1'!D30*Currency_conversion_BU1</f>
        <v>0</v>
      </c>
      <c r="F93" s="347">
        <f>'Historical BU1'!E30*Currency_conversion_BU1</f>
        <v>0</v>
      </c>
      <c r="G93" s="347">
        <f>'Historical BU1'!F30*Currency_conversion_BU1</f>
        <v>0</v>
      </c>
      <c r="H93" s="347">
        <f>'Historical BU1'!G30*Currency_conversion_BU1</f>
        <v>0</v>
      </c>
      <c r="I93" s="347">
        <f>'Historical BU1'!H30*Currency_conversion_BU1</f>
        <v>0</v>
      </c>
      <c r="J93" s="347">
        <f>'Historical BU1'!I30*Currency_conversion_BU1</f>
        <v>0</v>
      </c>
      <c r="K93" s="347">
        <f>'Historical BU1'!J30*Currency_conversion_BU1</f>
        <v>0</v>
      </c>
      <c r="L93" s="347">
        <f>'Historical BU1'!K30*Currency_conversion_BU1</f>
        <v>0</v>
      </c>
      <c r="M93" s="347">
        <f>'Historical BU1'!L30*Currency_conversion_BU1</f>
        <v>0</v>
      </c>
      <c r="N93" s="347">
        <f>'Historical BU1'!M30*Currency_conversion_BU1</f>
        <v>0</v>
      </c>
      <c r="O93" s="347">
        <f>'Historical BU1'!N30*Currency_conversion_BU1</f>
        <v>0</v>
      </c>
      <c r="P93" s="347">
        <f>'Historical BU1'!O30*Currency_conversion_BU1</f>
        <v>0</v>
      </c>
      <c r="Q93" s="347">
        <f>'Historical BU1'!P30*Currency_conversion_BU1</f>
        <v>0</v>
      </c>
      <c r="R93" s="347">
        <f>'Historical BU1'!Q30*Currency_conversion_BU1</f>
        <v>0</v>
      </c>
      <c r="S93" s="347">
        <f>'Historical BU1'!R30*Currency_conversion_BU1</f>
        <v>0</v>
      </c>
      <c r="T93" s="347">
        <f>'Historical BU1'!S30*Currency_conversion_BU1</f>
        <v>0</v>
      </c>
      <c r="U93" s="347">
        <f>'Historical BU1'!T30*Currency_conversion_BU1</f>
        <v>0</v>
      </c>
    </row>
    <row r="94" spans="1:21" outlineLevel="1">
      <c r="A94" s="343"/>
      <c r="B94" s="343"/>
      <c r="C94" s="343"/>
      <c r="D94" s="341" t="s">
        <v>1108</v>
      </c>
      <c r="E94" s="341">
        <f>'Historical BU2'!D30*Currency_conversion_rate_BU2</f>
        <v>0</v>
      </c>
      <c r="F94" s="341">
        <f>'Historical BU2'!E30*Currency_conversion_rate_BU2</f>
        <v>0</v>
      </c>
      <c r="G94" s="341">
        <f>'Historical BU2'!F30*Currency_conversion_rate_BU2</f>
        <v>0</v>
      </c>
      <c r="H94" s="341">
        <f>'Historical BU2'!G30*Currency_conversion_rate_BU2</f>
        <v>0</v>
      </c>
      <c r="I94" s="341">
        <f>'Historical BU2'!H30*Currency_conversion_rate_BU2</f>
        <v>0</v>
      </c>
      <c r="J94" s="341">
        <f>'Historical BU2'!I30*Currency_conversion_rate_BU2</f>
        <v>0</v>
      </c>
      <c r="K94" s="341">
        <f>'Historical BU2'!J30*Currency_conversion_rate_BU2</f>
        <v>0</v>
      </c>
      <c r="L94" s="341">
        <f>'Historical BU2'!K30*Currency_conversion_rate_BU2</f>
        <v>0</v>
      </c>
      <c r="M94" s="341">
        <f>'Historical BU2'!L30*Currency_conversion_rate_BU2</f>
        <v>0</v>
      </c>
      <c r="N94" s="341">
        <f>'Historical BU2'!M30*Currency_conversion_rate_BU2</f>
        <v>0</v>
      </c>
      <c r="O94" s="341">
        <f>'Historical BU2'!N30*Currency_conversion_rate_BU2</f>
        <v>0</v>
      </c>
      <c r="P94" s="341">
        <f>'Historical BU2'!O30*Currency_conversion_rate_BU2</f>
        <v>0</v>
      </c>
      <c r="Q94" s="341">
        <f>'Historical BU2'!P30*Currency_conversion_rate_BU2</f>
        <v>0</v>
      </c>
      <c r="R94" s="341">
        <f>'Historical BU2'!Q30*Currency_conversion_rate_BU2</f>
        <v>0</v>
      </c>
      <c r="S94" s="341">
        <f>'Historical BU2'!R30*Currency_conversion_rate_BU2</f>
        <v>0</v>
      </c>
      <c r="T94" s="341">
        <f>'Historical BU2'!S30*Currency_conversion_rate_BU2</f>
        <v>0</v>
      </c>
      <c r="U94" s="341">
        <f>'Historical BU2'!T30*Currency_conversion_rate_BU2</f>
        <v>0</v>
      </c>
    </row>
    <row r="95" spans="1:21" outlineLevel="1">
      <c r="A95" s="343"/>
      <c r="B95" s="343"/>
      <c r="C95" s="343"/>
      <c r="D95" s="341" t="s">
        <v>1109</v>
      </c>
      <c r="E95" s="341">
        <f>'Historical other'!D30*Currency_conversion_rate_other</f>
        <v>0</v>
      </c>
      <c r="F95" s="341">
        <f>'Historical other'!E30*Currency_conversion_rate_other</f>
        <v>0</v>
      </c>
      <c r="G95" s="341">
        <f>'Historical other'!F30*Currency_conversion_rate_other</f>
        <v>0</v>
      </c>
      <c r="H95" s="341">
        <f>'Historical other'!G30*Currency_conversion_rate_other</f>
        <v>0</v>
      </c>
      <c r="I95" s="341">
        <f>'Historical other'!H30*Currency_conversion_rate_other</f>
        <v>0</v>
      </c>
      <c r="J95" s="341">
        <f>'Historical other'!I30*Currency_conversion_rate_other</f>
        <v>0</v>
      </c>
      <c r="K95" s="341">
        <f>'Historical other'!J30*Currency_conversion_rate_other</f>
        <v>0</v>
      </c>
      <c r="L95" s="341">
        <f>'Historical other'!K30*Currency_conversion_rate_other</f>
        <v>0</v>
      </c>
      <c r="M95" s="341">
        <f>'Historical other'!L30*Currency_conversion_rate_other</f>
        <v>0</v>
      </c>
      <c r="N95" s="341">
        <f>'Historical other'!M30*Currency_conversion_rate_other</f>
        <v>0</v>
      </c>
      <c r="O95" s="341">
        <f>'Historical other'!N30*Currency_conversion_rate_other</f>
        <v>0</v>
      </c>
      <c r="P95" s="341">
        <f>'Historical other'!O30*Currency_conversion_rate_other</f>
        <v>0</v>
      </c>
      <c r="Q95" s="341">
        <f>'Historical other'!P30*Currency_conversion_rate_other</f>
        <v>0</v>
      </c>
      <c r="R95" s="341">
        <f>'Historical other'!Q30*Currency_conversion_rate_other</f>
        <v>0</v>
      </c>
      <c r="S95" s="341">
        <f>'Historical other'!R30*Currency_conversion_rate_other</f>
        <v>0</v>
      </c>
      <c r="T95" s="341">
        <f>'Historical other'!S30*Currency_conversion_rate_other</f>
        <v>0</v>
      </c>
      <c r="U95" s="341">
        <f>'Historical other'!T30*Currency_conversion_rate_other</f>
        <v>0</v>
      </c>
    </row>
    <row r="96" spans="1:21">
      <c r="A96" s="98"/>
      <c r="B96" s="98"/>
      <c r="C96" s="99" t="s">
        <v>207</v>
      </c>
      <c r="D96" s="99"/>
      <c r="E96" s="346">
        <f>+E65+E66+E72+E78+E84+E90</f>
        <v>0</v>
      </c>
      <c r="F96" s="346">
        <f t="shared" ref="F96:U96" si="28">+F65+F66+F72+F78+F84+F90</f>
        <v>0</v>
      </c>
      <c r="G96" s="346">
        <f t="shared" si="28"/>
        <v>0</v>
      </c>
      <c r="H96" s="346">
        <f t="shared" si="28"/>
        <v>0</v>
      </c>
      <c r="I96" s="346">
        <f t="shared" si="28"/>
        <v>0</v>
      </c>
      <c r="J96" s="346">
        <f t="shared" si="28"/>
        <v>0</v>
      </c>
      <c r="K96" s="346">
        <f t="shared" si="28"/>
        <v>0</v>
      </c>
      <c r="L96" s="346">
        <f t="shared" si="28"/>
        <v>0</v>
      </c>
      <c r="M96" s="346">
        <f t="shared" si="28"/>
        <v>0</v>
      </c>
      <c r="N96" s="346">
        <f t="shared" si="28"/>
        <v>0</v>
      </c>
      <c r="O96" s="346">
        <f t="shared" si="28"/>
        <v>0</v>
      </c>
      <c r="P96" s="346">
        <f t="shared" si="28"/>
        <v>0</v>
      </c>
      <c r="Q96" s="346">
        <f t="shared" si="28"/>
        <v>0</v>
      </c>
      <c r="R96" s="346">
        <f t="shared" si="28"/>
        <v>0</v>
      </c>
      <c r="S96" s="346">
        <f t="shared" si="28"/>
        <v>0</v>
      </c>
      <c r="T96" s="346">
        <f t="shared" si="28"/>
        <v>0</v>
      </c>
      <c r="U96" s="346">
        <f t="shared" si="28"/>
        <v>0</v>
      </c>
    </row>
    <row r="97" spans="1:21">
      <c r="A97" s="56" t="s">
        <v>668</v>
      </c>
      <c r="B97" s="56"/>
      <c r="C97" s="56" t="s">
        <v>980</v>
      </c>
      <c r="D97" s="56"/>
      <c r="E97" s="345">
        <f>SUM(E98:E102)</f>
        <v>0</v>
      </c>
      <c r="F97" s="345">
        <f t="shared" ref="F97:U97" si="29">SUM(F98:F102)</f>
        <v>0</v>
      </c>
      <c r="G97" s="345">
        <f t="shared" si="29"/>
        <v>0</v>
      </c>
      <c r="H97" s="345">
        <f t="shared" si="29"/>
        <v>0</v>
      </c>
      <c r="I97" s="345">
        <f t="shared" si="29"/>
        <v>0</v>
      </c>
      <c r="J97" s="345">
        <f t="shared" si="29"/>
        <v>0</v>
      </c>
      <c r="K97" s="345">
        <f t="shared" si="29"/>
        <v>0</v>
      </c>
      <c r="L97" s="345">
        <f t="shared" si="29"/>
        <v>0</v>
      </c>
      <c r="M97" s="345">
        <f t="shared" si="29"/>
        <v>0</v>
      </c>
      <c r="N97" s="345">
        <f t="shared" si="29"/>
        <v>0</v>
      </c>
      <c r="O97" s="345">
        <f t="shared" si="29"/>
        <v>0</v>
      </c>
      <c r="P97" s="345">
        <f t="shared" si="29"/>
        <v>0</v>
      </c>
      <c r="Q97" s="345">
        <f t="shared" si="29"/>
        <v>0</v>
      </c>
      <c r="R97" s="345">
        <f t="shared" si="29"/>
        <v>0</v>
      </c>
      <c r="S97" s="345">
        <f t="shared" si="29"/>
        <v>0</v>
      </c>
      <c r="T97" s="345">
        <f t="shared" si="29"/>
        <v>0</v>
      </c>
      <c r="U97" s="345">
        <f t="shared" si="29"/>
        <v>0</v>
      </c>
    </row>
    <row r="98" spans="1:21" outlineLevel="1">
      <c r="A98" s="343"/>
      <c r="B98" s="343"/>
      <c r="C98" s="343"/>
      <c r="D98" s="341" t="s">
        <v>1105</v>
      </c>
      <c r="E98" s="341">
        <f>'Consolidation adjustments'!D32</f>
        <v>0</v>
      </c>
      <c r="F98" s="341">
        <f>'Consolidation adjustments'!E32</f>
        <v>0</v>
      </c>
      <c r="G98" s="341">
        <f>'Consolidation adjustments'!F32</f>
        <v>0</v>
      </c>
      <c r="H98" s="341">
        <f>'Consolidation adjustments'!G32</f>
        <v>0</v>
      </c>
      <c r="I98" s="341">
        <f>'Consolidation adjustments'!H32</f>
        <v>0</v>
      </c>
      <c r="J98" s="341">
        <f>'Consolidation adjustments'!I32</f>
        <v>0</v>
      </c>
      <c r="K98" s="341">
        <f>'Consolidation adjustments'!J32</f>
        <v>0</v>
      </c>
      <c r="L98" s="341">
        <f>'Consolidation adjustments'!K32</f>
        <v>0</v>
      </c>
      <c r="M98" s="341">
        <f>'Consolidation adjustments'!L32</f>
        <v>0</v>
      </c>
      <c r="N98" s="341">
        <f>'Consolidation adjustments'!M32</f>
        <v>0</v>
      </c>
      <c r="O98" s="341">
        <f>'Consolidation adjustments'!N32</f>
        <v>0</v>
      </c>
      <c r="P98" s="341">
        <f>'Consolidation adjustments'!O32</f>
        <v>0</v>
      </c>
      <c r="Q98" s="341">
        <f>'Consolidation adjustments'!P32</f>
        <v>0</v>
      </c>
      <c r="R98" s="341">
        <f>'Consolidation adjustments'!Q32</f>
        <v>0</v>
      </c>
      <c r="S98" s="341">
        <f>'Consolidation adjustments'!R32</f>
        <v>0</v>
      </c>
      <c r="T98" s="341">
        <f>'Consolidation adjustments'!S32</f>
        <v>0</v>
      </c>
      <c r="U98" s="341">
        <f>'Consolidation adjustments'!T32</f>
        <v>0</v>
      </c>
    </row>
    <row r="99" spans="1:21" outlineLevel="1">
      <c r="A99" s="343"/>
      <c r="B99" s="343"/>
      <c r="C99" s="343"/>
      <c r="D99" s="341" t="s">
        <v>1106</v>
      </c>
      <c r="E99" s="341">
        <f>'Historical Holdco'!D32</f>
        <v>0</v>
      </c>
      <c r="F99" s="341">
        <f>'Historical Holdco'!E32</f>
        <v>0</v>
      </c>
      <c r="G99" s="341">
        <f>'Historical Holdco'!F32</f>
        <v>0</v>
      </c>
      <c r="H99" s="341">
        <f>'Historical Holdco'!G32</f>
        <v>0</v>
      </c>
      <c r="I99" s="341">
        <f>'Historical Holdco'!H32</f>
        <v>0</v>
      </c>
      <c r="J99" s="341">
        <f>'Historical Holdco'!I32</f>
        <v>0</v>
      </c>
      <c r="K99" s="341">
        <f>'Historical Holdco'!J32</f>
        <v>0</v>
      </c>
      <c r="L99" s="341">
        <f>'Historical Holdco'!K32</f>
        <v>0</v>
      </c>
      <c r="M99" s="341">
        <f>'Historical Holdco'!L32</f>
        <v>0</v>
      </c>
      <c r="N99" s="341">
        <f>'Historical Holdco'!M32</f>
        <v>0</v>
      </c>
      <c r="O99" s="341">
        <f>'Historical Holdco'!N32</f>
        <v>0</v>
      </c>
      <c r="P99" s="341">
        <f>'Historical Holdco'!O32</f>
        <v>0</v>
      </c>
      <c r="Q99" s="341">
        <f>'Historical Holdco'!P32</f>
        <v>0</v>
      </c>
      <c r="R99" s="341">
        <f>'Historical Holdco'!Q32</f>
        <v>0</v>
      </c>
      <c r="S99" s="341">
        <f>'Historical Holdco'!R32</f>
        <v>0</v>
      </c>
      <c r="T99" s="341">
        <f>'Historical Holdco'!S32</f>
        <v>0</v>
      </c>
      <c r="U99" s="341">
        <f>'Historical Holdco'!T32</f>
        <v>0</v>
      </c>
    </row>
    <row r="100" spans="1:21" outlineLevel="1">
      <c r="A100" s="343"/>
      <c r="B100" s="343"/>
      <c r="C100" s="343"/>
      <c r="D100" s="341" t="s">
        <v>1107</v>
      </c>
      <c r="E100" s="347">
        <f>'Historical BU1'!D32*Currency_conversion_BU1</f>
        <v>0</v>
      </c>
      <c r="F100" s="347">
        <f>'Historical BU1'!E32*Currency_conversion_BU1</f>
        <v>0</v>
      </c>
      <c r="G100" s="347">
        <f>'Historical BU1'!F32*Currency_conversion_BU1</f>
        <v>0</v>
      </c>
      <c r="H100" s="347">
        <f>'Historical BU1'!G32*Currency_conversion_BU1</f>
        <v>0</v>
      </c>
      <c r="I100" s="347">
        <f>'Historical BU1'!H32*Currency_conversion_BU1</f>
        <v>0</v>
      </c>
      <c r="J100" s="347">
        <f>'Historical BU1'!I32*Currency_conversion_BU1</f>
        <v>0</v>
      </c>
      <c r="K100" s="347">
        <f>'Historical BU1'!J32*Currency_conversion_BU1</f>
        <v>0</v>
      </c>
      <c r="L100" s="347">
        <f>'Historical BU1'!K32*Currency_conversion_BU1</f>
        <v>0</v>
      </c>
      <c r="M100" s="347">
        <f>'Historical BU1'!L32*Currency_conversion_BU1</f>
        <v>0</v>
      </c>
      <c r="N100" s="347">
        <f>'Historical BU1'!M32*Currency_conversion_BU1</f>
        <v>0</v>
      </c>
      <c r="O100" s="347">
        <f>'Historical BU1'!N32*Currency_conversion_BU1</f>
        <v>0</v>
      </c>
      <c r="P100" s="347">
        <f>'Historical BU1'!O32*Currency_conversion_BU1</f>
        <v>0</v>
      </c>
      <c r="Q100" s="347">
        <f>'Historical BU1'!P32*Currency_conversion_BU1</f>
        <v>0</v>
      </c>
      <c r="R100" s="347">
        <f>'Historical BU1'!Q32*Currency_conversion_BU1</f>
        <v>0</v>
      </c>
      <c r="S100" s="347">
        <f>'Historical BU1'!R32*Currency_conversion_BU1</f>
        <v>0</v>
      </c>
      <c r="T100" s="347">
        <f>'Historical BU1'!S32*Currency_conversion_BU1</f>
        <v>0</v>
      </c>
      <c r="U100" s="347">
        <f>'Historical BU1'!T32*Currency_conversion_BU1</f>
        <v>0</v>
      </c>
    </row>
    <row r="101" spans="1:21" outlineLevel="1">
      <c r="A101" s="343"/>
      <c r="B101" s="343"/>
      <c r="C101" s="343"/>
      <c r="D101" s="341" t="s">
        <v>1108</v>
      </c>
      <c r="E101" s="341">
        <f>'Historical BU2'!D32*Currency_conversion_rate_BU2</f>
        <v>0</v>
      </c>
      <c r="F101" s="341">
        <f>'Historical BU2'!E32*Currency_conversion_rate_BU2</f>
        <v>0</v>
      </c>
      <c r="G101" s="341">
        <f>'Historical BU2'!F32*Currency_conversion_rate_BU2</f>
        <v>0</v>
      </c>
      <c r="H101" s="341">
        <f>'Historical BU2'!G32*Currency_conversion_rate_BU2</f>
        <v>0</v>
      </c>
      <c r="I101" s="341">
        <f>'Historical BU2'!H32*Currency_conversion_rate_BU2</f>
        <v>0</v>
      </c>
      <c r="J101" s="341">
        <f>'Historical BU2'!I32*Currency_conversion_rate_BU2</f>
        <v>0</v>
      </c>
      <c r="K101" s="341">
        <f>'Historical BU2'!J32*Currency_conversion_rate_BU2</f>
        <v>0</v>
      </c>
      <c r="L101" s="341">
        <f>'Historical BU2'!K32*Currency_conversion_rate_BU2</f>
        <v>0</v>
      </c>
      <c r="M101" s="341">
        <f>'Historical BU2'!L32*Currency_conversion_rate_BU2</f>
        <v>0</v>
      </c>
      <c r="N101" s="341">
        <f>'Historical BU2'!M32*Currency_conversion_rate_BU2</f>
        <v>0</v>
      </c>
      <c r="O101" s="341">
        <f>'Historical BU2'!N32*Currency_conversion_rate_BU2</f>
        <v>0</v>
      </c>
      <c r="P101" s="341">
        <f>'Historical BU2'!O32*Currency_conversion_rate_BU2</f>
        <v>0</v>
      </c>
      <c r="Q101" s="341">
        <f>'Historical BU2'!P32*Currency_conversion_rate_BU2</f>
        <v>0</v>
      </c>
      <c r="R101" s="341">
        <f>'Historical BU2'!Q32*Currency_conversion_rate_BU2</f>
        <v>0</v>
      </c>
      <c r="S101" s="341">
        <f>'Historical BU2'!R32*Currency_conversion_rate_BU2</f>
        <v>0</v>
      </c>
      <c r="T101" s="341">
        <f>'Historical BU2'!S32*Currency_conversion_rate_BU2</f>
        <v>0</v>
      </c>
      <c r="U101" s="341">
        <f>'Historical BU2'!T32*Currency_conversion_rate_BU2</f>
        <v>0</v>
      </c>
    </row>
    <row r="102" spans="1:21" outlineLevel="1">
      <c r="A102" s="343"/>
      <c r="B102" s="343"/>
      <c r="C102" s="343"/>
      <c r="D102" s="341" t="s">
        <v>1109</v>
      </c>
      <c r="E102" s="341">
        <f>'Historical other'!D32*Currency_conversion_rate_other</f>
        <v>0</v>
      </c>
      <c r="F102" s="341">
        <f>'Historical other'!E32*Currency_conversion_rate_other</f>
        <v>0</v>
      </c>
      <c r="G102" s="341">
        <f>'Historical other'!F32*Currency_conversion_rate_other</f>
        <v>0</v>
      </c>
      <c r="H102" s="341">
        <f>'Historical other'!G32*Currency_conversion_rate_other</f>
        <v>0</v>
      </c>
      <c r="I102" s="341">
        <f>'Historical other'!H32*Currency_conversion_rate_other</f>
        <v>0</v>
      </c>
      <c r="J102" s="341">
        <f>'Historical other'!I32*Currency_conversion_rate_other</f>
        <v>0</v>
      </c>
      <c r="K102" s="341">
        <f>'Historical other'!J32*Currency_conversion_rate_other</f>
        <v>0</v>
      </c>
      <c r="L102" s="341">
        <f>'Historical other'!K32*Currency_conversion_rate_other</f>
        <v>0</v>
      </c>
      <c r="M102" s="341">
        <f>'Historical other'!L32*Currency_conversion_rate_other</f>
        <v>0</v>
      </c>
      <c r="N102" s="341">
        <f>'Historical other'!M32*Currency_conversion_rate_other</f>
        <v>0</v>
      </c>
      <c r="O102" s="341">
        <f>'Historical other'!N32*Currency_conversion_rate_other</f>
        <v>0</v>
      </c>
      <c r="P102" s="341">
        <f>'Historical other'!O32*Currency_conversion_rate_other</f>
        <v>0</v>
      </c>
      <c r="Q102" s="341">
        <f>'Historical other'!P32*Currency_conversion_rate_other</f>
        <v>0</v>
      </c>
      <c r="R102" s="341">
        <f>'Historical other'!Q32*Currency_conversion_rate_other</f>
        <v>0</v>
      </c>
      <c r="S102" s="341">
        <f>'Historical other'!R32*Currency_conversion_rate_other</f>
        <v>0</v>
      </c>
      <c r="T102" s="341">
        <f>'Historical other'!S32*Currency_conversion_rate_other</f>
        <v>0</v>
      </c>
      <c r="U102" s="341">
        <f>'Historical other'!T32*Currency_conversion_rate_other</f>
        <v>0</v>
      </c>
    </row>
    <row r="103" spans="1:21">
      <c r="A103" s="98"/>
      <c r="B103" s="98"/>
      <c r="C103" s="98" t="s">
        <v>208</v>
      </c>
      <c r="D103" s="98"/>
      <c r="E103" s="346">
        <f>+E96+E97</f>
        <v>0</v>
      </c>
      <c r="F103" s="346">
        <f t="shared" ref="F103:U103" si="30">+F96+F97</f>
        <v>0</v>
      </c>
      <c r="G103" s="346">
        <f t="shared" si="30"/>
        <v>0</v>
      </c>
      <c r="H103" s="346">
        <f t="shared" si="30"/>
        <v>0</v>
      </c>
      <c r="I103" s="346">
        <f t="shared" si="30"/>
        <v>0</v>
      </c>
      <c r="J103" s="346">
        <f t="shared" si="30"/>
        <v>0</v>
      </c>
      <c r="K103" s="346">
        <f t="shared" si="30"/>
        <v>0</v>
      </c>
      <c r="L103" s="346">
        <f t="shared" si="30"/>
        <v>0</v>
      </c>
      <c r="M103" s="346">
        <f t="shared" si="30"/>
        <v>0</v>
      </c>
      <c r="N103" s="346">
        <f t="shared" si="30"/>
        <v>0</v>
      </c>
      <c r="O103" s="346">
        <f t="shared" si="30"/>
        <v>0</v>
      </c>
      <c r="P103" s="346">
        <f t="shared" si="30"/>
        <v>0</v>
      </c>
      <c r="Q103" s="346">
        <f t="shared" si="30"/>
        <v>0</v>
      </c>
      <c r="R103" s="346">
        <f t="shared" si="30"/>
        <v>0</v>
      </c>
      <c r="S103" s="346">
        <f t="shared" si="30"/>
        <v>0</v>
      </c>
      <c r="T103" s="346">
        <f t="shared" si="30"/>
        <v>0</v>
      </c>
      <c r="U103" s="346">
        <f t="shared" si="30"/>
        <v>0</v>
      </c>
    </row>
    <row r="104" spans="1:21">
      <c r="A104" s="56" t="s">
        <v>672</v>
      </c>
      <c r="B104" s="56"/>
      <c r="C104" s="56" t="s">
        <v>209</v>
      </c>
      <c r="D104" s="56"/>
      <c r="E104" s="345">
        <f>SUM(E105:E109)</f>
        <v>0</v>
      </c>
      <c r="F104" s="345">
        <f t="shared" ref="F104:U104" si="31">SUM(F105:F109)</f>
        <v>0</v>
      </c>
      <c r="G104" s="345">
        <f t="shared" si="31"/>
        <v>0</v>
      </c>
      <c r="H104" s="345">
        <f t="shared" si="31"/>
        <v>0</v>
      </c>
      <c r="I104" s="345">
        <f t="shared" si="31"/>
        <v>0</v>
      </c>
      <c r="J104" s="345">
        <f t="shared" si="31"/>
        <v>0</v>
      </c>
      <c r="K104" s="345">
        <f t="shared" si="31"/>
        <v>0</v>
      </c>
      <c r="L104" s="345">
        <f t="shared" si="31"/>
        <v>0</v>
      </c>
      <c r="M104" s="345">
        <f t="shared" si="31"/>
        <v>0</v>
      </c>
      <c r="N104" s="345">
        <f t="shared" si="31"/>
        <v>0</v>
      </c>
      <c r="O104" s="345">
        <f t="shared" si="31"/>
        <v>0</v>
      </c>
      <c r="P104" s="345">
        <f t="shared" si="31"/>
        <v>0</v>
      </c>
      <c r="Q104" s="345">
        <f t="shared" si="31"/>
        <v>0</v>
      </c>
      <c r="R104" s="345">
        <f t="shared" si="31"/>
        <v>0</v>
      </c>
      <c r="S104" s="345">
        <f t="shared" si="31"/>
        <v>0</v>
      </c>
      <c r="T104" s="345">
        <f t="shared" si="31"/>
        <v>0</v>
      </c>
      <c r="U104" s="345">
        <f t="shared" si="31"/>
        <v>0</v>
      </c>
    </row>
    <row r="105" spans="1:21" outlineLevel="1">
      <c r="A105" s="343"/>
      <c r="B105" s="343"/>
      <c r="C105" s="343"/>
      <c r="D105" s="341" t="s">
        <v>1105</v>
      </c>
      <c r="E105" s="341">
        <f>'Consolidation adjustments'!D34</f>
        <v>0</v>
      </c>
      <c r="F105" s="341">
        <f>'Consolidation adjustments'!E34</f>
        <v>0</v>
      </c>
      <c r="G105" s="341">
        <f>'Consolidation adjustments'!F34</f>
        <v>0</v>
      </c>
      <c r="H105" s="341">
        <f>'Consolidation adjustments'!G34</f>
        <v>0</v>
      </c>
      <c r="I105" s="341">
        <f>'Consolidation adjustments'!H34</f>
        <v>0</v>
      </c>
      <c r="J105" s="341">
        <f>'Consolidation adjustments'!I34</f>
        <v>0</v>
      </c>
      <c r="K105" s="341">
        <f>'Consolidation adjustments'!J34</f>
        <v>0</v>
      </c>
      <c r="L105" s="341">
        <f>'Consolidation adjustments'!K34</f>
        <v>0</v>
      </c>
      <c r="M105" s="341">
        <f>'Consolidation adjustments'!L34</f>
        <v>0</v>
      </c>
      <c r="N105" s="341">
        <f>'Consolidation adjustments'!M34</f>
        <v>0</v>
      </c>
      <c r="O105" s="341">
        <f>'Consolidation adjustments'!N34</f>
        <v>0</v>
      </c>
      <c r="P105" s="341">
        <f>'Consolidation adjustments'!O34</f>
        <v>0</v>
      </c>
      <c r="Q105" s="341">
        <f>'Consolidation adjustments'!P34</f>
        <v>0</v>
      </c>
      <c r="R105" s="341">
        <f>'Consolidation adjustments'!Q34</f>
        <v>0</v>
      </c>
      <c r="S105" s="341">
        <f>'Consolidation adjustments'!R34</f>
        <v>0</v>
      </c>
      <c r="T105" s="341">
        <f>'Consolidation adjustments'!S34</f>
        <v>0</v>
      </c>
      <c r="U105" s="341">
        <f>'Consolidation adjustments'!T34</f>
        <v>0</v>
      </c>
    </row>
    <row r="106" spans="1:21" outlineLevel="1">
      <c r="A106" s="343"/>
      <c r="B106" s="343"/>
      <c r="C106" s="343"/>
      <c r="D106" s="341" t="s">
        <v>1106</v>
      </c>
      <c r="E106" s="341">
        <f>'Historical Holdco'!D34</f>
        <v>0</v>
      </c>
      <c r="F106" s="341">
        <f>'Historical Holdco'!E34</f>
        <v>0</v>
      </c>
      <c r="G106" s="341">
        <f>'Historical Holdco'!F34</f>
        <v>0</v>
      </c>
      <c r="H106" s="341">
        <f>'Historical Holdco'!G34</f>
        <v>0</v>
      </c>
      <c r="I106" s="341">
        <f>'Historical Holdco'!H34</f>
        <v>0</v>
      </c>
      <c r="J106" s="341">
        <f>'Historical Holdco'!I34</f>
        <v>0</v>
      </c>
      <c r="K106" s="341">
        <f>'Historical Holdco'!J34</f>
        <v>0</v>
      </c>
      <c r="L106" s="341">
        <f>'Historical Holdco'!K34</f>
        <v>0</v>
      </c>
      <c r="M106" s="341">
        <f>'Historical Holdco'!L34</f>
        <v>0</v>
      </c>
      <c r="N106" s="341">
        <f>'Historical Holdco'!M34</f>
        <v>0</v>
      </c>
      <c r="O106" s="341">
        <f>'Historical Holdco'!N34</f>
        <v>0</v>
      </c>
      <c r="P106" s="341">
        <f>'Historical Holdco'!O34</f>
        <v>0</v>
      </c>
      <c r="Q106" s="341">
        <f>'Historical Holdco'!P34</f>
        <v>0</v>
      </c>
      <c r="R106" s="341">
        <f>'Historical Holdco'!Q34</f>
        <v>0</v>
      </c>
      <c r="S106" s="341">
        <f>'Historical Holdco'!R34</f>
        <v>0</v>
      </c>
      <c r="T106" s="341">
        <f>'Historical Holdco'!S34</f>
        <v>0</v>
      </c>
      <c r="U106" s="341">
        <f>'Historical Holdco'!T34</f>
        <v>0</v>
      </c>
    </row>
    <row r="107" spans="1:21" outlineLevel="1">
      <c r="A107" s="343"/>
      <c r="B107" s="343"/>
      <c r="C107" s="343"/>
      <c r="D107" s="341" t="s">
        <v>1107</v>
      </c>
      <c r="E107" s="347">
        <f>'Historical BU1'!D34*Currency_conversion_BU1</f>
        <v>0</v>
      </c>
      <c r="F107" s="347">
        <f>'Historical BU1'!E34*Currency_conversion_BU1</f>
        <v>0</v>
      </c>
      <c r="G107" s="347">
        <f>'Historical BU1'!F34*Currency_conversion_BU1</f>
        <v>0</v>
      </c>
      <c r="H107" s="347">
        <f>'Historical BU1'!G34*Currency_conversion_BU1</f>
        <v>0</v>
      </c>
      <c r="I107" s="347">
        <f>'Historical BU1'!H34*Currency_conversion_BU1</f>
        <v>0</v>
      </c>
      <c r="J107" s="347">
        <f>'Historical BU1'!I34*Currency_conversion_BU1</f>
        <v>0</v>
      </c>
      <c r="K107" s="347">
        <f>'Historical BU1'!J34*Currency_conversion_BU1</f>
        <v>0</v>
      </c>
      <c r="L107" s="347">
        <f>'Historical BU1'!K34*Currency_conversion_BU1</f>
        <v>0</v>
      </c>
      <c r="M107" s="347">
        <f>'Historical BU1'!L34*Currency_conversion_BU1</f>
        <v>0</v>
      </c>
      <c r="N107" s="347">
        <f>'Historical BU1'!M34*Currency_conversion_BU1</f>
        <v>0</v>
      </c>
      <c r="O107" s="347">
        <f>'Historical BU1'!N34*Currency_conversion_BU1</f>
        <v>0</v>
      </c>
      <c r="P107" s="347">
        <f>'Historical BU1'!O34*Currency_conversion_BU1</f>
        <v>0</v>
      </c>
      <c r="Q107" s="347">
        <f>'Historical BU1'!P34*Currency_conversion_BU1</f>
        <v>0</v>
      </c>
      <c r="R107" s="347">
        <f>'Historical BU1'!Q34*Currency_conversion_BU1</f>
        <v>0</v>
      </c>
      <c r="S107" s="347">
        <f>'Historical BU1'!R34*Currency_conversion_BU1</f>
        <v>0</v>
      </c>
      <c r="T107" s="347">
        <f>'Historical BU1'!S34*Currency_conversion_BU1</f>
        <v>0</v>
      </c>
      <c r="U107" s="347">
        <f>'Historical BU1'!T34*Currency_conversion_BU1</f>
        <v>0</v>
      </c>
    </row>
    <row r="108" spans="1:21" outlineLevel="1">
      <c r="A108" s="343"/>
      <c r="B108" s="343"/>
      <c r="C108" s="343"/>
      <c r="D108" s="341" t="s">
        <v>1108</v>
      </c>
      <c r="E108" s="341">
        <f>'Historical BU2'!D34*Currency_conversion_rate_BU2</f>
        <v>0</v>
      </c>
      <c r="F108" s="341">
        <f>'Historical BU2'!E34*Currency_conversion_rate_BU2</f>
        <v>0</v>
      </c>
      <c r="G108" s="341">
        <f>'Historical BU2'!F34*Currency_conversion_rate_BU2</f>
        <v>0</v>
      </c>
      <c r="H108" s="341">
        <f>'Historical BU2'!G34*Currency_conversion_rate_BU2</f>
        <v>0</v>
      </c>
      <c r="I108" s="341">
        <f>'Historical BU2'!H34*Currency_conversion_rate_BU2</f>
        <v>0</v>
      </c>
      <c r="J108" s="341">
        <f>'Historical BU2'!I34*Currency_conversion_rate_BU2</f>
        <v>0</v>
      </c>
      <c r="K108" s="341">
        <f>'Historical BU2'!J34*Currency_conversion_rate_BU2</f>
        <v>0</v>
      </c>
      <c r="L108" s="341">
        <f>'Historical BU2'!K34*Currency_conversion_rate_BU2</f>
        <v>0</v>
      </c>
      <c r="M108" s="341">
        <f>'Historical BU2'!L34*Currency_conversion_rate_BU2</f>
        <v>0</v>
      </c>
      <c r="N108" s="341">
        <f>'Historical BU2'!M34*Currency_conversion_rate_BU2</f>
        <v>0</v>
      </c>
      <c r="O108" s="341">
        <f>'Historical BU2'!N34*Currency_conversion_rate_BU2</f>
        <v>0</v>
      </c>
      <c r="P108" s="341">
        <f>'Historical BU2'!O34*Currency_conversion_rate_BU2</f>
        <v>0</v>
      </c>
      <c r="Q108" s="341">
        <f>'Historical BU2'!P34*Currency_conversion_rate_BU2</f>
        <v>0</v>
      </c>
      <c r="R108" s="341">
        <f>'Historical BU2'!Q34*Currency_conversion_rate_BU2</f>
        <v>0</v>
      </c>
      <c r="S108" s="341">
        <f>'Historical BU2'!R34*Currency_conversion_rate_BU2</f>
        <v>0</v>
      </c>
      <c r="T108" s="341">
        <f>'Historical BU2'!S34*Currency_conversion_rate_BU2</f>
        <v>0</v>
      </c>
      <c r="U108" s="341">
        <f>'Historical BU2'!T34*Currency_conversion_rate_BU2</f>
        <v>0</v>
      </c>
    </row>
    <row r="109" spans="1:21" outlineLevel="1">
      <c r="A109" s="343"/>
      <c r="B109" s="343"/>
      <c r="C109" s="343"/>
      <c r="D109" s="341" t="s">
        <v>1109</v>
      </c>
      <c r="E109" s="341">
        <f>'Historical other'!D34*Currency_conversion_rate_other</f>
        <v>0</v>
      </c>
      <c r="F109" s="341">
        <f>'Historical other'!E34*Currency_conversion_rate_other</f>
        <v>0</v>
      </c>
      <c r="G109" s="341">
        <f>'Historical other'!F34*Currency_conversion_rate_other</f>
        <v>0</v>
      </c>
      <c r="H109" s="341">
        <f>'Historical other'!G34*Currency_conversion_rate_other</f>
        <v>0</v>
      </c>
      <c r="I109" s="341">
        <f>'Historical other'!H34*Currency_conversion_rate_other</f>
        <v>0</v>
      </c>
      <c r="J109" s="341">
        <f>'Historical other'!I34*Currency_conversion_rate_other</f>
        <v>0</v>
      </c>
      <c r="K109" s="341">
        <f>'Historical other'!J34*Currency_conversion_rate_other</f>
        <v>0</v>
      </c>
      <c r="L109" s="341">
        <f>'Historical other'!K34*Currency_conversion_rate_other</f>
        <v>0</v>
      </c>
      <c r="M109" s="341">
        <f>'Historical other'!L34*Currency_conversion_rate_other</f>
        <v>0</v>
      </c>
      <c r="N109" s="341">
        <f>'Historical other'!M34*Currency_conversion_rate_other</f>
        <v>0</v>
      </c>
      <c r="O109" s="341">
        <f>'Historical other'!N34*Currency_conversion_rate_other</f>
        <v>0</v>
      </c>
      <c r="P109" s="341">
        <f>'Historical other'!O34*Currency_conversion_rate_other</f>
        <v>0</v>
      </c>
      <c r="Q109" s="341">
        <f>'Historical other'!P34*Currency_conversion_rate_other</f>
        <v>0</v>
      </c>
      <c r="R109" s="341">
        <f>'Historical other'!Q34*Currency_conversion_rate_other</f>
        <v>0</v>
      </c>
      <c r="S109" s="341">
        <f>'Historical other'!R34*Currency_conversion_rate_other</f>
        <v>0</v>
      </c>
      <c r="T109" s="341">
        <f>'Historical other'!S34*Currency_conversion_rate_other</f>
        <v>0</v>
      </c>
      <c r="U109" s="341">
        <f>'Historical other'!T34*Currency_conversion_rate_other</f>
        <v>0</v>
      </c>
    </row>
    <row r="110" spans="1:21">
      <c r="A110" s="98"/>
      <c r="B110" s="98"/>
      <c r="C110" s="98" t="s">
        <v>192</v>
      </c>
      <c r="D110" s="98"/>
      <c r="E110" s="346">
        <f>+E103+E104</f>
        <v>0</v>
      </c>
      <c r="F110" s="346">
        <f t="shared" ref="F110:U110" si="32">+F103+F104</f>
        <v>0</v>
      </c>
      <c r="G110" s="346">
        <f t="shared" si="32"/>
        <v>0</v>
      </c>
      <c r="H110" s="346">
        <f t="shared" si="32"/>
        <v>0</v>
      </c>
      <c r="I110" s="346">
        <f t="shared" si="32"/>
        <v>0</v>
      </c>
      <c r="J110" s="346">
        <f t="shared" si="32"/>
        <v>0</v>
      </c>
      <c r="K110" s="346">
        <f t="shared" si="32"/>
        <v>0</v>
      </c>
      <c r="L110" s="346">
        <f t="shared" si="32"/>
        <v>0</v>
      </c>
      <c r="M110" s="346">
        <f t="shared" si="32"/>
        <v>0</v>
      </c>
      <c r="N110" s="346">
        <f t="shared" si="32"/>
        <v>0</v>
      </c>
      <c r="O110" s="346">
        <f t="shared" si="32"/>
        <v>0</v>
      </c>
      <c r="P110" s="346">
        <f t="shared" si="32"/>
        <v>0</v>
      </c>
      <c r="Q110" s="346">
        <f t="shared" si="32"/>
        <v>0</v>
      </c>
      <c r="R110" s="346">
        <f t="shared" si="32"/>
        <v>0</v>
      </c>
      <c r="S110" s="346">
        <f t="shared" si="32"/>
        <v>0</v>
      </c>
      <c r="T110" s="346">
        <f t="shared" si="32"/>
        <v>0</v>
      </c>
      <c r="U110" s="346">
        <f t="shared" si="32"/>
        <v>0</v>
      </c>
    </row>
    <row r="111" spans="1:21">
      <c r="A111" s="113"/>
      <c r="B111" s="113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</row>
    <row r="112" spans="1:21">
      <c r="A112" s="113"/>
      <c r="B112" s="113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</row>
    <row r="113" spans="1:21">
      <c r="A113" s="121" t="s">
        <v>210</v>
      </c>
      <c r="B113" s="121"/>
      <c r="C113" s="121"/>
      <c r="D113" s="122" t="s">
        <v>581</v>
      </c>
      <c r="E113" s="121"/>
      <c r="F113" s="121"/>
      <c r="G113" s="121"/>
      <c r="H113" s="121"/>
      <c r="I113" s="121"/>
      <c r="J113" s="121"/>
      <c r="K113" s="121"/>
      <c r="L113" s="121"/>
      <c r="M113" s="121"/>
      <c r="N113" s="121"/>
      <c r="O113" s="121"/>
      <c r="P113" s="121"/>
      <c r="Q113" s="121"/>
      <c r="R113" s="121"/>
      <c r="S113" s="121"/>
      <c r="T113" s="121"/>
      <c r="U113" s="121"/>
    </row>
    <row r="114" spans="1:21" ht="15.15" thickBot="1">
      <c r="A114" s="123" t="s">
        <v>580</v>
      </c>
      <c r="B114" s="123"/>
      <c r="C114" s="123"/>
      <c r="D114" s="123"/>
      <c r="E114" s="124">
        <f>E9</f>
        <v>42004</v>
      </c>
      <c r="F114" s="124">
        <f t="shared" ref="F114:U114" si="33">F9</f>
        <v>42369</v>
      </c>
      <c r="G114" s="124">
        <f t="shared" si="33"/>
        <v>42735</v>
      </c>
      <c r="H114" s="124">
        <f t="shared" si="33"/>
        <v>43100</v>
      </c>
      <c r="I114" s="124">
        <f t="shared" si="33"/>
        <v>43465</v>
      </c>
      <c r="J114" s="124">
        <f t="shared" si="33"/>
        <v>0</v>
      </c>
      <c r="K114" s="124">
        <f t="shared" si="33"/>
        <v>0</v>
      </c>
      <c r="L114" s="124">
        <f t="shared" si="33"/>
        <v>0</v>
      </c>
      <c r="M114" s="124">
        <f t="shared" si="33"/>
        <v>0</v>
      </c>
      <c r="N114" s="124">
        <f t="shared" si="33"/>
        <v>0</v>
      </c>
      <c r="O114" s="124">
        <f t="shared" si="33"/>
        <v>0</v>
      </c>
      <c r="P114" s="124">
        <f t="shared" si="33"/>
        <v>0</v>
      </c>
      <c r="Q114" s="124">
        <f t="shared" si="33"/>
        <v>0</v>
      </c>
      <c r="R114" s="124">
        <f t="shared" si="33"/>
        <v>0</v>
      </c>
      <c r="S114" s="124">
        <f t="shared" si="33"/>
        <v>0</v>
      </c>
      <c r="T114" s="124">
        <f t="shared" si="33"/>
        <v>0</v>
      </c>
      <c r="U114" s="124">
        <f t="shared" si="33"/>
        <v>0</v>
      </c>
    </row>
    <row r="115" spans="1:21">
      <c r="A115" s="113"/>
      <c r="B115" s="113"/>
      <c r="C115" s="113"/>
      <c r="D115" s="113" t="s">
        <v>211</v>
      </c>
      <c r="E115" s="113">
        <f>E130-E155</f>
        <v>0</v>
      </c>
      <c r="F115" s="113">
        <f t="shared" ref="F115:U115" si="34">F130-F155</f>
        <v>0</v>
      </c>
      <c r="G115" s="113">
        <f t="shared" si="34"/>
        <v>0</v>
      </c>
      <c r="H115" s="113">
        <f t="shared" si="34"/>
        <v>0</v>
      </c>
      <c r="I115" s="113">
        <f t="shared" si="34"/>
        <v>0</v>
      </c>
      <c r="J115" s="113">
        <f t="shared" si="34"/>
        <v>0</v>
      </c>
      <c r="K115" s="113">
        <f t="shared" si="34"/>
        <v>0</v>
      </c>
      <c r="L115" s="113">
        <f t="shared" si="34"/>
        <v>0</v>
      </c>
      <c r="M115" s="113">
        <f t="shared" si="34"/>
        <v>0</v>
      </c>
      <c r="N115" s="113">
        <f t="shared" si="34"/>
        <v>0</v>
      </c>
      <c r="O115" s="113">
        <f t="shared" si="34"/>
        <v>0</v>
      </c>
      <c r="P115" s="113">
        <f t="shared" si="34"/>
        <v>0</v>
      </c>
      <c r="Q115" s="113">
        <f t="shared" si="34"/>
        <v>0</v>
      </c>
      <c r="R115" s="113">
        <f t="shared" si="34"/>
        <v>0</v>
      </c>
      <c r="S115" s="113">
        <f t="shared" si="34"/>
        <v>0</v>
      </c>
      <c r="T115" s="113">
        <f t="shared" si="34"/>
        <v>0</v>
      </c>
      <c r="U115" s="113">
        <f t="shared" si="34"/>
        <v>0</v>
      </c>
    </row>
    <row r="116" spans="1:21">
      <c r="A116" s="98" t="s">
        <v>212</v>
      </c>
      <c r="B116" s="98"/>
      <c r="C116" s="98"/>
      <c r="D116" s="56"/>
      <c r="E116" s="56"/>
      <c r="F116" s="56"/>
      <c r="G116" s="56"/>
      <c r="H116" s="56"/>
      <c r="I116" s="56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</row>
    <row r="117" spans="1:21">
      <c r="A117" s="56" t="s">
        <v>55</v>
      </c>
      <c r="B117" s="56"/>
      <c r="C117" s="56"/>
      <c r="D117" s="56" t="s">
        <v>213</v>
      </c>
      <c r="E117" s="56">
        <f>SUM('Consolidation adjustments'!D42,'Historical Holdco'!D42,'Historical BU1'!D42*Currency_conversion_BU1,'Historical BU2'!D42*Currency_conversion_rate_BU2,'Historical other'!D42*Currency_conversion_rate_other)</f>
        <v>0</v>
      </c>
      <c r="F117" s="56">
        <f>SUM('Consolidation adjustments'!E42,'Historical Holdco'!E42,'Historical BU1'!E42*Currency_conversion_BU1,'Historical BU2'!E42*Currency_conversion_rate_BU2,'Historical other'!E42*Currency_conversion_rate_other)</f>
        <v>0</v>
      </c>
      <c r="G117" s="56">
        <f>SUM('Consolidation adjustments'!F42,'Historical Holdco'!F42,'Historical BU1'!F42*Currency_conversion_BU1,'Historical BU2'!F42*Currency_conversion_rate_BU2,'Historical other'!F42*Currency_conversion_rate_other)</f>
        <v>0</v>
      </c>
      <c r="H117" s="56">
        <f>SUM('Consolidation adjustments'!G42,'Historical Holdco'!G42,'Historical BU1'!G42*Currency_conversion_BU1,'Historical BU2'!G42*Currency_conversion_rate_BU2,'Historical other'!G42*Currency_conversion_rate_other)</f>
        <v>0</v>
      </c>
      <c r="I117" s="56">
        <f>SUM('Consolidation adjustments'!H42,'Historical Holdco'!H42,'Historical BU1'!H42*Currency_conversion_BU1,'Historical BU2'!H42*Currency_conversion_rate_BU2,'Historical other'!H42*Currency_conversion_rate_other)</f>
        <v>0</v>
      </c>
      <c r="J117" s="56">
        <f>SUM('Consolidation adjustments'!I42,'Historical Holdco'!I42,'Historical BU1'!I42*Currency_conversion_BU1,'Historical BU2'!I42*Currency_conversion_rate_BU2,'Historical other'!I42*Currency_conversion_rate_other)</f>
        <v>0</v>
      </c>
      <c r="K117" s="56">
        <f>SUM('Consolidation adjustments'!J42,'Historical Holdco'!J42,'Historical BU1'!J42*Currency_conversion_BU1,'Historical BU2'!J42*Currency_conversion_rate_BU2,'Historical other'!J42*Currency_conversion_rate_other)</f>
        <v>0</v>
      </c>
      <c r="L117" s="56">
        <f>SUM('Consolidation adjustments'!K42,'Historical Holdco'!K42,'Historical BU1'!K42*Currency_conversion_BU1,'Historical BU2'!K42*Currency_conversion_rate_BU2,'Historical other'!K42*Currency_conversion_rate_other)</f>
        <v>0</v>
      </c>
      <c r="M117" s="56">
        <f>SUM('Consolidation adjustments'!L42,'Historical Holdco'!L42,'Historical BU1'!L42*Currency_conversion_BU1,'Historical BU2'!L42*Currency_conversion_rate_BU2,'Historical other'!L42*Currency_conversion_rate_other)</f>
        <v>0</v>
      </c>
      <c r="N117" s="56">
        <f>SUM('Consolidation adjustments'!M42,'Historical Holdco'!M42,'Historical BU1'!M42*Currency_conversion_BU1,'Historical BU2'!M42*Currency_conversion_rate_BU2,'Historical other'!M42*Currency_conversion_rate_other)</f>
        <v>0</v>
      </c>
      <c r="O117" s="56">
        <f>SUM('Consolidation adjustments'!N42,'Historical Holdco'!N42,'Historical BU1'!N42*Currency_conversion_BU1,'Historical BU2'!N42*Currency_conversion_rate_BU2,'Historical other'!N42*Currency_conversion_rate_other)</f>
        <v>0</v>
      </c>
      <c r="P117" s="56">
        <f>SUM('Consolidation adjustments'!O42,'Historical Holdco'!O42,'Historical BU1'!O42*Currency_conversion_BU1,'Historical BU2'!O42*Currency_conversion_rate_BU2,'Historical other'!O42*Currency_conversion_rate_other)</f>
        <v>0</v>
      </c>
      <c r="Q117" s="56">
        <f>SUM('Consolidation adjustments'!P42,'Historical Holdco'!P42,'Historical BU1'!P42*Currency_conversion_BU1,'Historical BU2'!P42*Currency_conversion_rate_BU2,'Historical other'!P42*Currency_conversion_rate_other)</f>
        <v>0</v>
      </c>
      <c r="R117" s="56">
        <f>SUM('Consolidation adjustments'!Q42,'Historical Holdco'!Q42,'Historical BU1'!Q42*Currency_conversion_BU1,'Historical BU2'!Q42*Currency_conversion_rate_BU2,'Historical other'!Q42*Currency_conversion_rate_other)</f>
        <v>0</v>
      </c>
      <c r="S117" s="56">
        <f>SUM('Consolidation adjustments'!R42,'Historical Holdco'!R42,'Historical BU1'!R42*Currency_conversion_BU1,'Historical BU2'!R42*Currency_conversion_rate_BU2,'Historical other'!R42*Currency_conversion_rate_other)</f>
        <v>0</v>
      </c>
      <c r="T117" s="56">
        <f>SUM('Consolidation adjustments'!S42,'Historical Holdco'!S42,'Historical BU1'!S42*Currency_conversion_BU1,'Historical BU2'!S42*Currency_conversion_rate_BU2,'Historical other'!S42*Currency_conversion_rate_other)</f>
        <v>0</v>
      </c>
      <c r="U117" s="56">
        <f>SUM('Consolidation adjustments'!T42,'Historical Holdco'!T42,'Historical BU1'!T42*Currency_conversion_BU1,'Historical BU2'!T42*Currency_conversion_rate_BU2,'Historical other'!T42*Currency_conversion_rate_other)</f>
        <v>0</v>
      </c>
    </row>
    <row r="118" spans="1:21">
      <c r="A118" s="56" t="s">
        <v>56</v>
      </c>
      <c r="B118" s="56"/>
      <c r="C118" s="56"/>
      <c r="D118" s="56" t="s">
        <v>214</v>
      </c>
      <c r="E118" s="56">
        <f>SUM('Consolidation adjustments'!D43,'Historical Holdco'!D43,'Historical BU1'!D43*Currency_conversion_BU1,'Historical BU2'!D43*Currency_conversion_rate_BU2,'Historical other'!D43*Currency_conversion_rate_other)</f>
        <v>0</v>
      </c>
      <c r="F118" s="56">
        <f>SUM('Consolidation adjustments'!E43,'Historical Holdco'!E43,'Historical BU1'!E43*Currency_conversion_BU1,'Historical BU2'!E43*Currency_conversion_rate_BU2,'Historical other'!E43*Currency_conversion_rate_other)</f>
        <v>0</v>
      </c>
      <c r="G118" s="56">
        <f>SUM('Consolidation adjustments'!F43,'Historical Holdco'!F43,'Historical BU1'!F43*Currency_conversion_BU1,'Historical BU2'!F43*Currency_conversion_rate_BU2,'Historical other'!F43*Currency_conversion_rate_other)</f>
        <v>0</v>
      </c>
      <c r="H118" s="56">
        <f>SUM('Consolidation adjustments'!G43,'Historical Holdco'!G43,'Historical BU1'!G43*Currency_conversion_BU1,'Historical BU2'!G43*Currency_conversion_rate_BU2,'Historical other'!G43*Currency_conversion_rate_other)</f>
        <v>0</v>
      </c>
      <c r="I118" s="56">
        <f>SUM('Consolidation adjustments'!H43,'Historical Holdco'!H43,'Historical BU1'!H43*Currency_conversion_BU1,'Historical BU2'!H43*Currency_conversion_rate_BU2,'Historical other'!H43*Currency_conversion_rate_other)</f>
        <v>0</v>
      </c>
      <c r="J118" s="56">
        <f>SUM('Consolidation adjustments'!I43,'Historical Holdco'!I43,'Historical BU1'!I43*Currency_conversion_BU1,'Historical BU2'!I43*Currency_conversion_rate_BU2,'Historical other'!I43*Currency_conversion_rate_other)</f>
        <v>0</v>
      </c>
      <c r="K118" s="56">
        <f>SUM('Consolidation adjustments'!J43,'Historical Holdco'!J43,'Historical BU1'!J43*Currency_conversion_BU1,'Historical BU2'!J43*Currency_conversion_rate_BU2,'Historical other'!J43*Currency_conversion_rate_other)</f>
        <v>0</v>
      </c>
      <c r="L118" s="56">
        <f>SUM('Consolidation adjustments'!K43,'Historical Holdco'!K43,'Historical BU1'!K43*Currency_conversion_BU1,'Historical BU2'!K43*Currency_conversion_rate_BU2,'Historical other'!K43*Currency_conversion_rate_other)</f>
        <v>0</v>
      </c>
      <c r="M118" s="56">
        <f>SUM('Consolidation adjustments'!L43,'Historical Holdco'!L43,'Historical BU1'!L43*Currency_conversion_BU1,'Historical BU2'!L43*Currency_conversion_rate_BU2,'Historical other'!L43*Currency_conversion_rate_other)</f>
        <v>0</v>
      </c>
      <c r="N118" s="56">
        <f>SUM('Consolidation adjustments'!M43,'Historical Holdco'!M43,'Historical BU1'!M43*Currency_conversion_BU1,'Historical BU2'!M43*Currency_conversion_rate_BU2,'Historical other'!M43*Currency_conversion_rate_other)</f>
        <v>0</v>
      </c>
      <c r="O118" s="56">
        <f>SUM('Consolidation adjustments'!N43,'Historical Holdco'!N43,'Historical BU1'!N43*Currency_conversion_BU1,'Historical BU2'!N43*Currency_conversion_rate_BU2,'Historical other'!N43*Currency_conversion_rate_other)</f>
        <v>0</v>
      </c>
      <c r="P118" s="56">
        <f>SUM('Consolidation adjustments'!O43,'Historical Holdco'!O43,'Historical BU1'!O43*Currency_conversion_BU1,'Historical BU2'!O43*Currency_conversion_rate_BU2,'Historical other'!O43*Currency_conversion_rate_other)</f>
        <v>0</v>
      </c>
      <c r="Q118" s="56">
        <f>SUM('Consolidation adjustments'!P43,'Historical Holdco'!P43,'Historical BU1'!P43*Currency_conversion_BU1,'Historical BU2'!P43*Currency_conversion_rate_BU2,'Historical other'!P43*Currency_conversion_rate_other)</f>
        <v>0</v>
      </c>
      <c r="R118" s="56">
        <f>SUM('Consolidation adjustments'!Q43,'Historical Holdco'!Q43,'Historical BU1'!Q43*Currency_conversion_BU1,'Historical BU2'!Q43*Currency_conversion_rate_BU2,'Historical other'!Q43*Currency_conversion_rate_other)</f>
        <v>0</v>
      </c>
      <c r="S118" s="56">
        <f>SUM('Consolidation adjustments'!R43,'Historical Holdco'!R43,'Historical BU1'!R43*Currency_conversion_BU1,'Historical BU2'!R43*Currency_conversion_rate_BU2,'Historical other'!R43*Currency_conversion_rate_other)</f>
        <v>0</v>
      </c>
      <c r="T118" s="56">
        <f>SUM('Consolidation adjustments'!S43,'Historical Holdco'!S43,'Historical BU1'!S43*Currency_conversion_BU1,'Historical BU2'!S43*Currency_conversion_rate_BU2,'Historical other'!S43*Currency_conversion_rate_other)</f>
        <v>0</v>
      </c>
      <c r="U118" s="56">
        <f>SUM('Consolidation adjustments'!T43,'Historical Holdco'!T43,'Historical BU1'!T43*Currency_conversion_BU1,'Historical BU2'!T43*Currency_conversion_rate_BU2,'Historical other'!T43*Currency_conversion_rate_other)</f>
        <v>0</v>
      </c>
    </row>
    <row r="119" spans="1:21">
      <c r="A119" s="56" t="s">
        <v>63</v>
      </c>
      <c r="B119" s="56"/>
      <c r="C119" s="56"/>
      <c r="D119" s="97" t="s">
        <v>215</v>
      </c>
      <c r="E119" s="56">
        <f>SUM('Consolidation adjustments'!D44,'Historical Holdco'!D44,'Historical BU1'!D44*Currency_conversion_BU1,'Historical BU2'!D44*Currency_conversion_rate_BU2,'Historical other'!D44*Currency_conversion_rate_other)</f>
        <v>0</v>
      </c>
      <c r="F119" s="56">
        <f>SUM('Consolidation adjustments'!E44,'Historical Holdco'!E44,'Historical BU1'!E44*Currency_conversion_BU1,'Historical BU2'!E44*Currency_conversion_rate_BU2,'Historical other'!E44*Currency_conversion_rate_other)</f>
        <v>0</v>
      </c>
      <c r="G119" s="56">
        <f>SUM('Consolidation adjustments'!F44,'Historical Holdco'!F44,'Historical BU1'!F44*Currency_conversion_BU1,'Historical BU2'!F44*Currency_conversion_rate_BU2,'Historical other'!F44*Currency_conversion_rate_other)</f>
        <v>0</v>
      </c>
      <c r="H119" s="56">
        <f>SUM('Consolidation adjustments'!G44,'Historical Holdco'!G44,'Historical BU1'!G44*Currency_conversion_BU1,'Historical BU2'!G44*Currency_conversion_rate_BU2,'Historical other'!G44*Currency_conversion_rate_other)</f>
        <v>0</v>
      </c>
      <c r="I119" s="56">
        <f>SUM('Consolidation adjustments'!H44,'Historical Holdco'!H44,'Historical BU1'!H44*Currency_conversion_BU1,'Historical BU2'!H44*Currency_conversion_rate_BU2,'Historical other'!H44*Currency_conversion_rate_other)</f>
        <v>0</v>
      </c>
      <c r="J119" s="56">
        <f>SUM('Consolidation adjustments'!I44,'Historical Holdco'!I44,'Historical BU1'!I44*Currency_conversion_BU1,'Historical BU2'!I44*Currency_conversion_rate_BU2,'Historical other'!I44*Currency_conversion_rate_other)</f>
        <v>0</v>
      </c>
      <c r="K119" s="56">
        <f>SUM('Consolidation adjustments'!J44,'Historical Holdco'!J44,'Historical BU1'!J44*Currency_conversion_BU1,'Historical BU2'!J44*Currency_conversion_rate_BU2,'Historical other'!J44*Currency_conversion_rate_other)</f>
        <v>0</v>
      </c>
      <c r="L119" s="56">
        <f>SUM('Consolidation adjustments'!K44,'Historical Holdco'!K44,'Historical BU1'!K44*Currency_conversion_BU1,'Historical BU2'!K44*Currency_conversion_rate_BU2,'Historical other'!K44*Currency_conversion_rate_other)</f>
        <v>0</v>
      </c>
      <c r="M119" s="56">
        <f>SUM('Consolidation adjustments'!L44,'Historical Holdco'!L44,'Historical BU1'!L44*Currency_conversion_BU1,'Historical BU2'!L44*Currency_conversion_rate_BU2,'Historical other'!L44*Currency_conversion_rate_other)</f>
        <v>0</v>
      </c>
      <c r="N119" s="56">
        <f>SUM('Consolidation adjustments'!M44,'Historical Holdco'!M44,'Historical BU1'!M44*Currency_conversion_BU1,'Historical BU2'!M44*Currency_conversion_rate_BU2,'Historical other'!M44*Currency_conversion_rate_other)</f>
        <v>0</v>
      </c>
      <c r="O119" s="56">
        <f>SUM('Consolidation adjustments'!N44,'Historical Holdco'!N44,'Historical BU1'!N44*Currency_conversion_BU1,'Historical BU2'!N44*Currency_conversion_rate_BU2,'Historical other'!N44*Currency_conversion_rate_other)</f>
        <v>0</v>
      </c>
      <c r="P119" s="56">
        <f>SUM('Consolidation adjustments'!O44,'Historical Holdco'!O44,'Historical BU1'!O44*Currency_conversion_BU1,'Historical BU2'!O44*Currency_conversion_rate_BU2,'Historical other'!O44*Currency_conversion_rate_other)</f>
        <v>0</v>
      </c>
      <c r="Q119" s="56">
        <f>SUM('Consolidation adjustments'!P44,'Historical Holdco'!P44,'Historical BU1'!P44*Currency_conversion_BU1,'Historical BU2'!P44*Currency_conversion_rate_BU2,'Historical other'!P44*Currency_conversion_rate_other)</f>
        <v>0</v>
      </c>
      <c r="R119" s="56">
        <f>SUM('Consolidation adjustments'!Q44,'Historical Holdco'!Q44,'Historical BU1'!Q44*Currency_conversion_BU1,'Historical BU2'!Q44*Currency_conversion_rate_BU2,'Historical other'!Q44*Currency_conversion_rate_other)</f>
        <v>0</v>
      </c>
      <c r="S119" s="56">
        <f>SUM('Consolidation adjustments'!R44,'Historical Holdco'!R44,'Historical BU1'!R44*Currency_conversion_BU1,'Historical BU2'!R44*Currency_conversion_rate_BU2,'Historical other'!R44*Currency_conversion_rate_other)</f>
        <v>0</v>
      </c>
      <c r="T119" s="56">
        <f>SUM('Consolidation adjustments'!S44,'Historical Holdco'!S44,'Historical BU1'!S44*Currency_conversion_BU1,'Historical BU2'!S44*Currency_conversion_rate_BU2,'Historical other'!S44*Currency_conversion_rate_other)</f>
        <v>0</v>
      </c>
      <c r="U119" s="56">
        <f>SUM('Consolidation adjustments'!T44,'Historical Holdco'!T44,'Historical BU1'!T44*Currency_conversion_BU1,'Historical BU2'!T44*Currency_conversion_rate_BU2,'Historical other'!T44*Currency_conversion_rate_other)</f>
        <v>0</v>
      </c>
    </row>
    <row r="120" spans="1:21">
      <c r="A120" s="56" t="s">
        <v>58</v>
      </c>
      <c r="B120" s="56"/>
      <c r="C120" s="56"/>
      <c r="D120" s="97" t="s">
        <v>6</v>
      </c>
      <c r="E120" s="56">
        <f>SUM('Consolidation adjustments'!D45,'Historical Holdco'!D45,'Historical BU1'!D45*Currency_conversion_BU1,'Historical BU2'!D45*Currency_conversion_rate_BU2,'Historical other'!D45*Currency_conversion_rate_other)</f>
        <v>0</v>
      </c>
      <c r="F120" s="56">
        <f>SUM('Consolidation adjustments'!E45,'Historical Holdco'!E45,'Historical BU1'!E45*Currency_conversion_BU1,'Historical BU2'!E45*Currency_conversion_rate_BU2,'Historical other'!E45*Currency_conversion_rate_other)</f>
        <v>0</v>
      </c>
      <c r="G120" s="56">
        <f>SUM('Consolidation adjustments'!F45,'Historical Holdco'!F45,'Historical BU1'!F45*Currency_conversion_BU1,'Historical BU2'!F45*Currency_conversion_rate_BU2,'Historical other'!F45*Currency_conversion_rate_other)</f>
        <v>0</v>
      </c>
      <c r="H120" s="56">
        <f>SUM('Consolidation adjustments'!G45,'Historical Holdco'!G45,'Historical BU1'!G45*Currency_conversion_BU1,'Historical BU2'!G45*Currency_conversion_rate_BU2,'Historical other'!G45*Currency_conversion_rate_other)</f>
        <v>0</v>
      </c>
      <c r="I120" s="56">
        <f>SUM('Consolidation adjustments'!H45,'Historical Holdco'!H45,'Historical BU1'!H45*Currency_conversion_BU1,'Historical BU2'!H45*Currency_conversion_rate_BU2,'Historical other'!H45*Currency_conversion_rate_other)</f>
        <v>0</v>
      </c>
      <c r="J120" s="56">
        <f>SUM('Consolidation adjustments'!I45,'Historical Holdco'!I45,'Historical BU1'!I45*Currency_conversion_BU1,'Historical BU2'!I45*Currency_conversion_rate_BU2,'Historical other'!I45*Currency_conversion_rate_other)</f>
        <v>0</v>
      </c>
      <c r="K120" s="56">
        <f>SUM('Consolidation adjustments'!J45,'Historical Holdco'!J45,'Historical BU1'!J45*Currency_conversion_BU1,'Historical BU2'!J45*Currency_conversion_rate_BU2,'Historical other'!J45*Currency_conversion_rate_other)</f>
        <v>0</v>
      </c>
      <c r="L120" s="56">
        <f>SUM('Consolidation adjustments'!K45,'Historical Holdco'!K45,'Historical BU1'!K45*Currency_conversion_BU1,'Historical BU2'!K45*Currency_conversion_rate_BU2,'Historical other'!K45*Currency_conversion_rate_other)</f>
        <v>0</v>
      </c>
      <c r="M120" s="56">
        <f>SUM('Consolidation adjustments'!L45,'Historical Holdco'!L45,'Historical BU1'!L45*Currency_conversion_BU1,'Historical BU2'!L45*Currency_conversion_rate_BU2,'Historical other'!L45*Currency_conversion_rate_other)</f>
        <v>0</v>
      </c>
      <c r="N120" s="56">
        <f>SUM('Consolidation adjustments'!M45,'Historical Holdco'!M45,'Historical BU1'!M45*Currency_conversion_BU1,'Historical BU2'!M45*Currency_conversion_rate_BU2,'Historical other'!M45*Currency_conversion_rate_other)</f>
        <v>0</v>
      </c>
      <c r="O120" s="56">
        <f>SUM('Consolidation adjustments'!N45,'Historical Holdco'!N45,'Historical BU1'!N45*Currency_conversion_BU1,'Historical BU2'!N45*Currency_conversion_rate_BU2,'Historical other'!N45*Currency_conversion_rate_other)</f>
        <v>0</v>
      </c>
      <c r="P120" s="56">
        <f>SUM('Consolidation adjustments'!O45,'Historical Holdco'!O45,'Historical BU1'!O45*Currency_conversion_BU1,'Historical BU2'!O45*Currency_conversion_rate_BU2,'Historical other'!O45*Currency_conversion_rate_other)</f>
        <v>0</v>
      </c>
      <c r="Q120" s="56">
        <f>SUM('Consolidation adjustments'!P45,'Historical Holdco'!P45,'Historical BU1'!P45*Currency_conversion_BU1,'Historical BU2'!P45*Currency_conversion_rate_BU2,'Historical other'!P45*Currency_conversion_rate_other)</f>
        <v>0</v>
      </c>
      <c r="R120" s="56">
        <f>SUM('Consolidation adjustments'!Q45,'Historical Holdco'!Q45,'Historical BU1'!Q45*Currency_conversion_BU1,'Historical BU2'!Q45*Currency_conversion_rate_BU2,'Historical other'!Q45*Currency_conversion_rate_other)</f>
        <v>0</v>
      </c>
      <c r="S120" s="56">
        <f>SUM('Consolidation adjustments'!R45,'Historical Holdco'!R45,'Historical BU1'!R45*Currency_conversion_BU1,'Historical BU2'!R45*Currency_conversion_rate_BU2,'Historical other'!R45*Currency_conversion_rate_other)</f>
        <v>0</v>
      </c>
      <c r="T120" s="56">
        <f>SUM('Consolidation adjustments'!S45,'Historical Holdco'!S45,'Historical BU1'!S45*Currency_conversion_BU1,'Historical BU2'!S45*Currency_conversion_rate_BU2,'Historical other'!S45*Currency_conversion_rate_other)</f>
        <v>0</v>
      </c>
      <c r="U120" s="56">
        <f>SUM('Consolidation adjustments'!T45,'Historical Holdco'!T45,'Historical BU1'!T45*Currency_conversion_BU1,'Historical BU2'!T45*Currency_conversion_rate_BU2,'Historical other'!T45*Currency_conversion_rate_other)</f>
        <v>0</v>
      </c>
    </row>
    <row r="121" spans="1:21">
      <c r="A121" s="56" t="s">
        <v>57</v>
      </c>
      <c r="B121" s="56"/>
      <c r="C121" s="56"/>
      <c r="D121" s="97" t="s">
        <v>582</v>
      </c>
      <c r="E121" s="56">
        <f>SUM('Consolidation adjustments'!D46,'Historical Holdco'!D46,'Historical BU1'!D46*Currency_conversion_BU1,'Historical BU2'!D46*Currency_conversion_rate_BU2,'Historical other'!D46*Currency_conversion_rate_other)</f>
        <v>0</v>
      </c>
      <c r="F121" s="56">
        <f>SUM('Consolidation adjustments'!E46,'Historical Holdco'!E46,'Historical BU1'!E46*Currency_conversion_BU1,'Historical BU2'!E46*Currency_conversion_rate_BU2,'Historical other'!E46*Currency_conversion_rate_other)</f>
        <v>0</v>
      </c>
      <c r="G121" s="56">
        <f>SUM('Consolidation adjustments'!F46,'Historical Holdco'!F46,'Historical BU1'!F46*Currency_conversion_BU1,'Historical BU2'!F46*Currency_conversion_rate_BU2,'Historical other'!F46*Currency_conversion_rate_other)</f>
        <v>0</v>
      </c>
      <c r="H121" s="56">
        <f>SUM('Consolidation adjustments'!G46,'Historical Holdco'!G46,'Historical BU1'!G46*Currency_conversion_BU1,'Historical BU2'!G46*Currency_conversion_rate_BU2,'Historical other'!G46*Currency_conversion_rate_other)</f>
        <v>0</v>
      </c>
      <c r="I121" s="56">
        <f>SUM('Consolidation adjustments'!H46,'Historical Holdco'!H46,'Historical BU1'!H46*Currency_conversion_BU1,'Historical BU2'!H46*Currency_conversion_rate_BU2,'Historical other'!H46*Currency_conversion_rate_other)</f>
        <v>0</v>
      </c>
      <c r="J121" s="56">
        <f>SUM('Consolidation adjustments'!I46,'Historical Holdco'!I46,'Historical BU1'!I46*Currency_conversion_BU1,'Historical BU2'!I46*Currency_conversion_rate_BU2,'Historical other'!I46*Currency_conversion_rate_other)</f>
        <v>0</v>
      </c>
      <c r="K121" s="56">
        <f>SUM('Consolidation adjustments'!J46,'Historical Holdco'!J46,'Historical BU1'!J46*Currency_conversion_BU1,'Historical BU2'!J46*Currency_conversion_rate_BU2,'Historical other'!J46*Currency_conversion_rate_other)</f>
        <v>0</v>
      </c>
      <c r="L121" s="56">
        <f>SUM('Consolidation adjustments'!K46,'Historical Holdco'!K46,'Historical BU1'!K46*Currency_conversion_BU1,'Historical BU2'!K46*Currency_conversion_rate_BU2,'Historical other'!K46*Currency_conversion_rate_other)</f>
        <v>0</v>
      </c>
      <c r="M121" s="56">
        <f>SUM('Consolidation adjustments'!L46,'Historical Holdco'!L46,'Historical BU1'!L46*Currency_conversion_BU1,'Historical BU2'!L46*Currency_conversion_rate_BU2,'Historical other'!L46*Currency_conversion_rate_other)</f>
        <v>0</v>
      </c>
      <c r="N121" s="56">
        <f>SUM('Consolidation adjustments'!M46,'Historical Holdco'!M46,'Historical BU1'!M46*Currency_conversion_BU1,'Historical BU2'!M46*Currency_conversion_rate_BU2,'Historical other'!M46*Currency_conversion_rate_other)</f>
        <v>0</v>
      </c>
      <c r="O121" s="56">
        <f>SUM('Consolidation adjustments'!N46,'Historical Holdco'!N46,'Historical BU1'!N46*Currency_conversion_BU1,'Historical BU2'!N46*Currency_conversion_rate_BU2,'Historical other'!N46*Currency_conversion_rate_other)</f>
        <v>0</v>
      </c>
      <c r="P121" s="56">
        <f>SUM('Consolidation adjustments'!O46,'Historical Holdco'!O46,'Historical BU1'!O46*Currency_conversion_BU1,'Historical BU2'!O46*Currency_conversion_rate_BU2,'Historical other'!O46*Currency_conversion_rate_other)</f>
        <v>0</v>
      </c>
      <c r="Q121" s="56">
        <f>SUM('Consolidation adjustments'!P46,'Historical Holdco'!P46,'Historical BU1'!P46*Currency_conversion_BU1,'Historical BU2'!P46*Currency_conversion_rate_BU2,'Historical other'!P46*Currency_conversion_rate_other)</f>
        <v>0</v>
      </c>
      <c r="R121" s="56">
        <f>SUM('Consolidation adjustments'!Q46,'Historical Holdco'!Q46,'Historical BU1'!Q46*Currency_conversion_BU1,'Historical BU2'!Q46*Currency_conversion_rate_BU2,'Historical other'!Q46*Currency_conversion_rate_other)</f>
        <v>0</v>
      </c>
      <c r="S121" s="56">
        <f>SUM('Consolidation adjustments'!R46,'Historical Holdco'!R46,'Historical BU1'!R46*Currency_conversion_BU1,'Historical BU2'!R46*Currency_conversion_rate_BU2,'Historical other'!R46*Currency_conversion_rate_other)</f>
        <v>0</v>
      </c>
      <c r="T121" s="56">
        <f>SUM('Consolidation adjustments'!S46,'Historical Holdco'!S46,'Historical BU1'!S46*Currency_conversion_BU1,'Historical BU2'!S46*Currency_conversion_rate_BU2,'Historical other'!S46*Currency_conversion_rate_other)</f>
        <v>0</v>
      </c>
      <c r="U121" s="56">
        <f>SUM('Consolidation adjustments'!T46,'Historical Holdco'!T46,'Historical BU1'!T46*Currency_conversion_BU1,'Historical BU2'!T46*Currency_conversion_rate_BU2,'Historical other'!T46*Currency_conversion_rate_other)</f>
        <v>0</v>
      </c>
    </row>
    <row r="122" spans="1:21">
      <c r="A122" s="56" t="s">
        <v>60</v>
      </c>
      <c r="B122" s="56"/>
      <c r="C122" s="56"/>
      <c r="D122" s="97" t="s">
        <v>216</v>
      </c>
      <c r="E122" s="56">
        <f>SUM('Consolidation adjustments'!D47,'Historical Holdco'!D47,'Historical BU1'!D47*Currency_conversion_BU1,'Historical BU2'!D47*Currency_conversion_rate_BU2,'Historical other'!D47*Currency_conversion_rate_other)</f>
        <v>0</v>
      </c>
      <c r="F122" s="56">
        <f>SUM('Consolidation adjustments'!E47,'Historical Holdco'!E47,'Historical BU1'!E47*Currency_conversion_BU1,'Historical BU2'!E47*Currency_conversion_rate_BU2,'Historical other'!E47*Currency_conversion_rate_other)</f>
        <v>0</v>
      </c>
      <c r="G122" s="56">
        <f>SUM('Consolidation adjustments'!F47,'Historical Holdco'!F47,'Historical BU1'!F47*Currency_conversion_BU1,'Historical BU2'!F47*Currency_conversion_rate_BU2,'Historical other'!F47*Currency_conversion_rate_other)</f>
        <v>0</v>
      </c>
      <c r="H122" s="56">
        <f>SUM('Consolidation adjustments'!G47,'Historical Holdco'!G47,'Historical BU1'!G47*Currency_conversion_BU1,'Historical BU2'!G47*Currency_conversion_rate_BU2,'Historical other'!G47*Currency_conversion_rate_other)</f>
        <v>0</v>
      </c>
      <c r="I122" s="56">
        <f>SUM('Consolidation adjustments'!H47,'Historical Holdco'!H47,'Historical BU1'!H47*Currency_conversion_BU1,'Historical BU2'!H47*Currency_conversion_rate_BU2,'Historical other'!H47*Currency_conversion_rate_other)</f>
        <v>0</v>
      </c>
      <c r="J122" s="56">
        <f>SUM('Consolidation adjustments'!I47,'Historical Holdco'!I47,'Historical BU1'!I47*Currency_conversion_BU1,'Historical BU2'!I47*Currency_conversion_rate_BU2,'Historical other'!I47*Currency_conversion_rate_other)</f>
        <v>0</v>
      </c>
      <c r="K122" s="56">
        <f>SUM('Consolidation adjustments'!J47,'Historical Holdco'!J47,'Historical BU1'!J47*Currency_conversion_BU1,'Historical BU2'!J47*Currency_conversion_rate_BU2,'Historical other'!J47*Currency_conversion_rate_other)</f>
        <v>0</v>
      </c>
      <c r="L122" s="56">
        <f>SUM('Consolidation adjustments'!K47,'Historical Holdco'!K47,'Historical BU1'!K47*Currency_conversion_BU1,'Historical BU2'!K47*Currency_conversion_rate_BU2,'Historical other'!K47*Currency_conversion_rate_other)</f>
        <v>0</v>
      </c>
      <c r="M122" s="56">
        <f>SUM('Consolidation adjustments'!L47,'Historical Holdco'!L47,'Historical BU1'!L47*Currency_conversion_BU1,'Historical BU2'!L47*Currency_conversion_rate_BU2,'Historical other'!L47*Currency_conversion_rate_other)</f>
        <v>0</v>
      </c>
      <c r="N122" s="56">
        <f>SUM('Consolidation adjustments'!M47,'Historical Holdco'!M47,'Historical BU1'!M47*Currency_conversion_BU1,'Historical BU2'!M47*Currency_conversion_rate_BU2,'Historical other'!M47*Currency_conversion_rate_other)</f>
        <v>0</v>
      </c>
      <c r="O122" s="56">
        <f>SUM('Consolidation adjustments'!N47,'Historical Holdco'!N47,'Historical BU1'!N47*Currency_conversion_BU1,'Historical BU2'!N47*Currency_conversion_rate_BU2,'Historical other'!N47*Currency_conversion_rate_other)</f>
        <v>0</v>
      </c>
      <c r="P122" s="56">
        <f>SUM('Consolidation adjustments'!O47,'Historical Holdco'!O47,'Historical BU1'!O47*Currency_conversion_BU1,'Historical BU2'!O47*Currency_conversion_rate_BU2,'Historical other'!O47*Currency_conversion_rate_other)</f>
        <v>0</v>
      </c>
      <c r="Q122" s="56">
        <f>SUM('Consolidation adjustments'!P47,'Historical Holdco'!P47,'Historical BU1'!P47*Currency_conversion_BU1,'Historical BU2'!P47*Currency_conversion_rate_BU2,'Historical other'!P47*Currency_conversion_rate_other)</f>
        <v>0</v>
      </c>
      <c r="R122" s="56">
        <f>SUM('Consolidation adjustments'!Q47,'Historical Holdco'!Q47,'Historical BU1'!Q47*Currency_conversion_BU1,'Historical BU2'!Q47*Currency_conversion_rate_BU2,'Historical other'!Q47*Currency_conversion_rate_other)</f>
        <v>0</v>
      </c>
      <c r="S122" s="56">
        <f>SUM('Consolidation adjustments'!R47,'Historical Holdco'!R47,'Historical BU1'!R47*Currency_conversion_BU1,'Historical BU2'!R47*Currency_conversion_rate_BU2,'Historical other'!R47*Currency_conversion_rate_other)</f>
        <v>0</v>
      </c>
      <c r="T122" s="56">
        <f>SUM('Consolidation adjustments'!S47,'Historical Holdco'!S47,'Historical BU1'!S47*Currency_conversion_BU1,'Historical BU2'!S47*Currency_conversion_rate_BU2,'Historical other'!S47*Currency_conversion_rate_other)</f>
        <v>0</v>
      </c>
      <c r="U122" s="56">
        <f>SUM('Consolidation adjustments'!T47,'Historical Holdco'!T47,'Historical BU1'!T47*Currency_conversion_BU1,'Historical BU2'!T47*Currency_conversion_rate_BU2,'Historical other'!T47*Currency_conversion_rate_other)</f>
        <v>0</v>
      </c>
    </row>
    <row r="123" spans="1:21">
      <c r="A123" s="98"/>
      <c r="B123" s="98"/>
      <c r="C123" s="98"/>
      <c r="D123" s="99" t="s">
        <v>217</v>
      </c>
      <c r="E123" s="98">
        <f>SUM(E117:E122)</f>
        <v>0</v>
      </c>
      <c r="F123" s="98">
        <f t="shared" ref="F123:U123" si="35">SUM(F117:F122)</f>
        <v>0</v>
      </c>
      <c r="G123" s="98">
        <f t="shared" si="35"/>
        <v>0</v>
      </c>
      <c r="H123" s="98">
        <f t="shared" si="35"/>
        <v>0</v>
      </c>
      <c r="I123" s="98">
        <f t="shared" si="35"/>
        <v>0</v>
      </c>
      <c r="J123" s="98">
        <f t="shared" si="35"/>
        <v>0</v>
      </c>
      <c r="K123" s="98">
        <f t="shared" si="35"/>
        <v>0</v>
      </c>
      <c r="L123" s="98">
        <f t="shared" si="35"/>
        <v>0</v>
      </c>
      <c r="M123" s="98">
        <f t="shared" si="35"/>
        <v>0</v>
      </c>
      <c r="N123" s="98">
        <f t="shared" si="35"/>
        <v>0</v>
      </c>
      <c r="O123" s="98">
        <f t="shared" si="35"/>
        <v>0</v>
      </c>
      <c r="P123" s="98">
        <f t="shared" si="35"/>
        <v>0</v>
      </c>
      <c r="Q123" s="98">
        <f t="shared" si="35"/>
        <v>0</v>
      </c>
      <c r="R123" s="98">
        <f t="shared" si="35"/>
        <v>0</v>
      </c>
      <c r="S123" s="98">
        <f t="shared" si="35"/>
        <v>0</v>
      </c>
      <c r="T123" s="98">
        <f t="shared" si="35"/>
        <v>0</v>
      </c>
      <c r="U123" s="98">
        <f t="shared" si="35"/>
        <v>0</v>
      </c>
    </row>
    <row r="124" spans="1:21">
      <c r="A124" s="56" t="s">
        <v>583</v>
      </c>
      <c r="B124" s="56"/>
      <c r="C124" s="56"/>
      <c r="D124" s="97" t="s">
        <v>218</v>
      </c>
      <c r="E124" s="56">
        <f>SUM('Consolidation adjustments'!D49,'Historical Holdco'!D49,'Historical BU1'!D49*Currency_conversion_BU1,'Historical BU2'!D49*Currency_conversion_rate_BU2,'Historical other'!D49*Currency_conversion_rate_other)</f>
        <v>0</v>
      </c>
      <c r="F124" s="56">
        <f>SUM('Consolidation adjustments'!E49,'Historical Holdco'!E49,'Historical BU1'!E49*Currency_conversion_BU1,'Historical BU2'!E49*Currency_conversion_rate_BU2,'Historical other'!E49*Currency_conversion_rate_other)</f>
        <v>0</v>
      </c>
      <c r="G124" s="56">
        <f>SUM('Consolidation adjustments'!F49,'Historical Holdco'!F49,'Historical BU1'!F49*Currency_conversion_BU1,'Historical BU2'!F49*Currency_conversion_rate_BU2,'Historical other'!F49*Currency_conversion_rate_other)</f>
        <v>0</v>
      </c>
      <c r="H124" s="56">
        <f>SUM('Consolidation adjustments'!G49,'Historical Holdco'!G49,'Historical BU1'!G49*Currency_conversion_BU1,'Historical BU2'!G49*Currency_conversion_rate_BU2,'Historical other'!G49*Currency_conversion_rate_other)</f>
        <v>0</v>
      </c>
      <c r="I124" s="56">
        <f>SUM('Consolidation adjustments'!H49,'Historical Holdco'!H49,'Historical BU1'!H49*Currency_conversion_BU1,'Historical BU2'!H49*Currency_conversion_rate_BU2,'Historical other'!H49*Currency_conversion_rate_other)</f>
        <v>0</v>
      </c>
      <c r="J124" s="56">
        <f>SUM('Consolidation adjustments'!I49,'Historical Holdco'!I49,'Historical BU1'!I49*Currency_conversion_BU1,'Historical BU2'!I49*Currency_conversion_rate_BU2,'Historical other'!I49*Currency_conversion_rate_other)</f>
        <v>0</v>
      </c>
      <c r="K124" s="56">
        <f>SUM('Consolidation adjustments'!J49,'Historical Holdco'!J49,'Historical BU1'!J49*Currency_conversion_BU1,'Historical BU2'!J49*Currency_conversion_rate_BU2,'Historical other'!J49*Currency_conversion_rate_other)</f>
        <v>0</v>
      </c>
      <c r="L124" s="56">
        <f>SUM('Consolidation adjustments'!K49,'Historical Holdco'!K49,'Historical BU1'!K49*Currency_conversion_BU1,'Historical BU2'!K49*Currency_conversion_rate_BU2,'Historical other'!K49*Currency_conversion_rate_other)</f>
        <v>0</v>
      </c>
      <c r="M124" s="56">
        <f>SUM('Consolidation adjustments'!L49,'Historical Holdco'!L49,'Historical BU1'!L49*Currency_conversion_BU1,'Historical BU2'!L49*Currency_conversion_rate_BU2,'Historical other'!L49*Currency_conversion_rate_other)</f>
        <v>0</v>
      </c>
      <c r="N124" s="56">
        <f>SUM('Consolidation adjustments'!M49,'Historical Holdco'!M49,'Historical BU1'!M49*Currency_conversion_BU1,'Historical BU2'!M49*Currency_conversion_rate_BU2,'Historical other'!M49*Currency_conversion_rate_other)</f>
        <v>0</v>
      </c>
      <c r="O124" s="56">
        <f>SUM('Consolidation adjustments'!N49,'Historical Holdco'!N49,'Historical BU1'!N49*Currency_conversion_BU1,'Historical BU2'!N49*Currency_conversion_rate_BU2,'Historical other'!N49*Currency_conversion_rate_other)</f>
        <v>0</v>
      </c>
      <c r="P124" s="56">
        <f>SUM('Consolidation adjustments'!O49,'Historical Holdco'!O49,'Historical BU1'!O49*Currency_conversion_BU1,'Historical BU2'!O49*Currency_conversion_rate_BU2,'Historical other'!O49*Currency_conversion_rate_other)</f>
        <v>0</v>
      </c>
      <c r="Q124" s="56">
        <f>SUM('Consolidation adjustments'!P49,'Historical Holdco'!P49,'Historical BU1'!P49*Currency_conversion_BU1,'Historical BU2'!P49*Currency_conversion_rate_BU2,'Historical other'!P49*Currency_conversion_rate_other)</f>
        <v>0</v>
      </c>
      <c r="R124" s="56">
        <f>SUM('Consolidation adjustments'!Q49,'Historical Holdco'!Q49,'Historical BU1'!Q49*Currency_conversion_BU1,'Historical BU2'!Q49*Currency_conversion_rate_BU2,'Historical other'!Q49*Currency_conversion_rate_other)</f>
        <v>0</v>
      </c>
      <c r="S124" s="56">
        <f>SUM('Consolidation adjustments'!R49,'Historical Holdco'!R49,'Historical BU1'!R49*Currency_conversion_BU1,'Historical BU2'!R49*Currency_conversion_rate_BU2,'Historical other'!R49*Currency_conversion_rate_other)</f>
        <v>0</v>
      </c>
      <c r="T124" s="56">
        <f>SUM('Consolidation adjustments'!S49,'Historical Holdco'!S49,'Historical BU1'!S49*Currency_conversion_BU1,'Historical BU2'!S49*Currency_conversion_rate_BU2,'Historical other'!S49*Currency_conversion_rate_other)</f>
        <v>0</v>
      </c>
      <c r="U124" s="56">
        <f>SUM('Consolidation adjustments'!T49,'Historical Holdco'!T49,'Historical BU1'!T49*Currency_conversion_BU1,'Historical BU2'!T49*Currency_conversion_rate_BU2,'Historical other'!T49*Currency_conversion_rate_other)</f>
        <v>0</v>
      </c>
    </row>
    <row r="125" spans="1:21">
      <c r="A125" s="56" t="s">
        <v>584</v>
      </c>
      <c r="B125" s="56"/>
      <c r="C125" s="56"/>
      <c r="D125" s="97" t="s">
        <v>219</v>
      </c>
      <c r="E125" s="56">
        <f>SUM('Consolidation adjustments'!D50,'Historical Holdco'!D50,'Historical BU1'!D50*Currency_conversion_BU1,'Historical BU2'!D50*Currency_conversion_rate_BU2,'Historical other'!D50*Currency_conversion_rate_other)</f>
        <v>0</v>
      </c>
      <c r="F125" s="56">
        <f>SUM('Consolidation adjustments'!E50,'Historical Holdco'!E50,'Historical BU1'!E50*Currency_conversion_BU1,'Historical BU2'!E50*Currency_conversion_rate_BU2,'Historical other'!E50*Currency_conversion_rate_other)</f>
        <v>0</v>
      </c>
      <c r="G125" s="56">
        <f>SUM('Consolidation adjustments'!F50,'Historical Holdco'!F50,'Historical BU1'!F50*Currency_conversion_BU1,'Historical BU2'!F50*Currency_conversion_rate_BU2,'Historical other'!F50*Currency_conversion_rate_other)</f>
        <v>0</v>
      </c>
      <c r="H125" s="56">
        <f>SUM('Consolidation adjustments'!G50,'Historical Holdco'!G50,'Historical BU1'!G50*Currency_conversion_BU1,'Historical BU2'!G50*Currency_conversion_rate_BU2,'Historical other'!G50*Currency_conversion_rate_other)</f>
        <v>0</v>
      </c>
      <c r="I125" s="56">
        <f>SUM('Consolidation adjustments'!H50,'Historical Holdco'!H50,'Historical BU1'!H50*Currency_conversion_BU1,'Historical BU2'!H50*Currency_conversion_rate_BU2,'Historical other'!H50*Currency_conversion_rate_other)</f>
        <v>0</v>
      </c>
      <c r="J125" s="56">
        <f>SUM('Consolidation adjustments'!I50,'Historical Holdco'!I50,'Historical BU1'!I50*Currency_conversion_BU1,'Historical BU2'!I50*Currency_conversion_rate_BU2,'Historical other'!I50*Currency_conversion_rate_other)</f>
        <v>0</v>
      </c>
      <c r="K125" s="56">
        <f>SUM('Consolidation adjustments'!J50,'Historical Holdco'!J50,'Historical BU1'!J50*Currency_conversion_BU1,'Historical BU2'!J50*Currency_conversion_rate_BU2,'Historical other'!J50*Currency_conversion_rate_other)</f>
        <v>0</v>
      </c>
      <c r="L125" s="56">
        <f>SUM('Consolidation adjustments'!K50,'Historical Holdco'!K50,'Historical BU1'!K50*Currency_conversion_BU1,'Historical BU2'!K50*Currency_conversion_rate_BU2,'Historical other'!K50*Currency_conversion_rate_other)</f>
        <v>0</v>
      </c>
      <c r="M125" s="56">
        <f>SUM('Consolidation adjustments'!L50,'Historical Holdco'!L50,'Historical BU1'!L50*Currency_conversion_BU1,'Historical BU2'!L50*Currency_conversion_rate_BU2,'Historical other'!L50*Currency_conversion_rate_other)</f>
        <v>0</v>
      </c>
      <c r="N125" s="56">
        <f>SUM('Consolidation adjustments'!M50,'Historical Holdco'!M50,'Historical BU1'!M50*Currency_conversion_BU1,'Historical BU2'!M50*Currency_conversion_rate_BU2,'Historical other'!M50*Currency_conversion_rate_other)</f>
        <v>0</v>
      </c>
      <c r="O125" s="56">
        <f>SUM('Consolidation adjustments'!N50,'Historical Holdco'!N50,'Historical BU1'!N50*Currency_conversion_BU1,'Historical BU2'!N50*Currency_conversion_rate_BU2,'Historical other'!N50*Currency_conversion_rate_other)</f>
        <v>0</v>
      </c>
      <c r="P125" s="56">
        <f>SUM('Consolidation adjustments'!O50,'Historical Holdco'!O50,'Historical BU1'!O50*Currency_conversion_BU1,'Historical BU2'!O50*Currency_conversion_rate_BU2,'Historical other'!O50*Currency_conversion_rate_other)</f>
        <v>0</v>
      </c>
      <c r="Q125" s="56">
        <f>SUM('Consolidation adjustments'!P50,'Historical Holdco'!P50,'Historical BU1'!P50*Currency_conversion_BU1,'Historical BU2'!P50*Currency_conversion_rate_BU2,'Historical other'!P50*Currency_conversion_rate_other)</f>
        <v>0</v>
      </c>
      <c r="R125" s="56">
        <f>SUM('Consolidation adjustments'!Q50,'Historical Holdco'!Q50,'Historical BU1'!Q50*Currency_conversion_BU1,'Historical BU2'!Q50*Currency_conversion_rate_BU2,'Historical other'!Q50*Currency_conversion_rate_other)</f>
        <v>0</v>
      </c>
      <c r="S125" s="56">
        <f>SUM('Consolidation adjustments'!R50,'Historical Holdco'!R50,'Historical BU1'!R50*Currency_conversion_BU1,'Historical BU2'!R50*Currency_conversion_rate_BU2,'Historical other'!R50*Currency_conversion_rate_other)</f>
        <v>0</v>
      </c>
      <c r="T125" s="56">
        <f>SUM('Consolidation adjustments'!S50,'Historical Holdco'!S50,'Historical BU1'!S50*Currency_conversion_BU1,'Historical BU2'!S50*Currency_conversion_rate_BU2,'Historical other'!S50*Currency_conversion_rate_other)</f>
        <v>0</v>
      </c>
      <c r="U125" s="56">
        <f>SUM('Consolidation adjustments'!T50,'Historical Holdco'!T50,'Historical BU1'!T50*Currency_conversion_BU1,'Historical BU2'!T50*Currency_conversion_rate_BU2,'Historical other'!T50*Currency_conversion_rate_other)</f>
        <v>0</v>
      </c>
    </row>
    <row r="126" spans="1:21">
      <c r="A126" s="56" t="s">
        <v>66</v>
      </c>
      <c r="B126" s="56"/>
      <c r="C126" s="56"/>
      <c r="D126" s="97" t="s">
        <v>220</v>
      </c>
      <c r="E126" s="56">
        <f>SUM('Consolidation adjustments'!D51,'Historical Holdco'!D51,'Historical BU1'!D51*Currency_conversion_BU1,'Historical BU2'!D51*Currency_conversion_rate_BU2,'Historical other'!D51*Currency_conversion_rate_other)</f>
        <v>0</v>
      </c>
      <c r="F126" s="56">
        <f>SUM('Consolidation adjustments'!E51,'Historical Holdco'!E51,'Historical BU1'!E51*Currency_conversion_BU1,'Historical BU2'!E51*Currency_conversion_rate_BU2,'Historical other'!E51*Currency_conversion_rate_other)</f>
        <v>0</v>
      </c>
      <c r="G126" s="56">
        <f>SUM('Consolidation adjustments'!F51,'Historical Holdco'!F51,'Historical BU1'!F51*Currency_conversion_BU1,'Historical BU2'!F51*Currency_conversion_rate_BU2,'Historical other'!F51*Currency_conversion_rate_other)</f>
        <v>0</v>
      </c>
      <c r="H126" s="56">
        <f>SUM('Consolidation adjustments'!G51,'Historical Holdco'!G51,'Historical BU1'!G51*Currency_conversion_BU1,'Historical BU2'!G51*Currency_conversion_rate_BU2,'Historical other'!G51*Currency_conversion_rate_other)</f>
        <v>0</v>
      </c>
      <c r="I126" s="56">
        <f>SUM('Consolidation adjustments'!H51,'Historical Holdco'!H51,'Historical BU1'!H51*Currency_conversion_BU1,'Historical BU2'!H51*Currency_conversion_rate_BU2,'Historical other'!H51*Currency_conversion_rate_other)</f>
        <v>0</v>
      </c>
      <c r="J126" s="56">
        <f>SUM('Consolidation adjustments'!I51,'Historical Holdco'!I51,'Historical BU1'!I51*Currency_conversion_BU1,'Historical BU2'!I51*Currency_conversion_rate_BU2,'Historical other'!I51*Currency_conversion_rate_other)</f>
        <v>0</v>
      </c>
      <c r="K126" s="56">
        <f>SUM('Consolidation adjustments'!J51,'Historical Holdco'!J51,'Historical BU1'!J51*Currency_conversion_BU1,'Historical BU2'!J51*Currency_conversion_rate_BU2,'Historical other'!J51*Currency_conversion_rate_other)</f>
        <v>0</v>
      </c>
      <c r="L126" s="56">
        <f>SUM('Consolidation adjustments'!K51,'Historical Holdco'!K51,'Historical BU1'!K51*Currency_conversion_BU1,'Historical BU2'!K51*Currency_conversion_rate_BU2,'Historical other'!K51*Currency_conversion_rate_other)</f>
        <v>0</v>
      </c>
      <c r="M126" s="56">
        <f>SUM('Consolidation adjustments'!L51,'Historical Holdco'!L51,'Historical BU1'!L51*Currency_conversion_BU1,'Historical BU2'!L51*Currency_conversion_rate_BU2,'Historical other'!L51*Currency_conversion_rate_other)</f>
        <v>0</v>
      </c>
      <c r="N126" s="56">
        <f>SUM('Consolidation adjustments'!M51,'Historical Holdco'!M51,'Historical BU1'!M51*Currency_conversion_BU1,'Historical BU2'!M51*Currency_conversion_rate_BU2,'Historical other'!M51*Currency_conversion_rate_other)</f>
        <v>0</v>
      </c>
      <c r="O126" s="56">
        <f>SUM('Consolidation adjustments'!N51,'Historical Holdco'!N51,'Historical BU1'!N51*Currency_conversion_BU1,'Historical BU2'!N51*Currency_conversion_rate_BU2,'Historical other'!N51*Currency_conversion_rate_other)</f>
        <v>0</v>
      </c>
      <c r="P126" s="56">
        <f>SUM('Consolidation adjustments'!O51,'Historical Holdco'!O51,'Historical BU1'!O51*Currency_conversion_BU1,'Historical BU2'!O51*Currency_conversion_rate_BU2,'Historical other'!O51*Currency_conversion_rate_other)</f>
        <v>0</v>
      </c>
      <c r="Q126" s="56">
        <f>SUM('Consolidation adjustments'!P51,'Historical Holdco'!P51,'Historical BU1'!P51*Currency_conversion_BU1,'Historical BU2'!P51*Currency_conversion_rate_BU2,'Historical other'!P51*Currency_conversion_rate_other)</f>
        <v>0</v>
      </c>
      <c r="R126" s="56">
        <f>SUM('Consolidation adjustments'!Q51,'Historical Holdco'!Q51,'Historical BU1'!Q51*Currency_conversion_BU1,'Historical BU2'!Q51*Currency_conversion_rate_BU2,'Historical other'!Q51*Currency_conversion_rate_other)</f>
        <v>0</v>
      </c>
      <c r="S126" s="56">
        <f>SUM('Consolidation adjustments'!R51,'Historical Holdco'!R51,'Historical BU1'!R51*Currency_conversion_BU1,'Historical BU2'!R51*Currency_conversion_rate_BU2,'Historical other'!R51*Currency_conversion_rate_other)</f>
        <v>0</v>
      </c>
      <c r="T126" s="56">
        <f>SUM('Consolidation adjustments'!S51,'Historical Holdco'!S51,'Historical BU1'!S51*Currency_conversion_BU1,'Historical BU2'!S51*Currency_conversion_rate_BU2,'Historical other'!S51*Currency_conversion_rate_other)</f>
        <v>0</v>
      </c>
      <c r="U126" s="56">
        <f>SUM('Consolidation adjustments'!T51,'Historical Holdco'!T51,'Historical BU1'!T51*Currency_conversion_BU1,'Historical BU2'!T51*Currency_conversion_rate_BU2,'Historical other'!T51*Currency_conversion_rate_other)</f>
        <v>0</v>
      </c>
    </row>
    <row r="127" spans="1:21">
      <c r="A127" s="56" t="s">
        <v>585</v>
      </c>
      <c r="B127" s="56"/>
      <c r="C127" s="56"/>
      <c r="D127" s="56" t="s">
        <v>221</v>
      </c>
      <c r="E127" s="56">
        <f>SUM('Consolidation adjustments'!D52,'Historical Holdco'!D52,'Historical BU1'!D52*Currency_conversion_BU1,'Historical BU2'!D52*Currency_conversion_rate_BU2,'Historical other'!D52*Currency_conversion_rate_other)</f>
        <v>0</v>
      </c>
      <c r="F127" s="56">
        <f>SUM('Consolidation adjustments'!E52,'Historical Holdco'!E52,'Historical BU1'!E52*Currency_conversion_BU1,'Historical BU2'!E52*Currency_conversion_rate_BU2,'Historical other'!E52*Currency_conversion_rate_other)</f>
        <v>0</v>
      </c>
      <c r="G127" s="56">
        <f>SUM('Consolidation adjustments'!F52,'Historical Holdco'!F52,'Historical BU1'!F52*Currency_conversion_BU1,'Historical BU2'!F52*Currency_conversion_rate_BU2,'Historical other'!F52*Currency_conversion_rate_other)</f>
        <v>0</v>
      </c>
      <c r="H127" s="56">
        <f>SUM('Consolidation adjustments'!G52,'Historical Holdco'!G52,'Historical BU1'!G52*Currency_conversion_BU1,'Historical BU2'!G52*Currency_conversion_rate_BU2,'Historical other'!G52*Currency_conversion_rate_other)</f>
        <v>0</v>
      </c>
      <c r="I127" s="56">
        <f>SUM('Consolidation adjustments'!H52,'Historical Holdco'!H52,'Historical BU1'!H52*Currency_conversion_BU1,'Historical BU2'!H52*Currency_conversion_rate_BU2,'Historical other'!H52*Currency_conversion_rate_other)</f>
        <v>0</v>
      </c>
      <c r="J127" s="56">
        <f>SUM('Consolidation adjustments'!I52,'Historical Holdco'!I52,'Historical BU1'!I52*Currency_conversion_BU1,'Historical BU2'!I52*Currency_conversion_rate_BU2,'Historical other'!I52*Currency_conversion_rate_other)</f>
        <v>0</v>
      </c>
      <c r="K127" s="56">
        <f>SUM('Consolidation adjustments'!J52,'Historical Holdco'!J52,'Historical BU1'!J52*Currency_conversion_BU1,'Historical BU2'!J52*Currency_conversion_rate_BU2,'Historical other'!J52*Currency_conversion_rate_other)</f>
        <v>0</v>
      </c>
      <c r="L127" s="56">
        <f>SUM('Consolidation adjustments'!K52,'Historical Holdco'!K52,'Historical BU1'!K52*Currency_conversion_BU1,'Historical BU2'!K52*Currency_conversion_rate_BU2,'Historical other'!K52*Currency_conversion_rate_other)</f>
        <v>0</v>
      </c>
      <c r="M127" s="56">
        <f>SUM('Consolidation adjustments'!L52,'Historical Holdco'!L52,'Historical BU1'!L52*Currency_conversion_BU1,'Historical BU2'!L52*Currency_conversion_rate_BU2,'Historical other'!L52*Currency_conversion_rate_other)</f>
        <v>0</v>
      </c>
      <c r="N127" s="56">
        <f>SUM('Consolidation adjustments'!M52,'Historical Holdco'!M52,'Historical BU1'!M52*Currency_conversion_BU1,'Historical BU2'!M52*Currency_conversion_rate_BU2,'Historical other'!M52*Currency_conversion_rate_other)</f>
        <v>0</v>
      </c>
      <c r="O127" s="56">
        <f>SUM('Consolidation adjustments'!N52,'Historical Holdco'!N52,'Historical BU1'!N52*Currency_conversion_BU1,'Historical BU2'!N52*Currency_conversion_rate_BU2,'Historical other'!N52*Currency_conversion_rate_other)</f>
        <v>0</v>
      </c>
      <c r="P127" s="56">
        <f>SUM('Consolidation adjustments'!O52,'Historical Holdco'!O52,'Historical BU1'!O52*Currency_conversion_BU1,'Historical BU2'!O52*Currency_conversion_rate_BU2,'Historical other'!O52*Currency_conversion_rate_other)</f>
        <v>0</v>
      </c>
      <c r="Q127" s="56">
        <f>SUM('Consolidation adjustments'!P52,'Historical Holdco'!P52,'Historical BU1'!P52*Currency_conversion_BU1,'Historical BU2'!P52*Currency_conversion_rate_BU2,'Historical other'!P52*Currency_conversion_rate_other)</f>
        <v>0</v>
      </c>
      <c r="R127" s="56">
        <f>SUM('Consolidation adjustments'!Q52,'Historical Holdco'!Q52,'Historical BU1'!Q52*Currency_conversion_BU1,'Historical BU2'!Q52*Currency_conversion_rate_BU2,'Historical other'!Q52*Currency_conversion_rate_other)</f>
        <v>0</v>
      </c>
      <c r="S127" s="56">
        <f>SUM('Consolidation adjustments'!R52,'Historical Holdco'!R52,'Historical BU1'!R52*Currency_conversion_BU1,'Historical BU2'!R52*Currency_conversion_rate_BU2,'Historical other'!R52*Currency_conversion_rate_other)</f>
        <v>0</v>
      </c>
      <c r="T127" s="56">
        <f>SUM('Consolidation adjustments'!S52,'Historical Holdco'!S52,'Historical BU1'!S52*Currency_conversion_BU1,'Historical BU2'!S52*Currency_conversion_rate_BU2,'Historical other'!S52*Currency_conversion_rate_other)</f>
        <v>0</v>
      </c>
      <c r="U127" s="56">
        <f>SUM('Consolidation adjustments'!T52,'Historical Holdco'!T52,'Historical BU1'!T52*Currency_conversion_BU1,'Historical BU2'!T52*Currency_conversion_rate_BU2,'Historical other'!T52*Currency_conversion_rate_other)</f>
        <v>0</v>
      </c>
    </row>
    <row r="128" spans="1:21">
      <c r="A128" s="56" t="s">
        <v>82</v>
      </c>
      <c r="B128" s="56"/>
      <c r="C128" s="56"/>
      <c r="D128" s="56" t="s">
        <v>222</v>
      </c>
      <c r="E128" s="56">
        <f>SUM('Consolidation adjustments'!D53,'Historical Holdco'!D53,'Historical BU1'!D53*Currency_conversion_BU1,'Historical BU2'!D53*Currency_conversion_rate_BU2,'Historical other'!D53*Currency_conversion_rate_other)</f>
        <v>0</v>
      </c>
      <c r="F128" s="56">
        <f>SUM('Consolidation adjustments'!E53,'Historical Holdco'!E53,'Historical BU1'!E53*Currency_conversion_BU1,'Historical BU2'!E53*Currency_conversion_rate_BU2,'Historical other'!E53*Currency_conversion_rate_other)</f>
        <v>0</v>
      </c>
      <c r="G128" s="56">
        <f>SUM('Consolidation adjustments'!F53,'Historical Holdco'!F53,'Historical BU1'!F53*Currency_conversion_BU1,'Historical BU2'!F53*Currency_conversion_rate_BU2,'Historical other'!F53*Currency_conversion_rate_other)</f>
        <v>0</v>
      </c>
      <c r="H128" s="56">
        <f>SUM('Consolidation adjustments'!G53,'Historical Holdco'!G53,'Historical BU1'!G53*Currency_conversion_BU1,'Historical BU2'!G53*Currency_conversion_rate_BU2,'Historical other'!G53*Currency_conversion_rate_other)</f>
        <v>0</v>
      </c>
      <c r="I128" s="56">
        <f>SUM('Consolidation adjustments'!H53,'Historical Holdco'!H53,'Historical BU1'!H53*Currency_conversion_BU1,'Historical BU2'!H53*Currency_conversion_rate_BU2,'Historical other'!H53*Currency_conversion_rate_other)</f>
        <v>0</v>
      </c>
      <c r="J128" s="56">
        <f>SUM('Consolidation adjustments'!I53,'Historical Holdco'!I53,'Historical BU1'!I53*Currency_conversion_BU1,'Historical BU2'!I53*Currency_conversion_rate_BU2,'Historical other'!I53*Currency_conversion_rate_other)</f>
        <v>0</v>
      </c>
      <c r="K128" s="56">
        <f>SUM('Consolidation adjustments'!J53,'Historical Holdco'!J53,'Historical BU1'!J53*Currency_conversion_BU1,'Historical BU2'!J53*Currency_conversion_rate_BU2,'Historical other'!J53*Currency_conversion_rate_other)</f>
        <v>0</v>
      </c>
      <c r="L128" s="56">
        <f>SUM('Consolidation adjustments'!K53,'Historical Holdco'!K53,'Historical BU1'!K53*Currency_conversion_BU1,'Historical BU2'!K53*Currency_conversion_rate_BU2,'Historical other'!K53*Currency_conversion_rate_other)</f>
        <v>0</v>
      </c>
      <c r="M128" s="56">
        <f>SUM('Consolidation adjustments'!L53,'Historical Holdco'!L53,'Historical BU1'!L53*Currency_conversion_BU1,'Historical BU2'!L53*Currency_conversion_rate_BU2,'Historical other'!L53*Currency_conversion_rate_other)</f>
        <v>0</v>
      </c>
      <c r="N128" s="56">
        <f>SUM('Consolidation adjustments'!M53,'Historical Holdco'!M53,'Historical BU1'!M53*Currency_conversion_BU1,'Historical BU2'!M53*Currency_conversion_rate_BU2,'Historical other'!M53*Currency_conversion_rate_other)</f>
        <v>0</v>
      </c>
      <c r="O128" s="56">
        <f>SUM('Consolidation adjustments'!N53,'Historical Holdco'!N53,'Historical BU1'!N53*Currency_conversion_BU1,'Historical BU2'!N53*Currency_conversion_rate_BU2,'Historical other'!N53*Currency_conversion_rate_other)</f>
        <v>0</v>
      </c>
      <c r="P128" s="56">
        <f>SUM('Consolidation adjustments'!O53,'Historical Holdco'!O53,'Historical BU1'!O53*Currency_conversion_BU1,'Historical BU2'!O53*Currency_conversion_rate_BU2,'Historical other'!O53*Currency_conversion_rate_other)</f>
        <v>0</v>
      </c>
      <c r="Q128" s="56">
        <f>SUM('Consolidation adjustments'!P53,'Historical Holdco'!P53,'Historical BU1'!P53*Currency_conversion_BU1,'Historical BU2'!P53*Currency_conversion_rate_BU2,'Historical other'!P53*Currency_conversion_rate_other)</f>
        <v>0</v>
      </c>
      <c r="R128" s="56">
        <f>SUM('Consolidation adjustments'!Q53,'Historical Holdco'!Q53,'Historical BU1'!Q53*Currency_conversion_BU1,'Historical BU2'!Q53*Currency_conversion_rate_BU2,'Historical other'!Q53*Currency_conversion_rate_other)</f>
        <v>0</v>
      </c>
      <c r="S128" s="56">
        <f>SUM('Consolidation adjustments'!R53,'Historical Holdco'!R53,'Historical BU1'!R53*Currency_conversion_BU1,'Historical BU2'!R53*Currency_conversion_rate_BU2,'Historical other'!R53*Currency_conversion_rate_other)</f>
        <v>0</v>
      </c>
      <c r="T128" s="56">
        <f>SUM('Consolidation adjustments'!S53,'Historical Holdco'!S53,'Historical BU1'!S53*Currency_conversion_BU1,'Historical BU2'!S53*Currency_conversion_rate_BU2,'Historical other'!S53*Currency_conversion_rate_other)</f>
        <v>0</v>
      </c>
      <c r="U128" s="56">
        <f>SUM('Consolidation adjustments'!T53,'Historical Holdco'!T53,'Historical BU1'!T53*Currency_conversion_BU1,'Historical BU2'!T53*Currency_conversion_rate_BU2,'Historical other'!T53*Currency_conversion_rate_other)</f>
        <v>0</v>
      </c>
    </row>
    <row r="129" spans="1:21">
      <c r="A129" s="98"/>
      <c r="B129" s="98"/>
      <c r="C129" s="98"/>
      <c r="D129" s="98" t="s">
        <v>223</v>
      </c>
      <c r="E129" s="98">
        <f>SUM(E124:E128)</f>
        <v>0</v>
      </c>
      <c r="F129" s="98">
        <f t="shared" ref="F129:U129" si="36">SUM(F124:F128)</f>
        <v>0</v>
      </c>
      <c r="G129" s="98">
        <f t="shared" si="36"/>
        <v>0</v>
      </c>
      <c r="H129" s="98">
        <f t="shared" si="36"/>
        <v>0</v>
      </c>
      <c r="I129" s="98">
        <f t="shared" si="36"/>
        <v>0</v>
      </c>
      <c r="J129" s="98">
        <f t="shared" si="36"/>
        <v>0</v>
      </c>
      <c r="K129" s="98">
        <f t="shared" si="36"/>
        <v>0</v>
      </c>
      <c r="L129" s="98">
        <f t="shared" si="36"/>
        <v>0</v>
      </c>
      <c r="M129" s="98">
        <f t="shared" si="36"/>
        <v>0</v>
      </c>
      <c r="N129" s="98">
        <f t="shared" si="36"/>
        <v>0</v>
      </c>
      <c r="O129" s="98">
        <f t="shared" si="36"/>
        <v>0</v>
      </c>
      <c r="P129" s="98">
        <f t="shared" si="36"/>
        <v>0</v>
      </c>
      <c r="Q129" s="98">
        <f t="shared" si="36"/>
        <v>0</v>
      </c>
      <c r="R129" s="98">
        <f t="shared" si="36"/>
        <v>0</v>
      </c>
      <c r="S129" s="98">
        <f t="shared" si="36"/>
        <v>0</v>
      </c>
      <c r="T129" s="98">
        <f t="shared" si="36"/>
        <v>0</v>
      </c>
      <c r="U129" s="98">
        <f t="shared" si="36"/>
        <v>0</v>
      </c>
    </row>
    <row r="130" spans="1:21">
      <c r="A130" s="98"/>
      <c r="B130" s="98"/>
      <c r="C130" s="98"/>
      <c r="D130" s="98" t="s">
        <v>10</v>
      </c>
      <c r="E130" s="98">
        <f>E123+E129</f>
        <v>0</v>
      </c>
      <c r="F130" s="98">
        <f t="shared" ref="F130:U130" si="37">F123+F129</f>
        <v>0</v>
      </c>
      <c r="G130" s="98">
        <f t="shared" si="37"/>
        <v>0</v>
      </c>
      <c r="H130" s="98">
        <f t="shared" si="37"/>
        <v>0</v>
      </c>
      <c r="I130" s="98">
        <f t="shared" si="37"/>
        <v>0</v>
      </c>
      <c r="J130" s="98">
        <f t="shared" si="37"/>
        <v>0</v>
      </c>
      <c r="K130" s="98">
        <f t="shared" si="37"/>
        <v>0</v>
      </c>
      <c r="L130" s="98">
        <f t="shared" si="37"/>
        <v>0</v>
      </c>
      <c r="M130" s="98">
        <f t="shared" si="37"/>
        <v>0</v>
      </c>
      <c r="N130" s="98">
        <f t="shared" si="37"/>
        <v>0</v>
      </c>
      <c r="O130" s="98">
        <f t="shared" si="37"/>
        <v>0</v>
      </c>
      <c r="P130" s="98">
        <f t="shared" si="37"/>
        <v>0</v>
      </c>
      <c r="Q130" s="98">
        <f t="shared" si="37"/>
        <v>0</v>
      </c>
      <c r="R130" s="98">
        <f t="shared" si="37"/>
        <v>0</v>
      </c>
      <c r="S130" s="98">
        <f t="shared" si="37"/>
        <v>0</v>
      </c>
      <c r="T130" s="98">
        <f t="shared" si="37"/>
        <v>0</v>
      </c>
      <c r="U130" s="98">
        <f t="shared" si="37"/>
        <v>0</v>
      </c>
    </row>
    <row r="131" spans="1:21">
      <c r="A131" s="98" t="s">
        <v>224</v>
      </c>
      <c r="B131" s="98"/>
      <c r="C131" s="98"/>
      <c r="D131" s="56"/>
      <c r="E131" s="97"/>
      <c r="F131" s="97"/>
      <c r="G131" s="97"/>
      <c r="H131" s="97"/>
      <c r="I131" s="97"/>
      <c r="J131" s="97"/>
      <c r="K131" s="97"/>
      <c r="L131" s="97"/>
      <c r="M131" s="97"/>
      <c r="N131" s="97"/>
      <c r="O131" s="97"/>
      <c r="P131" s="97"/>
      <c r="Q131" s="97"/>
      <c r="R131" s="97"/>
      <c r="S131" s="97"/>
      <c r="T131" s="97"/>
      <c r="U131" s="97"/>
    </row>
    <row r="132" spans="1:21">
      <c r="A132" s="56" t="s">
        <v>100</v>
      </c>
      <c r="B132" s="56"/>
      <c r="C132" s="56"/>
      <c r="D132" s="56" t="s">
        <v>225</v>
      </c>
      <c r="E132" s="56">
        <f>SUM('Consolidation adjustments'!D57,'Historical Holdco'!D57,'Historical BU1'!D57*Currency_conversion_BU1,'Historical BU2'!D57*Currency_conversion_rate_BU2,'Historical other'!D57*Currency_conversion_rate_other)</f>
        <v>0</v>
      </c>
      <c r="F132" s="56">
        <f>SUM('Consolidation adjustments'!E57,'Historical Holdco'!E57,'Historical BU1'!E57*Currency_conversion_BU1,'Historical BU2'!E57*Currency_conversion_rate_BU2,'Historical other'!E57*Currency_conversion_rate_other)</f>
        <v>0</v>
      </c>
      <c r="G132" s="56">
        <f>SUM('Consolidation adjustments'!F57,'Historical Holdco'!F57,'Historical BU1'!F57*Currency_conversion_BU1,'Historical BU2'!F57*Currency_conversion_rate_BU2,'Historical other'!F57*Currency_conversion_rate_other)</f>
        <v>0</v>
      </c>
      <c r="H132" s="56">
        <f>SUM('Consolidation adjustments'!G57,'Historical Holdco'!G57,'Historical BU1'!G57*Currency_conversion_BU1,'Historical BU2'!G57*Currency_conversion_rate_BU2,'Historical other'!G57*Currency_conversion_rate_other)</f>
        <v>0</v>
      </c>
      <c r="I132" s="56">
        <f>SUM('Consolidation adjustments'!H57,'Historical Holdco'!H57,'Historical BU1'!H57*Currency_conversion_BU1,'Historical BU2'!H57*Currency_conversion_rate_BU2,'Historical other'!H57*Currency_conversion_rate_other)</f>
        <v>0</v>
      </c>
      <c r="J132" s="56">
        <f>SUM('Consolidation adjustments'!I57,'Historical Holdco'!I57,'Historical BU1'!I57*Currency_conversion_BU1,'Historical BU2'!I57*Currency_conversion_rate_BU2,'Historical other'!I57*Currency_conversion_rate_other)</f>
        <v>0</v>
      </c>
      <c r="K132" s="56">
        <f>SUM('Consolidation adjustments'!J57,'Historical Holdco'!J57,'Historical BU1'!J57*Currency_conversion_BU1,'Historical BU2'!J57*Currency_conversion_rate_BU2,'Historical other'!J57*Currency_conversion_rate_other)</f>
        <v>0</v>
      </c>
      <c r="L132" s="56">
        <f>SUM('Consolidation adjustments'!K57,'Historical Holdco'!K57,'Historical BU1'!K57*Currency_conversion_BU1,'Historical BU2'!K57*Currency_conversion_rate_BU2,'Historical other'!K57*Currency_conversion_rate_other)</f>
        <v>0</v>
      </c>
      <c r="M132" s="56">
        <f>SUM('Consolidation adjustments'!L57,'Historical Holdco'!L57,'Historical BU1'!L57*Currency_conversion_BU1,'Historical BU2'!L57*Currency_conversion_rate_BU2,'Historical other'!L57*Currency_conversion_rate_other)</f>
        <v>0</v>
      </c>
      <c r="N132" s="56">
        <f>SUM('Consolidation adjustments'!M57,'Historical Holdco'!M57,'Historical BU1'!M57*Currency_conversion_BU1,'Historical BU2'!M57*Currency_conversion_rate_BU2,'Historical other'!M57*Currency_conversion_rate_other)</f>
        <v>0</v>
      </c>
      <c r="O132" s="56">
        <f>SUM('Consolidation adjustments'!N57,'Historical Holdco'!N57,'Historical BU1'!N57*Currency_conversion_BU1,'Historical BU2'!N57*Currency_conversion_rate_BU2,'Historical other'!N57*Currency_conversion_rate_other)</f>
        <v>0</v>
      </c>
      <c r="P132" s="56">
        <f>SUM('Consolidation adjustments'!O57,'Historical Holdco'!O57,'Historical BU1'!O57*Currency_conversion_BU1,'Historical BU2'!O57*Currency_conversion_rate_BU2,'Historical other'!O57*Currency_conversion_rate_other)</f>
        <v>0</v>
      </c>
      <c r="Q132" s="56">
        <f>SUM('Consolidation adjustments'!P57,'Historical Holdco'!P57,'Historical BU1'!P57*Currency_conversion_BU1,'Historical BU2'!P57*Currency_conversion_rate_BU2,'Historical other'!P57*Currency_conversion_rate_other)</f>
        <v>0</v>
      </c>
      <c r="R132" s="56">
        <f>SUM('Consolidation adjustments'!Q57,'Historical Holdco'!Q57,'Historical BU1'!Q57*Currency_conversion_BU1,'Historical BU2'!Q57*Currency_conversion_rate_BU2,'Historical other'!Q57*Currency_conversion_rate_other)</f>
        <v>0</v>
      </c>
      <c r="S132" s="56">
        <f>SUM('Consolidation adjustments'!R57,'Historical Holdco'!R57,'Historical BU1'!R57*Currency_conversion_BU1,'Historical BU2'!R57*Currency_conversion_rate_BU2,'Historical other'!R57*Currency_conversion_rate_other)</f>
        <v>0</v>
      </c>
      <c r="T132" s="56">
        <f>SUM('Consolidation adjustments'!S57,'Historical Holdco'!S57,'Historical BU1'!S57*Currency_conversion_BU1,'Historical BU2'!S57*Currency_conversion_rate_BU2,'Historical other'!S57*Currency_conversion_rate_other)</f>
        <v>0</v>
      </c>
      <c r="U132" s="56">
        <f>SUM('Consolidation adjustments'!T57,'Historical Holdco'!T57,'Historical BU1'!T57*Currency_conversion_BU1,'Historical BU2'!T57*Currency_conversion_rate_BU2,'Historical other'!T57*Currency_conversion_rate_other)</f>
        <v>0</v>
      </c>
    </row>
    <row r="133" spans="1:21">
      <c r="A133" s="56" t="s">
        <v>586</v>
      </c>
      <c r="B133" s="56"/>
      <c r="C133" s="56"/>
      <c r="D133" s="56" t="s">
        <v>226</v>
      </c>
      <c r="E133" s="56">
        <f>SUM('Consolidation adjustments'!D58,'Historical Holdco'!D58,'Historical BU1'!D58*Currency_conversion_BU1,'Historical BU2'!D58*Currency_conversion_rate_BU2,'Historical other'!D58*Currency_conversion_rate_other)</f>
        <v>0</v>
      </c>
      <c r="F133" s="56">
        <f>SUM('Consolidation adjustments'!E58,'Historical Holdco'!E58,'Historical BU1'!E58*Currency_conversion_BU1,'Historical BU2'!E58*Currency_conversion_rate_BU2,'Historical other'!E58*Currency_conversion_rate_other)</f>
        <v>0</v>
      </c>
      <c r="G133" s="56">
        <f>SUM('Consolidation adjustments'!F58,'Historical Holdco'!F58,'Historical BU1'!F58*Currency_conversion_BU1,'Historical BU2'!F58*Currency_conversion_rate_BU2,'Historical other'!F58*Currency_conversion_rate_other)</f>
        <v>0</v>
      </c>
      <c r="H133" s="56">
        <f>SUM('Consolidation adjustments'!G58,'Historical Holdco'!G58,'Historical BU1'!G58*Currency_conversion_BU1,'Historical BU2'!G58*Currency_conversion_rate_BU2,'Historical other'!G58*Currency_conversion_rate_other)</f>
        <v>0</v>
      </c>
      <c r="I133" s="56">
        <f>SUM('Consolidation adjustments'!H58,'Historical Holdco'!H58,'Historical BU1'!H58*Currency_conversion_BU1,'Historical BU2'!H58*Currency_conversion_rate_BU2,'Historical other'!H58*Currency_conversion_rate_other)</f>
        <v>0</v>
      </c>
      <c r="J133" s="56">
        <f>SUM('Consolidation adjustments'!I58,'Historical Holdco'!I58,'Historical BU1'!I58*Currency_conversion_BU1,'Historical BU2'!I58*Currency_conversion_rate_BU2,'Historical other'!I58*Currency_conversion_rate_other)</f>
        <v>0</v>
      </c>
      <c r="K133" s="56">
        <f>SUM('Consolidation adjustments'!J58,'Historical Holdco'!J58,'Historical BU1'!J58*Currency_conversion_BU1,'Historical BU2'!J58*Currency_conversion_rate_BU2,'Historical other'!J58*Currency_conversion_rate_other)</f>
        <v>0</v>
      </c>
      <c r="L133" s="56">
        <f>SUM('Consolidation adjustments'!K58,'Historical Holdco'!K58,'Historical BU1'!K58*Currency_conversion_BU1,'Historical BU2'!K58*Currency_conversion_rate_BU2,'Historical other'!K58*Currency_conversion_rate_other)</f>
        <v>0</v>
      </c>
      <c r="M133" s="56">
        <f>SUM('Consolidation adjustments'!L58,'Historical Holdco'!L58,'Historical BU1'!L58*Currency_conversion_BU1,'Historical BU2'!L58*Currency_conversion_rate_BU2,'Historical other'!L58*Currency_conversion_rate_other)</f>
        <v>0</v>
      </c>
      <c r="N133" s="56">
        <f>SUM('Consolidation adjustments'!M58,'Historical Holdco'!M58,'Historical BU1'!M58*Currency_conversion_BU1,'Historical BU2'!M58*Currency_conversion_rate_BU2,'Historical other'!M58*Currency_conversion_rate_other)</f>
        <v>0</v>
      </c>
      <c r="O133" s="56">
        <f>SUM('Consolidation adjustments'!N58,'Historical Holdco'!N58,'Historical BU1'!N58*Currency_conversion_BU1,'Historical BU2'!N58*Currency_conversion_rate_BU2,'Historical other'!N58*Currency_conversion_rate_other)</f>
        <v>0</v>
      </c>
      <c r="P133" s="56">
        <f>SUM('Consolidation adjustments'!O58,'Historical Holdco'!O58,'Historical BU1'!O58*Currency_conversion_BU1,'Historical BU2'!O58*Currency_conversion_rate_BU2,'Historical other'!O58*Currency_conversion_rate_other)</f>
        <v>0</v>
      </c>
      <c r="Q133" s="56">
        <f>SUM('Consolidation adjustments'!P58,'Historical Holdco'!P58,'Historical BU1'!P58*Currency_conversion_BU1,'Historical BU2'!P58*Currency_conversion_rate_BU2,'Historical other'!P58*Currency_conversion_rate_other)</f>
        <v>0</v>
      </c>
      <c r="R133" s="56">
        <f>SUM('Consolidation adjustments'!Q58,'Historical Holdco'!Q58,'Historical BU1'!Q58*Currency_conversion_BU1,'Historical BU2'!Q58*Currency_conversion_rate_BU2,'Historical other'!Q58*Currency_conversion_rate_other)</f>
        <v>0</v>
      </c>
      <c r="S133" s="56">
        <f>SUM('Consolidation adjustments'!R58,'Historical Holdco'!R58,'Historical BU1'!R58*Currency_conversion_BU1,'Historical BU2'!R58*Currency_conversion_rate_BU2,'Historical other'!R58*Currency_conversion_rate_other)</f>
        <v>0</v>
      </c>
      <c r="T133" s="56">
        <f>SUM('Consolidation adjustments'!S58,'Historical Holdco'!S58,'Historical BU1'!S58*Currency_conversion_BU1,'Historical BU2'!S58*Currency_conversion_rate_BU2,'Historical other'!S58*Currency_conversion_rate_other)</f>
        <v>0</v>
      </c>
      <c r="U133" s="56">
        <f>SUM('Consolidation adjustments'!T58,'Historical Holdco'!T58,'Historical BU1'!T58*Currency_conversion_BU1,'Historical BU2'!T58*Currency_conversion_rate_BU2,'Historical other'!T58*Currency_conversion_rate_other)</f>
        <v>0</v>
      </c>
    </row>
    <row r="134" spans="1:21">
      <c r="A134" s="56" t="s">
        <v>587</v>
      </c>
      <c r="B134" s="56"/>
      <c r="C134" s="56"/>
      <c r="D134" s="56" t="s">
        <v>227</v>
      </c>
      <c r="E134" s="56">
        <f>SUM('Consolidation adjustments'!D59,'Historical Holdco'!D59,'Historical BU1'!D59*Currency_conversion_BU1,'Historical BU2'!D59*Currency_conversion_rate_BU2,'Historical other'!D59*Currency_conversion_rate_other)</f>
        <v>0</v>
      </c>
      <c r="F134" s="56">
        <f>SUM('Consolidation adjustments'!E59,'Historical Holdco'!E59,'Historical BU1'!E59*Currency_conversion_BU1,'Historical BU2'!E59*Currency_conversion_rate_BU2,'Historical other'!E59*Currency_conversion_rate_other)</f>
        <v>0</v>
      </c>
      <c r="G134" s="56">
        <f>SUM('Consolidation adjustments'!F59,'Historical Holdco'!F59,'Historical BU1'!F59*Currency_conversion_BU1,'Historical BU2'!F59*Currency_conversion_rate_BU2,'Historical other'!F59*Currency_conversion_rate_other)</f>
        <v>0</v>
      </c>
      <c r="H134" s="56">
        <f>SUM('Consolidation adjustments'!G59,'Historical Holdco'!G59,'Historical BU1'!G59*Currency_conversion_BU1,'Historical BU2'!G59*Currency_conversion_rate_BU2,'Historical other'!G59*Currency_conversion_rate_other)</f>
        <v>0</v>
      </c>
      <c r="I134" s="56">
        <f>SUM('Consolidation adjustments'!H59,'Historical Holdco'!H59,'Historical BU1'!H59*Currency_conversion_BU1,'Historical BU2'!H59*Currency_conversion_rate_BU2,'Historical other'!H59*Currency_conversion_rate_other)</f>
        <v>0</v>
      </c>
      <c r="J134" s="56">
        <f>SUM('Consolidation adjustments'!I59,'Historical Holdco'!I59,'Historical BU1'!I59*Currency_conversion_BU1,'Historical BU2'!I59*Currency_conversion_rate_BU2,'Historical other'!I59*Currency_conversion_rate_other)</f>
        <v>0</v>
      </c>
      <c r="K134" s="56">
        <f>SUM('Consolidation adjustments'!J59,'Historical Holdco'!J59,'Historical BU1'!J59*Currency_conversion_BU1,'Historical BU2'!J59*Currency_conversion_rate_BU2,'Historical other'!J59*Currency_conversion_rate_other)</f>
        <v>0</v>
      </c>
      <c r="L134" s="56">
        <f>SUM('Consolidation adjustments'!K59,'Historical Holdco'!K59,'Historical BU1'!K59*Currency_conversion_BU1,'Historical BU2'!K59*Currency_conversion_rate_BU2,'Historical other'!K59*Currency_conversion_rate_other)</f>
        <v>0</v>
      </c>
      <c r="M134" s="56">
        <f>SUM('Consolidation adjustments'!L59,'Historical Holdco'!L59,'Historical BU1'!L59*Currency_conversion_BU1,'Historical BU2'!L59*Currency_conversion_rate_BU2,'Historical other'!L59*Currency_conversion_rate_other)</f>
        <v>0</v>
      </c>
      <c r="N134" s="56">
        <f>SUM('Consolidation adjustments'!M59,'Historical Holdco'!M59,'Historical BU1'!M59*Currency_conversion_BU1,'Historical BU2'!M59*Currency_conversion_rate_BU2,'Historical other'!M59*Currency_conversion_rate_other)</f>
        <v>0</v>
      </c>
      <c r="O134" s="56">
        <f>SUM('Consolidation adjustments'!N59,'Historical Holdco'!N59,'Historical BU1'!N59*Currency_conversion_BU1,'Historical BU2'!N59*Currency_conversion_rate_BU2,'Historical other'!N59*Currency_conversion_rate_other)</f>
        <v>0</v>
      </c>
      <c r="P134" s="56">
        <f>SUM('Consolidation adjustments'!O59,'Historical Holdco'!O59,'Historical BU1'!O59*Currency_conversion_BU1,'Historical BU2'!O59*Currency_conversion_rate_BU2,'Historical other'!O59*Currency_conversion_rate_other)</f>
        <v>0</v>
      </c>
      <c r="Q134" s="56">
        <f>SUM('Consolidation adjustments'!P59,'Historical Holdco'!P59,'Historical BU1'!P59*Currency_conversion_BU1,'Historical BU2'!P59*Currency_conversion_rate_BU2,'Historical other'!P59*Currency_conversion_rate_other)</f>
        <v>0</v>
      </c>
      <c r="R134" s="56">
        <f>SUM('Consolidation adjustments'!Q59,'Historical Holdco'!Q59,'Historical BU1'!Q59*Currency_conversion_BU1,'Historical BU2'!Q59*Currency_conversion_rate_BU2,'Historical other'!Q59*Currency_conversion_rate_other)</f>
        <v>0</v>
      </c>
      <c r="S134" s="56">
        <f>SUM('Consolidation adjustments'!R59,'Historical Holdco'!R59,'Historical BU1'!R59*Currency_conversion_BU1,'Historical BU2'!R59*Currency_conversion_rate_BU2,'Historical other'!R59*Currency_conversion_rate_other)</f>
        <v>0</v>
      </c>
      <c r="T134" s="56">
        <f>SUM('Consolidation adjustments'!S59,'Historical Holdco'!S59,'Historical BU1'!S59*Currency_conversion_BU1,'Historical BU2'!S59*Currency_conversion_rate_BU2,'Historical other'!S59*Currency_conversion_rate_other)</f>
        <v>0</v>
      </c>
      <c r="U134" s="56">
        <f>SUM('Consolidation adjustments'!T59,'Historical Holdco'!T59,'Historical BU1'!T59*Currency_conversion_BU1,'Historical BU2'!T59*Currency_conversion_rate_BU2,'Historical other'!T59*Currency_conversion_rate_other)</f>
        <v>0</v>
      </c>
    </row>
    <row r="135" spans="1:21">
      <c r="A135" s="56" t="s">
        <v>588</v>
      </c>
      <c r="B135" s="56"/>
      <c r="C135" s="56"/>
      <c r="D135" s="97" t="s">
        <v>228</v>
      </c>
      <c r="E135" s="56">
        <f>SUM('Consolidation adjustments'!D60,'Historical Holdco'!D60,'Historical BU1'!D60*Currency_conversion_BU1,'Historical BU2'!D60*Currency_conversion_rate_BU2,'Historical other'!D60*Currency_conversion_rate_other)</f>
        <v>0</v>
      </c>
      <c r="F135" s="56">
        <f>SUM('Consolidation adjustments'!E60,'Historical Holdco'!E60,'Historical BU1'!E60*Currency_conversion_BU1,'Historical BU2'!E60*Currency_conversion_rate_BU2,'Historical other'!E60*Currency_conversion_rate_other)</f>
        <v>0</v>
      </c>
      <c r="G135" s="56">
        <f>SUM('Consolidation adjustments'!F60,'Historical Holdco'!F60,'Historical BU1'!F60*Currency_conversion_BU1,'Historical BU2'!F60*Currency_conversion_rate_BU2,'Historical other'!F60*Currency_conversion_rate_other)</f>
        <v>0</v>
      </c>
      <c r="H135" s="56">
        <f>SUM('Consolidation adjustments'!G60,'Historical Holdco'!G60,'Historical BU1'!G60*Currency_conversion_BU1,'Historical BU2'!G60*Currency_conversion_rate_BU2,'Historical other'!G60*Currency_conversion_rate_other)</f>
        <v>0</v>
      </c>
      <c r="I135" s="56">
        <f>SUM('Consolidation adjustments'!H60,'Historical Holdco'!H60,'Historical BU1'!H60*Currency_conversion_BU1,'Historical BU2'!H60*Currency_conversion_rate_BU2,'Historical other'!H60*Currency_conversion_rate_other)</f>
        <v>0</v>
      </c>
      <c r="J135" s="56">
        <f>SUM('Consolidation adjustments'!I60,'Historical Holdco'!I60,'Historical BU1'!I60*Currency_conversion_BU1,'Historical BU2'!I60*Currency_conversion_rate_BU2,'Historical other'!I60*Currency_conversion_rate_other)</f>
        <v>0</v>
      </c>
      <c r="K135" s="56">
        <f>SUM('Consolidation adjustments'!J60,'Historical Holdco'!J60,'Historical BU1'!J60*Currency_conversion_BU1,'Historical BU2'!J60*Currency_conversion_rate_BU2,'Historical other'!J60*Currency_conversion_rate_other)</f>
        <v>0</v>
      </c>
      <c r="L135" s="56">
        <f>SUM('Consolidation adjustments'!K60,'Historical Holdco'!K60,'Historical BU1'!K60*Currency_conversion_BU1,'Historical BU2'!K60*Currency_conversion_rate_BU2,'Historical other'!K60*Currency_conversion_rate_other)</f>
        <v>0</v>
      </c>
      <c r="M135" s="56">
        <f>SUM('Consolidation adjustments'!L60,'Historical Holdco'!L60,'Historical BU1'!L60*Currency_conversion_BU1,'Historical BU2'!L60*Currency_conversion_rate_BU2,'Historical other'!L60*Currency_conversion_rate_other)</f>
        <v>0</v>
      </c>
      <c r="N135" s="56">
        <f>SUM('Consolidation adjustments'!M60,'Historical Holdco'!M60,'Historical BU1'!M60*Currency_conversion_BU1,'Historical BU2'!M60*Currency_conversion_rate_BU2,'Historical other'!M60*Currency_conversion_rate_other)</f>
        <v>0</v>
      </c>
      <c r="O135" s="56">
        <f>SUM('Consolidation adjustments'!N60,'Historical Holdco'!N60,'Historical BU1'!N60*Currency_conversion_BU1,'Historical BU2'!N60*Currency_conversion_rate_BU2,'Historical other'!N60*Currency_conversion_rate_other)</f>
        <v>0</v>
      </c>
      <c r="P135" s="56">
        <f>SUM('Consolidation adjustments'!O60,'Historical Holdco'!O60,'Historical BU1'!O60*Currency_conversion_BU1,'Historical BU2'!O60*Currency_conversion_rate_BU2,'Historical other'!O60*Currency_conversion_rate_other)</f>
        <v>0</v>
      </c>
      <c r="Q135" s="56">
        <f>SUM('Consolidation adjustments'!P60,'Historical Holdco'!P60,'Historical BU1'!P60*Currency_conversion_BU1,'Historical BU2'!P60*Currency_conversion_rate_BU2,'Historical other'!P60*Currency_conversion_rate_other)</f>
        <v>0</v>
      </c>
      <c r="R135" s="56">
        <f>SUM('Consolidation adjustments'!Q60,'Historical Holdco'!Q60,'Historical BU1'!Q60*Currency_conversion_BU1,'Historical BU2'!Q60*Currency_conversion_rate_BU2,'Historical other'!Q60*Currency_conversion_rate_other)</f>
        <v>0</v>
      </c>
      <c r="S135" s="56">
        <f>SUM('Consolidation adjustments'!R60,'Historical Holdco'!R60,'Historical BU1'!R60*Currency_conversion_BU1,'Historical BU2'!R60*Currency_conversion_rate_BU2,'Historical other'!R60*Currency_conversion_rate_other)</f>
        <v>0</v>
      </c>
      <c r="T135" s="56">
        <f>SUM('Consolidation adjustments'!S60,'Historical Holdco'!S60,'Historical BU1'!S60*Currency_conversion_BU1,'Historical BU2'!S60*Currency_conversion_rate_BU2,'Historical other'!S60*Currency_conversion_rate_other)</f>
        <v>0</v>
      </c>
      <c r="U135" s="56">
        <f>SUM('Consolidation adjustments'!T60,'Historical Holdco'!T60,'Historical BU1'!T60*Currency_conversion_BU1,'Historical BU2'!T60*Currency_conversion_rate_BU2,'Historical other'!T60*Currency_conversion_rate_other)</f>
        <v>0</v>
      </c>
    </row>
    <row r="136" spans="1:21">
      <c r="A136" s="56" t="s">
        <v>96</v>
      </c>
      <c r="B136" s="56"/>
      <c r="C136" s="56"/>
      <c r="D136" s="97" t="s">
        <v>229</v>
      </c>
      <c r="E136" s="56">
        <f>SUM('Consolidation adjustments'!D61,'Historical Holdco'!D61,'Historical BU1'!D61*Currency_conversion_BU1,'Historical BU2'!D61*Currency_conversion_rate_BU2,'Historical other'!D61*Currency_conversion_rate_other)</f>
        <v>0</v>
      </c>
      <c r="F136" s="56">
        <f>SUM('Consolidation adjustments'!E61,'Historical Holdco'!E61,'Historical BU1'!E61*Currency_conversion_BU1,'Historical BU2'!E61*Currency_conversion_rate_BU2,'Historical other'!E61*Currency_conversion_rate_other)</f>
        <v>0</v>
      </c>
      <c r="G136" s="56">
        <f>SUM('Consolidation adjustments'!F61,'Historical Holdco'!F61,'Historical BU1'!F61*Currency_conversion_BU1,'Historical BU2'!F61*Currency_conversion_rate_BU2,'Historical other'!F61*Currency_conversion_rate_other)</f>
        <v>0</v>
      </c>
      <c r="H136" s="56">
        <f>SUM('Consolidation adjustments'!G61,'Historical Holdco'!G61,'Historical BU1'!G61*Currency_conversion_BU1,'Historical BU2'!G61*Currency_conversion_rate_BU2,'Historical other'!G61*Currency_conversion_rate_other)</f>
        <v>0</v>
      </c>
      <c r="I136" s="56">
        <f>SUM('Consolidation adjustments'!H61,'Historical Holdco'!H61,'Historical BU1'!H61*Currency_conversion_BU1,'Historical BU2'!H61*Currency_conversion_rate_BU2,'Historical other'!H61*Currency_conversion_rate_other)</f>
        <v>0</v>
      </c>
      <c r="J136" s="56">
        <f>SUM('Consolidation adjustments'!I61,'Historical Holdco'!I61,'Historical BU1'!I61*Currency_conversion_BU1,'Historical BU2'!I61*Currency_conversion_rate_BU2,'Historical other'!I61*Currency_conversion_rate_other)</f>
        <v>0</v>
      </c>
      <c r="K136" s="56">
        <f>SUM('Consolidation adjustments'!J61,'Historical Holdco'!J61,'Historical BU1'!J61*Currency_conversion_BU1,'Historical BU2'!J61*Currency_conversion_rate_BU2,'Historical other'!J61*Currency_conversion_rate_other)</f>
        <v>0</v>
      </c>
      <c r="L136" s="56">
        <f>SUM('Consolidation adjustments'!K61,'Historical Holdco'!K61,'Historical BU1'!K61*Currency_conversion_BU1,'Historical BU2'!K61*Currency_conversion_rate_BU2,'Historical other'!K61*Currency_conversion_rate_other)</f>
        <v>0</v>
      </c>
      <c r="M136" s="56">
        <f>SUM('Consolidation adjustments'!L61,'Historical Holdco'!L61,'Historical BU1'!L61*Currency_conversion_BU1,'Historical BU2'!L61*Currency_conversion_rate_BU2,'Historical other'!L61*Currency_conversion_rate_other)</f>
        <v>0</v>
      </c>
      <c r="N136" s="56">
        <f>SUM('Consolidation adjustments'!M61,'Historical Holdco'!M61,'Historical BU1'!M61*Currency_conversion_BU1,'Historical BU2'!M61*Currency_conversion_rate_BU2,'Historical other'!M61*Currency_conversion_rate_other)</f>
        <v>0</v>
      </c>
      <c r="O136" s="56">
        <f>SUM('Consolidation adjustments'!N61,'Historical Holdco'!N61,'Historical BU1'!N61*Currency_conversion_BU1,'Historical BU2'!N61*Currency_conversion_rate_BU2,'Historical other'!N61*Currency_conversion_rate_other)</f>
        <v>0</v>
      </c>
      <c r="P136" s="56">
        <f>SUM('Consolidation adjustments'!O61,'Historical Holdco'!O61,'Historical BU1'!O61*Currency_conversion_BU1,'Historical BU2'!O61*Currency_conversion_rate_BU2,'Historical other'!O61*Currency_conversion_rate_other)</f>
        <v>0</v>
      </c>
      <c r="Q136" s="56">
        <f>SUM('Consolidation adjustments'!P61,'Historical Holdco'!P61,'Historical BU1'!P61*Currency_conversion_BU1,'Historical BU2'!P61*Currency_conversion_rate_BU2,'Historical other'!P61*Currency_conversion_rate_other)</f>
        <v>0</v>
      </c>
      <c r="R136" s="56">
        <f>SUM('Consolidation adjustments'!Q61,'Historical Holdco'!Q61,'Historical BU1'!Q61*Currency_conversion_BU1,'Historical BU2'!Q61*Currency_conversion_rate_BU2,'Historical other'!Q61*Currency_conversion_rate_other)</f>
        <v>0</v>
      </c>
      <c r="S136" s="56">
        <f>SUM('Consolidation adjustments'!R61,'Historical Holdco'!R61,'Historical BU1'!R61*Currency_conversion_BU1,'Historical BU2'!R61*Currency_conversion_rate_BU2,'Historical other'!R61*Currency_conversion_rate_other)</f>
        <v>0</v>
      </c>
      <c r="T136" s="56">
        <f>SUM('Consolidation adjustments'!S61,'Historical Holdco'!S61,'Historical BU1'!S61*Currency_conversion_BU1,'Historical BU2'!S61*Currency_conversion_rate_BU2,'Historical other'!S61*Currency_conversion_rate_other)</f>
        <v>0</v>
      </c>
      <c r="U136" s="56">
        <f>SUM('Consolidation adjustments'!T61,'Historical Holdco'!T61,'Historical BU1'!T61*Currency_conversion_BU1,'Historical BU2'!T61*Currency_conversion_rate_BU2,'Historical other'!T61*Currency_conversion_rate_other)</f>
        <v>0</v>
      </c>
    </row>
    <row r="137" spans="1:21">
      <c r="A137" s="56" t="s">
        <v>589</v>
      </c>
      <c r="B137" s="56"/>
      <c r="C137" s="56"/>
      <c r="D137" s="97" t="s">
        <v>230</v>
      </c>
      <c r="E137" s="56">
        <f>SUM('Consolidation adjustments'!D62,'Historical Holdco'!D62,'Historical BU1'!D62*Currency_conversion_BU1,'Historical BU2'!D62*Currency_conversion_rate_BU2,'Historical other'!D62*Currency_conversion_rate_other)</f>
        <v>0</v>
      </c>
      <c r="F137" s="56">
        <f>SUM('Consolidation adjustments'!E62,'Historical Holdco'!E62,'Historical BU1'!E62*Currency_conversion_BU1,'Historical BU2'!E62*Currency_conversion_rate_BU2,'Historical other'!E62*Currency_conversion_rate_other)</f>
        <v>0</v>
      </c>
      <c r="G137" s="56">
        <f>SUM('Consolidation adjustments'!F62,'Historical Holdco'!F62,'Historical BU1'!F62*Currency_conversion_BU1,'Historical BU2'!F62*Currency_conversion_rate_BU2,'Historical other'!F62*Currency_conversion_rate_other)</f>
        <v>0</v>
      </c>
      <c r="H137" s="56">
        <f>SUM('Consolidation adjustments'!G62,'Historical Holdco'!G62,'Historical BU1'!G62*Currency_conversion_BU1,'Historical BU2'!G62*Currency_conversion_rate_BU2,'Historical other'!G62*Currency_conversion_rate_other)</f>
        <v>0</v>
      </c>
      <c r="I137" s="56">
        <f>SUM('Consolidation adjustments'!H62,'Historical Holdco'!H62,'Historical BU1'!H62*Currency_conversion_BU1,'Historical BU2'!H62*Currency_conversion_rate_BU2,'Historical other'!H62*Currency_conversion_rate_other)</f>
        <v>0</v>
      </c>
      <c r="J137" s="56">
        <f>SUM('Consolidation adjustments'!I62,'Historical Holdco'!I62,'Historical BU1'!I62*Currency_conversion_BU1,'Historical BU2'!I62*Currency_conversion_rate_BU2,'Historical other'!I62*Currency_conversion_rate_other)</f>
        <v>0</v>
      </c>
      <c r="K137" s="56">
        <f>SUM('Consolidation adjustments'!J62,'Historical Holdco'!J62,'Historical BU1'!J62*Currency_conversion_BU1,'Historical BU2'!J62*Currency_conversion_rate_BU2,'Historical other'!J62*Currency_conversion_rate_other)</f>
        <v>0</v>
      </c>
      <c r="L137" s="56">
        <f>SUM('Consolidation adjustments'!K62,'Historical Holdco'!K62,'Historical BU1'!K62*Currency_conversion_BU1,'Historical BU2'!K62*Currency_conversion_rate_BU2,'Historical other'!K62*Currency_conversion_rate_other)</f>
        <v>0</v>
      </c>
      <c r="M137" s="56">
        <f>SUM('Consolidation adjustments'!L62,'Historical Holdco'!L62,'Historical BU1'!L62*Currency_conversion_BU1,'Historical BU2'!L62*Currency_conversion_rate_BU2,'Historical other'!L62*Currency_conversion_rate_other)</f>
        <v>0</v>
      </c>
      <c r="N137" s="56">
        <f>SUM('Consolidation adjustments'!M62,'Historical Holdco'!M62,'Historical BU1'!M62*Currency_conversion_BU1,'Historical BU2'!M62*Currency_conversion_rate_BU2,'Historical other'!M62*Currency_conversion_rate_other)</f>
        <v>0</v>
      </c>
      <c r="O137" s="56">
        <f>SUM('Consolidation adjustments'!N62,'Historical Holdco'!N62,'Historical BU1'!N62*Currency_conversion_BU1,'Historical BU2'!N62*Currency_conversion_rate_BU2,'Historical other'!N62*Currency_conversion_rate_other)</f>
        <v>0</v>
      </c>
      <c r="P137" s="56">
        <f>SUM('Consolidation adjustments'!O62,'Historical Holdco'!O62,'Historical BU1'!O62*Currency_conversion_BU1,'Historical BU2'!O62*Currency_conversion_rate_BU2,'Historical other'!O62*Currency_conversion_rate_other)</f>
        <v>0</v>
      </c>
      <c r="Q137" s="56">
        <f>SUM('Consolidation adjustments'!P62,'Historical Holdco'!P62,'Historical BU1'!P62*Currency_conversion_BU1,'Historical BU2'!P62*Currency_conversion_rate_BU2,'Historical other'!P62*Currency_conversion_rate_other)</f>
        <v>0</v>
      </c>
      <c r="R137" s="56">
        <f>SUM('Consolidation adjustments'!Q62,'Historical Holdco'!Q62,'Historical BU1'!Q62*Currency_conversion_BU1,'Historical BU2'!Q62*Currency_conversion_rate_BU2,'Historical other'!Q62*Currency_conversion_rate_other)</f>
        <v>0</v>
      </c>
      <c r="S137" s="56">
        <f>SUM('Consolidation adjustments'!R62,'Historical Holdco'!R62,'Historical BU1'!R62*Currency_conversion_BU1,'Historical BU2'!R62*Currency_conversion_rate_BU2,'Historical other'!R62*Currency_conversion_rate_other)</f>
        <v>0</v>
      </c>
      <c r="T137" s="56">
        <f>SUM('Consolidation adjustments'!S62,'Historical Holdco'!S62,'Historical BU1'!S62*Currency_conversion_BU1,'Historical BU2'!S62*Currency_conversion_rate_BU2,'Historical other'!S62*Currency_conversion_rate_other)</f>
        <v>0</v>
      </c>
      <c r="U137" s="56">
        <f>SUM('Consolidation adjustments'!T62,'Historical Holdco'!T62,'Historical BU1'!T62*Currency_conversion_BU1,'Historical BU2'!T62*Currency_conversion_rate_BU2,'Historical other'!T62*Currency_conversion_rate_other)</f>
        <v>0</v>
      </c>
    </row>
    <row r="138" spans="1:21">
      <c r="A138" s="100" t="s">
        <v>92</v>
      </c>
      <c r="B138" s="100"/>
      <c r="C138" s="100"/>
      <c r="D138" s="101" t="s">
        <v>231</v>
      </c>
      <c r="E138" s="56">
        <f>SUM('Consolidation adjustments'!D63,'Historical Holdco'!D63,'Historical BU1'!D63*Currency_conversion_BU1,'Historical BU2'!D63*Currency_conversion_rate_BU2,'Historical other'!D63*Currency_conversion_rate_other)</f>
        <v>0</v>
      </c>
      <c r="F138" s="56">
        <f>SUM('Consolidation adjustments'!E63,'Historical Holdco'!E63,'Historical BU1'!E63*Currency_conversion_BU1,'Historical BU2'!E63*Currency_conversion_rate_BU2,'Historical other'!E63*Currency_conversion_rate_other)</f>
        <v>0</v>
      </c>
      <c r="G138" s="56">
        <f>SUM('Consolidation adjustments'!F63,'Historical Holdco'!F63,'Historical BU1'!F63*Currency_conversion_BU1,'Historical BU2'!F63*Currency_conversion_rate_BU2,'Historical other'!F63*Currency_conversion_rate_other)</f>
        <v>0</v>
      </c>
      <c r="H138" s="56">
        <f>SUM('Consolidation adjustments'!G63,'Historical Holdco'!G63,'Historical BU1'!G63*Currency_conversion_BU1,'Historical BU2'!G63*Currency_conversion_rate_BU2,'Historical other'!G63*Currency_conversion_rate_other)</f>
        <v>0</v>
      </c>
      <c r="I138" s="56">
        <f>SUM('Consolidation adjustments'!H63,'Historical Holdco'!H63,'Historical BU1'!H63*Currency_conversion_BU1,'Historical BU2'!H63*Currency_conversion_rate_BU2,'Historical other'!H63*Currency_conversion_rate_other)</f>
        <v>0</v>
      </c>
      <c r="J138" s="56">
        <f>SUM('Consolidation adjustments'!I63,'Historical Holdco'!I63,'Historical BU1'!I63*Currency_conversion_BU1,'Historical BU2'!I63*Currency_conversion_rate_BU2,'Historical other'!I63*Currency_conversion_rate_other)</f>
        <v>0</v>
      </c>
      <c r="K138" s="56">
        <f>SUM('Consolidation adjustments'!J63,'Historical Holdco'!J63,'Historical BU1'!J63*Currency_conversion_BU1,'Historical BU2'!J63*Currency_conversion_rate_BU2,'Historical other'!J63*Currency_conversion_rate_other)</f>
        <v>0</v>
      </c>
      <c r="L138" s="56">
        <f>SUM('Consolidation adjustments'!K63,'Historical Holdco'!K63,'Historical BU1'!K63*Currency_conversion_BU1,'Historical BU2'!K63*Currency_conversion_rate_BU2,'Historical other'!K63*Currency_conversion_rate_other)</f>
        <v>0</v>
      </c>
      <c r="M138" s="56">
        <f>SUM('Consolidation adjustments'!L63,'Historical Holdco'!L63,'Historical BU1'!L63*Currency_conversion_BU1,'Historical BU2'!L63*Currency_conversion_rate_BU2,'Historical other'!L63*Currency_conversion_rate_other)</f>
        <v>0</v>
      </c>
      <c r="N138" s="56">
        <f>SUM('Consolidation adjustments'!M63,'Historical Holdco'!M63,'Historical BU1'!M63*Currency_conversion_BU1,'Historical BU2'!M63*Currency_conversion_rate_BU2,'Historical other'!M63*Currency_conversion_rate_other)</f>
        <v>0</v>
      </c>
      <c r="O138" s="56">
        <f>SUM('Consolidation adjustments'!N63,'Historical Holdco'!N63,'Historical BU1'!N63*Currency_conversion_BU1,'Historical BU2'!N63*Currency_conversion_rate_BU2,'Historical other'!N63*Currency_conversion_rate_other)</f>
        <v>0</v>
      </c>
      <c r="P138" s="56">
        <f>SUM('Consolidation adjustments'!O63,'Historical Holdco'!O63,'Historical BU1'!O63*Currency_conversion_BU1,'Historical BU2'!O63*Currency_conversion_rate_BU2,'Historical other'!O63*Currency_conversion_rate_other)</f>
        <v>0</v>
      </c>
      <c r="Q138" s="56">
        <f>SUM('Consolidation adjustments'!P63,'Historical Holdco'!P63,'Historical BU1'!P63*Currency_conversion_BU1,'Historical BU2'!P63*Currency_conversion_rate_BU2,'Historical other'!P63*Currency_conversion_rate_other)</f>
        <v>0</v>
      </c>
      <c r="R138" s="56">
        <f>SUM('Consolidation adjustments'!Q63,'Historical Holdco'!Q63,'Historical BU1'!Q63*Currency_conversion_BU1,'Historical BU2'!Q63*Currency_conversion_rate_BU2,'Historical other'!Q63*Currency_conversion_rate_other)</f>
        <v>0</v>
      </c>
      <c r="S138" s="56">
        <f>SUM('Consolidation adjustments'!R63,'Historical Holdco'!R63,'Historical BU1'!R63*Currency_conversion_BU1,'Historical BU2'!R63*Currency_conversion_rate_BU2,'Historical other'!R63*Currency_conversion_rate_other)</f>
        <v>0</v>
      </c>
      <c r="T138" s="56">
        <f>SUM('Consolidation adjustments'!S63,'Historical Holdco'!S63,'Historical BU1'!S63*Currency_conversion_BU1,'Historical BU2'!S63*Currency_conversion_rate_BU2,'Historical other'!S63*Currency_conversion_rate_other)</f>
        <v>0</v>
      </c>
      <c r="U138" s="56">
        <f>SUM('Consolidation adjustments'!T63,'Historical Holdco'!T63,'Historical BU1'!T63*Currency_conversion_BU1,'Historical BU2'!T63*Currency_conversion_rate_BU2,'Historical other'!T63*Currency_conversion_rate_other)</f>
        <v>0</v>
      </c>
    </row>
    <row r="139" spans="1:21">
      <c r="A139" s="56" t="s">
        <v>590</v>
      </c>
      <c r="B139" s="56"/>
      <c r="C139" s="56"/>
      <c r="D139" s="97" t="s">
        <v>232</v>
      </c>
      <c r="E139" s="56">
        <f>SUM('Consolidation adjustments'!D64,'Historical Holdco'!D64,'Historical BU1'!D64*Currency_conversion_BU1,'Historical BU2'!D64*Currency_conversion_rate_BU2,'Historical other'!D64*Currency_conversion_rate_other)</f>
        <v>0</v>
      </c>
      <c r="F139" s="56">
        <f>SUM('Consolidation adjustments'!E64,'Historical Holdco'!E64,'Historical BU1'!E64*Currency_conversion_BU1,'Historical BU2'!E64*Currency_conversion_rate_BU2,'Historical other'!E64*Currency_conversion_rate_other)</f>
        <v>0</v>
      </c>
      <c r="G139" s="56">
        <f>SUM('Consolidation adjustments'!F64,'Historical Holdco'!F64,'Historical BU1'!F64*Currency_conversion_BU1,'Historical BU2'!F64*Currency_conversion_rate_BU2,'Historical other'!F64*Currency_conversion_rate_other)</f>
        <v>0</v>
      </c>
      <c r="H139" s="56">
        <f>SUM('Consolidation adjustments'!G64,'Historical Holdco'!G64,'Historical BU1'!G64*Currency_conversion_BU1,'Historical BU2'!G64*Currency_conversion_rate_BU2,'Historical other'!G64*Currency_conversion_rate_other)</f>
        <v>0</v>
      </c>
      <c r="I139" s="56">
        <f>SUM('Consolidation adjustments'!H64,'Historical Holdco'!H64,'Historical BU1'!H64*Currency_conversion_BU1,'Historical BU2'!H64*Currency_conversion_rate_BU2,'Historical other'!H64*Currency_conversion_rate_other)</f>
        <v>0</v>
      </c>
      <c r="J139" s="56">
        <f>SUM('Consolidation adjustments'!I64,'Historical Holdco'!I64,'Historical BU1'!I64*Currency_conversion_BU1,'Historical BU2'!I64*Currency_conversion_rate_BU2,'Historical other'!I64*Currency_conversion_rate_other)</f>
        <v>0</v>
      </c>
      <c r="K139" s="56">
        <f>SUM('Consolidation adjustments'!J64,'Historical Holdco'!J64,'Historical BU1'!J64*Currency_conversion_BU1,'Historical BU2'!J64*Currency_conversion_rate_BU2,'Historical other'!J64*Currency_conversion_rate_other)</f>
        <v>0</v>
      </c>
      <c r="L139" s="56">
        <f>SUM('Consolidation adjustments'!K64,'Historical Holdco'!K64,'Historical BU1'!K64*Currency_conversion_BU1,'Historical BU2'!K64*Currency_conversion_rate_BU2,'Historical other'!K64*Currency_conversion_rate_other)</f>
        <v>0</v>
      </c>
      <c r="M139" s="56">
        <f>SUM('Consolidation adjustments'!L64,'Historical Holdco'!L64,'Historical BU1'!L64*Currency_conversion_BU1,'Historical BU2'!L64*Currency_conversion_rate_BU2,'Historical other'!L64*Currency_conversion_rate_other)</f>
        <v>0</v>
      </c>
      <c r="N139" s="56">
        <f>SUM('Consolidation adjustments'!M64,'Historical Holdco'!M64,'Historical BU1'!M64*Currency_conversion_BU1,'Historical BU2'!M64*Currency_conversion_rate_BU2,'Historical other'!M64*Currency_conversion_rate_other)</f>
        <v>0</v>
      </c>
      <c r="O139" s="56">
        <f>SUM('Consolidation adjustments'!N64,'Historical Holdco'!N64,'Historical BU1'!N64*Currency_conversion_BU1,'Historical BU2'!N64*Currency_conversion_rate_BU2,'Historical other'!N64*Currency_conversion_rate_other)</f>
        <v>0</v>
      </c>
      <c r="P139" s="56">
        <f>SUM('Consolidation adjustments'!O64,'Historical Holdco'!O64,'Historical BU1'!O64*Currency_conversion_BU1,'Historical BU2'!O64*Currency_conversion_rate_BU2,'Historical other'!O64*Currency_conversion_rate_other)</f>
        <v>0</v>
      </c>
      <c r="Q139" s="56">
        <f>SUM('Consolidation adjustments'!P64,'Historical Holdco'!P64,'Historical BU1'!P64*Currency_conversion_BU1,'Historical BU2'!P64*Currency_conversion_rate_BU2,'Historical other'!P64*Currency_conversion_rate_other)</f>
        <v>0</v>
      </c>
      <c r="R139" s="56">
        <f>SUM('Consolidation adjustments'!Q64,'Historical Holdco'!Q64,'Historical BU1'!Q64*Currency_conversion_BU1,'Historical BU2'!Q64*Currency_conversion_rate_BU2,'Historical other'!Q64*Currency_conversion_rate_other)</f>
        <v>0</v>
      </c>
      <c r="S139" s="56">
        <f>SUM('Consolidation adjustments'!R64,'Historical Holdco'!R64,'Historical BU1'!R64*Currency_conversion_BU1,'Historical BU2'!R64*Currency_conversion_rate_BU2,'Historical other'!R64*Currency_conversion_rate_other)</f>
        <v>0</v>
      </c>
      <c r="T139" s="56">
        <f>SUM('Consolidation adjustments'!S64,'Historical Holdco'!S64,'Historical BU1'!S64*Currency_conversion_BU1,'Historical BU2'!S64*Currency_conversion_rate_BU2,'Historical other'!S64*Currency_conversion_rate_other)</f>
        <v>0</v>
      </c>
      <c r="U139" s="56">
        <f>SUM('Consolidation adjustments'!T64,'Historical Holdco'!T64,'Historical BU1'!T64*Currency_conversion_BU1,'Historical BU2'!T64*Currency_conversion_rate_BU2,'Historical other'!T64*Currency_conversion_rate_other)</f>
        <v>0</v>
      </c>
    </row>
    <row r="140" spans="1:21">
      <c r="A140" s="98"/>
      <c r="B140" s="98"/>
      <c r="C140" s="98"/>
      <c r="D140" s="99" t="s">
        <v>233</v>
      </c>
      <c r="E140" s="98">
        <f>SUM(E132:E139)</f>
        <v>0</v>
      </c>
      <c r="F140" s="98">
        <f t="shared" ref="F140:U140" si="38">SUM(F132:F139)</f>
        <v>0</v>
      </c>
      <c r="G140" s="98">
        <f t="shared" si="38"/>
        <v>0</v>
      </c>
      <c r="H140" s="98">
        <f t="shared" si="38"/>
        <v>0</v>
      </c>
      <c r="I140" s="98">
        <f t="shared" si="38"/>
        <v>0</v>
      </c>
      <c r="J140" s="98">
        <f t="shared" si="38"/>
        <v>0</v>
      </c>
      <c r="K140" s="98">
        <f t="shared" si="38"/>
        <v>0</v>
      </c>
      <c r="L140" s="98">
        <f t="shared" si="38"/>
        <v>0</v>
      </c>
      <c r="M140" s="98">
        <f t="shared" si="38"/>
        <v>0</v>
      </c>
      <c r="N140" s="98">
        <f t="shared" si="38"/>
        <v>0</v>
      </c>
      <c r="O140" s="98">
        <f t="shared" si="38"/>
        <v>0</v>
      </c>
      <c r="P140" s="98">
        <f t="shared" si="38"/>
        <v>0</v>
      </c>
      <c r="Q140" s="98">
        <f t="shared" si="38"/>
        <v>0</v>
      </c>
      <c r="R140" s="98">
        <f t="shared" si="38"/>
        <v>0</v>
      </c>
      <c r="S140" s="98">
        <f t="shared" si="38"/>
        <v>0</v>
      </c>
      <c r="T140" s="98">
        <f t="shared" si="38"/>
        <v>0</v>
      </c>
      <c r="U140" s="98">
        <f t="shared" si="38"/>
        <v>0</v>
      </c>
    </row>
    <row r="141" spans="1:21">
      <c r="A141" s="56"/>
      <c r="B141" s="56"/>
      <c r="C141" s="56"/>
      <c r="D141" s="97" t="s">
        <v>234</v>
      </c>
      <c r="E141" s="56">
        <f>SUM('Consolidation adjustments'!D66,'Historical Holdco'!D66,'Historical BU1'!D66*Currency_conversion_BU1,'Historical BU2'!D66*Currency_conversion_rate_BU2,'Historical other'!D66*Currency_conversion_rate_other)</f>
        <v>0</v>
      </c>
      <c r="F141" s="56">
        <f>SUM('Consolidation adjustments'!E66,'Historical Holdco'!E66,'Historical BU1'!E66*Currency_conversion_BU1,'Historical BU2'!E66*Currency_conversion_rate_BU2,'Historical other'!E66*Currency_conversion_rate_other)</f>
        <v>0</v>
      </c>
      <c r="G141" s="56">
        <f>SUM('Consolidation adjustments'!F66,'Historical Holdco'!F66,'Historical BU1'!F66*Currency_conversion_BU1,'Historical BU2'!F66*Currency_conversion_rate_BU2,'Historical other'!F66*Currency_conversion_rate_other)</f>
        <v>0</v>
      </c>
      <c r="H141" s="56">
        <f>SUM('Consolidation adjustments'!G66,'Historical Holdco'!G66,'Historical BU1'!G66*Currency_conversion_BU1,'Historical BU2'!G66*Currency_conversion_rate_BU2,'Historical other'!G66*Currency_conversion_rate_other)</f>
        <v>0</v>
      </c>
      <c r="I141" s="56">
        <f>SUM('Consolidation adjustments'!H66,'Historical Holdco'!H66,'Historical BU1'!H66*Currency_conversion_BU1,'Historical BU2'!H66*Currency_conversion_rate_BU2,'Historical other'!H66*Currency_conversion_rate_other)</f>
        <v>0</v>
      </c>
      <c r="J141" s="56">
        <f>SUM('Consolidation adjustments'!I66,'Historical Holdco'!I66,'Historical BU1'!I66*Currency_conversion_BU1,'Historical BU2'!I66*Currency_conversion_rate_BU2,'Historical other'!I66*Currency_conversion_rate_other)</f>
        <v>0</v>
      </c>
      <c r="K141" s="56">
        <f>SUM('Consolidation adjustments'!J66,'Historical Holdco'!J66,'Historical BU1'!J66*Currency_conversion_BU1,'Historical BU2'!J66*Currency_conversion_rate_BU2,'Historical other'!J66*Currency_conversion_rate_other)</f>
        <v>0</v>
      </c>
      <c r="L141" s="56">
        <f>SUM('Consolidation adjustments'!K66,'Historical Holdco'!K66,'Historical BU1'!K66*Currency_conversion_BU1,'Historical BU2'!K66*Currency_conversion_rate_BU2,'Historical other'!K66*Currency_conversion_rate_other)</f>
        <v>0</v>
      </c>
      <c r="M141" s="56">
        <f>SUM('Consolidation adjustments'!L66,'Historical Holdco'!L66,'Historical BU1'!L66*Currency_conversion_BU1,'Historical BU2'!L66*Currency_conversion_rate_BU2,'Historical other'!L66*Currency_conversion_rate_other)</f>
        <v>0</v>
      </c>
      <c r="N141" s="56">
        <f>SUM('Consolidation adjustments'!M66,'Historical Holdco'!M66,'Historical BU1'!M66*Currency_conversion_BU1,'Historical BU2'!M66*Currency_conversion_rate_BU2,'Historical other'!M66*Currency_conversion_rate_other)</f>
        <v>0</v>
      </c>
      <c r="O141" s="56">
        <f>SUM('Consolidation adjustments'!N66,'Historical Holdco'!N66,'Historical BU1'!N66*Currency_conversion_BU1,'Historical BU2'!N66*Currency_conversion_rate_BU2,'Historical other'!N66*Currency_conversion_rate_other)</f>
        <v>0</v>
      </c>
      <c r="P141" s="56">
        <f>SUM('Consolidation adjustments'!O66,'Historical Holdco'!O66,'Historical BU1'!O66*Currency_conversion_BU1,'Historical BU2'!O66*Currency_conversion_rate_BU2,'Historical other'!O66*Currency_conversion_rate_other)</f>
        <v>0</v>
      </c>
      <c r="Q141" s="56">
        <f>SUM('Consolidation adjustments'!P66,'Historical Holdco'!P66,'Historical BU1'!P66*Currency_conversion_BU1,'Historical BU2'!P66*Currency_conversion_rate_BU2,'Historical other'!P66*Currency_conversion_rate_other)</f>
        <v>0</v>
      </c>
      <c r="R141" s="56">
        <f>SUM('Consolidation adjustments'!Q66,'Historical Holdco'!Q66,'Historical BU1'!Q66*Currency_conversion_BU1,'Historical BU2'!Q66*Currency_conversion_rate_BU2,'Historical other'!Q66*Currency_conversion_rate_other)</f>
        <v>0</v>
      </c>
      <c r="S141" s="56">
        <f>SUM('Consolidation adjustments'!R66,'Historical Holdco'!R66,'Historical BU1'!R66*Currency_conversion_BU1,'Historical BU2'!R66*Currency_conversion_rate_BU2,'Historical other'!R66*Currency_conversion_rate_other)</f>
        <v>0</v>
      </c>
      <c r="T141" s="56">
        <f>SUM('Consolidation adjustments'!S66,'Historical Holdco'!S66,'Historical BU1'!S66*Currency_conversion_BU1,'Historical BU2'!S66*Currency_conversion_rate_BU2,'Historical other'!S66*Currency_conversion_rate_other)</f>
        <v>0</v>
      </c>
      <c r="U141" s="56">
        <f>SUM('Consolidation adjustments'!T66,'Historical Holdco'!T66,'Historical BU1'!T66*Currency_conversion_BU1,'Historical BU2'!T66*Currency_conversion_rate_BU2,'Historical other'!T66*Currency_conversion_rate_other)</f>
        <v>0</v>
      </c>
    </row>
    <row r="142" spans="1:21">
      <c r="A142" s="56" t="s">
        <v>118</v>
      </c>
      <c r="B142" s="56"/>
      <c r="C142" s="56"/>
      <c r="D142" s="97" t="s">
        <v>235</v>
      </c>
      <c r="E142" s="56">
        <f>SUM('Consolidation adjustments'!D67,'Historical Holdco'!D67,'Historical BU1'!D67*Currency_conversion_BU1,'Historical BU2'!D67*Currency_conversion_rate_BU2,'Historical other'!D67*Currency_conversion_rate_other)</f>
        <v>0</v>
      </c>
      <c r="F142" s="56">
        <f>SUM('Consolidation adjustments'!E67,'Historical Holdco'!E67,'Historical BU1'!E67*Currency_conversion_BU1,'Historical BU2'!E67*Currency_conversion_rate_BU2,'Historical other'!E67*Currency_conversion_rate_other)</f>
        <v>0</v>
      </c>
      <c r="G142" s="56">
        <f>SUM('Consolidation adjustments'!F67,'Historical Holdco'!F67,'Historical BU1'!F67*Currency_conversion_BU1,'Historical BU2'!F67*Currency_conversion_rate_BU2,'Historical other'!F67*Currency_conversion_rate_other)</f>
        <v>0</v>
      </c>
      <c r="H142" s="56">
        <f>SUM('Consolidation adjustments'!G67,'Historical Holdco'!G67,'Historical BU1'!G67*Currency_conversion_BU1,'Historical BU2'!G67*Currency_conversion_rate_BU2,'Historical other'!G67*Currency_conversion_rate_other)</f>
        <v>0</v>
      </c>
      <c r="I142" s="56">
        <f>SUM('Consolidation adjustments'!H67,'Historical Holdco'!H67,'Historical BU1'!H67*Currency_conversion_BU1,'Historical BU2'!H67*Currency_conversion_rate_BU2,'Historical other'!H67*Currency_conversion_rate_other)</f>
        <v>0</v>
      </c>
      <c r="J142" s="56">
        <f>SUM('Consolidation adjustments'!I67,'Historical Holdco'!I67,'Historical BU1'!I67*Currency_conversion_BU1,'Historical BU2'!I67*Currency_conversion_rate_BU2,'Historical other'!I67*Currency_conversion_rate_other)</f>
        <v>0</v>
      </c>
      <c r="K142" s="56">
        <f>SUM('Consolidation adjustments'!J67,'Historical Holdco'!J67,'Historical BU1'!J67*Currency_conversion_BU1,'Historical BU2'!J67*Currency_conversion_rate_BU2,'Historical other'!J67*Currency_conversion_rate_other)</f>
        <v>0</v>
      </c>
      <c r="L142" s="56">
        <f>SUM('Consolidation adjustments'!K67,'Historical Holdco'!K67,'Historical BU1'!K67*Currency_conversion_BU1,'Historical BU2'!K67*Currency_conversion_rate_BU2,'Historical other'!K67*Currency_conversion_rate_other)</f>
        <v>0</v>
      </c>
      <c r="M142" s="56">
        <f>SUM('Consolidation adjustments'!L67,'Historical Holdco'!L67,'Historical BU1'!L67*Currency_conversion_BU1,'Historical BU2'!L67*Currency_conversion_rate_BU2,'Historical other'!L67*Currency_conversion_rate_other)</f>
        <v>0</v>
      </c>
      <c r="N142" s="56">
        <f>SUM('Consolidation adjustments'!M67,'Historical Holdco'!M67,'Historical BU1'!M67*Currency_conversion_BU1,'Historical BU2'!M67*Currency_conversion_rate_BU2,'Historical other'!M67*Currency_conversion_rate_other)</f>
        <v>0</v>
      </c>
      <c r="O142" s="56">
        <f>SUM('Consolidation adjustments'!N67,'Historical Holdco'!N67,'Historical BU1'!N67*Currency_conversion_BU1,'Historical BU2'!N67*Currency_conversion_rate_BU2,'Historical other'!N67*Currency_conversion_rate_other)</f>
        <v>0</v>
      </c>
      <c r="P142" s="56">
        <f>SUM('Consolidation adjustments'!O67,'Historical Holdco'!O67,'Historical BU1'!O67*Currency_conversion_BU1,'Historical BU2'!O67*Currency_conversion_rate_BU2,'Historical other'!O67*Currency_conversion_rate_other)</f>
        <v>0</v>
      </c>
      <c r="Q142" s="56">
        <f>SUM('Consolidation adjustments'!P67,'Historical Holdco'!P67,'Historical BU1'!P67*Currency_conversion_BU1,'Historical BU2'!P67*Currency_conversion_rate_BU2,'Historical other'!P67*Currency_conversion_rate_other)</f>
        <v>0</v>
      </c>
      <c r="R142" s="56">
        <f>SUM('Consolidation adjustments'!Q67,'Historical Holdco'!Q67,'Historical BU1'!Q67*Currency_conversion_BU1,'Historical BU2'!Q67*Currency_conversion_rate_BU2,'Historical other'!Q67*Currency_conversion_rate_other)</f>
        <v>0</v>
      </c>
      <c r="S142" s="56">
        <f>SUM('Consolidation adjustments'!R67,'Historical Holdco'!R67,'Historical BU1'!R67*Currency_conversion_BU1,'Historical BU2'!R67*Currency_conversion_rate_BU2,'Historical other'!R67*Currency_conversion_rate_other)</f>
        <v>0</v>
      </c>
      <c r="T142" s="56">
        <f>SUM('Consolidation adjustments'!S67,'Historical Holdco'!S67,'Historical BU1'!S67*Currency_conversion_BU1,'Historical BU2'!S67*Currency_conversion_rate_BU2,'Historical other'!S67*Currency_conversion_rate_other)</f>
        <v>0</v>
      </c>
      <c r="U142" s="56">
        <f>SUM('Consolidation adjustments'!T67,'Historical Holdco'!T67,'Historical BU1'!T67*Currency_conversion_BU1,'Historical BU2'!T67*Currency_conversion_rate_BU2,'Historical other'!T67*Currency_conversion_rate_other)</f>
        <v>0</v>
      </c>
    </row>
    <row r="143" spans="1:21">
      <c r="A143" s="98"/>
      <c r="B143" s="98"/>
      <c r="C143" s="98"/>
      <c r="D143" s="99" t="s">
        <v>236</v>
      </c>
      <c r="E143" s="98">
        <f>E141+E142</f>
        <v>0</v>
      </c>
      <c r="F143" s="98">
        <f t="shared" ref="F143:U143" si="39">F141+F142</f>
        <v>0</v>
      </c>
      <c r="G143" s="98">
        <f t="shared" si="39"/>
        <v>0</v>
      </c>
      <c r="H143" s="98">
        <f t="shared" si="39"/>
        <v>0</v>
      </c>
      <c r="I143" s="98">
        <f t="shared" si="39"/>
        <v>0</v>
      </c>
      <c r="J143" s="98">
        <f t="shared" si="39"/>
        <v>0</v>
      </c>
      <c r="K143" s="98">
        <f t="shared" si="39"/>
        <v>0</v>
      </c>
      <c r="L143" s="98">
        <f t="shared" si="39"/>
        <v>0</v>
      </c>
      <c r="M143" s="98">
        <f t="shared" si="39"/>
        <v>0</v>
      </c>
      <c r="N143" s="98">
        <f t="shared" si="39"/>
        <v>0</v>
      </c>
      <c r="O143" s="98">
        <f t="shared" si="39"/>
        <v>0</v>
      </c>
      <c r="P143" s="98">
        <f t="shared" si="39"/>
        <v>0</v>
      </c>
      <c r="Q143" s="98">
        <f t="shared" si="39"/>
        <v>0</v>
      </c>
      <c r="R143" s="98">
        <f t="shared" si="39"/>
        <v>0</v>
      </c>
      <c r="S143" s="98">
        <f t="shared" si="39"/>
        <v>0</v>
      </c>
      <c r="T143" s="98">
        <f t="shared" si="39"/>
        <v>0</v>
      </c>
      <c r="U143" s="98">
        <f t="shared" si="39"/>
        <v>0</v>
      </c>
    </row>
    <row r="144" spans="1:21">
      <c r="A144" s="56" t="s">
        <v>591</v>
      </c>
      <c r="B144" s="56"/>
      <c r="C144" s="56"/>
      <c r="D144" s="56" t="s">
        <v>237</v>
      </c>
      <c r="E144" s="56">
        <f>SUM('Consolidation adjustments'!D69,'Historical Holdco'!D69,'Historical BU1'!D69*Currency_conversion_BU1,'Historical BU2'!D69*Currency_conversion_rate_BU2,'Historical other'!D69*Currency_conversion_rate_other)</f>
        <v>0</v>
      </c>
      <c r="F144" s="56">
        <f>SUM('Consolidation adjustments'!E69,'Historical Holdco'!E69,'Historical BU1'!E69*Currency_conversion_BU1,'Historical BU2'!E69*Currency_conversion_rate_BU2,'Historical other'!E69*Currency_conversion_rate_other)</f>
        <v>0</v>
      </c>
      <c r="G144" s="56">
        <f>SUM('Consolidation adjustments'!F69,'Historical Holdco'!F69,'Historical BU1'!F69*Currency_conversion_BU1,'Historical BU2'!F69*Currency_conversion_rate_BU2,'Historical other'!F69*Currency_conversion_rate_other)</f>
        <v>0</v>
      </c>
      <c r="H144" s="56">
        <f>SUM('Consolidation adjustments'!G69,'Historical Holdco'!G69,'Historical BU1'!G69*Currency_conversion_BU1,'Historical BU2'!G69*Currency_conversion_rate_BU2,'Historical other'!G69*Currency_conversion_rate_other)</f>
        <v>0</v>
      </c>
      <c r="I144" s="56">
        <f>SUM('Consolidation adjustments'!H69,'Historical Holdco'!H69,'Historical BU1'!H69*Currency_conversion_BU1,'Historical BU2'!H69*Currency_conversion_rate_BU2,'Historical other'!H69*Currency_conversion_rate_other)</f>
        <v>0</v>
      </c>
      <c r="J144" s="56">
        <f>SUM('Consolidation adjustments'!I69,'Historical Holdco'!I69,'Historical BU1'!I69*Currency_conversion_BU1,'Historical BU2'!I69*Currency_conversion_rate_BU2,'Historical other'!I69*Currency_conversion_rate_other)</f>
        <v>0</v>
      </c>
      <c r="K144" s="56">
        <f>SUM('Consolidation adjustments'!J69,'Historical Holdco'!J69,'Historical BU1'!J69*Currency_conversion_BU1,'Historical BU2'!J69*Currency_conversion_rate_BU2,'Historical other'!J69*Currency_conversion_rate_other)</f>
        <v>0</v>
      </c>
      <c r="L144" s="56">
        <f>SUM('Consolidation adjustments'!K69,'Historical Holdco'!K69,'Historical BU1'!K69*Currency_conversion_BU1,'Historical BU2'!K69*Currency_conversion_rate_BU2,'Historical other'!K69*Currency_conversion_rate_other)</f>
        <v>0</v>
      </c>
      <c r="M144" s="56">
        <f>SUM('Consolidation adjustments'!L69,'Historical Holdco'!L69,'Historical BU1'!L69*Currency_conversion_BU1,'Historical BU2'!L69*Currency_conversion_rate_BU2,'Historical other'!L69*Currency_conversion_rate_other)</f>
        <v>0</v>
      </c>
      <c r="N144" s="56">
        <f>SUM('Consolidation adjustments'!M69,'Historical Holdco'!M69,'Historical BU1'!M69*Currency_conversion_BU1,'Historical BU2'!M69*Currency_conversion_rate_BU2,'Historical other'!M69*Currency_conversion_rate_other)</f>
        <v>0</v>
      </c>
      <c r="O144" s="56">
        <f>SUM('Consolidation adjustments'!N69,'Historical Holdco'!N69,'Historical BU1'!N69*Currency_conversion_BU1,'Historical BU2'!N69*Currency_conversion_rate_BU2,'Historical other'!N69*Currency_conversion_rate_other)</f>
        <v>0</v>
      </c>
      <c r="P144" s="56">
        <f>SUM('Consolidation adjustments'!O69,'Historical Holdco'!O69,'Historical BU1'!O69*Currency_conversion_BU1,'Historical BU2'!O69*Currency_conversion_rate_BU2,'Historical other'!O69*Currency_conversion_rate_other)</f>
        <v>0</v>
      </c>
      <c r="Q144" s="56">
        <f>SUM('Consolidation adjustments'!P69,'Historical Holdco'!P69,'Historical BU1'!P69*Currency_conversion_BU1,'Historical BU2'!P69*Currency_conversion_rate_BU2,'Historical other'!P69*Currency_conversion_rate_other)</f>
        <v>0</v>
      </c>
      <c r="R144" s="56">
        <f>SUM('Consolidation adjustments'!Q69,'Historical Holdco'!Q69,'Historical BU1'!Q69*Currency_conversion_BU1,'Historical BU2'!Q69*Currency_conversion_rate_BU2,'Historical other'!Q69*Currency_conversion_rate_other)</f>
        <v>0</v>
      </c>
      <c r="S144" s="56">
        <f>SUM('Consolidation adjustments'!R69,'Historical Holdco'!R69,'Historical BU1'!R69*Currency_conversion_BU1,'Historical BU2'!R69*Currency_conversion_rate_BU2,'Historical other'!R69*Currency_conversion_rate_other)</f>
        <v>0</v>
      </c>
      <c r="T144" s="56">
        <f>SUM('Consolidation adjustments'!S69,'Historical Holdco'!S69,'Historical BU1'!S69*Currency_conversion_BU1,'Historical BU2'!S69*Currency_conversion_rate_BU2,'Historical other'!S69*Currency_conversion_rate_other)</f>
        <v>0</v>
      </c>
      <c r="U144" s="56">
        <f>SUM('Consolidation adjustments'!T69,'Historical Holdco'!T69,'Historical BU1'!T69*Currency_conversion_BU1,'Historical BU2'!T69*Currency_conversion_rate_BU2,'Historical other'!T69*Currency_conversion_rate_other)</f>
        <v>0</v>
      </c>
    </row>
    <row r="145" spans="1:21">
      <c r="A145" s="56" t="s">
        <v>114</v>
      </c>
      <c r="B145" s="56"/>
      <c r="C145" s="56"/>
      <c r="D145" s="56" t="s">
        <v>238</v>
      </c>
      <c r="E145" s="56">
        <f>SUM('Consolidation adjustments'!D70,'Historical Holdco'!D70,'Historical BU1'!D70*Currency_conversion_BU1,'Historical BU2'!D70*Currency_conversion_rate_BU2,'Historical other'!D70*Currency_conversion_rate_other)</f>
        <v>0</v>
      </c>
      <c r="F145" s="56">
        <f>SUM('Consolidation adjustments'!E70,'Historical Holdco'!E70,'Historical BU1'!E70*Currency_conversion_BU1,'Historical BU2'!E70*Currency_conversion_rate_BU2,'Historical other'!E70*Currency_conversion_rate_other)</f>
        <v>0</v>
      </c>
      <c r="G145" s="56">
        <f>SUM('Consolidation adjustments'!F70,'Historical Holdco'!F70,'Historical BU1'!F70*Currency_conversion_BU1,'Historical BU2'!F70*Currency_conversion_rate_BU2,'Historical other'!F70*Currency_conversion_rate_other)</f>
        <v>0</v>
      </c>
      <c r="H145" s="56">
        <f>SUM('Consolidation adjustments'!G70,'Historical Holdco'!G70,'Historical BU1'!G70*Currency_conversion_BU1,'Historical BU2'!G70*Currency_conversion_rate_BU2,'Historical other'!G70*Currency_conversion_rate_other)</f>
        <v>0</v>
      </c>
      <c r="I145" s="56">
        <f>SUM('Consolidation adjustments'!H70,'Historical Holdco'!H70,'Historical BU1'!H70*Currency_conversion_BU1,'Historical BU2'!H70*Currency_conversion_rate_BU2,'Historical other'!H70*Currency_conversion_rate_other)</f>
        <v>0</v>
      </c>
      <c r="J145" s="56">
        <f>SUM('Consolidation adjustments'!I70,'Historical Holdco'!I70,'Historical BU1'!I70*Currency_conversion_BU1,'Historical BU2'!I70*Currency_conversion_rate_BU2,'Historical other'!I70*Currency_conversion_rate_other)</f>
        <v>0</v>
      </c>
      <c r="K145" s="56">
        <f>SUM('Consolidation adjustments'!J70,'Historical Holdco'!J70,'Historical BU1'!J70*Currency_conversion_BU1,'Historical BU2'!J70*Currency_conversion_rate_BU2,'Historical other'!J70*Currency_conversion_rate_other)</f>
        <v>0</v>
      </c>
      <c r="L145" s="56">
        <f>SUM('Consolidation adjustments'!K70,'Historical Holdco'!K70,'Historical BU1'!K70*Currency_conversion_BU1,'Historical BU2'!K70*Currency_conversion_rate_BU2,'Historical other'!K70*Currency_conversion_rate_other)</f>
        <v>0</v>
      </c>
      <c r="M145" s="56">
        <f>SUM('Consolidation adjustments'!L70,'Historical Holdco'!L70,'Historical BU1'!L70*Currency_conversion_BU1,'Historical BU2'!L70*Currency_conversion_rate_BU2,'Historical other'!L70*Currency_conversion_rate_other)</f>
        <v>0</v>
      </c>
      <c r="N145" s="56">
        <f>SUM('Consolidation adjustments'!M70,'Historical Holdco'!M70,'Historical BU1'!M70*Currency_conversion_BU1,'Historical BU2'!M70*Currency_conversion_rate_BU2,'Historical other'!M70*Currency_conversion_rate_other)</f>
        <v>0</v>
      </c>
      <c r="O145" s="56">
        <f>SUM('Consolidation adjustments'!N70,'Historical Holdco'!N70,'Historical BU1'!N70*Currency_conversion_BU1,'Historical BU2'!N70*Currency_conversion_rate_BU2,'Historical other'!N70*Currency_conversion_rate_other)</f>
        <v>0</v>
      </c>
      <c r="P145" s="56">
        <f>SUM('Consolidation adjustments'!O70,'Historical Holdco'!O70,'Historical BU1'!O70*Currency_conversion_BU1,'Historical BU2'!O70*Currency_conversion_rate_BU2,'Historical other'!O70*Currency_conversion_rate_other)</f>
        <v>0</v>
      </c>
      <c r="Q145" s="56">
        <f>SUM('Consolidation adjustments'!P70,'Historical Holdco'!P70,'Historical BU1'!P70*Currency_conversion_BU1,'Historical BU2'!P70*Currency_conversion_rate_BU2,'Historical other'!P70*Currency_conversion_rate_other)</f>
        <v>0</v>
      </c>
      <c r="R145" s="56">
        <f>SUM('Consolidation adjustments'!Q70,'Historical Holdco'!Q70,'Historical BU1'!Q70*Currency_conversion_BU1,'Historical BU2'!Q70*Currency_conversion_rate_BU2,'Historical other'!Q70*Currency_conversion_rate_other)</f>
        <v>0</v>
      </c>
      <c r="S145" s="56">
        <f>SUM('Consolidation adjustments'!R70,'Historical Holdco'!R70,'Historical BU1'!R70*Currency_conversion_BU1,'Historical BU2'!R70*Currency_conversion_rate_BU2,'Historical other'!R70*Currency_conversion_rate_other)</f>
        <v>0</v>
      </c>
      <c r="T145" s="56">
        <f>SUM('Consolidation adjustments'!S70,'Historical Holdco'!S70,'Historical BU1'!S70*Currency_conversion_BU1,'Historical BU2'!S70*Currency_conversion_rate_BU2,'Historical other'!S70*Currency_conversion_rate_other)</f>
        <v>0</v>
      </c>
      <c r="U145" s="56">
        <f>SUM('Consolidation adjustments'!T70,'Historical Holdco'!T70,'Historical BU1'!T70*Currency_conversion_BU1,'Historical BU2'!T70*Currency_conversion_rate_BU2,'Historical other'!T70*Currency_conversion_rate_other)</f>
        <v>0</v>
      </c>
    </row>
    <row r="146" spans="1:21">
      <c r="A146" s="98"/>
      <c r="B146" s="98"/>
      <c r="C146" s="98"/>
      <c r="D146" s="98" t="s">
        <v>17</v>
      </c>
      <c r="E146" s="98">
        <f>E140+E143+E144+E145</f>
        <v>0</v>
      </c>
      <c r="F146" s="98">
        <f t="shared" ref="F146:U146" si="40">F140+F143+F144+F145</f>
        <v>0</v>
      </c>
      <c r="G146" s="98">
        <f t="shared" si="40"/>
        <v>0</v>
      </c>
      <c r="H146" s="98">
        <f t="shared" si="40"/>
        <v>0</v>
      </c>
      <c r="I146" s="98">
        <f t="shared" si="40"/>
        <v>0</v>
      </c>
      <c r="J146" s="98">
        <f t="shared" si="40"/>
        <v>0</v>
      </c>
      <c r="K146" s="98">
        <f t="shared" si="40"/>
        <v>0</v>
      </c>
      <c r="L146" s="98">
        <f t="shared" si="40"/>
        <v>0</v>
      </c>
      <c r="M146" s="98">
        <f t="shared" si="40"/>
        <v>0</v>
      </c>
      <c r="N146" s="98">
        <f t="shared" si="40"/>
        <v>0</v>
      </c>
      <c r="O146" s="98">
        <f t="shared" si="40"/>
        <v>0</v>
      </c>
      <c r="P146" s="98">
        <f t="shared" si="40"/>
        <v>0</v>
      </c>
      <c r="Q146" s="98">
        <f t="shared" si="40"/>
        <v>0</v>
      </c>
      <c r="R146" s="98">
        <f t="shared" si="40"/>
        <v>0</v>
      </c>
      <c r="S146" s="98">
        <f t="shared" si="40"/>
        <v>0</v>
      </c>
      <c r="T146" s="98">
        <f t="shared" si="40"/>
        <v>0</v>
      </c>
      <c r="U146" s="98">
        <f t="shared" si="40"/>
        <v>0</v>
      </c>
    </row>
    <row r="147" spans="1:21">
      <c r="A147" s="56" t="s">
        <v>165</v>
      </c>
      <c r="B147" s="56"/>
      <c r="C147" s="56"/>
      <c r="D147" s="56" t="s">
        <v>209</v>
      </c>
      <c r="E147" s="56">
        <f>SUM('Consolidation adjustments'!D72,'Historical Holdco'!D72,'Historical BU1'!D72*Currency_conversion_BU1,'Historical BU2'!D72*Currency_conversion_rate_BU2,'Historical other'!D72*Currency_conversion_rate_other)</f>
        <v>0</v>
      </c>
      <c r="F147" s="56">
        <f>SUM('Consolidation adjustments'!E72,'Historical Holdco'!E72,'Historical BU1'!E72*Currency_conversion_BU1,'Historical BU2'!E72*Currency_conversion_rate_BU2,'Historical other'!E72*Currency_conversion_rate_other)</f>
        <v>0</v>
      </c>
      <c r="G147" s="56">
        <f>SUM('Consolidation adjustments'!F72,'Historical Holdco'!F72,'Historical BU1'!F72*Currency_conversion_BU1,'Historical BU2'!F72*Currency_conversion_rate_BU2,'Historical other'!F72*Currency_conversion_rate_other)</f>
        <v>0</v>
      </c>
      <c r="H147" s="56">
        <f>SUM('Consolidation adjustments'!G72,'Historical Holdco'!G72,'Historical BU1'!G72*Currency_conversion_BU1,'Historical BU2'!G72*Currency_conversion_rate_BU2,'Historical other'!G72*Currency_conversion_rate_other)</f>
        <v>0</v>
      </c>
      <c r="I147" s="56">
        <f>SUM('Consolidation adjustments'!H72,'Historical Holdco'!H72,'Historical BU1'!H72*Currency_conversion_BU1,'Historical BU2'!H72*Currency_conversion_rate_BU2,'Historical other'!H72*Currency_conversion_rate_other)</f>
        <v>0</v>
      </c>
      <c r="J147" s="56">
        <f>SUM('Consolidation adjustments'!I72,'Historical Holdco'!I72,'Historical BU1'!I72*Currency_conversion_BU1,'Historical BU2'!I72*Currency_conversion_rate_BU2,'Historical other'!I72*Currency_conversion_rate_other)</f>
        <v>0</v>
      </c>
      <c r="K147" s="56">
        <f>SUM('Consolidation adjustments'!J72,'Historical Holdco'!J72,'Historical BU1'!J72*Currency_conversion_BU1,'Historical BU2'!J72*Currency_conversion_rate_BU2,'Historical other'!J72*Currency_conversion_rate_other)</f>
        <v>0</v>
      </c>
      <c r="L147" s="56">
        <f>SUM('Consolidation adjustments'!K72,'Historical Holdco'!K72,'Historical BU1'!K72*Currency_conversion_BU1,'Historical BU2'!K72*Currency_conversion_rate_BU2,'Historical other'!K72*Currency_conversion_rate_other)</f>
        <v>0</v>
      </c>
      <c r="M147" s="56">
        <f>SUM('Consolidation adjustments'!L72,'Historical Holdco'!L72,'Historical BU1'!L72*Currency_conversion_BU1,'Historical BU2'!L72*Currency_conversion_rate_BU2,'Historical other'!L72*Currency_conversion_rate_other)</f>
        <v>0</v>
      </c>
      <c r="N147" s="56">
        <f>SUM('Consolidation adjustments'!M72,'Historical Holdco'!M72,'Historical BU1'!M72*Currency_conversion_BU1,'Historical BU2'!M72*Currency_conversion_rate_BU2,'Historical other'!M72*Currency_conversion_rate_other)</f>
        <v>0</v>
      </c>
      <c r="O147" s="56">
        <f>SUM('Consolidation adjustments'!N72,'Historical Holdco'!N72,'Historical BU1'!N72*Currency_conversion_BU1,'Historical BU2'!N72*Currency_conversion_rate_BU2,'Historical other'!N72*Currency_conversion_rate_other)</f>
        <v>0</v>
      </c>
      <c r="P147" s="56">
        <f>SUM('Consolidation adjustments'!O72,'Historical Holdco'!O72,'Historical BU1'!O72*Currency_conversion_BU1,'Historical BU2'!O72*Currency_conversion_rate_BU2,'Historical other'!O72*Currency_conversion_rate_other)</f>
        <v>0</v>
      </c>
      <c r="Q147" s="56">
        <f>SUM('Consolidation adjustments'!P72,'Historical Holdco'!P72,'Historical BU1'!P72*Currency_conversion_BU1,'Historical BU2'!P72*Currency_conversion_rate_BU2,'Historical other'!P72*Currency_conversion_rate_other)</f>
        <v>0</v>
      </c>
      <c r="R147" s="56">
        <f>SUM('Consolidation adjustments'!Q72,'Historical Holdco'!Q72,'Historical BU1'!Q72*Currency_conversion_BU1,'Historical BU2'!Q72*Currency_conversion_rate_BU2,'Historical other'!Q72*Currency_conversion_rate_other)</f>
        <v>0</v>
      </c>
      <c r="S147" s="56">
        <f>SUM('Consolidation adjustments'!R72,'Historical Holdco'!R72,'Historical BU1'!R72*Currency_conversion_BU1,'Historical BU2'!R72*Currency_conversion_rate_BU2,'Historical other'!R72*Currency_conversion_rate_other)</f>
        <v>0</v>
      </c>
      <c r="T147" s="56">
        <f>SUM('Consolidation adjustments'!S72,'Historical Holdco'!S72,'Historical BU1'!S72*Currency_conversion_BU1,'Historical BU2'!S72*Currency_conversion_rate_BU2,'Historical other'!S72*Currency_conversion_rate_other)</f>
        <v>0</v>
      </c>
      <c r="U147" s="56">
        <f>SUM('Consolidation adjustments'!T72,'Historical Holdco'!T72,'Historical BU1'!T72*Currency_conversion_BU1,'Historical BU2'!T72*Currency_conversion_rate_BU2,'Historical other'!T72*Currency_conversion_rate_other)</f>
        <v>0</v>
      </c>
    </row>
    <row r="148" spans="1:21">
      <c r="A148" s="102" t="s">
        <v>592</v>
      </c>
      <c r="B148" s="102"/>
      <c r="C148" s="102"/>
      <c r="D148" s="56" t="s">
        <v>239</v>
      </c>
      <c r="E148" s="56">
        <f>SUM('Consolidation adjustments'!D73,'Historical Holdco'!D73,'Historical BU1'!D73*Currency_conversion_BU1,'Historical BU2'!D73*Currency_conversion_rate_BU2,'Historical other'!D73*Currency_conversion_rate_other)</f>
        <v>0</v>
      </c>
      <c r="F148" s="56">
        <f>SUM('Consolidation adjustments'!E73,'Historical Holdco'!E73,'Historical BU1'!E73*Currency_conversion_BU1,'Historical BU2'!E73*Currency_conversion_rate_BU2,'Historical other'!E73*Currency_conversion_rate_other)</f>
        <v>0</v>
      </c>
      <c r="G148" s="56">
        <f>SUM('Consolidation adjustments'!F73,'Historical Holdco'!F73,'Historical BU1'!F73*Currency_conversion_BU1,'Historical BU2'!F73*Currency_conversion_rate_BU2,'Historical other'!F73*Currency_conversion_rate_other)</f>
        <v>0</v>
      </c>
      <c r="H148" s="56">
        <f>SUM('Consolidation adjustments'!G73,'Historical Holdco'!G73,'Historical BU1'!G73*Currency_conversion_BU1,'Historical BU2'!G73*Currency_conversion_rate_BU2,'Historical other'!G73*Currency_conversion_rate_other)</f>
        <v>0</v>
      </c>
      <c r="I148" s="56">
        <f>SUM('Consolidation adjustments'!H73,'Historical Holdco'!H73,'Historical BU1'!H73*Currency_conversion_BU1,'Historical BU2'!H73*Currency_conversion_rate_BU2,'Historical other'!H73*Currency_conversion_rate_other)</f>
        <v>0</v>
      </c>
      <c r="J148" s="56">
        <f>SUM('Consolidation adjustments'!I73,'Historical Holdco'!I73,'Historical BU1'!I73*Currency_conversion_BU1,'Historical BU2'!I73*Currency_conversion_rate_BU2,'Historical other'!I73*Currency_conversion_rate_other)</f>
        <v>0</v>
      </c>
      <c r="K148" s="56">
        <f>SUM('Consolidation adjustments'!J73,'Historical Holdco'!J73,'Historical BU1'!J73*Currency_conversion_BU1,'Historical BU2'!J73*Currency_conversion_rate_BU2,'Historical other'!J73*Currency_conversion_rate_other)</f>
        <v>0</v>
      </c>
      <c r="L148" s="56">
        <f>SUM('Consolidation adjustments'!K73,'Historical Holdco'!K73,'Historical BU1'!K73*Currency_conversion_BU1,'Historical BU2'!K73*Currency_conversion_rate_BU2,'Historical other'!K73*Currency_conversion_rate_other)</f>
        <v>0</v>
      </c>
      <c r="M148" s="56">
        <f>SUM('Consolidation adjustments'!L73,'Historical Holdco'!L73,'Historical BU1'!L73*Currency_conversion_BU1,'Historical BU2'!L73*Currency_conversion_rate_BU2,'Historical other'!L73*Currency_conversion_rate_other)</f>
        <v>0</v>
      </c>
      <c r="N148" s="56">
        <f>SUM('Consolidation adjustments'!M73,'Historical Holdco'!M73,'Historical BU1'!M73*Currency_conversion_BU1,'Historical BU2'!M73*Currency_conversion_rate_BU2,'Historical other'!M73*Currency_conversion_rate_other)</f>
        <v>0</v>
      </c>
      <c r="O148" s="56">
        <f>SUM('Consolidation adjustments'!N73,'Historical Holdco'!N73,'Historical BU1'!N73*Currency_conversion_BU1,'Historical BU2'!N73*Currency_conversion_rate_BU2,'Historical other'!N73*Currency_conversion_rate_other)</f>
        <v>0</v>
      </c>
      <c r="P148" s="56">
        <f>SUM('Consolidation adjustments'!O73,'Historical Holdco'!O73,'Historical BU1'!O73*Currency_conversion_BU1,'Historical BU2'!O73*Currency_conversion_rate_BU2,'Historical other'!O73*Currency_conversion_rate_other)</f>
        <v>0</v>
      </c>
      <c r="Q148" s="56">
        <f>SUM('Consolidation adjustments'!P73,'Historical Holdco'!P73,'Historical BU1'!P73*Currency_conversion_BU1,'Historical BU2'!P73*Currency_conversion_rate_BU2,'Historical other'!P73*Currency_conversion_rate_other)</f>
        <v>0</v>
      </c>
      <c r="R148" s="56">
        <f>SUM('Consolidation adjustments'!Q73,'Historical Holdco'!Q73,'Historical BU1'!Q73*Currency_conversion_BU1,'Historical BU2'!Q73*Currency_conversion_rate_BU2,'Historical other'!Q73*Currency_conversion_rate_other)</f>
        <v>0</v>
      </c>
      <c r="S148" s="56">
        <f>SUM('Consolidation adjustments'!R73,'Historical Holdco'!R73,'Historical BU1'!R73*Currency_conversion_BU1,'Historical BU2'!R73*Currency_conversion_rate_BU2,'Historical other'!R73*Currency_conversion_rate_other)</f>
        <v>0</v>
      </c>
      <c r="T148" s="56">
        <f>SUM('Consolidation adjustments'!S73,'Historical Holdco'!S73,'Historical BU1'!S73*Currency_conversion_BU1,'Historical BU2'!S73*Currency_conversion_rate_BU2,'Historical other'!S73*Currency_conversion_rate_other)</f>
        <v>0</v>
      </c>
      <c r="U148" s="56">
        <f>SUM('Consolidation adjustments'!T73,'Historical Holdco'!T73,'Historical BU1'!T73*Currency_conversion_BU1,'Historical BU2'!T73*Currency_conversion_rate_BU2,'Historical other'!T73*Currency_conversion_rate_other)</f>
        <v>0</v>
      </c>
    </row>
    <row r="149" spans="1:21">
      <c r="A149" s="102" t="s">
        <v>593</v>
      </c>
      <c r="B149" s="102"/>
      <c r="C149" s="102"/>
      <c r="D149" s="56" t="s">
        <v>240</v>
      </c>
      <c r="E149" s="56">
        <f>SUM('Consolidation adjustments'!D74,'Historical Holdco'!D74,'Historical BU1'!D74*Currency_conversion_BU1,'Historical BU2'!D74*Currency_conversion_rate_BU2,'Historical other'!D74*Currency_conversion_rate_other)</f>
        <v>0</v>
      </c>
      <c r="F149" s="56">
        <f>SUM('Consolidation adjustments'!E74,'Historical Holdco'!E74,'Historical BU1'!E74*Currency_conversion_BU1,'Historical BU2'!E74*Currency_conversion_rate_BU2,'Historical other'!E74*Currency_conversion_rate_other)</f>
        <v>0</v>
      </c>
      <c r="G149" s="56">
        <f>SUM('Consolidation adjustments'!F74,'Historical Holdco'!F74,'Historical BU1'!F74*Currency_conversion_BU1,'Historical BU2'!F74*Currency_conversion_rate_BU2,'Historical other'!F74*Currency_conversion_rate_other)</f>
        <v>0</v>
      </c>
      <c r="H149" s="56">
        <f>SUM('Consolidation adjustments'!G74,'Historical Holdco'!G74,'Historical BU1'!G74*Currency_conversion_BU1,'Historical BU2'!G74*Currency_conversion_rate_BU2,'Historical other'!G74*Currency_conversion_rate_other)</f>
        <v>0</v>
      </c>
      <c r="I149" s="56">
        <f>SUM('Consolidation adjustments'!H74,'Historical Holdco'!H74,'Historical BU1'!H74*Currency_conversion_BU1,'Historical BU2'!H74*Currency_conversion_rate_BU2,'Historical other'!H74*Currency_conversion_rate_other)</f>
        <v>0</v>
      </c>
      <c r="J149" s="56">
        <f>SUM('Consolidation adjustments'!I74,'Historical Holdco'!I74,'Historical BU1'!I74*Currency_conversion_BU1,'Historical BU2'!I74*Currency_conversion_rate_BU2,'Historical other'!I74*Currency_conversion_rate_other)</f>
        <v>0</v>
      </c>
      <c r="K149" s="56">
        <f>SUM('Consolidation adjustments'!J74,'Historical Holdco'!J74,'Historical BU1'!J74*Currency_conversion_BU1,'Historical BU2'!J74*Currency_conversion_rate_BU2,'Historical other'!J74*Currency_conversion_rate_other)</f>
        <v>0</v>
      </c>
      <c r="L149" s="56">
        <f>SUM('Consolidation adjustments'!K74,'Historical Holdco'!K74,'Historical BU1'!K74*Currency_conversion_BU1,'Historical BU2'!K74*Currency_conversion_rate_BU2,'Historical other'!K74*Currency_conversion_rate_other)</f>
        <v>0</v>
      </c>
      <c r="M149" s="56">
        <f>SUM('Consolidation adjustments'!L74,'Historical Holdco'!L74,'Historical BU1'!L74*Currency_conversion_BU1,'Historical BU2'!L74*Currency_conversion_rate_BU2,'Historical other'!L74*Currency_conversion_rate_other)</f>
        <v>0</v>
      </c>
      <c r="N149" s="56">
        <f>SUM('Consolidation adjustments'!M74,'Historical Holdco'!M74,'Historical BU1'!M74*Currency_conversion_BU1,'Historical BU2'!M74*Currency_conversion_rate_BU2,'Historical other'!M74*Currency_conversion_rate_other)</f>
        <v>0</v>
      </c>
      <c r="O149" s="56">
        <f>SUM('Consolidation adjustments'!N74,'Historical Holdco'!N74,'Historical BU1'!N74*Currency_conversion_BU1,'Historical BU2'!N74*Currency_conversion_rate_BU2,'Historical other'!N74*Currency_conversion_rate_other)</f>
        <v>0</v>
      </c>
      <c r="P149" s="56">
        <f>SUM('Consolidation adjustments'!O74,'Historical Holdco'!O74,'Historical BU1'!O74*Currency_conversion_BU1,'Historical BU2'!O74*Currency_conversion_rate_BU2,'Historical other'!O74*Currency_conversion_rate_other)</f>
        <v>0</v>
      </c>
      <c r="Q149" s="56">
        <f>SUM('Consolidation adjustments'!P74,'Historical Holdco'!P74,'Historical BU1'!P74*Currency_conversion_BU1,'Historical BU2'!P74*Currency_conversion_rate_BU2,'Historical other'!P74*Currency_conversion_rate_other)</f>
        <v>0</v>
      </c>
      <c r="R149" s="56">
        <f>SUM('Consolidation adjustments'!Q74,'Historical Holdco'!Q74,'Historical BU1'!Q74*Currency_conversion_BU1,'Historical BU2'!Q74*Currency_conversion_rate_BU2,'Historical other'!Q74*Currency_conversion_rate_other)</f>
        <v>0</v>
      </c>
      <c r="S149" s="56">
        <f>SUM('Consolidation adjustments'!R74,'Historical Holdco'!R74,'Historical BU1'!R74*Currency_conversion_BU1,'Historical BU2'!R74*Currency_conversion_rate_BU2,'Historical other'!R74*Currency_conversion_rate_other)</f>
        <v>0</v>
      </c>
      <c r="T149" s="56">
        <f>SUM('Consolidation adjustments'!S74,'Historical Holdco'!S74,'Historical BU1'!S74*Currency_conversion_BU1,'Historical BU2'!S74*Currency_conversion_rate_BU2,'Historical other'!S74*Currency_conversion_rate_other)</f>
        <v>0</v>
      </c>
      <c r="U149" s="56">
        <f>SUM('Consolidation adjustments'!T74,'Historical Holdco'!T74,'Historical BU1'!T74*Currency_conversion_BU1,'Historical BU2'!T74*Currency_conversion_rate_BU2,'Historical other'!T74*Currency_conversion_rate_other)</f>
        <v>0</v>
      </c>
    </row>
    <row r="150" spans="1:21">
      <c r="A150" s="102" t="s">
        <v>594</v>
      </c>
      <c r="B150" s="102"/>
      <c r="C150" s="102"/>
      <c r="D150" s="56" t="s">
        <v>241</v>
      </c>
      <c r="E150" s="56">
        <f>SUM('Consolidation adjustments'!D75,'Historical Holdco'!D75,'Historical BU1'!D75*Currency_conversion_BU1,'Historical BU2'!D75*Currency_conversion_rate_BU2,'Historical other'!D75*Currency_conversion_rate_other)</f>
        <v>0</v>
      </c>
      <c r="F150" s="56">
        <f>SUM('Consolidation adjustments'!E75,'Historical Holdco'!E75,'Historical BU1'!E75*Currency_conversion_BU1,'Historical BU2'!E75*Currency_conversion_rate_BU2,'Historical other'!E75*Currency_conversion_rate_other)</f>
        <v>0</v>
      </c>
      <c r="G150" s="56">
        <f>SUM('Consolidation adjustments'!F75,'Historical Holdco'!F75,'Historical BU1'!F75*Currency_conversion_BU1,'Historical BU2'!F75*Currency_conversion_rate_BU2,'Historical other'!F75*Currency_conversion_rate_other)</f>
        <v>0</v>
      </c>
      <c r="H150" s="56">
        <f>SUM('Consolidation adjustments'!G75,'Historical Holdco'!G75,'Historical BU1'!G75*Currency_conversion_BU1,'Historical BU2'!G75*Currency_conversion_rate_BU2,'Historical other'!G75*Currency_conversion_rate_other)</f>
        <v>0</v>
      </c>
      <c r="I150" s="56">
        <f>SUM('Consolidation adjustments'!H75,'Historical Holdco'!H75,'Historical BU1'!H75*Currency_conversion_BU1,'Historical BU2'!H75*Currency_conversion_rate_BU2,'Historical other'!H75*Currency_conversion_rate_other)</f>
        <v>0</v>
      </c>
      <c r="J150" s="56">
        <f>SUM('Consolidation adjustments'!I75,'Historical Holdco'!I75,'Historical BU1'!I75*Currency_conversion_BU1,'Historical BU2'!I75*Currency_conversion_rate_BU2,'Historical other'!I75*Currency_conversion_rate_other)</f>
        <v>0</v>
      </c>
      <c r="K150" s="56">
        <f>SUM('Consolidation adjustments'!J75,'Historical Holdco'!J75,'Historical BU1'!J75*Currency_conversion_BU1,'Historical BU2'!J75*Currency_conversion_rate_BU2,'Historical other'!J75*Currency_conversion_rate_other)</f>
        <v>0</v>
      </c>
      <c r="L150" s="56">
        <f>SUM('Consolidation adjustments'!K75,'Historical Holdco'!K75,'Historical BU1'!K75*Currency_conversion_BU1,'Historical BU2'!K75*Currency_conversion_rate_BU2,'Historical other'!K75*Currency_conversion_rate_other)</f>
        <v>0</v>
      </c>
      <c r="M150" s="56">
        <f>SUM('Consolidation adjustments'!L75,'Historical Holdco'!L75,'Historical BU1'!L75*Currency_conversion_BU1,'Historical BU2'!L75*Currency_conversion_rate_BU2,'Historical other'!L75*Currency_conversion_rate_other)</f>
        <v>0</v>
      </c>
      <c r="N150" s="56">
        <f>SUM('Consolidation adjustments'!M75,'Historical Holdco'!M75,'Historical BU1'!M75*Currency_conversion_BU1,'Historical BU2'!M75*Currency_conversion_rate_BU2,'Historical other'!M75*Currency_conversion_rate_other)</f>
        <v>0</v>
      </c>
      <c r="O150" s="56">
        <f>SUM('Consolidation adjustments'!N75,'Historical Holdco'!N75,'Historical BU1'!N75*Currency_conversion_BU1,'Historical BU2'!N75*Currency_conversion_rate_BU2,'Historical other'!N75*Currency_conversion_rate_other)</f>
        <v>0</v>
      </c>
      <c r="P150" s="56">
        <f>SUM('Consolidation adjustments'!O75,'Historical Holdco'!O75,'Historical BU1'!O75*Currency_conversion_BU1,'Historical BU2'!O75*Currency_conversion_rate_BU2,'Historical other'!O75*Currency_conversion_rate_other)</f>
        <v>0</v>
      </c>
      <c r="Q150" s="56">
        <f>SUM('Consolidation adjustments'!P75,'Historical Holdco'!P75,'Historical BU1'!P75*Currency_conversion_BU1,'Historical BU2'!P75*Currency_conversion_rate_BU2,'Historical other'!P75*Currency_conversion_rate_other)</f>
        <v>0</v>
      </c>
      <c r="R150" s="56">
        <f>SUM('Consolidation adjustments'!Q75,'Historical Holdco'!Q75,'Historical BU1'!Q75*Currency_conversion_BU1,'Historical BU2'!Q75*Currency_conversion_rate_BU2,'Historical other'!Q75*Currency_conversion_rate_other)</f>
        <v>0</v>
      </c>
      <c r="S150" s="56">
        <f>SUM('Consolidation adjustments'!R75,'Historical Holdco'!R75,'Historical BU1'!R75*Currency_conversion_BU1,'Historical BU2'!R75*Currency_conversion_rate_BU2,'Historical other'!R75*Currency_conversion_rate_other)</f>
        <v>0</v>
      </c>
      <c r="T150" s="56">
        <f>SUM('Consolidation adjustments'!S75,'Historical Holdco'!S75,'Historical BU1'!S75*Currency_conversion_BU1,'Historical BU2'!S75*Currency_conversion_rate_BU2,'Historical other'!S75*Currency_conversion_rate_other)</f>
        <v>0</v>
      </c>
      <c r="U150" s="56">
        <f>SUM('Consolidation adjustments'!T75,'Historical Holdco'!T75,'Historical BU1'!T75*Currency_conversion_BU1,'Historical BU2'!T75*Currency_conversion_rate_BU2,'Historical other'!T75*Currency_conversion_rate_other)</f>
        <v>0</v>
      </c>
    </row>
    <row r="151" spans="1:21">
      <c r="A151" s="102" t="s">
        <v>595</v>
      </c>
      <c r="B151" s="102"/>
      <c r="C151" s="102"/>
      <c r="D151" s="56" t="s">
        <v>596</v>
      </c>
      <c r="E151" s="56">
        <f>SUM('Consolidation adjustments'!D76,'Historical Holdco'!D76,'Historical BU1'!D76*Currency_conversion_BU1,'Historical BU2'!D76*Currency_conversion_rate_BU2,'Historical other'!D76*Currency_conversion_rate_other)</f>
        <v>0</v>
      </c>
      <c r="F151" s="56">
        <f>SUM('Consolidation adjustments'!E76,'Historical Holdco'!E76,'Historical BU1'!E76*Currency_conversion_BU1,'Historical BU2'!E76*Currency_conversion_rate_BU2,'Historical other'!E76*Currency_conversion_rate_other)</f>
        <v>0</v>
      </c>
      <c r="G151" s="56">
        <f>SUM('Consolidation adjustments'!F76,'Historical Holdco'!F76,'Historical BU1'!F76*Currency_conversion_BU1,'Historical BU2'!F76*Currency_conversion_rate_BU2,'Historical other'!F76*Currency_conversion_rate_other)</f>
        <v>0</v>
      </c>
      <c r="H151" s="56">
        <f>SUM('Consolidation adjustments'!G76,'Historical Holdco'!G76,'Historical BU1'!G76*Currency_conversion_BU1,'Historical BU2'!G76*Currency_conversion_rate_BU2,'Historical other'!G76*Currency_conversion_rate_other)</f>
        <v>0</v>
      </c>
      <c r="I151" s="56">
        <f>SUM('Consolidation adjustments'!H76,'Historical Holdco'!H76,'Historical BU1'!H76*Currency_conversion_BU1,'Historical BU2'!H76*Currency_conversion_rate_BU2,'Historical other'!H76*Currency_conversion_rate_other)</f>
        <v>0</v>
      </c>
      <c r="J151" s="56">
        <f>SUM('Consolidation adjustments'!I76,'Historical Holdco'!I76,'Historical BU1'!I76*Currency_conversion_BU1,'Historical BU2'!I76*Currency_conversion_rate_BU2,'Historical other'!I76*Currency_conversion_rate_other)</f>
        <v>0</v>
      </c>
      <c r="K151" s="56">
        <f>SUM('Consolidation adjustments'!J76,'Historical Holdco'!J76,'Historical BU1'!J76*Currency_conversion_BU1,'Historical BU2'!J76*Currency_conversion_rate_BU2,'Historical other'!J76*Currency_conversion_rate_other)</f>
        <v>0</v>
      </c>
      <c r="L151" s="56">
        <f>SUM('Consolidation adjustments'!K76,'Historical Holdco'!K76,'Historical BU1'!K76*Currency_conversion_BU1,'Historical BU2'!K76*Currency_conversion_rate_BU2,'Historical other'!K76*Currency_conversion_rate_other)</f>
        <v>0</v>
      </c>
      <c r="M151" s="56">
        <f>SUM('Consolidation adjustments'!L76,'Historical Holdco'!L76,'Historical BU1'!L76*Currency_conversion_BU1,'Historical BU2'!L76*Currency_conversion_rate_BU2,'Historical other'!L76*Currency_conversion_rate_other)</f>
        <v>0</v>
      </c>
      <c r="N151" s="56">
        <f>SUM('Consolidation adjustments'!M76,'Historical Holdco'!M76,'Historical BU1'!M76*Currency_conversion_BU1,'Historical BU2'!M76*Currency_conversion_rate_BU2,'Historical other'!M76*Currency_conversion_rate_other)</f>
        <v>0</v>
      </c>
      <c r="O151" s="56">
        <f>SUM('Consolidation adjustments'!N76,'Historical Holdco'!N76,'Historical BU1'!N76*Currency_conversion_BU1,'Historical BU2'!N76*Currency_conversion_rate_BU2,'Historical other'!N76*Currency_conversion_rate_other)</f>
        <v>0</v>
      </c>
      <c r="P151" s="56">
        <f>SUM('Consolidation adjustments'!O76,'Historical Holdco'!O76,'Historical BU1'!O76*Currency_conversion_BU1,'Historical BU2'!O76*Currency_conversion_rate_BU2,'Historical other'!O76*Currency_conversion_rate_other)</f>
        <v>0</v>
      </c>
      <c r="Q151" s="56">
        <f>SUM('Consolidation adjustments'!P76,'Historical Holdco'!P76,'Historical BU1'!P76*Currency_conversion_BU1,'Historical BU2'!P76*Currency_conversion_rate_BU2,'Historical other'!P76*Currency_conversion_rate_other)</f>
        <v>0</v>
      </c>
      <c r="R151" s="56">
        <f>SUM('Consolidation adjustments'!Q76,'Historical Holdco'!Q76,'Historical BU1'!Q76*Currency_conversion_BU1,'Historical BU2'!Q76*Currency_conversion_rate_BU2,'Historical other'!Q76*Currency_conversion_rate_other)</f>
        <v>0</v>
      </c>
      <c r="S151" s="56">
        <f>SUM('Consolidation adjustments'!R76,'Historical Holdco'!R76,'Historical BU1'!R76*Currency_conversion_BU1,'Historical BU2'!R76*Currency_conversion_rate_BU2,'Historical other'!R76*Currency_conversion_rate_other)</f>
        <v>0</v>
      </c>
      <c r="T151" s="56">
        <f>SUM('Consolidation adjustments'!S76,'Historical Holdco'!S76,'Historical BU1'!S76*Currency_conversion_BU1,'Historical BU2'!S76*Currency_conversion_rate_BU2,'Historical other'!S76*Currency_conversion_rate_other)</f>
        <v>0</v>
      </c>
      <c r="U151" s="56">
        <f>SUM('Consolidation adjustments'!T76,'Historical Holdco'!T76,'Historical BU1'!T76*Currency_conversion_BU1,'Historical BU2'!T76*Currency_conversion_rate_BU2,'Historical other'!T76*Currency_conversion_rate_other)</f>
        <v>0</v>
      </c>
    </row>
    <row r="152" spans="1:21">
      <c r="A152" s="102" t="s">
        <v>597</v>
      </c>
      <c r="B152" s="102"/>
      <c r="C152" s="102"/>
      <c r="D152" s="56" t="s">
        <v>242</v>
      </c>
      <c r="E152" s="56">
        <f>SUM('Consolidation adjustments'!D77,'Historical Holdco'!D77,'Historical BU1'!D77*Currency_conversion_BU1,'Historical BU2'!D77*Currency_conversion_rate_BU2,'Historical other'!D77*Currency_conversion_rate_other)</f>
        <v>0</v>
      </c>
      <c r="F152" s="56">
        <f>SUM('Consolidation adjustments'!E77,'Historical Holdco'!E77,'Historical BU1'!E77*Currency_conversion_BU1,'Historical BU2'!E77*Currency_conversion_rate_BU2,'Historical other'!E77*Currency_conversion_rate_other)</f>
        <v>0</v>
      </c>
      <c r="G152" s="56">
        <f>SUM('Consolidation adjustments'!F77,'Historical Holdco'!F77,'Historical BU1'!F77*Currency_conversion_BU1,'Historical BU2'!F77*Currency_conversion_rate_BU2,'Historical other'!F77*Currency_conversion_rate_other)</f>
        <v>0</v>
      </c>
      <c r="H152" s="56">
        <f>SUM('Consolidation adjustments'!G77,'Historical Holdco'!G77,'Historical BU1'!G77*Currency_conversion_BU1,'Historical BU2'!G77*Currency_conversion_rate_BU2,'Historical other'!G77*Currency_conversion_rate_other)</f>
        <v>0</v>
      </c>
      <c r="I152" s="56">
        <f>SUM('Consolidation adjustments'!H77,'Historical Holdco'!H77,'Historical BU1'!H77*Currency_conversion_BU1,'Historical BU2'!H77*Currency_conversion_rate_BU2,'Historical other'!H77*Currency_conversion_rate_other)</f>
        <v>0</v>
      </c>
      <c r="J152" s="56">
        <f>SUM('Consolidation adjustments'!I77,'Historical Holdco'!I77,'Historical BU1'!I77*Currency_conversion_BU1,'Historical BU2'!I77*Currency_conversion_rate_BU2,'Historical other'!I77*Currency_conversion_rate_other)</f>
        <v>0</v>
      </c>
      <c r="K152" s="56">
        <f>SUM('Consolidation adjustments'!J77,'Historical Holdco'!J77,'Historical BU1'!J77*Currency_conversion_BU1,'Historical BU2'!J77*Currency_conversion_rate_BU2,'Historical other'!J77*Currency_conversion_rate_other)</f>
        <v>0</v>
      </c>
      <c r="L152" s="56">
        <f>SUM('Consolidation adjustments'!K77,'Historical Holdco'!K77,'Historical BU1'!K77*Currency_conversion_BU1,'Historical BU2'!K77*Currency_conversion_rate_BU2,'Historical other'!K77*Currency_conversion_rate_other)</f>
        <v>0</v>
      </c>
      <c r="M152" s="56">
        <f>SUM('Consolidation adjustments'!L77,'Historical Holdco'!L77,'Historical BU1'!L77*Currency_conversion_BU1,'Historical BU2'!L77*Currency_conversion_rate_BU2,'Historical other'!L77*Currency_conversion_rate_other)</f>
        <v>0</v>
      </c>
      <c r="N152" s="56">
        <f>SUM('Consolidation adjustments'!M77,'Historical Holdco'!M77,'Historical BU1'!M77*Currency_conversion_BU1,'Historical BU2'!M77*Currency_conversion_rate_BU2,'Historical other'!M77*Currency_conversion_rate_other)</f>
        <v>0</v>
      </c>
      <c r="O152" s="56">
        <f>SUM('Consolidation adjustments'!N77,'Historical Holdco'!N77,'Historical BU1'!N77*Currency_conversion_BU1,'Historical BU2'!N77*Currency_conversion_rate_BU2,'Historical other'!N77*Currency_conversion_rate_other)</f>
        <v>0</v>
      </c>
      <c r="P152" s="56">
        <f>SUM('Consolidation adjustments'!O77,'Historical Holdco'!O77,'Historical BU1'!O77*Currency_conversion_BU1,'Historical BU2'!O77*Currency_conversion_rate_BU2,'Historical other'!O77*Currency_conversion_rate_other)</f>
        <v>0</v>
      </c>
      <c r="Q152" s="56">
        <f>SUM('Consolidation adjustments'!P77,'Historical Holdco'!P77,'Historical BU1'!P77*Currency_conversion_BU1,'Historical BU2'!P77*Currency_conversion_rate_BU2,'Historical other'!P77*Currency_conversion_rate_other)</f>
        <v>0</v>
      </c>
      <c r="R152" s="56">
        <f>SUM('Consolidation adjustments'!Q77,'Historical Holdco'!Q77,'Historical BU1'!Q77*Currency_conversion_BU1,'Historical BU2'!Q77*Currency_conversion_rate_BU2,'Historical other'!Q77*Currency_conversion_rate_other)</f>
        <v>0</v>
      </c>
      <c r="S152" s="56">
        <f>SUM('Consolidation adjustments'!R77,'Historical Holdco'!R77,'Historical BU1'!R77*Currency_conversion_BU1,'Historical BU2'!R77*Currency_conversion_rate_BU2,'Historical other'!R77*Currency_conversion_rate_other)</f>
        <v>0</v>
      </c>
      <c r="T152" s="56">
        <f>SUM('Consolidation adjustments'!S77,'Historical Holdco'!S77,'Historical BU1'!S77*Currency_conversion_BU1,'Historical BU2'!S77*Currency_conversion_rate_BU2,'Historical other'!S77*Currency_conversion_rate_other)</f>
        <v>0</v>
      </c>
      <c r="U152" s="56">
        <f>SUM('Consolidation adjustments'!T77,'Historical Holdco'!T77,'Historical BU1'!T77*Currency_conversion_BU1,'Historical BU2'!T77*Currency_conversion_rate_BU2,'Historical other'!T77*Currency_conversion_rate_other)</f>
        <v>0</v>
      </c>
    </row>
    <row r="153" spans="1:21">
      <c r="A153" s="102" t="s">
        <v>129</v>
      </c>
      <c r="B153" s="102"/>
      <c r="C153" s="102"/>
      <c r="D153" s="56" t="s">
        <v>598</v>
      </c>
      <c r="E153" s="56">
        <f>SUM('Consolidation adjustments'!D78,'Historical Holdco'!D78,'Historical BU1'!D78*Currency_conversion_BU1,'Historical BU2'!D78*Currency_conversion_rate_BU2,'Historical other'!D78*Currency_conversion_rate_other)</f>
        <v>0</v>
      </c>
      <c r="F153" s="56">
        <f>SUM('Consolidation adjustments'!E78,'Historical Holdco'!E78,'Historical BU1'!E78*Currency_conversion_BU1,'Historical BU2'!E78*Currency_conversion_rate_BU2,'Historical other'!E78*Currency_conversion_rate_other)</f>
        <v>0</v>
      </c>
      <c r="G153" s="56">
        <f>SUM('Consolidation adjustments'!F78,'Historical Holdco'!F78,'Historical BU1'!F78*Currency_conversion_BU1,'Historical BU2'!F78*Currency_conversion_rate_BU2,'Historical other'!F78*Currency_conversion_rate_other)</f>
        <v>0</v>
      </c>
      <c r="H153" s="56">
        <f>SUM('Consolidation adjustments'!G78,'Historical Holdco'!G78,'Historical BU1'!G78*Currency_conversion_BU1,'Historical BU2'!G78*Currency_conversion_rate_BU2,'Historical other'!G78*Currency_conversion_rate_other)</f>
        <v>0</v>
      </c>
      <c r="I153" s="56">
        <f>SUM('Consolidation adjustments'!H78,'Historical Holdco'!H78,'Historical BU1'!H78*Currency_conversion_BU1,'Historical BU2'!H78*Currency_conversion_rate_BU2,'Historical other'!H78*Currency_conversion_rate_other)</f>
        <v>0</v>
      </c>
      <c r="J153" s="56">
        <f>SUM('Consolidation adjustments'!I78,'Historical Holdco'!I78,'Historical BU1'!I78*Currency_conversion_BU1,'Historical BU2'!I78*Currency_conversion_rate_BU2,'Historical other'!I78*Currency_conversion_rate_other)</f>
        <v>0</v>
      </c>
      <c r="K153" s="56">
        <f>SUM('Consolidation adjustments'!J78,'Historical Holdco'!J78,'Historical BU1'!J78*Currency_conversion_BU1,'Historical BU2'!J78*Currency_conversion_rate_BU2,'Historical other'!J78*Currency_conversion_rate_other)</f>
        <v>0</v>
      </c>
      <c r="L153" s="56">
        <f>SUM('Consolidation adjustments'!K78,'Historical Holdco'!K78,'Historical BU1'!K78*Currency_conversion_BU1,'Historical BU2'!K78*Currency_conversion_rate_BU2,'Historical other'!K78*Currency_conversion_rate_other)</f>
        <v>0</v>
      </c>
      <c r="M153" s="56">
        <f>SUM('Consolidation adjustments'!L78,'Historical Holdco'!L78,'Historical BU1'!L78*Currency_conversion_BU1,'Historical BU2'!L78*Currency_conversion_rate_BU2,'Historical other'!L78*Currency_conversion_rate_other)</f>
        <v>0</v>
      </c>
      <c r="N153" s="56">
        <f>SUM('Consolidation adjustments'!M78,'Historical Holdco'!M78,'Historical BU1'!M78*Currency_conversion_BU1,'Historical BU2'!M78*Currency_conversion_rate_BU2,'Historical other'!M78*Currency_conversion_rate_other)</f>
        <v>0</v>
      </c>
      <c r="O153" s="56">
        <f>SUM('Consolidation adjustments'!N78,'Historical Holdco'!N78,'Historical BU1'!N78*Currency_conversion_BU1,'Historical BU2'!N78*Currency_conversion_rate_BU2,'Historical other'!N78*Currency_conversion_rate_other)</f>
        <v>0</v>
      </c>
      <c r="P153" s="56">
        <f>SUM('Consolidation adjustments'!O78,'Historical Holdco'!O78,'Historical BU1'!O78*Currency_conversion_BU1,'Historical BU2'!O78*Currency_conversion_rate_BU2,'Historical other'!O78*Currency_conversion_rate_other)</f>
        <v>0</v>
      </c>
      <c r="Q153" s="56">
        <f>SUM('Consolidation adjustments'!P78,'Historical Holdco'!P78,'Historical BU1'!P78*Currency_conversion_BU1,'Historical BU2'!P78*Currency_conversion_rate_BU2,'Historical other'!P78*Currency_conversion_rate_other)</f>
        <v>0</v>
      </c>
      <c r="R153" s="56">
        <f>SUM('Consolidation adjustments'!Q78,'Historical Holdco'!Q78,'Historical BU1'!Q78*Currency_conversion_BU1,'Historical BU2'!Q78*Currency_conversion_rate_BU2,'Historical other'!Q78*Currency_conversion_rate_other)</f>
        <v>0</v>
      </c>
      <c r="S153" s="56">
        <f>SUM('Consolidation adjustments'!R78,'Historical Holdco'!R78,'Historical BU1'!R78*Currency_conversion_BU1,'Historical BU2'!R78*Currency_conversion_rate_BU2,'Historical other'!R78*Currency_conversion_rate_other)</f>
        <v>0</v>
      </c>
      <c r="T153" s="56">
        <f>SUM('Consolidation adjustments'!S78,'Historical Holdco'!S78,'Historical BU1'!S78*Currency_conversion_BU1,'Historical BU2'!S78*Currency_conversion_rate_BU2,'Historical other'!S78*Currency_conversion_rate_other)</f>
        <v>0</v>
      </c>
      <c r="U153" s="56">
        <f>SUM('Consolidation adjustments'!T78,'Historical Holdco'!T78,'Historical BU1'!T78*Currency_conversion_BU1,'Historical BU2'!T78*Currency_conversion_rate_BU2,'Historical other'!T78*Currency_conversion_rate_other)</f>
        <v>0</v>
      </c>
    </row>
    <row r="154" spans="1:21">
      <c r="A154" s="98"/>
      <c r="B154" s="98"/>
      <c r="C154" s="98"/>
      <c r="D154" s="98" t="s">
        <v>243</v>
      </c>
      <c r="E154" s="98">
        <f>SUM(E147:E153)</f>
        <v>0</v>
      </c>
      <c r="F154" s="98">
        <f t="shared" ref="F154:U154" si="41">SUM(F147:F153)</f>
        <v>0</v>
      </c>
      <c r="G154" s="98">
        <f t="shared" si="41"/>
        <v>0</v>
      </c>
      <c r="H154" s="98">
        <f t="shared" si="41"/>
        <v>0</v>
      </c>
      <c r="I154" s="98">
        <f t="shared" si="41"/>
        <v>0</v>
      </c>
      <c r="J154" s="98">
        <f t="shared" si="41"/>
        <v>0</v>
      </c>
      <c r="K154" s="98">
        <f t="shared" si="41"/>
        <v>0</v>
      </c>
      <c r="L154" s="98">
        <f t="shared" si="41"/>
        <v>0</v>
      </c>
      <c r="M154" s="98">
        <f t="shared" si="41"/>
        <v>0</v>
      </c>
      <c r="N154" s="98">
        <f t="shared" si="41"/>
        <v>0</v>
      </c>
      <c r="O154" s="98">
        <f t="shared" si="41"/>
        <v>0</v>
      </c>
      <c r="P154" s="98">
        <f t="shared" si="41"/>
        <v>0</v>
      </c>
      <c r="Q154" s="98">
        <f t="shared" si="41"/>
        <v>0</v>
      </c>
      <c r="R154" s="98">
        <f t="shared" si="41"/>
        <v>0</v>
      </c>
      <c r="S154" s="98">
        <f t="shared" si="41"/>
        <v>0</v>
      </c>
      <c r="T154" s="98">
        <f t="shared" si="41"/>
        <v>0</v>
      </c>
      <c r="U154" s="98">
        <f t="shared" si="41"/>
        <v>0</v>
      </c>
    </row>
    <row r="155" spans="1:21">
      <c r="A155" s="98"/>
      <c r="B155" s="98"/>
      <c r="C155" s="98"/>
      <c r="D155" s="98" t="s">
        <v>244</v>
      </c>
      <c r="E155" s="98">
        <f>E146+E154</f>
        <v>0</v>
      </c>
      <c r="F155" s="98">
        <f t="shared" ref="F155:U155" si="42">F146+F154</f>
        <v>0</v>
      </c>
      <c r="G155" s="98">
        <f t="shared" si="42"/>
        <v>0</v>
      </c>
      <c r="H155" s="98">
        <f t="shared" si="42"/>
        <v>0</v>
      </c>
      <c r="I155" s="98">
        <f t="shared" si="42"/>
        <v>0</v>
      </c>
      <c r="J155" s="98">
        <f t="shared" si="42"/>
        <v>0</v>
      </c>
      <c r="K155" s="98">
        <f t="shared" si="42"/>
        <v>0</v>
      </c>
      <c r="L155" s="98">
        <f t="shared" si="42"/>
        <v>0</v>
      </c>
      <c r="M155" s="98">
        <f t="shared" si="42"/>
        <v>0</v>
      </c>
      <c r="N155" s="98">
        <f t="shared" si="42"/>
        <v>0</v>
      </c>
      <c r="O155" s="98">
        <f t="shared" si="42"/>
        <v>0</v>
      </c>
      <c r="P155" s="98">
        <f t="shared" si="42"/>
        <v>0</v>
      </c>
      <c r="Q155" s="98">
        <f t="shared" si="42"/>
        <v>0</v>
      </c>
      <c r="R155" s="98">
        <f t="shared" si="42"/>
        <v>0</v>
      </c>
      <c r="S155" s="98">
        <f t="shared" si="42"/>
        <v>0</v>
      </c>
      <c r="T155" s="98">
        <f t="shared" si="42"/>
        <v>0</v>
      </c>
      <c r="U155" s="98">
        <f t="shared" si="42"/>
        <v>0</v>
      </c>
    </row>
  </sheetData>
  <phoneticPr fontId="2" type="noConversion"/>
  <conditionalFormatting sqref="E6:U7">
    <cfRule type="cellIs" dxfId="5" priority="1" operator="equal">
      <formula>TRUE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8" r:id="rId3" name="Drop Down 2">
              <controlPr defaultSize="0" autoLine="0" autoPict="0">
                <anchor moveWithCells="1">
                  <from>
                    <xdr:col>4</xdr:col>
                    <xdr:colOff>1371600</xdr:colOff>
                    <xdr:row>0</xdr:row>
                    <xdr:rowOff>155448</xdr:rowOff>
                  </from>
                  <to>
                    <xdr:col>6</xdr:col>
                    <xdr:colOff>146304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tabColor theme="6"/>
  </sheetPr>
  <dimension ref="A1:AJ416"/>
  <sheetViews>
    <sheetView topLeftCell="A19" zoomScale="40" zoomScaleNormal="40" workbookViewId="0">
      <selection activeCell="E19" sqref="E19"/>
    </sheetView>
  </sheetViews>
  <sheetFormatPr defaultColWidth="9.140625" defaultRowHeight="14.4" outlineLevelCol="1"/>
  <cols>
    <col min="1" max="1" width="12" style="1" customWidth="1"/>
    <col min="2" max="2" width="53.5703125" style="1" customWidth="1" outlineLevel="1"/>
    <col min="3" max="3" width="83" style="1" bestFit="1" customWidth="1"/>
    <col min="4" max="4" width="16.5703125" style="1" customWidth="1"/>
    <col min="5" max="6" width="14.7109375" style="125" customWidth="1"/>
    <col min="7" max="7" width="13.28515625" style="125" customWidth="1"/>
    <col min="8" max="8" width="9.140625" style="52" customWidth="1"/>
    <col min="9" max="16" width="9.140625" style="52"/>
    <col min="17" max="16384" width="9.140625" style="1"/>
  </cols>
  <sheetData>
    <row r="1" spans="1:36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Panel'!B11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1:36" s="209" customFormat="1" ht="14.6" customHeight="1">
      <c r="C2" s="209" t="s">
        <v>871</v>
      </c>
      <c r="D2" s="209">
        <f>'Financial summary'!E5</f>
        <v>1</v>
      </c>
      <c r="E2" s="209">
        <f>INDEX(D18:D21,D2)</f>
        <v>0</v>
      </c>
      <c r="I2" s="209" t="s">
        <v>693</v>
      </c>
      <c r="J2" s="209">
        <f>'Control Panel'!B5</f>
        <v>5</v>
      </c>
    </row>
    <row r="3" spans="1:36">
      <c r="B3" s="28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36">
      <c r="B4" s="28"/>
      <c r="C4" s="180" t="s">
        <v>692</v>
      </c>
      <c r="D4" s="180">
        <v>1</v>
      </c>
      <c r="E4" s="180">
        <f>D4+1</f>
        <v>2</v>
      </c>
      <c r="F4" s="180">
        <f t="shared" ref="F4:T4" si="0">E4+1</f>
        <v>3</v>
      </c>
      <c r="G4" s="180">
        <f t="shared" si="0"/>
        <v>4</v>
      </c>
      <c r="H4" s="180">
        <f t="shared" si="0"/>
        <v>5</v>
      </c>
      <c r="I4" s="180">
        <f t="shared" si="0"/>
        <v>6</v>
      </c>
      <c r="J4" s="180">
        <f t="shared" si="0"/>
        <v>7</v>
      </c>
      <c r="K4" s="180">
        <f t="shared" si="0"/>
        <v>8</v>
      </c>
      <c r="L4" s="180">
        <f t="shared" si="0"/>
        <v>9</v>
      </c>
      <c r="M4" s="180">
        <f t="shared" si="0"/>
        <v>10</v>
      </c>
      <c r="N4" s="180">
        <f t="shared" si="0"/>
        <v>11</v>
      </c>
      <c r="O4" s="180">
        <f t="shared" si="0"/>
        <v>12</v>
      </c>
      <c r="P4" s="180">
        <f t="shared" si="0"/>
        <v>13</v>
      </c>
      <c r="Q4" s="180">
        <f t="shared" si="0"/>
        <v>14</v>
      </c>
      <c r="R4" s="180">
        <f t="shared" si="0"/>
        <v>15</v>
      </c>
      <c r="S4" s="180">
        <f t="shared" si="0"/>
        <v>16</v>
      </c>
      <c r="T4" s="180">
        <f t="shared" si="0"/>
        <v>17</v>
      </c>
    </row>
    <row r="5" spans="1:36" s="34" customFormat="1" ht="14.6" customHeight="1">
      <c r="B5" s="28"/>
      <c r="C5" s="307" t="s">
        <v>719</v>
      </c>
      <c r="D5" s="307">
        <f>DATE('Control Panel'!B4,'Control Panel'!B6,'Control Panel'!B7)</f>
        <v>42004</v>
      </c>
      <c r="E5" s="307">
        <f>E6*EOMONTH(D5,12)+E7*$J$1</f>
        <v>42369</v>
      </c>
      <c r="F5" s="307">
        <f t="shared" ref="F5:T5" si="1">F6*EOMONTH(E5,12)+F7*$J$1</f>
        <v>42735</v>
      </c>
      <c r="G5" s="307">
        <f t="shared" si="1"/>
        <v>43100</v>
      </c>
      <c r="H5" s="307">
        <f t="shared" si="1"/>
        <v>43465</v>
      </c>
      <c r="I5" s="307">
        <f t="shared" si="1"/>
        <v>0</v>
      </c>
      <c r="J5" s="307">
        <f t="shared" si="1"/>
        <v>0</v>
      </c>
      <c r="K5" s="307">
        <f t="shared" si="1"/>
        <v>0</v>
      </c>
      <c r="L5" s="307">
        <f t="shared" si="1"/>
        <v>0</v>
      </c>
      <c r="M5" s="307">
        <f t="shared" si="1"/>
        <v>0</v>
      </c>
      <c r="N5" s="307">
        <f t="shared" si="1"/>
        <v>0</v>
      </c>
      <c r="O5" s="307">
        <f t="shared" si="1"/>
        <v>0</v>
      </c>
      <c r="P5" s="307">
        <f t="shared" si="1"/>
        <v>0</v>
      </c>
      <c r="Q5" s="307">
        <f t="shared" si="1"/>
        <v>0</v>
      </c>
      <c r="R5" s="307">
        <f t="shared" si="1"/>
        <v>0</v>
      </c>
      <c r="S5" s="307">
        <f t="shared" si="1"/>
        <v>0</v>
      </c>
      <c r="T5" s="307">
        <f t="shared" si="1"/>
        <v>0</v>
      </c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</row>
    <row r="6" spans="1:36">
      <c r="B6" s="28"/>
      <c r="C6" s="28" t="s">
        <v>686</v>
      </c>
      <c r="D6" s="28" t="b">
        <f>D4&lt;=$J$2</f>
        <v>1</v>
      </c>
      <c r="E6" s="28" t="b">
        <f t="shared" ref="E6" si="2">E4&lt;=$J$2</f>
        <v>1</v>
      </c>
      <c r="F6" s="28" t="b">
        <f t="shared" ref="F6:T6" si="3">F4&lt;=$J$2</f>
        <v>1</v>
      </c>
      <c r="G6" s="28" t="b">
        <f t="shared" si="3"/>
        <v>1</v>
      </c>
      <c r="H6" s="28" t="b">
        <f t="shared" si="3"/>
        <v>1</v>
      </c>
      <c r="I6" s="28" t="b">
        <f t="shared" si="3"/>
        <v>0</v>
      </c>
      <c r="J6" s="28" t="b">
        <f t="shared" si="3"/>
        <v>0</v>
      </c>
      <c r="K6" s="28" t="b">
        <f t="shared" si="3"/>
        <v>0</v>
      </c>
      <c r="L6" s="28" t="b">
        <f t="shared" si="3"/>
        <v>0</v>
      </c>
      <c r="M6" s="28" t="b">
        <f t="shared" si="3"/>
        <v>0</v>
      </c>
      <c r="N6" s="28" t="b">
        <f t="shared" si="3"/>
        <v>0</v>
      </c>
      <c r="O6" s="28" t="b">
        <f t="shared" si="3"/>
        <v>0</v>
      </c>
      <c r="P6" s="28" t="b">
        <f t="shared" si="3"/>
        <v>0</v>
      </c>
      <c r="Q6" s="28" t="b">
        <f t="shared" si="3"/>
        <v>0</v>
      </c>
      <c r="R6" s="28" t="b">
        <f t="shared" si="3"/>
        <v>0</v>
      </c>
      <c r="S6" s="28" t="b">
        <f t="shared" si="3"/>
        <v>0</v>
      </c>
      <c r="T6" s="28" t="b">
        <f t="shared" si="3"/>
        <v>0</v>
      </c>
    </row>
    <row r="7" spans="1:36">
      <c r="B7" s="28"/>
      <c r="C7" s="28" t="s">
        <v>687</v>
      </c>
      <c r="D7" s="28" t="b">
        <f t="shared" ref="D7:E7" si="4">(D4=$J$2+1)*stub_switch=1</f>
        <v>0</v>
      </c>
      <c r="E7" s="28" t="b">
        <f t="shared" si="4"/>
        <v>0</v>
      </c>
      <c r="F7" s="28" t="b">
        <f t="shared" ref="F7:T7" si="5">(F4=$J$2+1)*stub_switch=1</f>
        <v>0</v>
      </c>
      <c r="G7" s="28" t="b">
        <f t="shared" si="5"/>
        <v>0</v>
      </c>
      <c r="H7" s="28" t="b">
        <f t="shared" si="5"/>
        <v>0</v>
      </c>
      <c r="I7" s="28" t="b">
        <f t="shared" si="5"/>
        <v>0</v>
      </c>
      <c r="J7" s="28" t="b">
        <f t="shared" si="5"/>
        <v>0</v>
      </c>
      <c r="K7" s="28" t="b">
        <f t="shared" si="5"/>
        <v>0</v>
      </c>
      <c r="L7" s="28" t="b">
        <f t="shared" si="5"/>
        <v>0</v>
      </c>
      <c r="M7" s="28" t="b">
        <f t="shared" si="5"/>
        <v>0</v>
      </c>
      <c r="N7" s="28" t="b">
        <f t="shared" si="5"/>
        <v>0</v>
      </c>
      <c r="O7" s="28" t="b">
        <f t="shared" si="5"/>
        <v>0</v>
      </c>
      <c r="P7" s="28" t="b">
        <f t="shared" si="5"/>
        <v>0</v>
      </c>
      <c r="Q7" s="28" t="b">
        <f t="shared" si="5"/>
        <v>0</v>
      </c>
      <c r="R7" s="28" t="b">
        <f t="shared" si="5"/>
        <v>0</v>
      </c>
      <c r="S7" s="28" t="b">
        <f t="shared" si="5"/>
        <v>0</v>
      </c>
      <c r="T7" s="28" t="b">
        <f t="shared" si="5"/>
        <v>0</v>
      </c>
    </row>
    <row r="8" spans="1:36">
      <c r="A8" s="113"/>
      <c r="B8" s="113"/>
      <c r="C8" s="114"/>
      <c r="D8" s="113"/>
      <c r="E8" s="113"/>
      <c r="F8" s="113"/>
      <c r="G8" s="113"/>
      <c r="H8" s="1"/>
      <c r="I8" s="1"/>
      <c r="J8" s="1"/>
      <c r="K8" s="1"/>
      <c r="L8" s="1"/>
      <c r="M8" s="1"/>
      <c r="N8" s="1"/>
      <c r="O8" s="1"/>
      <c r="P8" s="1"/>
    </row>
    <row r="9" spans="1:36">
      <c r="A9" s="113" t="s">
        <v>193</v>
      </c>
      <c r="B9" s="113"/>
      <c r="C9" s="113" t="s">
        <v>194</v>
      </c>
      <c r="D9" s="115">
        <f>D11</f>
        <v>42004</v>
      </c>
      <c r="E9" s="115">
        <f>E11</f>
        <v>42369</v>
      </c>
      <c r="F9" s="115">
        <f>F11</f>
        <v>42735</v>
      </c>
      <c r="G9" s="115">
        <f>G11</f>
        <v>43100</v>
      </c>
      <c r="H9" s="115">
        <f t="shared" ref="H9:T9" si="6">H11</f>
        <v>43465</v>
      </c>
      <c r="I9" s="115">
        <f t="shared" si="6"/>
        <v>0</v>
      </c>
      <c r="J9" s="115">
        <f t="shared" si="6"/>
        <v>0</v>
      </c>
      <c r="K9" s="115">
        <f t="shared" si="6"/>
        <v>0</v>
      </c>
      <c r="L9" s="115">
        <f t="shared" si="6"/>
        <v>0</v>
      </c>
      <c r="M9" s="115">
        <f t="shared" si="6"/>
        <v>0</v>
      </c>
      <c r="N9" s="115">
        <f t="shared" si="6"/>
        <v>0</v>
      </c>
      <c r="O9" s="115">
        <f t="shared" si="6"/>
        <v>0</v>
      </c>
      <c r="P9" s="115">
        <f t="shared" si="6"/>
        <v>0</v>
      </c>
      <c r="Q9" s="115">
        <f t="shared" si="6"/>
        <v>0</v>
      </c>
      <c r="R9" s="115">
        <f t="shared" si="6"/>
        <v>0</v>
      </c>
      <c r="S9" s="115">
        <f t="shared" si="6"/>
        <v>0</v>
      </c>
      <c r="T9" s="115">
        <f t="shared" si="6"/>
        <v>0</v>
      </c>
    </row>
    <row r="10" spans="1:36">
      <c r="A10" s="113" t="s">
        <v>195</v>
      </c>
      <c r="B10" s="113"/>
      <c r="C10" s="113" t="s">
        <v>196</v>
      </c>
      <c r="D10" s="113">
        <v>365</v>
      </c>
      <c r="E10" s="116">
        <f>E11-D11</f>
        <v>365</v>
      </c>
      <c r="F10" s="116">
        <f>F11-E11</f>
        <v>366</v>
      </c>
      <c r="G10" s="116">
        <f>G11-F11</f>
        <v>365</v>
      </c>
      <c r="H10" s="116">
        <f t="shared" ref="H10:T10" si="7">H11-G11</f>
        <v>365</v>
      </c>
      <c r="I10" s="116">
        <f t="shared" si="7"/>
        <v>-43465</v>
      </c>
      <c r="J10" s="116">
        <f t="shared" si="7"/>
        <v>0</v>
      </c>
      <c r="K10" s="116">
        <f t="shared" si="7"/>
        <v>0</v>
      </c>
      <c r="L10" s="116">
        <f t="shared" si="7"/>
        <v>0</v>
      </c>
      <c r="M10" s="116">
        <f t="shared" si="7"/>
        <v>0</v>
      </c>
      <c r="N10" s="116">
        <f t="shared" si="7"/>
        <v>0</v>
      </c>
      <c r="O10" s="116">
        <f t="shared" si="7"/>
        <v>0</v>
      </c>
      <c r="P10" s="116">
        <f t="shared" si="7"/>
        <v>0</v>
      </c>
      <c r="Q10" s="116">
        <f t="shared" si="7"/>
        <v>0</v>
      </c>
      <c r="R10" s="116">
        <f t="shared" si="7"/>
        <v>0</v>
      </c>
      <c r="S10" s="116">
        <f t="shared" si="7"/>
        <v>0</v>
      </c>
      <c r="T10" s="116">
        <f t="shared" si="7"/>
        <v>0</v>
      </c>
    </row>
    <row r="11" spans="1:36">
      <c r="A11" s="113" t="s">
        <v>197</v>
      </c>
      <c r="B11" s="113"/>
      <c r="C11" s="113" t="s">
        <v>198</v>
      </c>
      <c r="D11" s="117">
        <f>D5</f>
        <v>42004</v>
      </c>
      <c r="E11" s="117">
        <f t="shared" ref="E11:T11" si="8">E5</f>
        <v>42369</v>
      </c>
      <c r="F11" s="117">
        <f t="shared" si="8"/>
        <v>42735</v>
      </c>
      <c r="G11" s="117">
        <f t="shared" si="8"/>
        <v>43100</v>
      </c>
      <c r="H11" s="117">
        <f t="shared" si="8"/>
        <v>43465</v>
      </c>
      <c r="I11" s="117">
        <f t="shared" si="8"/>
        <v>0</v>
      </c>
      <c r="J11" s="117">
        <f t="shared" si="8"/>
        <v>0</v>
      </c>
      <c r="K11" s="117">
        <f t="shared" si="8"/>
        <v>0</v>
      </c>
      <c r="L11" s="117">
        <f t="shared" si="8"/>
        <v>0</v>
      </c>
      <c r="M11" s="117">
        <f t="shared" si="8"/>
        <v>0</v>
      </c>
      <c r="N11" s="117">
        <f t="shared" si="8"/>
        <v>0</v>
      </c>
      <c r="O11" s="117">
        <f t="shared" si="8"/>
        <v>0</v>
      </c>
      <c r="P11" s="117">
        <f t="shared" si="8"/>
        <v>0</v>
      </c>
      <c r="Q11" s="117">
        <f t="shared" si="8"/>
        <v>0</v>
      </c>
      <c r="R11" s="117">
        <f t="shared" si="8"/>
        <v>0</v>
      </c>
      <c r="S11" s="117">
        <f t="shared" si="8"/>
        <v>0</v>
      </c>
      <c r="T11" s="117">
        <f t="shared" si="8"/>
        <v>0</v>
      </c>
    </row>
    <row r="12" spans="1:36">
      <c r="A12" s="113" t="s">
        <v>199</v>
      </c>
      <c r="B12" s="113"/>
      <c r="C12" s="113" t="s">
        <v>977</v>
      </c>
      <c r="D12" s="118" t="s">
        <v>978</v>
      </c>
      <c r="E12" s="118" t="s">
        <v>978</v>
      </c>
      <c r="F12" s="118" t="s">
        <v>978</v>
      </c>
      <c r="G12" s="118" t="s">
        <v>978</v>
      </c>
      <c r="H12" s="118" t="s">
        <v>978</v>
      </c>
      <c r="I12" s="118" t="s">
        <v>978</v>
      </c>
      <c r="J12" s="118" t="s">
        <v>978</v>
      </c>
      <c r="K12" s="118" t="s">
        <v>978</v>
      </c>
      <c r="L12" s="118" t="s">
        <v>978</v>
      </c>
      <c r="M12" s="118" t="s">
        <v>978</v>
      </c>
      <c r="N12" s="118" t="s">
        <v>978</v>
      </c>
      <c r="O12" s="118" t="s">
        <v>978</v>
      </c>
      <c r="P12" s="118" t="s">
        <v>978</v>
      </c>
      <c r="Q12" s="118" t="s">
        <v>978</v>
      </c>
      <c r="R12" s="118" t="s">
        <v>978</v>
      </c>
      <c r="S12" s="118" t="s">
        <v>978</v>
      </c>
      <c r="T12" s="118" t="s">
        <v>978</v>
      </c>
    </row>
    <row r="13" spans="1:36" ht="15.15" thickBot="1">
      <c r="A13" s="119" t="s">
        <v>200</v>
      </c>
      <c r="B13" s="119"/>
      <c r="C13" s="119" t="s">
        <v>979</v>
      </c>
      <c r="D13" s="120">
        <f>D9</f>
        <v>42004</v>
      </c>
      <c r="E13" s="120">
        <f>E9</f>
        <v>42369</v>
      </c>
      <c r="F13" s="120">
        <f>F9</f>
        <v>42735</v>
      </c>
      <c r="G13" s="120">
        <f>G9</f>
        <v>43100</v>
      </c>
      <c r="H13" s="120">
        <f t="shared" ref="H13:T13" si="9">H9</f>
        <v>43465</v>
      </c>
      <c r="I13" s="120">
        <f t="shared" si="9"/>
        <v>0</v>
      </c>
      <c r="J13" s="120">
        <f t="shared" si="9"/>
        <v>0</v>
      </c>
      <c r="K13" s="120">
        <f t="shared" si="9"/>
        <v>0</v>
      </c>
      <c r="L13" s="120">
        <f t="shared" si="9"/>
        <v>0</v>
      </c>
      <c r="M13" s="120">
        <f t="shared" si="9"/>
        <v>0</v>
      </c>
      <c r="N13" s="120">
        <f t="shared" si="9"/>
        <v>0</v>
      </c>
      <c r="O13" s="120">
        <f t="shared" si="9"/>
        <v>0</v>
      </c>
      <c r="P13" s="120">
        <f t="shared" si="9"/>
        <v>0</v>
      </c>
      <c r="Q13" s="120">
        <f t="shared" si="9"/>
        <v>0</v>
      </c>
      <c r="R13" s="120">
        <f t="shared" si="9"/>
        <v>0</v>
      </c>
      <c r="S13" s="120">
        <f t="shared" si="9"/>
        <v>0</v>
      </c>
      <c r="T13" s="120">
        <f t="shared" si="9"/>
        <v>0</v>
      </c>
    </row>
    <row r="14" spans="1:36">
      <c r="A14" s="111" t="s">
        <v>169</v>
      </c>
      <c r="B14" s="111"/>
      <c r="C14" s="111" t="s">
        <v>170</v>
      </c>
      <c r="D14" s="111">
        <f t="shared" ref="D14:T14" si="10">IFERROR(SUMIF($A$88:$A$416,$A14,INDEX($D$88:$EE$416,0,MATCH(D$11,$D$84:$EF$84,0))),0)*Input_unit</f>
        <v>0</v>
      </c>
      <c r="E14" s="111">
        <f t="shared" si="10"/>
        <v>0</v>
      </c>
      <c r="F14" s="111">
        <f t="shared" si="10"/>
        <v>0</v>
      </c>
      <c r="G14" s="111">
        <f t="shared" si="10"/>
        <v>0</v>
      </c>
      <c r="H14" s="111">
        <f t="shared" si="10"/>
        <v>0</v>
      </c>
      <c r="I14" s="111">
        <f t="shared" si="10"/>
        <v>0</v>
      </c>
      <c r="J14" s="111">
        <f t="shared" si="10"/>
        <v>0</v>
      </c>
      <c r="K14" s="111">
        <f t="shared" si="10"/>
        <v>0</v>
      </c>
      <c r="L14" s="111">
        <f t="shared" si="10"/>
        <v>0</v>
      </c>
      <c r="M14" s="111">
        <f t="shared" si="10"/>
        <v>0</v>
      </c>
      <c r="N14" s="111">
        <f t="shared" si="10"/>
        <v>0</v>
      </c>
      <c r="O14" s="111">
        <f t="shared" si="10"/>
        <v>0</v>
      </c>
      <c r="P14" s="111">
        <f t="shared" si="10"/>
        <v>0</v>
      </c>
      <c r="Q14" s="111">
        <f t="shared" si="10"/>
        <v>0</v>
      </c>
      <c r="R14" s="111">
        <f t="shared" si="10"/>
        <v>0</v>
      </c>
      <c r="S14" s="111">
        <f t="shared" si="10"/>
        <v>0</v>
      </c>
      <c r="T14" s="111">
        <f t="shared" si="10"/>
        <v>0</v>
      </c>
    </row>
    <row r="15" spans="1:36">
      <c r="A15" s="56" t="s">
        <v>180</v>
      </c>
      <c r="B15" s="56"/>
      <c r="C15" s="56" t="s">
        <v>968</v>
      </c>
      <c r="D15" s="56">
        <f t="shared" ref="D15:T15" si="11">-IFERROR(SUMIF($A$88:$A$416,$A15,INDEX($D$88:$EE$416,0,MATCH(D$11,$D$84:$EF$84,0))),0)*Input_unit</f>
        <v>0</v>
      </c>
      <c r="E15" s="56">
        <f t="shared" si="11"/>
        <v>0</v>
      </c>
      <c r="F15" s="56">
        <f t="shared" si="11"/>
        <v>0</v>
      </c>
      <c r="G15" s="56">
        <f t="shared" si="11"/>
        <v>0</v>
      </c>
      <c r="H15" s="56">
        <f t="shared" si="11"/>
        <v>0</v>
      </c>
      <c r="I15" s="56">
        <f t="shared" si="11"/>
        <v>0</v>
      </c>
      <c r="J15" s="56">
        <f t="shared" si="11"/>
        <v>0</v>
      </c>
      <c r="K15" s="56">
        <f t="shared" si="11"/>
        <v>0</v>
      </c>
      <c r="L15" s="56">
        <f t="shared" si="11"/>
        <v>0</v>
      </c>
      <c r="M15" s="56">
        <f t="shared" si="11"/>
        <v>0</v>
      </c>
      <c r="N15" s="56">
        <f t="shared" si="11"/>
        <v>0</v>
      </c>
      <c r="O15" s="56">
        <f t="shared" si="11"/>
        <v>0</v>
      </c>
      <c r="P15" s="56">
        <f t="shared" si="11"/>
        <v>0</v>
      </c>
      <c r="Q15" s="56">
        <f t="shared" si="11"/>
        <v>0</v>
      </c>
      <c r="R15" s="56">
        <f t="shared" si="11"/>
        <v>0</v>
      </c>
      <c r="S15" s="56">
        <f t="shared" si="11"/>
        <v>0</v>
      </c>
      <c r="T15" s="56">
        <f t="shared" si="11"/>
        <v>0</v>
      </c>
    </row>
    <row r="16" spans="1:36">
      <c r="A16" s="98"/>
      <c r="B16" s="98"/>
      <c r="C16" s="98" t="s">
        <v>969</v>
      </c>
      <c r="D16" s="98">
        <f>SUM(D14:D15)</f>
        <v>0</v>
      </c>
      <c r="E16" s="98">
        <f t="shared" ref="E16:T16" si="12">SUM(E14:E15)</f>
        <v>0</v>
      </c>
      <c r="F16" s="98">
        <f t="shared" si="12"/>
        <v>0</v>
      </c>
      <c r="G16" s="98">
        <f t="shared" si="12"/>
        <v>0</v>
      </c>
      <c r="H16" s="98">
        <f t="shared" si="12"/>
        <v>0</v>
      </c>
      <c r="I16" s="98">
        <f t="shared" si="12"/>
        <v>0</v>
      </c>
      <c r="J16" s="98">
        <f t="shared" si="12"/>
        <v>0</v>
      </c>
      <c r="K16" s="98">
        <f t="shared" si="12"/>
        <v>0</v>
      </c>
      <c r="L16" s="98">
        <f t="shared" si="12"/>
        <v>0</v>
      </c>
      <c r="M16" s="98">
        <f t="shared" si="12"/>
        <v>0</v>
      </c>
      <c r="N16" s="98">
        <f t="shared" si="12"/>
        <v>0</v>
      </c>
      <c r="O16" s="98">
        <f t="shared" si="12"/>
        <v>0</v>
      </c>
      <c r="P16" s="98">
        <f t="shared" si="12"/>
        <v>0</v>
      </c>
      <c r="Q16" s="98">
        <f t="shared" si="12"/>
        <v>0</v>
      </c>
      <c r="R16" s="98">
        <f t="shared" si="12"/>
        <v>0</v>
      </c>
      <c r="S16" s="98">
        <f t="shared" si="12"/>
        <v>0</v>
      </c>
      <c r="T16" s="98">
        <f t="shared" si="12"/>
        <v>0</v>
      </c>
    </row>
    <row r="17" spans="1:20">
      <c r="A17" s="56" t="s">
        <v>182</v>
      </c>
      <c r="B17" s="56"/>
      <c r="C17" s="56" t="s">
        <v>201</v>
      </c>
      <c r="D17" s="56">
        <f t="shared" ref="D17:M19" si="13">-IFERROR(SUMIF($A$88:$A$416,$A17,INDEX($D$88:$EE$416,0,MATCH(D$11,$D$84:$EF$84,0))),0)*Input_unit</f>
        <v>0</v>
      </c>
      <c r="E17" s="56">
        <f t="shared" si="13"/>
        <v>0</v>
      </c>
      <c r="F17" s="56">
        <f t="shared" si="13"/>
        <v>0</v>
      </c>
      <c r="G17" s="56">
        <f t="shared" si="13"/>
        <v>0</v>
      </c>
      <c r="H17" s="56">
        <f t="shared" si="13"/>
        <v>0</v>
      </c>
      <c r="I17" s="56">
        <f t="shared" si="13"/>
        <v>0</v>
      </c>
      <c r="J17" s="56">
        <f t="shared" si="13"/>
        <v>0</v>
      </c>
      <c r="K17" s="56">
        <f t="shared" si="13"/>
        <v>0</v>
      </c>
      <c r="L17" s="56">
        <f t="shared" si="13"/>
        <v>0</v>
      </c>
      <c r="M17" s="56">
        <f t="shared" si="13"/>
        <v>0</v>
      </c>
      <c r="N17" s="56">
        <f t="shared" ref="N17:T19" si="14">-IFERROR(SUMIF($A$88:$A$416,$A17,INDEX($D$88:$EE$416,0,MATCH(N$11,$D$84:$EF$84,0))),0)*Input_unit</f>
        <v>0</v>
      </c>
      <c r="O17" s="56">
        <f t="shared" si="14"/>
        <v>0</v>
      </c>
      <c r="P17" s="56">
        <f t="shared" si="14"/>
        <v>0</v>
      </c>
      <c r="Q17" s="56">
        <f t="shared" si="14"/>
        <v>0</v>
      </c>
      <c r="R17" s="56">
        <f t="shared" si="14"/>
        <v>0</v>
      </c>
      <c r="S17" s="56">
        <f t="shared" si="14"/>
        <v>0</v>
      </c>
      <c r="T17" s="56">
        <f t="shared" si="14"/>
        <v>0</v>
      </c>
    </row>
    <row r="18" spans="1:20">
      <c r="A18" s="56" t="s">
        <v>608</v>
      </c>
      <c r="B18" s="56"/>
      <c r="C18" s="56" t="s">
        <v>970</v>
      </c>
      <c r="D18" s="56">
        <f t="shared" si="13"/>
        <v>0</v>
      </c>
      <c r="E18" s="56">
        <f t="shared" si="13"/>
        <v>0</v>
      </c>
      <c r="F18" s="56">
        <f t="shared" si="13"/>
        <v>0</v>
      </c>
      <c r="G18" s="56">
        <f t="shared" si="13"/>
        <v>0</v>
      </c>
      <c r="H18" s="56">
        <f t="shared" si="13"/>
        <v>0</v>
      </c>
      <c r="I18" s="56">
        <f t="shared" si="13"/>
        <v>0</v>
      </c>
      <c r="J18" s="56">
        <f t="shared" si="13"/>
        <v>0</v>
      </c>
      <c r="K18" s="56">
        <f t="shared" si="13"/>
        <v>0</v>
      </c>
      <c r="L18" s="56">
        <f t="shared" si="13"/>
        <v>0</v>
      </c>
      <c r="M18" s="56">
        <f t="shared" si="13"/>
        <v>0</v>
      </c>
      <c r="N18" s="56">
        <f t="shared" si="14"/>
        <v>0</v>
      </c>
      <c r="O18" s="56">
        <f t="shared" si="14"/>
        <v>0</v>
      </c>
      <c r="P18" s="56">
        <f t="shared" si="14"/>
        <v>0</v>
      </c>
      <c r="Q18" s="56">
        <f t="shared" si="14"/>
        <v>0</v>
      </c>
      <c r="R18" s="56">
        <f t="shared" si="14"/>
        <v>0</v>
      </c>
      <c r="S18" s="56">
        <f t="shared" si="14"/>
        <v>0</v>
      </c>
      <c r="T18" s="56">
        <f t="shared" si="14"/>
        <v>0</v>
      </c>
    </row>
    <row r="19" spans="1:20">
      <c r="A19" s="56" t="s">
        <v>611</v>
      </c>
      <c r="B19" s="56"/>
      <c r="C19" s="56" t="s">
        <v>971</v>
      </c>
      <c r="D19" s="56">
        <f t="shared" si="13"/>
        <v>0</v>
      </c>
      <c r="E19" s="56">
        <f t="shared" si="13"/>
        <v>0</v>
      </c>
      <c r="F19" s="56">
        <f t="shared" si="13"/>
        <v>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0</v>
      </c>
      <c r="K19" s="56">
        <f t="shared" si="13"/>
        <v>0</v>
      </c>
      <c r="L19" s="56">
        <f t="shared" si="13"/>
        <v>0</v>
      </c>
      <c r="M19" s="56">
        <f t="shared" si="13"/>
        <v>0</v>
      </c>
      <c r="N19" s="56">
        <f t="shared" si="14"/>
        <v>0</v>
      </c>
      <c r="O19" s="56">
        <f t="shared" si="14"/>
        <v>0</v>
      </c>
      <c r="P19" s="56">
        <f t="shared" si="14"/>
        <v>0</v>
      </c>
      <c r="Q19" s="56">
        <f t="shared" si="14"/>
        <v>0</v>
      </c>
      <c r="R19" s="56">
        <f t="shared" si="14"/>
        <v>0</v>
      </c>
      <c r="S19" s="56">
        <f t="shared" si="14"/>
        <v>0</v>
      </c>
      <c r="T19" s="56">
        <f t="shared" si="14"/>
        <v>0</v>
      </c>
    </row>
    <row r="20" spans="1:20">
      <c r="A20" s="56" t="s">
        <v>171</v>
      </c>
      <c r="B20" s="56"/>
      <c r="C20" s="56" t="s">
        <v>972</v>
      </c>
      <c r="D20" s="56">
        <f t="shared" ref="D20:T20" si="15">IFERROR(SUMIF($A$88:$A$416,$A20,INDEX($D$88:$EE$416,0,MATCH(D$11,$D$84:$EF$84,0))),0)*Input_unit</f>
        <v>0</v>
      </c>
      <c r="E20" s="56">
        <f t="shared" si="15"/>
        <v>0</v>
      </c>
      <c r="F20" s="56">
        <f t="shared" si="15"/>
        <v>0</v>
      </c>
      <c r="G20" s="56">
        <f t="shared" si="15"/>
        <v>0</v>
      </c>
      <c r="H20" s="56">
        <f t="shared" si="15"/>
        <v>0</v>
      </c>
      <c r="I20" s="56">
        <f t="shared" si="15"/>
        <v>0</v>
      </c>
      <c r="J20" s="56">
        <f t="shared" si="15"/>
        <v>0</v>
      </c>
      <c r="K20" s="56">
        <f t="shared" si="15"/>
        <v>0</v>
      </c>
      <c r="L20" s="56">
        <f t="shared" si="15"/>
        <v>0</v>
      </c>
      <c r="M20" s="56">
        <f t="shared" si="15"/>
        <v>0</v>
      </c>
      <c r="N20" s="56">
        <f t="shared" si="15"/>
        <v>0</v>
      </c>
      <c r="O20" s="56">
        <f t="shared" si="15"/>
        <v>0</v>
      </c>
      <c r="P20" s="56">
        <f t="shared" si="15"/>
        <v>0</v>
      </c>
      <c r="Q20" s="56">
        <f t="shared" si="15"/>
        <v>0</v>
      </c>
      <c r="R20" s="56">
        <f t="shared" si="15"/>
        <v>0</v>
      </c>
      <c r="S20" s="56">
        <f t="shared" si="15"/>
        <v>0</v>
      </c>
      <c r="T20" s="56">
        <f t="shared" si="15"/>
        <v>0</v>
      </c>
    </row>
    <row r="21" spans="1:20">
      <c r="A21" s="56"/>
      <c r="B21" s="56"/>
      <c r="C21" s="112" t="s">
        <v>973</v>
      </c>
      <c r="D21" s="112">
        <f t="shared" ref="D21:T21" si="16">depr_inc*(-D23-D24)</f>
        <v>0</v>
      </c>
      <c r="E21" s="112">
        <f t="shared" si="16"/>
        <v>0</v>
      </c>
      <c r="F21" s="112">
        <f t="shared" si="16"/>
        <v>0</v>
      </c>
      <c r="G21" s="112">
        <f t="shared" si="16"/>
        <v>0</v>
      </c>
      <c r="H21" s="112">
        <f t="shared" si="16"/>
        <v>0</v>
      </c>
      <c r="I21" s="112">
        <f t="shared" si="16"/>
        <v>0</v>
      </c>
      <c r="J21" s="112">
        <f t="shared" si="16"/>
        <v>0</v>
      </c>
      <c r="K21" s="112">
        <f t="shared" si="16"/>
        <v>0</v>
      </c>
      <c r="L21" s="112">
        <f t="shared" si="16"/>
        <v>0</v>
      </c>
      <c r="M21" s="112">
        <f t="shared" si="16"/>
        <v>0</v>
      </c>
      <c r="N21" s="112">
        <f t="shared" si="16"/>
        <v>0</v>
      </c>
      <c r="O21" s="112">
        <f t="shared" si="16"/>
        <v>0</v>
      </c>
      <c r="P21" s="112">
        <f t="shared" si="16"/>
        <v>0</v>
      </c>
      <c r="Q21" s="112">
        <f t="shared" si="16"/>
        <v>0</v>
      </c>
      <c r="R21" s="112">
        <f t="shared" si="16"/>
        <v>0</v>
      </c>
      <c r="S21" s="112">
        <f t="shared" si="16"/>
        <v>0</v>
      </c>
      <c r="T21" s="112">
        <f t="shared" si="16"/>
        <v>0</v>
      </c>
    </row>
    <row r="22" spans="1:20">
      <c r="A22" s="56"/>
      <c r="B22" s="56"/>
      <c r="C22" s="98" t="s">
        <v>684</v>
      </c>
      <c r="D22" s="98">
        <f>SUM(D16:D21)</f>
        <v>0</v>
      </c>
      <c r="E22" s="98">
        <f t="shared" ref="E22:T22" si="17">SUM(E16:E21)</f>
        <v>0</v>
      </c>
      <c r="F22" s="98">
        <f t="shared" si="17"/>
        <v>0</v>
      </c>
      <c r="G22" s="98">
        <f t="shared" si="17"/>
        <v>0</v>
      </c>
      <c r="H22" s="98">
        <f t="shared" si="17"/>
        <v>0</v>
      </c>
      <c r="I22" s="98">
        <f t="shared" si="17"/>
        <v>0</v>
      </c>
      <c r="J22" s="98">
        <f t="shared" si="17"/>
        <v>0</v>
      </c>
      <c r="K22" s="98">
        <f t="shared" si="17"/>
        <v>0</v>
      </c>
      <c r="L22" s="98">
        <f t="shared" si="17"/>
        <v>0</v>
      </c>
      <c r="M22" s="98">
        <f t="shared" si="17"/>
        <v>0</v>
      </c>
      <c r="N22" s="98">
        <f t="shared" si="17"/>
        <v>0</v>
      </c>
      <c r="O22" s="98">
        <f t="shared" si="17"/>
        <v>0</v>
      </c>
      <c r="P22" s="98">
        <f t="shared" si="17"/>
        <v>0</v>
      </c>
      <c r="Q22" s="98">
        <f t="shared" si="17"/>
        <v>0</v>
      </c>
      <c r="R22" s="98">
        <f t="shared" si="17"/>
        <v>0</v>
      </c>
      <c r="S22" s="98">
        <f t="shared" si="17"/>
        <v>0</v>
      </c>
      <c r="T22" s="98">
        <f t="shared" si="17"/>
        <v>0</v>
      </c>
    </row>
    <row r="23" spans="1:20">
      <c r="A23" s="56" t="s">
        <v>675</v>
      </c>
      <c r="B23" s="56"/>
      <c r="C23" s="112" t="s">
        <v>202</v>
      </c>
      <c r="D23" s="112">
        <f t="shared" ref="D23:M24" si="18">-IFERROR(SUMIF($A$88:$A$416,$A23,INDEX($D$88:$EE$416,0,MATCH(D$11,$D$84:$EF$84,0))),0)/Input_unit</f>
        <v>0</v>
      </c>
      <c r="E23" s="112">
        <f t="shared" si="18"/>
        <v>0</v>
      </c>
      <c r="F23" s="112">
        <f t="shared" si="18"/>
        <v>0</v>
      </c>
      <c r="G23" s="112">
        <f t="shared" si="18"/>
        <v>0</v>
      </c>
      <c r="H23" s="112">
        <f t="shared" si="18"/>
        <v>0</v>
      </c>
      <c r="I23" s="112">
        <f t="shared" si="18"/>
        <v>0</v>
      </c>
      <c r="J23" s="112">
        <f t="shared" si="18"/>
        <v>0</v>
      </c>
      <c r="K23" s="112">
        <f t="shared" si="18"/>
        <v>0</v>
      </c>
      <c r="L23" s="112">
        <f t="shared" si="18"/>
        <v>0</v>
      </c>
      <c r="M23" s="112">
        <f t="shared" si="18"/>
        <v>0</v>
      </c>
      <c r="N23" s="112">
        <f t="shared" ref="N23:T24" si="19">-IFERROR(SUMIF($A$88:$A$416,$A23,INDEX($D$88:$EE$416,0,MATCH(N$11,$D$84:$EF$84,0))),0)/Input_unit</f>
        <v>0</v>
      </c>
      <c r="O23" s="112">
        <f t="shared" si="19"/>
        <v>0</v>
      </c>
      <c r="P23" s="112">
        <f t="shared" si="19"/>
        <v>0</v>
      </c>
      <c r="Q23" s="112">
        <f t="shared" si="19"/>
        <v>0</v>
      </c>
      <c r="R23" s="112">
        <f t="shared" si="19"/>
        <v>0</v>
      </c>
      <c r="S23" s="112">
        <f t="shared" si="19"/>
        <v>0</v>
      </c>
      <c r="T23" s="112">
        <f t="shared" si="19"/>
        <v>0</v>
      </c>
    </row>
    <row r="24" spans="1:20">
      <c r="A24" s="56" t="s">
        <v>676</v>
      </c>
      <c r="B24" s="56"/>
      <c r="C24" s="112" t="s">
        <v>203</v>
      </c>
      <c r="D24" s="112">
        <f t="shared" si="18"/>
        <v>0</v>
      </c>
      <c r="E24" s="112">
        <f t="shared" si="18"/>
        <v>0</v>
      </c>
      <c r="F24" s="112">
        <f t="shared" si="18"/>
        <v>0</v>
      </c>
      <c r="G24" s="112">
        <f t="shared" si="18"/>
        <v>0</v>
      </c>
      <c r="H24" s="112">
        <f t="shared" si="18"/>
        <v>0</v>
      </c>
      <c r="I24" s="112">
        <f t="shared" si="18"/>
        <v>0</v>
      </c>
      <c r="J24" s="112">
        <f t="shared" si="18"/>
        <v>0</v>
      </c>
      <c r="K24" s="112">
        <f t="shared" si="18"/>
        <v>0</v>
      </c>
      <c r="L24" s="112">
        <f t="shared" si="18"/>
        <v>0</v>
      </c>
      <c r="M24" s="112">
        <f t="shared" si="18"/>
        <v>0</v>
      </c>
      <c r="N24" s="112">
        <f t="shared" si="19"/>
        <v>0</v>
      </c>
      <c r="O24" s="112">
        <f t="shared" si="19"/>
        <v>0</v>
      </c>
      <c r="P24" s="112">
        <f t="shared" si="19"/>
        <v>0</v>
      </c>
      <c r="Q24" s="112">
        <f t="shared" si="19"/>
        <v>0</v>
      </c>
      <c r="R24" s="112">
        <f t="shared" si="19"/>
        <v>0</v>
      </c>
      <c r="S24" s="112">
        <f t="shared" si="19"/>
        <v>0</v>
      </c>
      <c r="T24" s="112">
        <f t="shared" si="19"/>
        <v>0</v>
      </c>
    </row>
    <row r="25" spans="1:20">
      <c r="A25" s="98"/>
      <c r="B25" s="98"/>
      <c r="C25" s="98" t="s">
        <v>204</v>
      </c>
      <c r="D25" s="98">
        <f>SUM(D22:D24)</f>
        <v>0</v>
      </c>
      <c r="E25" s="98">
        <f t="shared" ref="E25:T25" si="20">SUM(E22:E24)</f>
        <v>0</v>
      </c>
      <c r="F25" s="98">
        <f t="shared" si="20"/>
        <v>0</v>
      </c>
      <c r="G25" s="98">
        <f t="shared" si="20"/>
        <v>0</v>
      </c>
      <c r="H25" s="98">
        <f t="shared" si="20"/>
        <v>0</v>
      </c>
      <c r="I25" s="98">
        <f t="shared" si="20"/>
        <v>0</v>
      </c>
      <c r="J25" s="98">
        <f t="shared" si="20"/>
        <v>0</v>
      </c>
      <c r="K25" s="98">
        <f t="shared" si="20"/>
        <v>0</v>
      </c>
      <c r="L25" s="98">
        <f t="shared" si="20"/>
        <v>0</v>
      </c>
      <c r="M25" s="98">
        <f t="shared" si="20"/>
        <v>0</v>
      </c>
      <c r="N25" s="98">
        <f t="shared" si="20"/>
        <v>0</v>
      </c>
      <c r="O25" s="98">
        <f t="shared" si="20"/>
        <v>0</v>
      </c>
      <c r="P25" s="98">
        <f t="shared" si="20"/>
        <v>0</v>
      </c>
      <c r="Q25" s="98">
        <f t="shared" si="20"/>
        <v>0</v>
      </c>
      <c r="R25" s="98">
        <f t="shared" si="20"/>
        <v>0</v>
      </c>
      <c r="S25" s="98">
        <f t="shared" si="20"/>
        <v>0</v>
      </c>
      <c r="T25" s="98">
        <f t="shared" si="20"/>
        <v>0</v>
      </c>
    </row>
    <row r="26" spans="1:20">
      <c r="A26" s="56" t="s">
        <v>628</v>
      </c>
      <c r="B26" s="56"/>
      <c r="C26" s="56" t="s">
        <v>974</v>
      </c>
      <c r="D26" s="56">
        <f t="shared" ref="D26:T26" si="21">IFERROR(SUMIF($A$88:$A$416,$A26,INDEX($D$88:$EE$416,0,MATCH(D$11,$D$84:$EF$84,0))),0)*Input_unit</f>
        <v>0</v>
      </c>
      <c r="E26" s="56">
        <f t="shared" si="21"/>
        <v>0</v>
      </c>
      <c r="F26" s="56">
        <f t="shared" si="21"/>
        <v>0</v>
      </c>
      <c r="G26" s="56">
        <f t="shared" si="21"/>
        <v>0</v>
      </c>
      <c r="H26" s="56">
        <f t="shared" si="21"/>
        <v>0</v>
      </c>
      <c r="I26" s="56">
        <f t="shared" si="21"/>
        <v>0</v>
      </c>
      <c r="J26" s="56">
        <f t="shared" si="21"/>
        <v>0</v>
      </c>
      <c r="K26" s="56">
        <f t="shared" si="21"/>
        <v>0</v>
      </c>
      <c r="L26" s="56">
        <f t="shared" si="21"/>
        <v>0</v>
      </c>
      <c r="M26" s="56">
        <f t="shared" si="21"/>
        <v>0</v>
      </c>
      <c r="N26" s="56">
        <f t="shared" si="21"/>
        <v>0</v>
      </c>
      <c r="O26" s="56">
        <f t="shared" si="21"/>
        <v>0</v>
      </c>
      <c r="P26" s="56">
        <f t="shared" si="21"/>
        <v>0</v>
      </c>
      <c r="Q26" s="56">
        <f t="shared" si="21"/>
        <v>0</v>
      </c>
      <c r="R26" s="56">
        <f t="shared" si="21"/>
        <v>0</v>
      </c>
      <c r="S26" s="56">
        <f t="shared" si="21"/>
        <v>0</v>
      </c>
      <c r="T26" s="56">
        <f t="shared" si="21"/>
        <v>0</v>
      </c>
    </row>
    <row r="27" spans="1:20">
      <c r="A27" s="56" t="s">
        <v>641</v>
      </c>
      <c r="B27" s="56"/>
      <c r="C27" s="97" t="s">
        <v>975</v>
      </c>
      <c r="D27" s="56">
        <f t="shared" ref="D27:M28" si="22">-IFERROR(SUMIF($A$88:$A$416,$A27,INDEX($D$88:$EE$416,0,MATCH(D$11,$D$84:$EF$84,0))),0)*Input_unit</f>
        <v>0</v>
      </c>
      <c r="E27" s="56">
        <f t="shared" si="22"/>
        <v>0</v>
      </c>
      <c r="F27" s="56">
        <f t="shared" si="22"/>
        <v>0</v>
      </c>
      <c r="G27" s="56">
        <f t="shared" si="22"/>
        <v>0</v>
      </c>
      <c r="H27" s="56">
        <f t="shared" si="22"/>
        <v>0</v>
      </c>
      <c r="I27" s="56">
        <f t="shared" si="22"/>
        <v>0</v>
      </c>
      <c r="J27" s="56">
        <f t="shared" si="22"/>
        <v>0</v>
      </c>
      <c r="K27" s="56">
        <f t="shared" si="22"/>
        <v>0</v>
      </c>
      <c r="L27" s="56">
        <f t="shared" si="22"/>
        <v>0</v>
      </c>
      <c r="M27" s="56">
        <f t="shared" si="22"/>
        <v>0</v>
      </c>
      <c r="N27" s="56">
        <f t="shared" ref="N27:T28" si="23">-IFERROR(SUMIF($A$88:$A$416,$A27,INDEX($D$88:$EE$416,0,MATCH(N$11,$D$84:$EF$84,0))),0)*Input_unit</f>
        <v>0</v>
      </c>
      <c r="O27" s="56">
        <f t="shared" si="23"/>
        <v>0</v>
      </c>
      <c r="P27" s="56">
        <f t="shared" si="23"/>
        <v>0</v>
      </c>
      <c r="Q27" s="56">
        <f t="shared" si="23"/>
        <v>0</v>
      </c>
      <c r="R27" s="56">
        <f t="shared" si="23"/>
        <v>0</v>
      </c>
      <c r="S27" s="56">
        <f t="shared" si="23"/>
        <v>0</v>
      </c>
      <c r="T27" s="56">
        <f t="shared" si="23"/>
        <v>0</v>
      </c>
    </row>
    <row r="28" spans="1:20">
      <c r="A28" s="56" t="s">
        <v>76</v>
      </c>
      <c r="B28" s="56"/>
      <c r="C28" s="97" t="s">
        <v>205</v>
      </c>
      <c r="D28" s="56">
        <f t="shared" si="22"/>
        <v>0</v>
      </c>
      <c r="E28" s="56">
        <f t="shared" si="22"/>
        <v>0</v>
      </c>
      <c r="F28" s="56">
        <f t="shared" si="22"/>
        <v>0</v>
      </c>
      <c r="G28" s="56">
        <f t="shared" si="22"/>
        <v>0</v>
      </c>
      <c r="H28" s="56">
        <f t="shared" si="22"/>
        <v>0</v>
      </c>
      <c r="I28" s="56">
        <f t="shared" si="22"/>
        <v>0</v>
      </c>
      <c r="J28" s="56">
        <f t="shared" si="22"/>
        <v>0</v>
      </c>
      <c r="K28" s="56">
        <f t="shared" si="22"/>
        <v>0</v>
      </c>
      <c r="L28" s="56">
        <f t="shared" si="22"/>
        <v>0</v>
      </c>
      <c r="M28" s="56">
        <f t="shared" si="22"/>
        <v>0</v>
      </c>
      <c r="N28" s="56">
        <f t="shared" si="23"/>
        <v>0</v>
      </c>
      <c r="O28" s="56">
        <f t="shared" si="23"/>
        <v>0</v>
      </c>
      <c r="P28" s="56">
        <f t="shared" si="23"/>
        <v>0</v>
      </c>
      <c r="Q28" s="56">
        <f t="shared" si="23"/>
        <v>0</v>
      </c>
      <c r="R28" s="56">
        <f t="shared" si="23"/>
        <v>0</v>
      </c>
      <c r="S28" s="56">
        <f t="shared" si="23"/>
        <v>0</v>
      </c>
      <c r="T28" s="56">
        <f t="shared" si="23"/>
        <v>0</v>
      </c>
    </row>
    <row r="29" spans="1:20">
      <c r="A29" s="56" t="s">
        <v>616</v>
      </c>
      <c r="B29" s="56"/>
      <c r="C29" s="97" t="s">
        <v>206</v>
      </c>
      <c r="D29" s="56">
        <f t="shared" ref="D29:M30" si="24">IFERROR(SUMIF($A$88:$A$416,$A29,INDEX($D$88:$EE$416,0,MATCH(D$11,$D$84:$EF$84,0))),0)*Input_unit</f>
        <v>0</v>
      </c>
      <c r="E29" s="56">
        <f t="shared" si="24"/>
        <v>0</v>
      </c>
      <c r="F29" s="56">
        <f t="shared" si="24"/>
        <v>0</v>
      </c>
      <c r="G29" s="56">
        <f t="shared" si="24"/>
        <v>0</v>
      </c>
      <c r="H29" s="56">
        <f t="shared" si="24"/>
        <v>0</v>
      </c>
      <c r="I29" s="56">
        <f t="shared" si="24"/>
        <v>0</v>
      </c>
      <c r="J29" s="56">
        <f t="shared" si="24"/>
        <v>0</v>
      </c>
      <c r="K29" s="56">
        <f t="shared" si="24"/>
        <v>0</v>
      </c>
      <c r="L29" s="56">
        <f t="shared" si="24"/>
        <v>0</v>
      </c>
      <c r="M29" s="56">
        <f t="shared" si="24"/>
        <v>0</v>
      </c>
      <c r="N29" s="56">
        <f t="shared" ref="N29:T30" si="25">IFERROR(SUMIF($A$88:$A$416,$A29,INDEX($D$88:$EE$416,0,MATCH(N$11,$D$84:$EF$84,0))),0)*Input_unit</f>
        <v>0</v>
      </c>
      <c r="O29" s="56">
        <f t="shared" si="25"/>
        <v>0</v>
      </c>
      <c r="P29" s="56">
        <f t="shared" si="25"/>
        <v>0</v>
      </c>
      <c r="Q29" s="56">
        <f t="shared" si="25"/>
        <v>0</v>
      </c>
      <c r="R29" s="56">
        <f t="shared" si="25"/>
        <v>0</v>
      </c>
      <c r="S29" s="56">
        <f t="shared" si="25"/>
        <v>0</v>
      </c>
      <c r="T29" s="56">
        <f t="shared" si="25"/>
        <v>0</v>
      </c>
    </row>
    <row r="30" spans="1:20">
      <c r="A30" s="56" t="s">
        <v>620</v>
      </c>
      <c r="B30" s="56"/>
      <c r="C30" s="97" t="s">
        <v>976</v>
      </c>
      <c r="D30" s="56">
        <f t="shared" si="24"/>
        <v>0</v>
      </c>
      <c r="E30" s="56">
        <f t="shared" si="24"/>
        <v>0</v>
      </c>
      <c r="F30" s="56">
        <f t="shared" si="24"/>
        <v>0</v>
      </c>
      <c r="G30" s="56">
        <f t="shared" si="24"/>
        <v>0</v>
      </c>
      <c r="H30" s="56">
        <f t="shared" si="24"/>
        <v>0</v>
      </c>
      <c r="I30" s="56">
        <f t="shared" si="24"/>
        <v>0</v>
      </c>
      <c r="J30" s="56">
        <f t="shared" si="24"/>
        <v>0</v>
      </c>
      <c r="K30" s="56">
        <f t="shared" si="24"/>
        <v>0</v>
      </c>
      <c r="L30" s="56">
        <f t="shared" si="24"/>
        <v>0</v>
      </c>
      <c r="M30" s="56">
        <f t="shared" si="24"/>
        <v>0</v>
      </c>
      <c r="N30" s="56">
        <f t="shared" si="25"/>
        <v>0</v>
      </c>
      <c r="O30" s="56">
        <f t="shared" si="25"/>
        <v>0</v>
      </c>
      <c r="P30" s="56">
        <f t="shared" si="25"/>
        <v>0</v>
      </c>
      <c r="Q30" s="56">
        <f t="shared" si="25"/>
        <v>0</v>
      </c>
      <c r="R30" s="56">
        <f t="shared" si="25"/>
        <v>0</v>
      </c>
      <c r="S30" s="56">
        <f t="shared" si="25"/>
        <v>0</v>
      </c>
      <c r="T30" s="56">
        <f t="shared" si="25"/>
        <v>0</v>
      </c>
    </row>
    <row r="31" spans="1:20">
      <c r="A31" s="98"/>
      <c r="B31" s="98"/>
      <c r="C31" s="99" t="s">
        <v>207</v>
      </c>
      <c r="D31" s="98">
        <f>SUM(D25:D30)</f>
        <v>0</v>
      </c>
      <c r="E31" s="98">
        <f t="shared" ref="E31:T31" si="26">SUM(E25:E30)</f>
        <v>0</v>
      </c>
      <c r="F31" s="98">
        <f t="shared" si="26"/>
        <v>0</v>
      </c>
      <c r="G31" s="98">
        <f t="shared" si="26"/>
        <v>0</v>
      </c>
      <c r="H31" s="98">
        <f t="shared" si="26"/>
        <v>0</v>
      </c>
      <c r="I31" s="98">
        <f t="shared" si="26"/>
        <v>0</v>
      </c>
      <c r="J31" s="98">
        <f t="shared" si="26"/>
        <v>0</v>
      </c>
      <c r="K31" s="98">
        <f t="shared" si="26"/>
        <v>0</v>
      </c>
      <c r="L31" s="98">
        <f t="shared" si="26"/>
        <v>0</v>
      </c>
      <c r="M31" s="98">
        <f t="shared" si="26"/>
        <v>0</v>
      </c>
      <c r="N31" s="98">
        <f t="shared" si="26"/>
        <v>0</v>
      </c>
      <c r="O31" s="98">
        <f t="shared" si="26"/>
        <v>0</v>
      </c>
      <c r="P31" s="98">
        <f t="shared" si="26"/>
        <v>0</v>
      </c>
      <c r="Q31" s="98">
        <f t="shared" si="26"/>
        <v>0</v>
      </c>
      <c r="R31" s="98">
        <f t="shared" si="26"/>
        <v>0</v>
      </c>
      <c r="S31" s="98">
        <f t="shared" si="26"/>
        <v>0</v>
      </c>
      <c r="T31" s="98">
        <f t="shared" si="26"/>
        <v>0</v>
      </c>
    </row>
    <row r="32" spans="1:20">
      <c r="A32" s="56" t="s">
        <v>668</v>
      </c>
      <c r="B32" s="56"/>
      <c r="C32" s="56" t="s">
        <v>980</v>
      </c>
      <c r="D32" s="56">
        <f t="shared" ref="D32:T32" si="27">-IFERROR(SUMIF($A$88:$A$416,$A32,INDEX($D$88:$EE$416,0,MATCH(D$11,$D$84:$EF$84,0))),0)*Input_unit</f>
        <v>0</v>
      </c>
      <c r="E32" s="56">
        <f t="shared" si="27"/>
        <v>0</v>
      </c>
      <c r="F32" s="56">
        <f t="shared" si="27"/>
        <v>0</v>
      </c>
      <c r="G32" s="56">
        <f t="shared" si="27"/>
        <v>0</v>
      </c>
      <c r="H32" s="56">
        <f t="shared" si="27"/>
        <v>0</v>
      </c>
      <c r="I32" s="56">
        <f t="shared" si="27"/>
        <v>0</v>
      </c>
      <c r="J32" s="56">
        <f t="shared" si="27"/>
        <v>0</v>
      </c>
      <c r="K32" s="56">
        <f t="shared" si="27"/>
        <v>0</v>
      </c>
      <c r="L32" s="56">
        <f t="shared" si="27"/>
        <v>0</v>
      </c>
      <c r="M32" s="56">
        <f t="shared" si="27"/>
        <v>0</v>
      </c>
      <c r="N32" s="56">
        <f t="shared" si="27"/>
        <v>0</v>
      </c>
      <c r="O32" s="56">
        <f t="shared" si="27"/>
        <v>0</v>
      </c>
      <c r="P32" s="56">
        <f t="shared" si="27"/>
        <v>0</v>
      </c>
      <c r="Q32" s="56">
        <f t="shared" si="27"/>
        <v>0</v>
      </c>
      <c r="R32" s="56">
        <f t="shared" si="27"/>
        <v>0</v>
      </c>
      <c r="S32" s="56">
        <f t="shared" si="27"/>
        <v>0</v>
      </c>
      <c r="T32" s="56">
        <f t="shared" si="27"/>
        <v>0</v>
      </c>
    </row>
    <row r="33" spans="1:20">
      <c r="A33" s="98"/>
      <c r="B33" s="98"/>
      <c r="C33" s="98" t="s">
        <v>208</v>
      </c>
      <c r="D33" s="98">
        <f>SUM(D31:D32)</f>
        <v>0</v>
      </c>
      <c r="E33" s="98">
        <f t="shared" ref="E33:T33" si="28">SUM(E31:E32)</f>
        <v>0</v>
      </c>
      <c r="F33" s="98">
        <f t="shared" si="28"/>
        <v>0</v>
      </c>
      <c r="G33" s="98">
        <f t="shared" si="28"/>
        <v>0</v>
      </c>
      <c r="H33" s="98">
        <f t="shared" si="28"/>
        <v>0</v>
      </c>
      <c r="I33" s="98">
        <f t="shared" si="28"/>
        <v>0</v>
      </c>
      <c r="J33" s="98">
        <f t="shared" si="28"/>
        <v>0</v>
      </c>
      <c r="K33" s="98">
        <f t="shared" si="28"/>
        <v>0</v>
      </c>
      <c r="L33" s="98">
        <f t="shared" si="28"/>
        <v>0</v>
      </c>
      <c r="M33" s="98">
        <f t="shared" si="28"/>
        <v>0</v>
      </c>
      <c r="N33" s="98">
        <f t="shared" si="28"/>
        <v>0</v>
      </c>
      <c r="O33" s="98">
        <f t="shared" si="28"/>
        <v>0</v>
      </c>
      <c r="P33" s="98">
        <f t="shared" si="28"/>
        <v>0</v>
      </c>
      <c r="Q33" s="98">
        <f t="shared" si="28"/>
        <v>0</v>
      </c>
      <c r="R33" s="98">
        <f t="shared" si="28"/>
        <v>0</v>
      </c>
      <c r="S33" s="98">
        <f t="shared" si="28"/>
        <v>0</v>
      </c>
      <c r="T33" s="98">
        <f t="shared" si="28"/>
        <v>0</v>
      </c>
    </row>
    <row r="34" spans="1:20">
      <c r="A34" s="56" t="s">
        <v>672</v>
      </c>
      <c r="B34" s="56"/>
      <c r="C34" s="56" t="s">
        <v>209</v>
      </c>
      <c r="D34" s="56">
        <f t="shared" ref="D34:T34" si="29">-IFERROR(SUMIF($A$88:$A$416,$A34,INDEX($D$88:$EE$416,0,MATCH(D$11,$D$84:$EF$84,0))),0)*Input_unit</f>
        <v>0</v>
      </c>
      <c r="E34" s="56">
        <f t="shared" si="29"/>
        <v>0</v>
      </c>
      <c r="F34" s="56">
        <f t="shared" si="29"/>
        <v>0</v>
      </c>
      <c r="G34" s="56">
        <f t="shared" si="29"/>
        <v>0</v>
      </c>
      <c r="H34" s="56">
        <f t="shared" si="29"/>
        <v>0</v>
      </c>
      <c r="I34" s="56">
        <f t="shared" si="29"/>
        <v>0</v>
      </c>
      <c r="J34" s="56">
        <f t="shared" si="29"/>
        <v>0</v>
      </c>
      <c r="K34" s="56">
        <f t="shared" si="29"/>
        <v>0</v>
      </c>
      <c r="L34" s="56">
        <f t="shared" si="29"/>
        <v>0</v>
      </c>
      <c r="M34" s="56">
        <f t="shared" si="29"/>
        <v>0</v>
      </c>
      <c r="N34" s="56">
        <f t="shared" si="29"/>
        <v>0</v>
      </c>
      <c r="O34" s="56">
        <f t="shared" si="29"/>
        <v>0</v>
      </c>
      <c r="P34" s="56">
        <f t="shared" si="29"/>
        <v>0</v>
      </c>
      <c r="Q34" s="56">
        <f t="shared" si="29"/>
        <v>0</v>
      </c>
      <c r="R34" s="56">
        <f t="shared" si="29"/>
        <v>0</v>
      </c>
      <c r="S34" s="56">
        <f t="shared" si="29"/>
        <v>0</v>
      </c>
      <c r="T34" s="56">
        <f t="shared" si="29"/>
        <v>0</v>
      </c>
    </row>
    <row r="35" spans="1:20">
      <c r="A35" s="98"/>
      <c r="B35" s="98"/>
      <c r="C35" s="98" t="s">
        <v>192</v>
      </c>
      <c r="D35" s="98">
        <f>SUM(D33:D34)</f>
        <v>0</v>
      </c>
      <c r="E35" s="98">
        <f t="shared" ref="E35:T35" si="30">SUM(E33:E34)</f>
        <v>0</v>
      </c>
      <c r="F35" s="98">
        <f t="shared" si="30"/>
        <v>0</v>
      </c>
      <c r="G35" s="98">
        <f t="shared" si="30"/>
        <v>0</v>
      </c>
      <c r="H35" s="98">
        <f t="shared" si="30"/>
        <v>0</v>
      </c>
      <c r="I35" s="98">
        <f t="shared" si="30"/>
        <v>0</v>
      </c>
      <c r="J35" s="98">
        <f t="shared" si="30"/>
        <v>0</v>
      </c>
      <c r="K35" s="98">
        <f t="shared" si="30"/>
        <v>0</v>
      </c>
      <c r="L35" s="98">
        <f t="shared" si="30"/>
        <v>0</v>
      </c>
      <c r="M35" s="98">
        <f t="shared" si="30"/>
        <v>0</v>
      </c>
      <c r="N35" s="98">
        <f t="shared" si="30"/>
        <v>0</v>
      </c>
      <c r="O35" s="98">
        <f t="shared" si="30"/>
        <v>0</v>
      </c>
      <c r="P35" s="98">
        <f t="shared" si="30"/>
        <v>0</v>
      </c>
      <c r="Q35" s="98">
        <f t="shared" si="30"/>
        <v>0</v>
      </c>
      <c r="R35" s="98">
        <f t="shared" si="30"/>
        <v>0</v>
      </c>
      <c r="S35" s="98">
        <f t="shared" si="30"/>
        <v>0</v>
      </c>
      <c r="T35" s="98">
        <f t="shared" si="30"/>
        <v>0</v>
      </c>
    </row>
    <row r="36" spans="1:20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</row>
    <row r="37" spans="1:20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</row>
    <row r="38" spans="1:20">
      <c r="A38" s="121" t="s">
        <v>210</v>
      </c>
      <c r="B38" s="121"/>
      <c r="C38" s="122" t="s">
        <v>581</v>
      </c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</row>
    <row r="39" spans="1:20" ht="15.15" thickBot="1">
      <c r="A39" s="123" t="s">
        <v>580</v>
      </c>
      <c r="B39" s="123"/>
      <c r="C39" s="123"/>
      <c r="D39" s="124">
        <f>D9</f>
        <v>42004</v>
      </c>
      <c r="E39" s="124">
        <f t="shared" ref="E39:T39" si="31">E9</f>
        <v>42369</v>
      </c>
      <c r="F39" s="124">
        <f t="shared" si="31"/>
        <v>42735</v>
      </c>
      <c r="G39" s="124">
        <f t="shared" si="31"/>
        <v>43100</v>
      </c>
      <c r="H39" s="124">
        <f t="shared" si="31"/>
        <v>43465</v>
      </c>
      <c r="I39" s="124">
        <f t="shared" si="31"/>
        <v>0</v>
      </c>
      <c r="J39" s="124">
        <f t="shared" si="31"/>
        <v>0</v>
      </c>
      <c r="K39" s="124">
        <f t="shared" si="31"/>
        <v>0</v>
      </c>
      <c r="L39" s="124">
        <f t="shared" si="31"/>
        <v>0</v>
      </c>
      <c r="M39" s="124">
        <f t="shared" si="31"/>
        <v>0</v>
      </c>
      <c r="N39" s="124">
        <f t="shared" si="31"/>
        <v>0</v>
      </c>
      <c r="O39" s="124">
        <f t="shared" si="31"/>
        <v>0</v>
      </c>
      <c r="P39" s="124">
        <f t="shared" si="31"/>
        <v>0</v>
      </c>
      <c r="Q39" s="124">
        <f t="shared" si="31"/>
        <v>0</v>
      </c>
      <c r="R39" s="124">
        <f t="shared" si="31"/>
        <v>0</v>
      </c>
      <c r="S39" s="124">
        <f t="shared" si="31"/>
        <v>0</v>
      </c>
      <c r="T39" s="124">
        <f t="shared" si="31"/>
        <v>0</v>
      </c>
    </row>
    <row r="40" spans="1:20">
      <c r="A40" s="113"/>
      <c r="B40" s="113"/>
      <c r="C40" s="113" t="s">
        <v>211</v>
      </c>
      <c r="D40" s="113">
        <f>D55-D80</f>
        <v>0</v>
      </c>
      <c r="E40" s="113">
        <f t="shared" ref="E40:T40" si="32">E55-E80</f>
        <v>0</v>
      </c>
      <c r="F40" s="113">
        <f t="shared" si="32"/>
        <v>0</v>
      </c>
      <c r="G40" s="113">
        <f t="shared" si="32"/>
        <v>0</v>
      </c>
      <c r="H40" s="113">
        <f t="shared" si="32"/>
        <v>0</v>
      </c>
      <c r="I40" s="113">
        <f t="shared" si="32"/>
        <v>0</v>
      </c>
      <c r="J40" s="113">
        <f t="shared" si="32"/>
        <v>0</v>
      </c>
      <c r="K40" s="113">
        <f t="shared" si="32"/>
        <v>0</v>
      </c>
      <c r="L40" s="113">
        <f t="shared" si="32"/>
        <v>0</v>
      </c>
      <c r="M40" s="113">
        <f t="shared" si="32"/>
        <v>0</v>
      </c>
      <c r="N40" s="113">
        <f t="shared" si="32"/>
        <v>0</v>
      </c>
      <c r="O40" s="113">
        <f t="shared" si="32"/>
        <v>0</v>
      </c>
      <c r="P40" s="113">
        <f t="shared" si="32"/>
        <v>0</v>
      </c>
      <c r="Q40" s="113">
        <f t="shared" si="32"/>
        <v>0</v>
      </c>
      <c r="R40" s="113">
        <f t="shared" si="32"/>
        <v>0</v>
      </c>
      <c r="S40" s="113">
        <f t="shared" si="32"/>
        <v>0</v>
      </c>
      <c r="T40" s="113">
        <f t="shared" si="32"/>
        <v>0</v>
      </c>
    </row>
    <row r="41" spans="1:20">
      <c r="A41" s="98" t="s">
        <v>212</v>
      </c>
      <c r="B41" s="98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</row>
    <row r="42" spans="1:20">
      <c r="A42" s="56" t="s">
        <v>55</v>
      </c>
      <c r="B42" s="56"/>
      <c r="C42" s="56" t="s">
        <v>213</v>
      </c>
      <c r="D42" s="56">
        <f t="shared" ref="D42:M47" si="33">IFERROR(SUMIF($A$88:$A$416,$A42,INDEX($D$88:$EE$416,0,MATCH(D$11,$D$84:$EF$84,0))),0)*Input_unit</f>
        <v>0</v>
      </c>
      <c r="E42" s="56">
        <f t="shared" si="33"/>
        <v>0</v>
      </c>
      <c r="F42" s="56">
        <f t="shared" si="33"/>
        <v>0</v>
      </c>
      <c r="G42" s="56">
        <f t="shared" si="33"/>
        <v>0</v>
      </c>
      <c r="H42" s="56">
        <f t="shared" si="33"/>
        <v>0</v>
      </c>
      <c r="I42" s="56">
        <f t="shared" si="33"/>
        <v>0</v>
      </c>
      <c r="J42" s="56">
        <f t="shared" si="33"/>
        <v>0</v>
      </c>
      <c r="K42" s="56">
        <f t="shared" si="33"/>
        <v>0</v>
      </c>
      <c r="L42" s="56">
        <f t="shared" si="33"/>
        <v>0</v>
      </c>
      <c r="M42" s="56">
        <f t="shared" si="33"/>
        <v>0</v>
      </c>
      <c r="N42" s="56">
        <f t="shared" ref="N42:T47" si="34">IFERROR(SUMIF($A$88:$A$416,$A42,INDEX($D$88:$EE$416,0,MATCH(N$11,$D$84:$EF$84,0))),0)*Input_unit</f>
        <v>0</v>
      </c>
      <c r="O42" s="56">
        <f t="shared" si="34"/>
        <v>0</v>
      </c>
      <c r="P42" s="56">
        <f t="shared" si="34"/>
        <v>0</v>
      </c>
      <c r="Q42" s="56">
        <f t="shared" si="34"/>
        <v>0</v>
      </c>
      <c r="R42" s="56">
        <f t="shared" si="34"/>
        <v>0</v>
      </c>
      <c r="S42" s="56">
        <f t="shared" si="34"/>
        <v>0</v>
      </c>
      <c r="T42" s="56">
        <f t="shared" si="34"/>
        <v>0</v>
      </c>
    </row>
    <row r="43" spans="1:20">
      <c r="A43" s="56" t="s">
        <v>56</v>
      </c>
      <c r="B43" s="56"/>
      <c r="C43" s="56" t="s">
        <v>214</v>
      </c>
      <c r="D43" s="56">
        <f t="shared" si="33"/>
        <v>0</v>
      </c>
      <c r="E43" s="56">
        <f t="shared" si="33"/>
        <v>0</v>
      </c>
      <c r="F43" s="56">
        <f t="shared" si="33"/>
        <v>0</v>
      </c>
      <c r="G43" s="56">
        <f t="shared" si="33"/>
        <v>0</v>
      </c>
      <c r="H43" s="56">
        <f t="shared" si="33"/>
        <v>0</v>
      </c>
      <c r="I43" s="56">
        <f t="shared" si="33"/>
        <v>0</v>
      </c>
      <c r="J43" s="56">
        <f t="shared" si="33"/>
        <v>0</v>
      </c>
      <c r="K43" s="56">
        <f t="shared" si="33"/>
        <v>0</v>
      </c>
      <c r="L43" s="56">
        <f t="shared" si="33"/>
        <v>0</v>
      </c>
      <c r="M43" s="56">
        <f t="shared" si="33"/>
        <v>0</v>
      </c>
      <c r="N43" s="56">
        <f t="shared" si="34"/>
        <v>0</v>
      </c>
      <c r="O43" s="56">
        <f t="shared" si="34"/>
        <v>0</v>
      </c>
      <c r="P43" s="56">
        <f t="shared" si="34"/>
        <v>0</v>
      </c>
      <c r="Q43" s="56">
        <f t="shared" si="34"/>
        <v>0</v>
      </c>
      <c r="R43" s="56">
        <f t="shared" si="34"/>
        <v>0</v>
      </c>
      <c r="S43" s="56">
        <f t="shared" si="34"/>
        <v>0</v>
      </c>
      <c r="T43" s="56">
        <f t="shared" si="34"/>
        <v>0</v>
      </c>
    </row>
    <row r="44" spans="1:20">
      <c r="A44" s="56" t="s">
        <v>63</v>
      </c>
      <c r="B44" s="56"/>
      <c r="C44" s="97" t="s">
        <v>215</v>
      </c>
      <c r="D44" s="56">
        <f t="shared" si="33"/>
        <v>0</v>
      </c>
      <c r="E44" s="56">
        <f t="shared" si="33"/>
        <v>0</v>
      </c>
      <c r="F44" s="56">
        <f t="shared" si="33"/>
        <v>0</v>
      </c>
      <c r="G44" s="56">
        <f t="shared" si="33"/>
        <v>0</v>
      </c>
      <c r="H44" s="56">
        <f t="shared" si="33"/>
        <v>0</v>
      </c>
      <c r="I44" s="56">
        <f t="shared" si="33"/>
        <v>0</v>
      </c>
      <c r="J44" s="56">
        <f t="shared" si="33"/>
        <v>0</v>
      </c>
      <c r="K44" s="56">
        <f t="shared" si="33"/>
        <v>0</v>
      </c>
      <c r="L44" s="56">
        <f t="shared" si="33"/>
        <v>0</v>
      </c>
      <c r="M44" s="56">
        <f t="shared" si="33"/>
        <v>0</v>
      </c>
      <c r="N44" s="56">
        <f t="shared" si="34"/>
        <v>0</v>
      </c>
      <c r="O44" s="56">
        <f t="shared" si="34"/>
        <v>0</v>
      </c>
      <c r="P44" s="56">
        <f t="shared" si="34"/>
        <v>0</v>
      </c>
      <c r="Q44" s="56">
        <f t="shared" si="34"/>
        <v>0</v>
      </c>
      <c r="R44" s="56">
        <f t="shared" si="34"/>
        <v>0</v>
      </c>
      <c r="S44" s="56">
        <f t="shared" si="34"/>
        <v>0</v>
      </c>
      <c r="T44" s="56">
        <f t="shared" si="34"/>
        <v>0</v>
      </c>
    </row>
    <row r="45" spans="1:20">
      <c r="A45" s="56" t="s">
        <v>58</v>
      </c>
      <c r="B45" s="56"/>
      <c r="C45" s="97" t="s">
        <v>6</v>
      </c>
      <c r="D45" s="56">
        <f t="shared" si="33"/>
        <v>0</v>
      </c>
      <c r="E45" s="56">
        <f t="shared" si="33"/>
        <v>0</v>
      </c>
      <c r="F45" s="56">
        <f t="shared" si="33"/>
        <v>0</v>
      </c>
      <c r="G45" s="56">
        <f t="shared" si="33"/>
        <v>0</v>
      </c>
      <c r="H45" s="56">
        <f t="shared" si="33"/>
        <v>0</v>
      </c>
      <c r="I45" s="56">
        <f t="shared" si="33"/>
        <v>0</v>
      </c>
      <c r="J45" s="56">
        <f t="shared" si="33"/>
        <v>0</v>
      </c>
      <c r="K45" s="56">
        <f t="shared" si="33"/>
        <v>0</v>
      </c>
      <c r="L45" s="56">
        <f t="shared" si="33"/>
        <v>0</v>
      </c>
      <c r="M45" s="56">
        <f t="shared" si="33"/>
        <v>0</v>
      </c>
      <c r="N45" s="56">
        <f t="shared" si="34"/>
        <v>0</v>
      </c>
      <c r="O45" s="56">
        <f t="shared" si="34"/>
        <v>0</v>
      </c>
      <c r="P45" s="56">
        <f t="shared" si="34"/>
        <v>0</v>
      </c>
      <c r="Q45" s="56">
        <f t="shared" si="34"/>
        <v>0</v>
      </c>
      <c r="R45" s="56">
        <f t="shared" si="34"/>
        <v>0</v>
      </c>
      <c r="S45" s="56">
        <f t="shared" si="34"/>
        <v>0</v>
      </c>
      <c r="T45" s="56">
        <f t="shared" si="34"/>
        <v>0</v>
      </c>
    </row>
    <row r="46" spans="1:20">
      <c r="A46" s="56" t="s">
        <v>57</v>
      </c>
      <c r="B46" s="56"/>
      <c r="C46" s="97" t="s">
        <v>582</v>
      </c>
      <c r="D46" s="56">
        <f t="shared" si="33"/>
        <v>0</v>
      </c>
      <c r="E46" s="56">
        <f t="shared" si="33"/>
        <v>0</v>
      </c>
      <c r="F46" s="56">
        <f t="shared" si="33"/>
        <v>0</v>
      </c>
      <c r="G46" s="56">
        <f t="shared" si="33"/>
        <v>0</v>
      </c>
      <c r="H46" s="56">
        <f t="shared" si="33"/>
        <v>0</v>
      </c>
      <c r="I46" s="56">
        <f t="shared" si="33"/>
        <v>0</v>
      </c>
      <c r="J46" s="56">
        <f t="shared" si="33"/>
        <v>0</v>
      </c>
      <c r="K46" s="56">
        <f t="shared" si="33"/>
        <v>0</v>
      </c>
      <c r="L46" s="56">
        <f t="shared" si="33"/>
        <v>0</v>
      </c>
      <c r="M46" s="56">
        <f t="shared" si="33"/>
        <v>0</v>
      </c>
      <c r="N46" s="56">
        <f t="shared" si="34"/>
        <v>0</v>
      </c>
      <c r="O46" s="56">
        <f t="shared" si="34"/>
        <v>0</v>
      </c>
      <c r="P46" s="56">
        <f t="shared" si="34"/>
        <v>0</v>
      </c>
      <c r="Q46" s="56">
        <f t="shared" si="34"/>
        <v>0</v>
      </c>
      <c r="R46" s="56">
        <f t="shared" si="34"/>
        <v>0</v>
      </c>
      <c r="S46" s="56">
        <f t="shared" si="34"/>
        <v>0</v>
      </c>
      <c r="T46" s="56">
        <f t="shared" si="34"/>
        <v>0</v>
      </c>
    </row>
    <row r="47" spans="1:20">
      <c r="A47" s="56" t="s">
        <v>60</v>
      </c>
      <c r="B47" s="56"/>
      <c r="C47" s="97" t="s">
        <v>216</v>
      </c>
      <c r="D47" s="56">
        <f t="shared" si="33"/>
        <v>0</v>
      </c>
      <c r="E47" s="56">
        <f t="shared" si="33"/>
        <v>0</v>
      </c>
      <c r="F47" s="56">
        <f t="shared" si="33"/>
        <v>0</v>
      </c>
      <c r="G47" s="56">
        <f t="shared" si="33"/>
        <v>0</v>
      </c>
      <c r="H47" s="56">
        <f t="shared" si="33"/>
        <v>0</v>
      </c>
      <c r="I47" s="56">
        <f t="shared" si="33"/>
        <v>0</v>
      </c>
      <c r="J47" s="56">
        <f t="shared" si="33"/>
        <v>0</v>
      </c>
      <c r="K47" s="56">
        <f t="shared" si="33"/>
        <v>0</v>
      </c>
      <c r="L47" s="56">
        <f t="shared" si="33"/>
        <v>0</v>
      </c>
      <c r="M47" s="56">
        <f t="shared" si="33"/>
        <v>0</v>
      </c>
      <c r="N47" s="56">
        <f t="shared" si="34"/>
        <v>0</v>
      </c>
      <c r="O47" s="56">
        <f t="shared" si="34"/>
        <v>0</v>
      </c>
      <c r="P47" s="56">
        <f t="shared" si="34"/>
        <v>0</v>
      </c>
      <c r="Q47" s="56">
        <f t="shared" si="34"/>
        <v>0</v>
      </c>
      <c r="R47" s="56">
        <f t="shared" si="34"/>
        <v>0</v>
      </c>
      <c r="S47" s="56">
        <f t="shared" si="34"/>
        <v>0</v>
      </c>
      <c r="T47" s="56">
        <f t="shared" si="34"/>
        <v>0</v>
      </c>
    </row>
    <row r="48" spans="1:20">
      <c r="A48" s="98"/>
      <c r="B48" s="98"/>
      <c r="C48" s="99" t="s">
        <v>217</v>
      </c>
      <c r="D48" s="98">
        <f>SUM(D42:D47)</f>
        <v>0</v>
      </c>
      <c r="E48" s="98">
        <f t="shared" ref="E48:T48" si="35">SUM(E42:E47)</f>
        <v>0</v>
      </c>
      <c r="F48" s="98">
        <f t="shared" si="35"/>
        <v>0</v>
      </c>
      <c r="G48" s="98">
        <f t="shared" si="35"/>
        <v>0</v>
      </c>
      <c r="H48" s="98">
        <f t="shared" si="35"/>
        <v>0</v>
      </c>
      <c r="I48" s="98">
        <f t="shared" si="35"/>
        <v>0</v>
      </c>
      <c r="J48" s="98">
        <f t="shared" si="35"/>
        <v>0</v>
      </c>
      <c r="K48" s="98">
        <f t="shared" si="35"/>
        <v>0</v>
      </c>
      <c r="L48" s="98">
        <f t="shared" si="35"/>
        <v>0</v>
      </c>
      <c r="M48" s="98">
        <f t="shared" si="35"/>
        <v>0</v>
      </c>
      <c r="N48" s="98">
        <f t="shared" si="35"/>
        <v>0</v>
      </c>
      <c r="O48" s="98">
        <f t="shared" si="35"/>
        <v>0</v>
      </c>
      <c r="P48" s="98">
        <f t="shared" si="35"/>
        <v>0</v>
      </c>
      <c r="Q48" s="98">
        <f t="shared" si="35"/>
        <v>0</v>
      </c>
      <c r="R48" s="98">
        <f t="shared" si="35"/>
        <v>0</v>
      </c>
      <c r="S48" s="98">
        <f t="shared" si="35"/>
        <v>0</v>
      </c>
      <c r="T48" s="98">
        <f t="shared" si="35"/>
        <v>0</v>
      </c>
    </row>
    <row r="49" spans="1:20">
      <c r="A49" s="56" t="s">
        <v>583</v>
      </c>
      <c r="B49" s="56"/>
      <c r="C49" s="97" t="s">
        <v>218</v>
      </c>
      <c r="D49" s="56">
        <f t="shared" ref="D49:M53" si="36">IFERROR(SUMIF($A$88:$A$416,$A49,INDEX($D$88:$EE$416,0,MATCH(D$11,$D$84:$EF$84,0))),0)*Input_unit</f>
        <v>0</v>
      </c>
      <c r="E49" s="56">
        <f t="shared" si="36"/>
        <v>0</v>
      </c>
      <c r="F49" s="56">
        <f t="shared" si="36"/>
        <v>0</v>
      </c>
      <c r="G49" s="56">
        <f t="shared" si="36"/>
        <v>0</v>
      </c>
      <c r="H49" s="56">
        <f t="shared" si="36"/>
        <v>0</v>
      </c>
      <c r="I49" s="56">
        <f t="shared" si="36"/>
        <v>0</v>
      </c>
      <c r="J49" s="56">
        <f t="shared" si="36"/>
        <v>0</v>
      </c>
      <c r="K49" s="56">
        <f t="shared" si="36"/>
        <v>0</v>
      </c>
      <c r="L49" s="56">
        <f t="shared" si="36"/>
        <v>0</v>
      </c>
      <c r="M49" s="56">
        <f t="shared" si="36"/>
        <v>0</v>
      </c>
      <c r="N49" s="56">
        <f t="shared" ref="N49:T53" si="37">IFERROR(SUMIF($A$88:$A$416,$A49,INDEX($D$88:$EE$416,0,MATCH(N$11,$D$84:$EF$84,0))),0)*Input_unit</f>
        <v>0</v>
      </c>
      <c r="O49" s="56">
        <f t="shared" si="37"/>
        <v>0</v>
      </c>
      <c r="P49" s="56">
        <f t="shared" si="37"/>
        <v>0</v>
      </c>
      <c r="Q49" s="56">
        <f t="shared" si="37"/>
        <v>0</v>
      </c>
      <c r="R49" s="56">
        <f t="shared" si="37"/>
        <v>0</v>
      </c>
      <c r="S49" s="56">
        <f t="shared" si="37"/>
        <v>0</v>
      </c>
      <c r="T49" s="56">
        <f t="shared" si="37"/>
        <v>0</v>
      </c>
    </row>
    <row r="50" spans="1:20">
      <c r="A50" s="56" t="s">
        <v>584</v>
      </c>
      <c r="B50" s="56"/>
      <c r="C50" s="97" t="s">
        <v>219</v>
      </c>
      <c r="D50" s="56">
        <f t="shared" si="36"/>
        <v>0</v>
      </c>
      <c r="E50" s="56">
        <f t="shared" si="36"/>
        <v>0</v>
      </c>
      <c r="F50" s="56">
        <f t="shared" si="36"/>
        <v>0</v>
      </c>
      <c r="G50" s="56">
        <f t="shared" si="36"/>
        <v>0</v>
      </c>
      <c r="H50" s="56">
        <f t="shared" si="36"/>
        <v>0</v>
      </c>
      <c r="I50" s="56">
        <f t="shared" si="36"/>
        <v>0</v>
      </c>
      <c r="J50" s="56">
        <f t="shared" si="36"/>
        <v>0</v>
      </c>
      <c r="K50" s="56">
        <f t="shared" si="36"/>
        <v>0</v>
      </c>
      <c r="L50" s="56">
        <f t="shared" si="36"/>
        <v>0</v>
      </c>
      <c r="M50" s="56">
        <f t="shared" si="36"/>
        <v>0</v>
      </c>
      <c r="N50" s="56">
        <f t="shared" si="37"/>
        <v>0</v>
      </c>
      <c r="O50" s="56">
        <f t="shared" si="37"/>
        <v>0</v>
      </c>
      <c r="P50" s="56">
        <f t="shared" si="37"/>
        <v>0</v>
      </c>
      <c r="Q50" s="56">
        <f t="shared" si="37"/>
        <v>0</v>
      </c>
      <c r="R50" s="56">
        <f t="shared" si="37"/>
        <v>0</v>
      </c>
      <c r="S50" s="56">
        <f t="shared" si="37"/>
        <v>0</v>
      </c>
      <c r="T50" s="56">
        <f t="shared" si="37"/>
        <v>0</v>
      </c>
    </row>
    <row r="51" spans="1:20">
      <c r="A51" s="56" t="s">
        <v>66</v>
      </c>
      <c r="B51" s="56"/>
      <c r="C51" s="97" t="s">
        <v>220</v>
      </c>
      <c r="D51" s="56">
        <f t="shared" si="36"/>
        <v>0</v>
      </c>
      <c r="E51" s="56">
        <f t="shared" si="36"/>
        <v>0</v>
      </c>
      <c r="F51" s="56">
        <f t="shared" si="36"/>
        <v>0</v>
      </c>
      <c r="G51" s="56">
        <f t="shared" si="36"/>
        <v>0</v>
      </c>
      <c r="H51" s="56">
        <f t="shared" si="36"/>
        <v>0</v>
      </c>
      <c r="I51" s="56">
        <f t="shared" si="36"/>
        <v>0</v>
      </c>
      <c r="J51" s="56">
        <f t="shared" si="36"/>
        <v>0</v>
      </c>
      <c r="K51" s="56">
        <f t="shared" si="36"/>
        <v>0</v>
      </c>
      <c r="L51" s="56">
        <f t="shared" si="36"/>
        <v>0</v>
      </c>
      <c r="M51" s="56">
        <f t="shared" si="36"/>
        <v>0</v>
      </c>
      <c r="N51" s="56">
        <f t="shared" si="37"/>
        <v>0</v>
      </c>
      <c r="O51" s="56">
        <f t="shared" si="37"/>
        <v>0</v>
      </c>
      <c r="P51" s="56">
        <f t="shared" si="37"/>
        <v>0</v>
      </c>
      <c r="Q51" s="56">
        <f t="shared" si="37"/>
        <v>0</v>
      </c>
      <c r="R51" s="56">
        <f t="shared" si="37"/>
        <v>0</v>
      </c>
      <c r="S51" s="56">
        <f t="shared" si="37"/>
        <v>0</v>
      </c>
      <c r="T51" s="56">
        <f t="shared" si="37"/>
        <v>0</v>
      </c>
    </row>
    <row r="52" spans="1:20">
      <c r="A52" s="56" t="s">
        <v>585</v>
      </c>
      <c r="B52" s="56"/>
      <c r="C52" s="56" t="s">
        <v>221</v>
      </c>
      <c r="D52" s="56">
        <f t="shared" si="36"/>
        <v>0</v>
      </c>
      <c r="E52" s="56">
        <f t="shared" si="36"/>
        <v>0</v>
      </c>
      <c r="F52" s="56">
        <f t="shared" si="36"/>
        <v>0</v>
      </c>
      <c r="G52" s="56">
        <f t="shared" si="36"/>
        <v>0</v>
      </c>
      <c r="H52" s="56">
        <f t="shared" si="36"/>
        <v>0</v>
      </c>
      <c r="I52" s="56">
        <f t="shared" si="36"/>
        <v>0</v>
      </c>
      <c r="J52" s="56">
        <f t="shared" si="36"/>
        <v>0</v>
      </c>
      <c r="K52" s="56">
        <f t="shared" si="36"/>
        <v>0</v>
      </c>
      <c r="L52" s="56">
        <f t="shared" si="36"/>
        <v>0</v>
      </c>
      <c r="M52" s="56">
        <f t="shared" si="36"/>
        <v>0</v>
      </c>
      <c r="N52" s="56">
        <f t="shared" si="37"/>
        <v>0</v>
      </c>
      <c r="O52" s="56">
        <f t="shared" si="37"/>
        <v>0</v>
      </c>
      <c r="P52" s="56">
        <f t="shared" si="37"/>
        <v>0</v>
      </c>
      <c r="Q52" s="56">
        <f t="shared" si="37"/>
        <v>0</v>
      </c>
      <c r="R52" s="56">
        <f t="shared" si="37"/>
        <v>0</v>
      </c>
      <c r="S52" s="56">
        <f t="shared" si="37"/>
        <v>0</v>
      </c>
      <c r="T52" s="56">
        <f t="shared" si="37"/>
        <v>0</v>
      </c>
    </row>
    <row r="53" spans="1:20">
      <c r="A53" s="56" t="s">
        <v>82</v>
      </c>
      <c r="B53" s="56"/>
      <c r="C53" s="56" t="s">
        <v>222</v>
      </c>
      <c r="D53" s="56">
        <f t="shared" si="36"/>
        <v>0</v>
      </c>
      <c r="E53" s="56">
        <f t="shared" si="36"/>
        <v>0</v>
      </c>
      <c r="F53" s="56">
        <f t="shared" si="36"/>
        <v>0</v>
      </c>
      <c r="G53" s="56">
        <f t="shared" si="36"/>
        <v>0</v>
      </c>
      <c r="H53" s="56">
        <f t="shared" si="36"/>
        <v>0</v>
      </c>
      <c r="I53" s="56">
        <f t="shared" si="36"/>
        <v>0</v>
      </c>
      <c r="J53" s="56">
        <f t="shared" si="36"/>
        <v>0</v>
      </c>
      <c r="K53" s="56">
        <f t="shared" si="36"/>
        <v>0</v>
      </c>
      <c r="L53" s="56">
        <f t="shared" si="36"/>
        <v>0</v>
      </c>
      <c r="M53" s="56">
        <f t="shared" si="36"/>
        <v>0</v>
      </c>
      <c r="N53" s="56">
        <f t="shared" si="37"/>
        <v>0</v>
      </c>
      <c r="O53" s="56">
        <f t="shared" si="37"/>
        <v>0</v>
      </c>
      <c r="P53" s="56">
        <f t="shared" si="37"/>
        <v>0</v>
      </c>
      <c r="Q53" s="56">
        <f t="shared" si="37"/>
        <v>0</v>
      </c>
      <c r="R53" s="56">
        <f t="shared" si="37"/>
        <v>0</v>
      </c>
      <c r="S53" s="56">
        <f t="shared" si="37"/>
        <v>0</v>
      </c>
      <c r="T53" s="56">
        <f t="shared" si="37"/>
        <v>0</v>
      </c>
    </row>
    <row r="54" spans="1:20">
      <c r="A54" s="98"/>
      <c r="B54" s="98"/>
      <c r="C54" s="98" t="s">
        <v>223</v>
      </c>
      <c r="D54" s="98">
        <f>SUM(D49:D53)</f>
        <v>0</v>
      </c>
      <c r="E54" s="98">
        <f t="shared" ref="E54:T54" si="38">SUM(E49:E53)</f>
        <v>0</v>
      </c>
      <c r="F54" s="98">
        <f t="shared" si="38"/>
        <v>0</v>
      </c>
      <c r="G54" s="98">
        <f t="shared" si="38"/>
        <v>0</v>
      </c>
      <c r="H54" s="98">
        <f t="shared" si="38"/>
        <v>0</v>
      </c>
      <c r="I54" s="98">
        <f t="shared" si="38"/>
        <v>0</v>
      </c>
      <c r="J54" s="98">
        <f t="shared" si="38"/>
        <v>0</v>
      </c>
      <c r="K54" s="98">
        <f t="shared" si="38"/>
        <v>0</v>
      </c>
      <c r="L54" s="98">
        <f t="shared" si="38"/>
        <v>0</v>
      </c>
      <c r="M54" s="98">
        <f t="shared" si="38"/>
        <v>0</v>
      </c>
      <c r="N54" s="98">
        <f t="shared" si="38"/>
        <v>0</v>
      </c>
      <c r="O54" s="98">
        <f t="shared" si="38"/>
        <v>0</v>
      </c>
      <c r="P54" s="98">
        <f t="shared" si="38"/>
        <v>0</v>
      </c>
      <c r="Q54" s="98">
        <f t="shared" si="38"/>
        <v>0</v>
      </c>
      <c r="R54" s="98">
        <f t="shared" si="38"/>
        <v>0</v>
      </c>
      <c r="S54" s="98">
        <f t="shared" si="38"/>
        <v>0</v>
      </c>
      <c r="T54" s="98">
        <f t="shared" si="38"/>
        <v>0</v>
      </c>
    </row>
    <row r="55" spans="1:20">
      <c r="A55" s="98"/>
      <c r="B55" s="98"/>
      <c r="C55" s="98" t="s">
        <v>10</v>
      </c>
      <c r="D55" s="98">
        <f>D48+D54</f>
        <v>0</v>
      </c>
      <c r="E55" s="98">
        <f t="shared" ref="E55:T55" si="39">E48+E54</f>
        <v>0</v>
      </c>
      <c r="F55" s="98">
        <f t="shared" si="39"/>
        <v>0</v>
      </c>
      <c r="G55" s="98">
        <f t="shared" si="39"/>
        <v>0</v>
      </c>
      <c r="H55" s="98">
        <f t="shared" si="39"/>
        <v>0</v>
      </c>
      <c r="I55" s="98">
        <f t="shared" si="39"/>
        <v>0</v>
      </c>
      <c r="J55" s="98">
        <f t="shared" si="39"/>
        <v>0</v>
      </c>
      <c r="K55" s="98">
        <f t="shared" si="39"/>
        <v>0</v>
      </c>
      <c r="L55" s="98">
        <f t="shared" si="39"/>
        <v>0</v>
      </c>
      <c r="M55" s="98">
        <f t="shared" si="39"/>
        <v>0</v>
      </c>
      <c r="N55" s="98">
        <f t="shared" si="39"/>
        <v>0</v>
      </c>
      <c r="O55" s="98">
        <f t="shared" si="39"/>
        <v>0</v>
      </c>
      <c r="P55" s="98">
        <f t="shared" si="39"/>
        <v>0</v>
      </c>
      <c r="Q55" s="98">
        <f t="shared" si="39"/>
        <v>0</v>
      </c>
      <c r="R55" s="98">
        <f t="shared" si="39"/>
        <v>0</v>
      </c>
      <c r="S55" s="98">
        <f t="shared" si="39"/>
        <v>0</v>
      </c>
      <c r="T55" s="98">
        <f t="shared" si="39"/>
        <v>0</v>
      </c>
    </row>
    <row r="56" spans="1:20">
      <c r="A56" s="98" t="s">
        <v>224</v>
      </c>
      <c r="B56" s="98"/>
      <c r="C56" s="56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</row>
    <row r="57" spans="1:20">
      <c r="A57" s="56" t="s">
        <v>100</v>
      </c>
      <c r="B57" s="56"/>
      <c r="C57" s="56" t="s">
        <v>225</v>
      </c>
      <c r="D57" s="56">
        <f t="shared" ref="D57:M64" si="40">IFERROR(SUMIF($A$88:$A$416,$A57,INDEX($D$88:$EE$416,0,MATCH(D$11,$D$84:$EF$84,0))),0)*Input_unit</f>
        <v>0</v>
      </c>
      <c r="E57" s="56">
        <f t="shared" si="40"/>
        <v>0</v>
      </c>
      <c r="F57" s="56">
        <f t="shared" si="40"/>
        <v>0</v>
      </c>
      <c r="G57" s="56">
        <f t="shared" si="40"/>
        <v>0</v>
      </c>
      <c r="H57" s="56">
        <f t="shared" si="40"/>
        <v>0</v>
      </c>
      <c r="I57" s="56">
        <f t="shared" si="40"/>
        <v>0</v>
      </c>
      <c r="J57" s="56">
        <f t="shared" si="40"/>
        <v>0</v>
      </c>
      <c r="K57" s="56">
        <f t="shared" si="40"/>
        <v>0</v>
      </c>
      <c r="L57" s="56">
        <f t="shared" si="40"/>
        <v>0</v>
      </c>
      <c r="M57" s="56">
        <f t="shared" si="40"/>
        <v>0</v>
      </c>
      <c r="N57" s="56">
        <f t="shared" ref="N57:T64" si="41">IFERROR(SUMIF($A$88:$A$416,$A57,INDEX($D$88:$EE$416,0,MATCH(N$11,$D$84:$EF$84,0))),0)*Input_unit</f>
        <v>0</v>
      </c>
      <c r="O57" s="56">
        <f t="shared" si="41"/>
        <v>0</v>
      </c>
      <c r="P57" s="56">
        <f t="shared" si="41"/>
        <v>0</v>
      </c>
      <c r="Q57" s="56">
        <f t="shared" si="41"/>
        <v>0</v>
      </c>
      <c r="R57" s="56">
        <f t="shared" si="41"/>
        <v>0</v>
      </c>
      <c r="S57" s="56">
        <f t="shared" si="41"/>
        <v>0</v>
      </c>
      <c r="T57" s="56">
        <f t="shared" si="41"/>
        <v>0</v>
      </c>
    </row>
    <row r="58" spans="1:20">
      <c r="A58" s="56" t="s">
        <v>586</v>
      </c>
      <c r="B58" s="56"/>
      <c r="C58" s="56" t="s">
        <v>226</v>
      </c>
      <c r="D58" s="56">
        <f t="shared" si="40"/>
        <v>0</v>
      </c>
      <c r="E58" s="56">
        <f t="shared" si="40"/>
        <v>0</v>
      </c>
      <c r="F58" s="56">
        <f t="shared" si="40"/>
        <v>0</v>
      </c>
      <c r="G58" s="56">
        <f t="shared" si="40"/>
        <v>0</v>
      </c>
      <c r="H58" s="56">
        <f t="shared" si="40"/>
        <v>0</v>
      </c>
      <c r="I58" s="56">
        <f t="shared" si="40"/>
        <v>0</v>
      </c>
      <c r="J58" s="56">
        <f t="shared" si="40"/>
        <v>0</v>
      </c>
      <c r="K58" s="56">
        <f t="shared" si="40"/>
        <v>0</v>
      </c>
      <c r="L58" s="56">
        <f t="shared" si="40"/>
        <v>0</v>
      </c>
      <c r="M58" s="56">
        <f t="shared" si="40"/>
        <v>0</v>
      </c>
      <c r="N58" s="56">
        <f t="shared" si="41"/>
        <v>0</v>
      </c>
      <c r="O58" s="56">
        <f t="shared" si="41"/>
        <v>0</v>
      </c>
      <c r="P58" s="56">
        <f t="shared" si="41"/>
        <v>0</v>
      </c>
      <c r="Q58" s="56">
        <f t="shared" si="41"/>
        <v>0</v>
      </c>
      <c r="R58" s="56">
        <f t="shared" si="41"/>
        <v>0</v>
      </c>
      <c r="S58" s="56">
        <f t="shared" si="41"/>
        <v>0</v>
      </c>
      <c r="T58" s="56">
        <f t="shared" si="41"/>
        <v>0</v>
      </c>
    </row>
    <row r="59" spans="1:20">
      <c r="A59" s="56" t="s">
        <v>587</v>
      </c>
      <c r="B59" s="56"/>
      <c r="C59" s="56" t="s">
        <v>227</v>
      </c>
      <c r="D59" s="56">
        <f t="shared" si="40"/>
        <v>0</v>
      </c>
      <c r="E59" s="56">
        <f t="shared" si="40"/>
        <v>0</v>
      </c>
      <c r="F59" s="56">
        <f t="shared" si="40"/>
        <v>0</v>
      </c>
      <c r="G59" s="56">
        <f t="shared" si="40"/>
        <v>0</v>
      </c>
      <c r="H59" s="56">
        <f t="shared" si="40"/>
        <v>0</v>
      </c>
      <c r="I59" s="56">
        <f t="shared" si="40"/>
        <v>0</v>
      </c>
      <c r="J59" s="56">
        <f t="shared" si="40"/>
        <v>0</v>
      </c>
      <c r="K59" s="56">
        <f t="shared" si="40"/>
        <v>0</v>
      </c>
      <c r="L59" s="56">
        <f t="shared" si="40"/>
        <v>0</v>
      </c>
      <c r="M59" s="56">
        <f t="shared" si="40"/>
        <v>0</v>
      </c>
      <c r="N59" s="56">
        <f t="shared" si="41"/>
        <v>0</v>
      </c>
      <c r="O59" s="56">
        <f t="shared" si="41"/>
        <v>0</v>
      </c>
      <c r="P59" s="56">
        <f t="shared" si="41"/>
        <v>0</v>
      </c>
      <c r="Q59" s="56">
        <f t="shared" si="41"/>
        <v>0</v>
      </c>
      <c r="R59" s="56">
        <f t="shared" si="41"/>
        <v>0</v>
      </c>
      <c r="S59" s="56">
        <f t="shared" si="41"/>
        <v>0</v>
      </c>
      <c r="T59" s="56">
        <f t="shared" si="41"/>
        <v>0</v>
      </c>
    </row>
    <row r="60" spans="1:20">
      <c r="A60" s="56" t="s">
        <v>588</v>
      </c>
      <c r="B60" s="56"/>
      <c r="C60" s="97" t="s">
        <v>228</v>
      </c>
      <c r="D60" s="56">
        <f t="shared" si="40"/>
        <v>0</v>
      </c>
      <c r="E60" s="56">
        <f t="shared" si="40"/>
        <v>0</v>
      </c>
      <c r="F60" s="56">
        <f t="shared" si="40"/>
        <v>0</v>
      </c>
      <c r="G60" s="56">
        <f t="shared" si="40"/>
        <v>0</v>
      </c>
      <c r="H60" s="56">
        <f t="shared" si="40"/>
        <v>0</v>
      </c>
      <c r="I60" s="56">
        <f t="shared" si="40"/>
        <v>0</v>
      </c>
      <c r="J60" s="56">
        <f t="shared" si="40"/>
        <v>0</v>
      </c>
      <c r="K60" s="56">
        <f t="shared" si="40"/>
        <v>0</v>
      </c>
      <c r="L60" s="56">
        <f t="shared" si="40"/>
        <v>0</v>
      </c>
      <c r="M60" s="56">
        <f t="shared" si="40"/>
        <v>0</v>
      </c>
      <c r="N60" s="56">
        <f t="shared" si="41"/>
        <v>0</v>
      </c>
      <c r="O60" s="56">
        <f t="shared" si="41"/>
        <v>0</v>
      </c>
      <c r="P60" s="56">
        <f t="shared" si="41"/>
        <v>0</v>
      </c>
      <c r="Q60" s="56">
        <f t="shared" si="41"/>
        <v>0</v>
      </c>
      <c r="R60" s="56">
        <f t="shared" si="41"/>
        <v>0</v>
      </c>
      <c r="S60" s="56">
        <f t="shared" si="41"/>
        <v>0</v>
      </c>
      <c r="T60" s="56">
        <f t="shared" si="41"/>
        <v>0</v>
      </c>
    </row>
    <row r="61" spans="1:20">
      <c r="A61" s="56" t="s">
        <v>96</v>
      </c>
      <c r="B61" s="56"/>
      <c r="C61" s="97" t="s">
        <v>229</v>
      </c>
      <c r="D61" s="56">
        <f t="shared" si="40"/>
        <v>0</v>
      </c>
      <c r="E61" s="56">
        <f t="shared" si="40"/>
        <v>0</v>
      </c>
      <c r="F61" s="56">
        <f t="shared" si="40"/>
        <v>0</v>
      </c>
      <c r="G61" s="56">
        <f t="shared" si="40"/>
        <v>0</v>
      </c>
      <c r="H61" s="56">
        <f t="shared" si="40"/>
        <v>0</v>
      </c>
      <c r="I61" s="56">
        <f t="shared" si="40"/>
        <v>0</v>
      </c>
      <c r="J61" s="56">
        <f t="shared" si="40"/>
        <v>0</v>
      </c>
      <c r="K61" s="56">
        <f t="shared" si="40"/>
        <v>0</v>
      </c>
      <c r="L61" s="56">
        <f t="shared" si="40"/>
        <v>0</v>
      </c>
      <c r="M61" s="56">
        <f t="shared" si="40"/>
        <v>0</v>
      </c>
      <c r="N61" s="56">
        <f t="shared" si="41"/>
        <v>0</v>
      </c>
      <c r="O61" s="56">
        <f t="shared" si="41"/>
        <v>0</v>
      </c>
      <c r="P61" s="56">
        <f t="shared" si="41"/>
        <v>0</v>
      </c>
      <c r="Q61" s="56">
        <f t="shared" si="41"/>
        <v>0</v>
      </c>
      <c r="R61" s="56">
        <f t="shared" si="41"/>
        <v>0</v>
      </c>
      <c r="S61" s="56">
        <f t="shared" si="41"/>
        <v>0</v>
      </c>
      <c r="T61" s="56">
        <f t="shared" si="41"/>
        <v>0</v>
      </c>
    </row>
    <row r="62" spans="1:20">
      <c r="A62" s="56" t="s">
        <v>589</v>
      </c>
      <c r="B62" s="56"/>
      <c r="C62" s="97" t="s">
        <v>230</v>
      </c>
      <c r="D62" s="56">
        <f t="shared" si="40"/>
        <v>0</v>
      </c>
      <c r="E62" s="56">
        <f t="shared" si="40"/>
        <v>0</v>
      </c>
      <c r="F62" s="56">
        <f t="shared" si="40"/>
        <v>0</v>
      </c>
      <c r="G62" s="56">
        <f t="shared" si="40"/>
        <v>0</v>
      </c>
      <c r="H62" s="56">
        <f t="shared" si="40"/>
        <v>0</v>
      </c>
      <c r="I62" s="56">
        <f t="shared" si="40"/>
        <v>0</v>
      </c>
      <c r="J62" s="56">
        <f t="shared" si="40"/>
        <v>0</v>
      </c>
      <c r="K62" s="56">
        <f t="shared" si="40"/>
        <v>0</v>
      </c>
      <c r="L62" s="56">
        <f t="shared" si="40"/>
        <v>0</v>
      </c>
      <c r="M62" s="56">
        <f t="shared" si="40"/>
        <v>0</v>
      </c>
      <c r="N62" s="56">
        <f t="shared" si="41"/>
        <v>0</v>
      </c>
      <c r="O62" s="56">
        <f t="shared" si="41"/>
        <v>0</v>
      </c>
      <c r="P62" s="56">
        <f t="shared" si="41"/>
        <v>0</v>
      </c>
      <c r="Q62" s="56">
        <f t="shared" si="41"/>
        <v>0</v>
      </c>
      <c r="R62" s="56">
        <f t="shared" si="41"/>
        <v>0</v>
      </c>
      <c r="S62" s="56">
        <f t="shared" si="41"/>
        <v>0</v>
      </c>
      <c r="T62" s="56">
        <f t="shared" si="41"/>
        <v>0</v>
      </c>
    </row>
    <row r="63" spans="1:20">
      <c r="A63" s="100" t="s">
        <v>92</v>
      </c>
      <c r="B63" s="100"/>
      <c r="C63" s="101" t="s">
        <v>231</v>
      </c>
      <c r="D63" s="56">
        <f t="shared" si="40"/>
        <v>0</v>
      </c>
      <c r="E63" s="56">
        <f t="shared" si="40"/>
        <v>0</v>
      </c>
      <c r="F63" s="56">
        <f t="shared" si="40"/>
        <v>0</v>
      </c>
      <c r="G63" s="56">
        <f t="shared" si="40"/>
        <v>0</v>
      </c>
      <c r="H63" s="56">
        <f t="shared" si="40"/>
        <v>0</v>
      </c>
      <c r="I63" s="56">
        <f t="shared" si="40"/>
        <v>0</v>
      </c>
      <c r="J63" s="56">
        <f t="shared" si="40"/>
        <v>0</v>
      </c>
      <c r="K63" s="56">
        <f t="shared" si="40"/>
        <v>0</v>
      </c>
      <c r="L63" s="56">
        <f t="shared" si="40"/>
        <v>0</v>
      </c>
      <c r="M63" s="56">
        <f t="shared" si="40"/>
        <v>0</v>
      </c>
      <c r="N63" s="56">
        <f t="shared" si="41"/>
        <v>0</v>
      </c>
      <c r="O63" s="56">
        <f t="shared" si="41"/>
        <v>0</v>
      </c>
      <c r="P63" s="56">
        <f t="shared" si="41"/>
        <v>0</v>
      </c>
      <c r="Q63" s="56">
        <f t="shared" si="41"/>
        <v>0</v>
      </c>
      <c r="R63" s="56">
        <f t="shared" si="41"/>
        <v>0</v>
      </c>
      <c r="S63" s="56">
        <f t="shared" si="41"/>
        <v>0</v>
      </c>
      <c r="T63" s="56">
        <f t="shared" si="41"/>
        <v>0</v>
      </c>
    </row>
    <row r="64" spans="1:20">
      <c r="A64" s="56" t="s">
        <v>590</v>
      </c>
      <c r="B64" s="56"/>
      <c r="C64" s="97" t="s">
        <v>232</v>
      </c>
      <c r="D64" s="56">
        <f t="shared" si="40"/>
        <v>0</v>
      </c>
      <c r="E64" s="56">
        <f t="shared" si="40"/>
        <v>0</v>
      </c>
      <c r="F64" s="56">
        <f t="shared" si="40"/>
        <v>0</v>
      </c>
      <c r="G64" s="56">
        <f t="shared" si="40"/>
        <v>0</v>
      </c>
      <c r="H64" s="56">
        <f t="shared" si="40"/>
        <v>0</v>
      </c>
      <c r="I64" s="56">
        <f t="shared" si="40"/>
        <v>0</v>
      </c>
      <c r="J64" s="56">
        <f t="shared" si="40"/>
        <v>0</v>
      </c>
      <c r="K64" s="56">
        <f t="shared" si="40"/>
        <v>0</v>
      </c>
      <c r="L64" s="56">
        <f t="shared" si="40"/>
        <v>0</v>
      </c>
      <c r="M64" s="56">
        <f t="shared" si="40"/>
        <v>0</v>
      </c>
      <c r="N64" s="56">
        <f t="shared" si="41"/>
        <v>0</v>
      </c>
      <c r="O64" s="56">
        <f t="shared" si="41"/>
        <v>0</v>
      </c>
      <c r="P64" s="56">
        <f t="shared" si="41"/>
        <v>0</v>
      </c>
      <c r="Q64" s="56">
        <f t="shared" si="41"/>
        <v>0</v>
      </c>
      <c r="R64" s="56">
        <f t="shared" si="41"/>
        <v>0</v>
      </c>
      <c r="S64" s="56">
        <f t="shared" si="41"/>
        <v>0</v>
      </c>
      <c r="T64" s="56">
        <f t="shared" si="41"/>
        <v>0</v>
      </c>
    </row>
    <row r="65" spans="1:20">
      <c r="A65" s="98"/>
      <c r="B65" s="98"/>
      <c r="C65" s="99" t="s">
        <v>233</v>
      </c>
      <c r="D65" s="98">
        <f>SUM(D57:D64)</f>
        <v>0</v>
      </c>
      <c r="E65" s="98">
        <f t="shared" ref="E65:T65" si="42">SUM(E57:E64)</f>
        <v>0</v>
      </c>
      <c r="F65" s="98">
        <f t="shared" si="42"/>
        <v>0</v>
      </c>
      <c r="G65" s="98">
        <f t="shared" si="42"/>
        <v>0</v>
      </c>
      <c r="H65" s="98">
        <f t="shared" si="42"/>
        <v>0</v>
      </c>
      <c r="I65" s="98">
        <f t="shared" si="42"/>
        <v>0</v>
      </c>
      <c r="J65" s="98">
        <f t="shared" si="42"/>
        <v>0</v>
      </c>
      <c r="K65" s="98">
        <f t="shared" si="42"/>
        <v>0</v>
      </c>
      <c r="L65" s="98">
        <f t="shared" si="42"/>
        <v>0</v>
      </c>
      <c r="M65" s="98">
        <f t="shared" si="42"/>
        <v>0</v>
      </c>
      <c r="N65" s="98">
        <f t="shared" si="42"/>
        <v>0</v>
      </c>
      <c r="O65" s="98">
        <f t="shared" si="42"/>
        <v>0</v>
      </c>
      <c r="P65" s="98">
        <f t="shared" si="42"/>
        <v>0</v>
      </c>
      <c r="Q65" s="98">
        <f t="shared" si="42"/>
        <v>0</v>
      </c>
      <c r="R65" s="98">
        <f t="shared" si="42"/>
        <v>0</v>
      </c>
      <c r="S65" s="98">
        <f t="shared" si="42"/>
        <v>0</v>
      </c>
      <c r="T65" s="98">
        <f t="shared" si="42"/>
        <v>0</v>
      </c>
    </row>
    <row r="66" spans="1:20">
      <c r="A66" s="56"/>
      <c r="B66" s="56"/>
      <c r="C66" s="97" t="s">
        <v>234</v>
      </c>
      <c r="D66" s="56">
        <f t="shared" ref="D66:M67" si="43">IFERROR(SUMIF($A$88:$A$416,$A66,INDEX($D$88:$EE$416,0,MATCH(D$11,$D$84:$EF$84,0))),0)*Input_unit</f>
        <v>0</v>
      </c>
      <c r="E66" s="56">
        <f t="shared" si="43"/>
        <v>0</v>
      </c>
      <c r="F66" s="56">
        <f t="shared" si="43"/>
        <v>0</v>
      </c>
      <c r="G66" s="56">
        <f t="shared" si="43"/>
        <v>0</v>
      </c>
      <c r="H66" s="56">
        <f t="shared" si="43"/>
        <v>0</v>
      </c>
      <c r="I66" s="56">
        <f t="shared" si="43"/>
        <v>0</v>
      </c>
      <c r="J66" s="56">
        <f t="shared" si="43"/>
        <v>0</v>
      </c>
      <c r="K66" s="56">
        <f t="shared" si="43"/>
        <v>0</v>
      </c>
      <c r="L66" s="56">
        <f t="shared" si="43"/>
        <v>0</v>
      </c>
      <c r="M66" s="56">
        <f t="shared" si="43"/>
        <v>0</v>
      </c>
      <c r="N66" s="56">
        <f t="shared" ref="N66:T67" si="44">IFERROR(SUMIF($A$88:$A$416,$A66,INDEX($D$88:$EE$416,0,MATCH(N$11,$D$84:$EF$84,0))),0)*Input_unit</f>
        <v>0</v>
      </c>
      <c r="O66" s="56">
        <f t="shared" si="44"/>
        <v>0</v>
      </c>
      <c r="P66" s="56">
        <f t="shared" si="44"/>
        <v>0</v>
      </c>
      <c r="Q66" s="56">
        <f t="shared" si="44"/>
        <v>0</v>
      </c>
      <c r="R66" s="56">
        <f t="shared" si="44"/>
        <v>0</v>
      </c>
      <c r="S66" s="56">
        <f t="shared" si="44"/>
        <v>0</v>
      </c>
      <c r="T66" s="56">
        <f t="shared" si="44"/>
        <v>0</v>
      </c>
    </row>
    <row r="67" spans="1:20">
      <c r="A67" s="56" t="s">
        <v>118</v>
      </c>
      <c r="B67" s="56"/>
      <c r="C67" s="97" t="s">
        <v>235</v>
      </c>
      <c r="D67" s="56">
        <f t="shared" si="43"/>
        <v>0</v>
      </c>
      <c r="E67" s="56">
        <f t="shared" si="43"/>
        <v>0</v>
      </c>
      <c r="F67" s="56">
        <f t="shared" si="43"/>
        <v>0</v>
      </c>
      <c r="G67" s="56">
        <f t="shared" si="43"/>
        <v>0</v>
      </c>
      <c r="H67" s="56">
        <f t="shared" si="43"/>
        <v>0</v>
      </c>
      <c r="I67" s="56">
        <f t="shared" si="43"/>
        <v>0</v>
      </c>
      <c r="J67" s="56">
        <f t="shared" si="43"/>
        <v>0</v>
      </c>
      <c r="K67" s="56">
        <f t="shared" si="43"/>
        <v>0</v>
      </c>
      <c r="L67" s="56">
        <f t="shared" si="43"/>
        <v>0</v>
      </c>
      <c r="M67" s="56">
        <f t="shared" si="43"/>
        <v>0</v>
      </c>
      <c r="N67" s="56">
        <f t="shared" si="44"/>
        <v>0</v>
      </c>
      <c r="O67" s="56">
        <f t="shared" si="44"/>
        <v>0</v>
      </c>
      <c r="P67" s="56">
        <f t="shared" si="44"/>
        <v>0</v>
      </c>
      <c r="Q67" s="56">
        <f t="shared" si="44"/>
        <v>0</v>
      </c>
      <c r="R67" s="56">
        <f t="shared" si="44"/>
        <v>0</v>
      </c>
      <c r="S67" s="56">
        <f t="shared" si="44"/>
        <v>0</v>
      </c>
      <c r="T67" s="56">
        <f t="shared" si="44"/>
        <v>0</v>
      </c>
    </row>
    <row r="68" spans="1:20">
      <c r="A68" s="98"/>
      <c r="B68" s="98"/>
      <c r="C68" s="99" t="s">
        <v>236</v>
      </c>
      <c r="D68" s="98">
        <f>D66+D67</f>
        <v>0</v>
      </c>
      <c r="E68" s="98">
        <f t="shared" ref="E68:T68" si="45">E66+E67</f>
        <v>0</v>
      </c>
      <c r="F68" s="98">
        <f t="shared" si="45"/>
        <v>0</v>
      </c>
      <c r="G68" s="98">
        <f t="shared" si="45"/>
        <v>0</v>
      </c>
      <c r="H68" s="98">
        <f t="shared" si="45"/>
        <v>0</v>
      </c>
      <c r="I68" s="98">
        <f t="shared" si="45"/>
        <v>0</v>
      </c>
      <c r="J68" s="98">
        <f t="shared" si="45"/>
        <v>0</v>
      </c>
      <c r="K68" s="98">
        <f t="shared" si="45"/>
        <v>0</v>
      </c>
      <c r="L68" s="98">
        <f t="shared" si="45"/>
        <v>0</v>
      </c>
      <c r="M68" s="98">
        <f t="shared" si="45"/>
        <v>0</v>
      </c>
      <c r="N68" s="98">
        <f t="shared" si="45"/>
        <v>0</v>
      </c>
      <c r="O68" s="98">
        <f t="shared" si="45"/>
        <v>0</v>
      </c>
      <c r="P68" s="98">
        <f t="shared" si="45"/>
        <v>0</v>
      </c>
      <c r="Q68" s="98">
        <f t="shared" si="45"/>
        <v>0</v>
      </c>
      <c r="R68" s="98">
        <f t="shared" si="45"/>
        <v>0</v>
      </c>
      <c r="S68" s="98">
        <f t="shared" si="45"/>
        <v>0</v>
      </c>
      <c r="T68" s="98">
        <f t="shared" si="45"/>
        <v>0</v>
      </c>
    </row>
    <row r="69" spans="1:20">
      <c r="A69" s="56" t="s">
        <v>591</v>
      </c>
      <c r="B69" s="56"/>
      <c r="C69" s="56" t="s">
        <v>237</v>
      </c>
      <c r="D69" s="56">
        <f t="shared" ref="D69:M70" si="46">IFERROR(SUMIF($A$88:$A$416,$A69,INDEX($D$88:$EE$416,0,MATCH(D$11,$D$84:$EF$84,0))),0)*Input_unit</f>
        <v>0</v>
      </c>
      <c r="E69" s="56">
        <f t="shared" si="46"/>
        <v>0</v>
      </c>
      <c r="F69" s="56">
        <f t="shared" si="46"/>
        <v>0</v>
      </c>
      <c r="G69" s="56">
        <f t="shared" si="46"/>
        <v>0</v>
      </c>
      <c r="H69" s="56">
        <f t="shared" si="46"/>
        <v>0</v>
      </c>
      <c r="I69" s="56">
        <f t="shared" si="46"/>
        <v>0</v>
      </c>
      <c r="J69" s="56">
        <f t="shared" si="46"/>
        <v>0</v>
      </c>
      <c r="K69" s="56">
        <f t="shared" si="46"/>
        <v>0</v>
      </c>
      <c r="L69" s="56">
        <f t="shared" si="46"/>
        <v>0</v>
      </c>
      <c r="M69" s="56">
        <f t="shared" si="46"/>
        <v>0</v>
      </c>
      <c r="N69" s="56">
        <f t="shared" ref="N69:T70" si="47">IFERROR(SUMIF($A$88:$A$416,$A69,INDEX($D$88:$EE$416,0,MATCH(N$11,$D$84:$EF$84,0))),0)*Input_unit</f>
        <v>0</v>
      </c>
      <c r="O69" s="56">
        <f t="shared" si="47"/>
        <v>0</v>
      </c>
      <c r="P69" s="56">
        <f t="shared" si="47"/>
        <v>0</v>
      </c>
      <c r="Q69" s="56">
        <f t="shared" si="47"/>
        <v>0</v>
      </c>
      <c r="R69" s="56">
        <f t="shared" si="47"/>
        <v>0</v>
      </c>
      <c r="S69" s="56">
        <f t="shared" si="47"/>
        <v>0</v>
      </c>
      <c r="T69" s="56">
        <f t="shared" si="47"/>
        <v>0</v>
      </c>
    </row>
    <row r="70" spans="1:20">
      <c r="A70" s="56" t="s">
        <v>114</v>
      </c>
      <c r="B70" s="56"/>
      <c r="C70" s="56" t="s">
        <v>238</v>
      </c>
      <c r="D70" s="56">
        <f t="shared" si="46"/>
        <v>0</v>
      </c>
      <c r="E70" s="56">
        <f t="shared" si="46"/>
        <v>0</v>
      </c>
      <c r="F70" s="56">
        <f t="shared" si="46"/>
        <v>0</v>
      </c>
      <c r="G70" s="56">
        <f t="shared" si="46"/>
        <v>0</v>
      </c>
      <c r="H70" s="56">
        <f t="shared" si="46"/>
        <v>0</v>
      </c>
      <c r="I70" s="56">
        <f t="shared" si="46"/>
        <v>0</v>
      </c>
      <c r="J70" s="56">
        <f t="shared" si="46"/>
        <v>0</v>
      </c>
      <c r="K70" s="56">
        <f t="shared" si="46"/>
        <v>0</v>
      </c>
      <c r="L70" s="56">
        <f t="shared" si="46"/>
        <v>0</v>
      </c>
      <c r="M70" s="56">
        <f t="shared" si="46"/>
        <v>0</v>
      </c>
      <c r="N70" s="56">
        <f t="shared" si="47"/>
        <v>0</v>
      </c>
      <c r="O70" s="56">
        <f t="shared" si="47"/>
        <v>0</v>
      </c>
      <c r="P70" s="56">
        <f t="shared" si="47"/>
        <v>0</v>
      </c>
      <c r="Q70" s="56">
        <f t="shared" si="47"/>
        <v>0</v>
      </c>
      <c r="R70" s="56">
        <f t="shared" si="47"/>
        <v>0</v>
      </c>
      <c r="S70" s="56">
        <f t="shared" si="47"/>
        <v>0</v>
      </c>
      <c r="T70" s="56">
        <f t="shared" si="47"/>
        <v>0</v>
      </c>
    </row>
    <row r="71" spans="1:20">
      <c r="A71" s="98"/>
      <c r="B71" s="98"/>
      <c r="C71" s="98" t="s">
        <v>17</v>
      </c>
      <c r="D71" s="98">
        <f>D65+D68+D69+D70</f>
        <v>0</v>
      </c>
      <c r="E71" s="98">
        <f t="shared" ref="E71:T71" si="48">E65+E68+E69+E70</f>
        <v>0</v>
      </c>
      <c r="F71" s="98">
        <f t="shared" si="48"/>
        <v>0</v>
      </c>
      <c r="G71" s="98">
        <f t="shared" si="48"/>
        <v>0</v>
      </c>
      <c r="H71" s="98">
        <f t="shared" si="48"/>
        <v>0</v>
      </c>
      <c r="I71" s="98">
        <f t="shared" si="48"/>
        <v>0</v>
      </c>
      <c r="J71" s="98">
        <f t="shared" si="48"/>
        <v>0</v>
      </c>
      <c r="K71" s="98">
        <f t="shared" si="48"/>
        <v>0</v>
      </c>
      <c r="L71" s="98">
        <f t="shared" si="48"/>
        <v>0</v>
      </c>
      <c r="M71" s="98">
        <f t="shared" si="48"/>
        <v>0</v>
      </c>
      <c r="N71" s="98">
        <f t="shared" si="48"/>
        <v>0</v>
      </c>
      <c r="O71" s="98">
        <f t="shared" si="48"/>
        <v>0</v>
      </c>
      <c r="P71" s="98">
        <f t="shared" si="48"/>
        <v>0</v>
      </c>
      <c r="Q71" s="98">
        <f t="shared" si="48"/>
        <v>0</v>
      </c>
      <c r="R71" s="98">
        <f t="shared" si="48"/>
        <v>0</v>
      </c>
      <c r="S71" s="98">
        <f t="shared" si="48"/>
        <v>0</v>
      </c>
      <c r="T71" s="98">
        <f t="shared" si="48"/>
        <v>0</v>
      </c>
    </row>
    <row r="72" spans="1:20">
      <c r="A72" s="56" t="s">
        <v>165</v>
      </c>
      <c r="B72" s="56"/>
      <c r="C72" s="56" t="s">
        <v>209</v>
      </c>
      <c r="D72" s="56">
        <f t="shared" ref="D72:M78" si="49">IFERROR(SUMIF($A$88:$A$416,$A72,INDEX($D$88:$EE$416,0,MATCH(D$11,$D$84:$EF$84,0))),0)*Input_unit</f>
        <v>0</v>
      </c>
      <c r="E72" s="56">
        <f t="shared" si="49"/>
        <v>0</v>
      </c>
      <c r="F72" s="56">
        <f t="shared" si="49"/>
        <v>0</v>
      </c>
      <c r="G72" s="56">
        <f t="shared" si="49"/>
        <v>0</v>
      </c>
      <c r="H72" s="56">
        <f t="shared" si="49"/>
        <v>0</v>
      </c>
      <c r="I72" s="56">
        <f t="shared" si="49"/>
        <v>0</v>
      </c>
      <c r="J72" s="56">
        <f t="shared" si="49"/>
        <v>0</v>
      </c>
      <c r="K72" s="56">
        <f t="shared" si="49"/>
        <v>0</v>
      </c>
      <c r="L72" s="56">
        <f t="shared" si="49"/>
        <v>0</v>
      </c>
      <c r="M72" s="56">
        <f t="shared" si="49"/>
        <v>0</v>
      </c>
      <c r="N72" s="56">
        <f t="shared" ref="N72:T78" si="50">IFERROR(SUMIF($A$88:$A$416,$A72,INDEX($D$88:$EE$416,0,MATCH(N$11,$D$84:$EF$84,0))),0)*Input_unit</f>
        <v>0</v>
      </c>
      <c r="O72" s="56">
        <f t="shared" si="50"/>
        <v>0</v>
      </c>
      <c r="P72" s="56">
        <f t="shared" si="50"/>
        <v>0</v>
      </c>
      <c r="Q72" s="56">
        <f t="shared" si="50"/>
        <v>0</v>
      </c>
      <c r="R72" s="56">
        <f t="shared" si="50"/>
        <v>0</v>
      </c>
      <c r="S72" s="56">
        <f t="shared" si="50"/>
        <v>0</v>
      </c>
      <c r="T72" s="56">
        <f t="shared" si="50"/>
        <v>0</v>
      </c>
    </row>
    <row r="73" spans="1:20">
      <c r="A73" s="102" t="s">
        <v>592</v>
      </c>
      <c r="B73" s="102"/>
      <c r="C73" s="56" t="s">
        <v>239</v>
      </c>
      <c r="D73" s="56">
        <f t="shared" si="49"/>
        <v>0</v>
      </c>
      <c r="E73" s="56">
        <f t="shared" si="49"/>
        <v>0</v>
      </c>
      <c r="F73" s="56">
        <f t="shared" si="49"/>
        <v>0</v>
      </c>
      <c r="G73" s="56">
        <f t="shared" si="49"/>
        <v>0</v>
      </c>
      <c r="H73" s="56">
        <f t="shared" si="49"/>
        <v>0</v>
      </c>
      <c r="I73" s="56">
        <f t="shared" si="49"/>
        <v>0</v>
      </c>
      <c r="J73" s="56">
        <f t="shared" si="49"/>
        <v>0</v>
      </c>
      <c r="K73" s="56">
        <f t="shared" si="49"/>
        <v>0</v>
      </c>
      <c r="L73" s="56">
        <f t="shared" si="49"/>
        <v>0</v>
      </c>
      <c r="M73" s="56">
        <f t="shared" si="49"/>
        <v>0</v>
      </c>
      <c r="N73" s="56">
        <f t="shared" si="50"/>
        <v>0</v>
      </c>
      <c r="O73" s="56">
        <f t="shared" si="50"/>
        <v>0</v>
      </c>
      <c r="P73" s="56">
        <f t="shared" si="50"/>
        <v>0</v>
      </c>
      <c r="Q73" s="56">
        <f t="shared" si="50"/>
        <v>0</v>
      </c>
      <c r="R73" s="56">
        <f t="shared" si="50"/>
        <v>0</v>
      </c>
      <c r="S73" s="56">
        <f t="shared" si="50"/>
        <v>0</v>
      </c>
      <c r="T73" s="56">
        <f t="shared" si="50"/>
        <v>0</v>
      </c>
    </row>
    <row r="74" spans="1:20">
      <c r="A74" s="102" t="s">
        <v>593</v>
      </c>
      <c r="B74" s="102"/>
      <c r="C74" s="56" t="s">
        <v>240</v>
      </c>
      <c r="D74" s="56">
        <f t="shared" si="49"/>
        <v>0</v>
      </c>
      <c r="E74" s="56">
        <f t="shared" si="49"/>
        <v>0</v>
      </c>
      <c r="F74" s="56">
        <f t="shared" si="49"/>
        <v>0</v>
      </c>
      <c r="G74" s="56">
        <f t="shared" si="49"/>
        <v>0</v>
      </c>
      <c r="H74" s="56">
        <f t="shared" si="49"/>
        <v>0</v>
      </c>
      <c r="I74" s="56">
        <f t="shared" si="49"/>
        <v>0</v>
      </c>
      <c r="J74" s="56">
        <f t="shared" si="49"/>
        <v>0</v>
      </c>
      <c r="K74" s="56">
        <f t="shared" si="49"/>
        <v>0</v>
      </c>
      <c r="L74" s="56">
        <f t="shared" si="49"/>
        <v>0</v>
      </c>
      <c r="M74" s="56">
        <f t="shared" si="49"/>
        <v>0</v>
      </c>
      <c r="N74" s="56">
        <f t="shared" si="50"/>
        <v>0</v>
      </c>
      <c r="O74" s="56">
        <f t="shared" si="50"/>
        <v>0</v>
      </c>
      <c r="P74" s="56">
        <f t="shared" si="50"/>
        <v>0</v>
      </c>
      <c r="Q74" s="56">
        <f t="shared" si="50"/>
        <v>0</v>
      </c>
      <c r="R74" s="56">
        <f t="shared" si="50"/>
        <v>0</v>
      </c>
      <c r="S74" s="56">
        <f t="shared" si="50"/>
        <v>0</v>
      </c>
      <c r="T74" s="56">
        <f t="shared" si="50"/>
        <v>0</v>
      </c>
    </row>
    <row r="75" spans="1:20">
      <c r="A75" s="102" t="s">
        <v>594</v>
      </c>
      <c r="B75" s="102"/>
      <c r="C75" s="56" t="s">
        <v>241</v>
      </c>
      <c r="D75" s="56">
        <f t="shared" si="49"/>
        <v>0</v>
      </c>
      <c r="E75" s="56">
        <f t="shared" si="49"/>
        <v>0</v>
      </c>
      <c r="F75" s="56">
        <f t="shared" si="49"/>
        <v>0</v>
      </c>
      <c r="G75" s="56">
        <f t="shared" si="49"/>
        <v>0</v>
      </c>
      <c r="H75" s="56">
        <f t="shared" si="49"/>
        <v>0</v>
      </c>
      <c r="I75" s="56">
        <f t="shared" si="49"/>
        <v>0</v>
      </c>
      <c r="J75" s="56">
        <f t="shared" si="49"/>
        <v>0</v>
      </c>
      <c r="K75" s="56">
        <f t="shared" si="49"/>
        <v>0</v>
      </c>
      <c r="L75" s="56">
        <f t="shared" si="49"/>
        <v>0</v>
      </c>
      <c r="M75" s="56">
        <f t="shared" si="49"/>
        <v>0</v>
      </c>
      <c r="N75" s="56">
        <f t="shared" si="50"/>
        <v>0</v>
      </c>
      <c r="O75" s="56">
        <f t="shared" si="50"/>
        <v>0</v>
      </c>
      <c r="P75" s="56">
        <f t="shared" si="50"/>
        <v>0</v>
      </c>
      <c r="Q75" s="56">
        <f t="shared" si="50"/>
        <v>0</v>
      </c>
      <c r="R75" s="56">
        <f t="shared" si="50"/>
        <v>0</v>
      </c>
      <c r="S75" s="56">
        <f t="shared" si="50"/>
        <v>0</v>
      </c>
      <c r="T75" s="56">
        <f t="shared" si="50"/>
        <v>0</v>
      </c>
    </row>
    <row r="76" spans="1:20">
      <c r="A76" s="102" t="s">
        <v>595</v>
      </c>
      <c r="B76" s="102"/>
      <c r="C76" s="56" t="s">
        <v>596</v>
      </c>
      <c r="D76" s="56">
        <f t="shared" si="49"/>
        <v>0</v>
      </c>
      <c r="E76" s="56">
        <f t="shared" si="49"/>
        <v>0</v>
      </c>
      <c r="F76" s="56">
        <f t="shared" si="49"/>
        <v>0</v>
      </c>
      <c r="G76" s="56">
        <f t="shared" si="49"/>
        <v>0</v>
      </c>
      <c r="H76" s="56">
        <f t="shared" si="49"/>
        <v>0</v>
      </c>
      <c r="I76" s="56">
        <f t="shared" si="49"/>
        <v>0</v>
      </c>
      <c r="J76" s="56">
        <f t="shared" si="49"/>
        <v>0</v>
      </c>
      <c r="K76" s="56">
        <f t="shared" si="49"/>
        <v>0</v>
      </c>
      <c r="L76" s="56">
        <f t="shared" si="49"/>
        <v>0</v>
      </c>
      <c r="M76" s="56">
        <f t="shared" si="49"/>
        <v>0</v>
      </c>
      <c r="N76" s="56">
        <f t="shared" si="50"/>
        <v>0</v>
      </c>
      <c r="O76" s="56">
        <f t="shared" si="50"/>
        <v>0</v>
      </c>
      <c r="P76" s="56">
        <f t="shared" si="50"/>
        <v>0</v>
      </c>
      <c r="Q76" s="56">
        <f t="shared" si="50"/>
        <v>0</v>
      </c>
      <c r="R76" s="56">
        <f t="shared" si="50"/>
        <v>0</v>
      </c>
      <c r="S76" s="56">
        <f t="shared" si="50"/>
        <v>0</v>
      </c>
      <c r="T76" s="56">
        <f t="shared" si="50"/>
        <v>0</v>
      </c>
    </row>
    <row r="77" spans="1:20">
      <c r="A77" s="102" t="s">
        <v>597</v>
      </c>
      <c r="B77" s="102"/>
      <c r="C77" s="56" t="s">
        <v>242</v>
      </c>
      <c r="D77" s="56">
        <f t="shared" si="49"/>
        <v>0</v>
      </c>
      <c r="E77" s="56">
        <f t="shared" si="49"/>
        <v>0</v>
      </c>
      <c r="F77" s="56">
        <f t="shared" si="49"/>
        <v>0</v>
      </c>
      <c r="G77" s="56">
        <f t="shared" si="49"/>
        <v>0</v>
      </c>
      <c r="H77" s="56">
        <f t="shared" si="49"/>
        <v>0</v>
      </c>
      <c r="I77" s="56">
        <f t="shared" si="49"/>
        <v>0</v>
      </c>
      <c r="J77" s="56">
        <f t="shared" si="49"/>
        <v>0</v>
      </c>
      <c r="K77" s="56">
        <f t="shared" si="49"/>
        <v>0</v>
      </c>
      <c r="L77" s="56">
        <f t="shared" si="49"/>
        <v>0</v>
      </c>
      <c r="M77" s="56">
        <f t="shared" si="49"/>
        <v>0</v>
      </c>
      <c r="N77" s="56">
        <f t="shared" si="50"/>
        <v>0</v>
      </c>
      <c r="O77" s="56">
        <f t="shared" si="50"/>
        <v>0</v>
      </c>
      <c r="P77" s="56">
        <f t="shared" si="50"/>
        <v>0</v>
      </c>
      <c r="Q77" s="56">
        <f t="shared" si="50"/>
        <v>0</v>
      </c>
      <c r="R77" s="56">
        <f t="shared" si="50"/>
        <v>0</v>
      </c>
      <c r="S77" s="56">
        <f t="shared" si="50"/>
        <v>0</v>
      </c>
      <c r="T77" s="56">
        <f t="shared" si="50"/>
        <v>0</v>
      </c>
    </row>
    <row r="78" spans="1:20">
      <c r="A78" s="102" t="s">
        <v>129</v>
      </c>
      <c r="B78" s="102"/>
      <c r="C78" s="56" t="s">
        <v>598</v>
      </c>
      <c r="D78" s="56">
        <f t="shared" si="49"/>
        <v>0</v>
      </c>
      <c r="E78" s="56">
        <f t="shared" si="49"/>
        <v>0</v>
      </c>
      <c r="F78" s="56">
        <f t="shared" si="49"/>
        <v>0</v>
      </c>
      <c r="G78" s="56">
        <f t="shared" si="49"/>
        <v>0</v>
      </c>
      <c r="H78" s="56">
        <f t="shared" si="49"/>
        <v>0</v>
      </c>
      <c r="I78" s="56">
        <f t="shared" si="49"/>
        <v>0</v>
      </c>
      <c r="J78" s="56">
        <f t="shared" si="49"/>
        <v>0</v>
      </c>
      <c r="K78" s="56">
        <f t="shared" si="49"/>
        <v>0</v>
      </c>
      <c r="L78" s="56">
        <f t="shared" si="49"/>
        <v>0</v>
      </c>
      <c r="M78" s="56">
        <f t="shared" si="49"/>
        <v>0</v>
      </c>
      <c r="N78" s="56">
        <f t="shared" si="50"/>
        <v>0</v>
      </c>
      <c r="O78" s="56">
        <f t="shared" si="50"/>
        <v>0</v>
      </c>
      <c r="P78" s="56">
        <f t="shared" si="50"/>
        <v>0</v>
      </c>
      <c r="Q78" s="56">
        <f t="shared" si="50"/>
        <v>0</v>
      </c>
      <c r="R78" s="56">
        <f t="shared" si="50"/>
        <v>0</v>
      </c>
      <c r="S78" s="56">
        <f t="shared" si="50"/>
        <v>0</v>
      </c>
      <c r="T78" s="56">
        <f t="shared" si="50"/>
        <v>0</v>
      </c>
    </row>
    <row r="79" spans="1:20">
      <c r="A79" s="98"/>
      <c r="B79" s="98"/>
      <c r="C79" s="98" t="s">
        <v>243</v>
      </c>
      <c r="D79" s="98">
        <f>SUM(D72:D78)</f>
        <v>0</v>
      </c>
      <c r="E79" s="98">
        <f t="shared" ref="E79:T79" si="51">SUM(E72:E78)</f>
        <v>0</v>
      </c>
      <c r="F79" s="98">
        <f t="shared" si="51"/>
        <v>0</v>
      </c>
      <c r="G79" s="98">
        <f t="shared" si="51"/>
        <v>0</v>
      </c>
      <c r="H79" s="98">
        <f t="shared" si="51"/>
        <v>0</v>
      </c>
      <c r="I79" s="98">
        <f t="shared" si="51"/>
        <v>0</v>
      </c>
      <c r="J79" s="98">
        <f t="shared" si="51"/>
        <v>0</v>
      </c>
      <c r="K79" s="98">
        <f t="shared" si="51"/>
        <v>0</v>
      </c>
      <c r="L79" s="98">
        <f t="shared" si="51"/>
        <v>0</v>
      </c>
      <c r="M79" s="98">
        <f t="shared" si="51"/>
        <v>0</v>
      </c>
      <c r="N79" s="98">
        <f t="shared" si="51"/>
        <v>0</v>
      </c>
      <c r="O79" s="98">
        <f t="shared" si="51"/>
        <v>0</v>
      </c>
      <c r="P79" s="98">
        <f t="shared" si="51"/>
        <v>0</v>
      </c>
      <c r="Q79" s="98">
        <f t="shared" si="51"/>
        <v>0</v>
      </c>
      <c r="R79" s="98">
        <f t="shared" si="51"/>
        <v>0</v>
      </c>
      <c r="S79" s="98">
        <f t="shared" si="51"/>
        <v>0</v>
      </c>
      <c r="T79" s="98">
        <f t="shared" si="51"/>
        <v>0</v>
      </c>
    </row>
    <row r="80" spans="1:20">
      <c r="A80" s="98"/>
      <c r="B80" s="98"/>
      <c r="C80" s="98" t="s">
        <v>244</v>
      </c>
      <c r="D80" s="98">
        <f>D71+D79</f>
        <v>0</v>
      </c>
      <c r="E80" s="98">
        <f t="shared" ref="E80:T80" si="52">E71+E79</f>
        <v>0</v>
      </c>
      <c r="F80" s="98">
        <f t="shared" si="52"/>
        <v>0</v>
      </c>
      <c r="G80" s="98">
        <f t="shared" si="52"/>
        <v>0</v>
      </c>
      <c r="H80" s="98">
        <f t="shared" si="52"/>
        <v>0</v>
      </c>
      <c r="I80" s="98">
        <f t="shared" si="52"/>
        <v>0</v>
      </c>
      <c r="J80" s="98">
        <f t="shared" si="52"/>
        <v>0</v>
      </c>
      <c r="K80" s="98">
        <f t="shared" si="52"/>
        <v>0</v>
      </c>
      <c r="L80" s="98">
        <f t="shared" si="52"/>
        <v>0</v>
      </c>
      <c r="M80" s="98">
        <f t="shared" si="52"/>
        <v>0</v>
      </c>
      <c r="N80" s="98">
        <f t="shared" si="52"/>
        <v>0</v>
      </c>
      <c r="O80" s="98">
        <f t="shared" si="52"/>
        <v>0</v>
      </c>
      <c r="P80" s="98">
        <f t="shared" si="52"/>
        <v>0</v>
      </c>
      <c r="Q80" s="98">
        <f t="shared" si="52"/>
        <v>0</v>
      </c>
      <c r="R80" s="98">
        <f t="shared" si="52"/>
        <v>0</v>
      </c>
      <c r="S80" s="98">
        <f t="shared" si="52"/>
        <v>0</v>
      </c>
      <c r="T80" s="98">
        <f t="shared" si="52"/>
        <v>0</v>
      </c>
    </row>
    <row r="81" spans="1:16" ht="15.15" thickBot="1"/>
    <row r="82" spans="1:16" ht="16.600000000000001">
      <c r="C82" s="126" t="s">
        <v>40</v>
      </c>
      <c r="D82" s="127"/>
      <c r="E82" s="128"/>
      <c r="F82" s="128"/>
      <c r="G82" s="128"/>
      <c r="H82" s="1"/>
      <c r="I82" s="1"/>
      <c r="J82" s="1"/>
      <c r="K82" s="1"/>
      <c r="L82" s="1"/>
      <c r="M82" s="1"/>
      <c r="N82" s="1"/>
      <c r="O82" s="1"/>
      <c r="P82" s="1"/>
    </row>
    <row r="83" spans="1:16" ht="16.600000000000001">
      <c r="C83" s="129" t="s">
        <v>981</v>
      </c>
      <c r="D83" s="336">
        <v>41640</v>
      </c>
      <c r="E83" s="130">
        <v>42005</v>
      </c>
      <c r="F83" s="130">
        <v>42370</v>
      </c>
      <c r="G83" s="130"/>
      <c r="H83" s="1"/>
      <c r="I83" s="1"/>
      <c r="J83" s="1"/>
      <c r="K83" s="1"/>
      <c r="L83" s="1"/>
      <c r="M83" s="1"/>
      <c r="N83" s="1"/>
      <c r="O83" s="1"/>
      <c r="P83" s="1"/>
    </row>
    <row r="84" spans="1:16" ht="16.600000000000001">
      <c r="C84" s="131" t="s">
        <v>982</v>
      </c>
      <c r="D84" s="337">
        <v>42004</v>
      </c>
      <c r="E84" s="337">
        <v>42369</v>
      </c>
      <c r="F84" s="337">
        <v>42735</v>
      </c>
      <c r="G84" s="132"/>
      <c r="H84" s="1"/>
      <c r="I84" s="1"/>
      <c r="J84" s="1"/>
      <c r="K84" s="1"/>
      <c r="L84" s="1"/>
      <c r="M84" s="1"/>
      <c r="N84" s="1"/>
      <c r="O84" s="1"/>
      <c r="P84" s="1"/>
    </row>
    <row r="85" spans="1:16" ht="16.600000000000001">
      <c r="C85" s="131" t="s">
        <v>983</v>
      </c>
      <c r="D85" s="133">
        <f>MONTH(D84-D83)</f>
        <v>12</v>
      </c>
      <c r="E85" s="133">
        <f>MONTH(E84-E83)</f>
        <v>12</v>
      </c>
      <c r="F85" s="133">
        <f>MONTH(F84-F83)</f>
        <v>12</v>
      </c>
      <c r="G85" s="133"/>
      <c r="H85" s="1"/>
      <c r="I85" s="1"/>
      <c r="J85" s="1"/>
      <c r="K85" s="1"/>
      <c r="L85" s="1"/>
      <c r="M85" s="1"/>
      <c r="N85" s="1"/>
      <c r="O85" s="1"/>
      <c r="P85" s="1"/>
    </row>
    <row r="86" spans="1:16" ht="16.600000000000001">
      <c r="C86" s="131" t="s">
        <v>690</v>
      </c>
      <c r="D86" s="134">
        <f>YEAR(D84)</f>
        <v>2014</v>
      </c>
      <c r="E86" s="134">
        <f>YEAR(E84)</f>
        <v>2015</v>
      </c>
      <c r="F86" s="134">
        <f>YEAR(F84)</f>
        <v>2016</v>
      </c>
      <c r="G86" s="134"/>
      <c r="H86" s="1"/>
      <c r="I86" s="1"/>
      <c r="J86" s="1"/>
      <c r="K86" s="1"/>
      <c r="L86" s="1"/>
      <c r="M86" s="1"/>
      <c r="N86" s="1"/>
      <c r="O86" s="1"/>
      <c r="P86" s="1"/>
    </row>
    <row r="87" spans="1:16" ht="16.600000000000001">
      <c r="C87" s="131" t="s">
        <v>984</v>
      </c>
      <c r="D87" s="133">
        <f>ROUNDUP(MONTH(D84)/3,0)</f>
        <v>4</v>
      </c>
      <c r="E87" s="133">
        <f>ROUNDUP(MONTH(E84)/3,0)</f>
        <v>4</v>
      </c>
      <c r="F87" s="133">
        <f>ROUNDUP(MONTH(F84)/3,0)</f>
        <v>4</v>
      </c>
      <c r="G87" s="133"/>
      <c r="H87" s="1"/>
      <c r="I87" s="1"/>
      <c r="J87" s="1"/>
      <c r="K87" s="1"/>
      <c r="L87" s="1"/>
      <c r="M87" s="1"/>
      <c r="N87" s="1"/>
      <c r="O87" s="1"/>
      <c r="P87" s="1"/>
    </row>
    <row r="88" spans="1:16" ht="16.600000000000001">
      <c r="A88" s="1" t="s">
        <v>55</v>
      </c>
      <c r="B88" s="349" t="s">
        <v>1112</v>
      </c>
      <c r="C88" s="136" t="s">
        <v>891</v>
      </c>
      <c r="D88" s="137"/>
      <c r="E88" s="137"/>
      <c r="F88" s="137"/>
      <c r="G88" s="137"/>
      <c r="H88" s="1"/>
      <c r="I88" s="1"/>
      <c r="J88" s="1"/>
      <c r="K88" s="1"/>
      <c r="L88" s="1"/>
      <c r="M88" s="1"/>
      <c r="N88" s="1"/>
      <c r="O88" s="1"/>
      <c r="P88" s="1"/>
    </row>
    <row r="89" spans="1:16" ht="16.600000000000001">
      <c r="A89" s="1" t="s">
        <v>56</v>
      </c>
      <c r="B89" s="349" t="s">
        <v>1113</v>
      </c>
      <c r="C89" s="135" t="s">
        <v>41</v>
      </c>
      <c r="D89" s="137"/>
      <c r="E89" s="137"/>
      <c r="F89" s="137"/>
      <c r="G89" s="137"/>
      <c r="H89" s="1"/>
      <c r="I89" s="1"/>
      <c r="J89" s="1"/>
      <c r="K89" s="1"/>
      <c r="L89" s="1"/>
      <c r="M89" s="1"/>
      <c r="N89" s="1"/>
      <c r="O89" s="1"/>
      <c r="P89" s="1"/>
    </row>
    <row r="90" spans="1:16" ht="16.600000000000001">
      <c r="A90" s="1" t="s">
        <v>56</v>
      </c>
      <c r="B90" s="349" t="s">
        <v>1114</v>
      </c>
      <c r="C90" s="136" t="s">
        <v>42</v>
      </c>
      <c r="D90" s="137"/>
      <c r="E90" s="137"/>
      <c r="F90" s="137"/>
      <c r="G90" s="137"/>
      <c r="H90" s="1"/>
      <c r="I90" s="1"/>
      <c r="J90" s="1"/>
      <c r="K90" s="1"/>
      <c r="L90" s="1"/>
      <c r="M90" s="1"/>
      <c r="N90" s="1"/>
      <c r="O90" s="1"/>
      <c r="P90" s="1"/>
    </row>
    <row r="91" spans="1:16" ht="16.600000000000001">
      <c r="A91" s="1" t="s">
        <v>56</v>
      </c>
      <c r="B91" s="349" t="s">
        <v>1115</v>
      </c>
      <c r="C91" s="136" t="s">
        <v>43</v>
      </c>
      <c r="D91" s="137"/>
      <c r="E91" s="137"/>
      <c r="F91" s="137"/>
      <c r="G91" s="137"/>
      <c r="H91" s="1"/>
      <c r="I91" s="1"/>
      <c r="J91" s="1"/>
      <c r="K91" s="1"/>
      <c r="L91" s="1"/>
      <c r="M91" s="1"/>
      <c r="N91" s="1"/>
      <c r="O91" s="1"/>
      <c r="P91" s="1"/>
    </row>
    <row r="92" spans="1:16" ht="16.600000000000001">
      <c r="A92" s="1" t="s">
        <v>56</v>
      </c>
      <c r="B92" s="349" t="s">
        <v>1116</v>
      </c>
      <c r="C92" s="136" t="s">
        <v>44</v>
      </c>
      <c r="D92" s="136"/>
      <c r="E92" s="136"/>
      <c r="F92" s="136"/>
      <c r="G92" s="137"/>
      <c r="H92" s="1"/>
      <c r="I92" s="1"/>
      <c r="J92" s="1"/>
      <c r="K92" s="1"/>
      <c r="L92" s="1"/>
      <c r="M92" s="1"/>
      <c r="N92" s="1"/>
      <c r="O92" s="1"/>
      <c r="P92" s="1"/>
    </row>
    <row r="93" spans="1:16" ht="16.600000000000001">
      <c r="A93" s="1" t="s">
        <v>56</v>
      </c>
      <c r="B93" s="349" t="s">
        <v>1117</v>
      </c>
      <c r="C93" s="136" t="s">
        <v>45</v>
      </c>
      <c r="D93" s="136"/>
      <c r="E93" s="136"/>
      <c r="F93" s="136"/>
      <c r="G93" s="136"/>
      <c r="H93" s="1"/>
      <c r="I93" s="1"/>
      <c r="J93" s="1"/>
      <c r="K93" s="1"/>
      <c r="L93" s="1"/>
      <c r="M93" s="1"/>
      <c r="N93" s="1"/>
      <c r="O93" s="1"/>
      <c r="P93" s="1"/>
    </row>
    <row r="94" spans="1:16" ht="16.600000000000001">
      <c r="A94" s="1" t="s">
        <v>56</v>
      </c>
      <c r="B94" s="349" t="s">
        <v>1118</v>
      </c>
      <c r="C94" s="136" t="s">
        <v>46</v>
      </c>
      <c r="D94" s="136"/>
      <c r="E94" s="136"/>
      <c r="F94" s="136"/>
      <c r="G94" s="136"/>
      <c r="H94" s="1"/>
      <c r="I94" s="1"/>
      <c r="J94" s="1"/>
      <c r="K94" s="1"/>
      <c r="L94" s="1"/>
      <c r="M94" s="1"/>
      <c r="N94" s="1"/>
      <c r="O94" s="1"/>
      <c r="P94" s="1"/>
    </row>
    <row r="95" spans="1:16" ht="16.600000000000001">
      <c r="A95" s="1" t="s">
        <v>63</v>
      </c>
      <c r="B95" s="349" t="s">
        <v>1119</v>
      </c>
      <c r="C95" s="136" t="s">
        <v>47</v>
      </c>
      <c r="D95" s="137"/>
      <c r="E95" s="137"/>
      <c r="F95" s="137"/>
      <c r="G95" s="137"/>
      <c r="H95" s="1"/>
      <c r="I95" s="1"/>
      <c r="J95" s="1"/>
      <c r="K95" s="1"/>
      <c r="L95" s="1"/>
      <c r="M95" s="1"/>
      <c r="N95" s="1"/>
      <c r="O95" s="1"/>
      <c r="P95" s="1"/>
    </row>
    <row r="96" spans="1:16" ht="16.600000000000001">
      <c r="A96" s="1" t="s">
        <v>63</v>
      </c>
      <c r="B96" s="349" t="s">
        <v>1120</v>
      </c>
      <c r="C96" s="136" t="s">
        <v>48</v>
      </c>
      <c r="D96" s="136"/>
      <c r="E96" s="136"/>
      <c r="F96" s="136"/>
      <c r="G96" s="136"/>
      <c r="H96" s="1"/>
      <c r="I96" s="1"/>
      <c r="J96" s="1"/>
      <c r="K96" s="1"/>
      <c r="L96" s="1"/>
      <c r="M96" s="1"/>
      <c r="N96" s="1"/>
      <c r="O96" s="1"/>
      <c r="P96" s="1"/>
    </row>
    <row r="97" spans="1:16" ht="16.600000000000001">
      <c r="A97" s="1" t="s">
        <v>57</v>
      </c>
      <c r="B97" s="349" t="s">
        <v>1121</v>
      </c>
      <c r="C97" s="136" t="s">
        <v>49</v>
      </c>
      <c r="D97" s="137"/>
      <c r="E97" s="137"/>
      <c r="F97" s="137"/>
      <c r="G97" s="137"/>
      <c r="H97" s="1"/>
      <c r="I97" s="1"/>
      <c r="J97" s="1"/>
      <c r="K97" s="1"/>
      <c r="L97" s="1"/>
      <c r="M97" s="1"/>
      <c r="N97" s="1"/>
      <c r="O97" s="1"/>
      <c r="P97" s="1"/>
    </row>
    <row r="98" spans="1:16" ht="16.600000000000001">
      <c r="A98" s="1" t="s">
        <v>57</v>
      </c>
      <c r="B98" s="349" t="s">
        <v>1122</v>
      </c>
      <c r="C98" s="136" t="s">
        <v>51</v>
      </c>
      <c r="D98" s="136"/>
      <c r="E98" s="136"/>
      <c r="F98" s="136"/>
      <c r="G98" s="137"/>
      <c r="H98" s="1"/>
      <c r="I98" s="1"/>
      <c r="J98" s="1"/>
      <c r="K98" s="1"/>
      <c r="L98" s="1"/>
      <c r="M98" s="1"/>
      <c r="N98" s="1"/>
      <c r="O98" s="1"/>
      <c r="P98" s="1"/>
    </row>
    <row r="99" spans="1:16" ht="16.600000000000001">
      <c r="A99" s="1" t="s">
        <v>58</v>
      </c>
      <c r="B99" s="349" t="s">
        <v>1123</v>
      </c>
      <c r="C99" s="136" t="s">
        <v>50</v>
      </c>
      <c r="D99" s="137"/>
      <c r="E99" s="137"/>
      <c r="F99" s="137"/>
      <c r="G99" s="137"/>
      <c r="H99" s="1"/>
      <c r="I99" s="1"/>
      <c r="J99" s="1"/>
      <c r="K99" s="1"/>
      <c r="L99" s="1"/>
      <c r="M99" s="1"/>
      <c r="N99" s="1"/>
      <c r="O99" s="1"/>
      <c r="P99" s="1"/>
    </row>
    <row r="100" spans="1:16" ht="16.600000000000001">
      <c r="A100" s="1" t="s">
        <v>58</v>
      </c>
      <c r="B100" s="349" t="s">
        <v>1124</v>
      </c>
      <c r="C100" s="136" t="s">
        <v>52</v>
      </c>
      <c r="D100" s="136"/>
      <c r="E100" s="136"/>
      <c r="F100" s="136"/>
      <c r="G100" s="136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16.600000000000001">
      <c r="A101" s="1" t="s">
        <v>60</v>
      </c>
      <c r="B101" s="349" t="s">
        <v>1125</v>
      </c>
      <c r="C101" s="136" t="s">
        <v>53</v>
      </c>
      <c r="D101" s="137"/>
      <c r="E101" s="137"/>
      <c r="F101" s="137"/>
      <c r="G101" s="137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16.600000000000001">
      <c r="A102" s="1" t="s">
        <v>60</v>
      </c>
      <c r="B102" s="349" t="s">
        <v>1126</v>
      </c>
      <c r="C102" s="136" t="s">
        <v>54</v>
      </c>
      <c r="D102" s="136"/>
      <c r="E102" s="136"/>
      <c r="F102" s="136"/>
      <c r="G102" s="136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16.600000000000001">
      <c r="A103" s="1" t="s">
        <v>60</v>
      </c>
      <c r="B103" s="349" t="s">
        <v>1127</v>
      </c>
      <c r="C103" s="136" t="s">
        <v>59</v>
      </c>
      <c r="D103" s="136"/>
      <c r="E103" s="136"/>
      <c r="F103" s="137"/>
      <c r="G103" s="136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16.600000000000001">
      <c r="A104" s="1" t="s">
        <v>57</v>
      </c>
      <c r="B104" s="349" t="s">
        <v>1128</v>
      </c>
      <c r="C104" s="136" t="s">
        <v>61</v>
      </c>
      <c r="D104" s="137"/>
      <c r="E104" s="137"/>
      <c r="F104" s="137"/>
      <c r="G104" s="137"/>
      <c r="H104" s="1"/>
      <c r="I104" s="1"/>
      <c r="J104" s="1"/>
      <c r="K104" s="1"/>
      <c r="L104" s="1"/>
      <c r="M104" s="1"/>
      <c r="N104" s="1"/>
      <c r="O104" s="1"/>
      <c r="P104" s="1"/>
    </row>
    <row r="105" spans="1:16" ht="16.600000000000001">
      <c r="A105" s="1" t="s">
        <v>56</v>
      </c>
      <c r="B105" s="349" t="s">
        <v>1129</v>
      </c>
      <c r="C105" s="136" t="s">
        <v>62</v>
      </c>
      <c r="D105" s="137"/>
      <c r="E105" s="137"/>
      <c r="F105" s="137"/>
      <c r="G105" s="137"/>
      <c r="H105" s="1"/>
      <c r="I105" s="1"/>
      <c r="J105" s="1"/>
      <c r="K105" s="1"/>
      <c r="L105" s="1"/>
      <c r="M105" s="1"/>
      <c r="N105" s="1"/>
      <c r="O105" s="1"/>
      <c r="P105" s="1"/>
    </row>
    <row r="106" spans="1:16" ht="16.600000000000001">
      <c r="A106" s="1" t="s">
        <v>60</v>
      </c>
      <c r="B106" s="349" t="s">
        <v>1130</v>
      </c>
      <c r="C106" s="136" t="s">
        <v>64</v>
      </c>
      <c r="D106" s="137"/>
      <c r="E106" s="137"/>
      <c r="F106" s="137"/>
      <c r="G106" s="137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6.600000000000001">
      <c r="B107" s="349" t="s">
        <v>1131</v>
      </c>
      <c r="C107" s="136" t="s">
        <v>65</v>
      </c>
      <c r="D107" s="137"/>
      <c r="E107" s="137"/>
      <c r="F107" s="137"/>
      <c r="G107" s="137"/>
      <c r="H107" s="1"/>
      <c r="I107" s="1"/>
      <c r="J107" s="1"/>
      <c r="K107" s="1"/>
      <c r="L107" s="1"/>
      <c r="M107" s="1"/>
      <c r="N107" s="1"/>
      <c r="O107" s="1"/>
      <c r="P107" s="1"/>
    </row>
    <row r="108" spans="1:16" ht="16.600000000000001">
      <c r="A108" s="1" t="s">
        <v>66</v>
      </c>
      <c r="B108" s="349" t="s">
        <v>1132</v>
      </c>
      <c r="C108" s="136" t="s">
        <v>67</v>
      </c>
      <c r="D108" s="136"/>
      <c r="E108" s="136"/>
      <c r="F108" s="136"/>
      <c r="G108" s="136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6.600000000000001">
      <c r="A109" s="1" t="s">
        <v>66</v>
      </c>
      <c r="B109" s="349" t="s">
        <v>1133</v>
      </c>
      <c r="C109" s="136" t="s">
        <v>68</v>
      </c>
      <c r="D109" s="137"/>
      <c r="E109" s="137"/>
      <c r="F109" s="137"/>
      <c r="G109" s="137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6.600000000000001">
      <c r="A110" s="1" t="s">
        <v>66</v>
      </c>
      <c r="B110" s="349" t="s">
        <v>1134</v>
      </c>
      <c r="C110" s="136" t="s">
        <v>69</v>
      </c>
      <c r="D110" s="136"/>
      <c r="E110" s="136"/>
      <c r="F110" s="136"/>
      <c r="G110" s="137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6.600000000000001">
      <c r="A111" s="1" t="s">
        <v>66</v>
      </c>
      <c r="B111" s="349" t="s">
        <v>1135</v>
      </c>
      <c r="C111" s="136" t="s">
        <v>70</v>
      </c>
      <c r="D111" s="136"/>
      <c r="E111" s="136"/>
      <c r="F111" s="136"/>
      <c r="G111" s="136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6.600000000000001">
      <c r="A112" s="1" t="s">
        <v>66</v>
      </c>
      <c r="B112" s="349" t="s">
        <v>1136</v>
      </c>
      <c r="C112" s="136" t="s">
        <v>71</v>
      </c>
      <c r="D112" s="137"/>
      <c r="E112" s="137"/>
      <c r="F112" s="137"/>
      <c r="G112" s="137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6.600000000000001">
      <c r="A113" s="1" t="s">
        <v>66</v>
      </c>
      <c r="B113" s="349" t="s">
        <v>1137</v>
      </c>
      <c r="C113" s="136" t="s">
        <v>72</v>
      </c>
      <c r="D113" s="136"/>
      <c r="E113" s="136"/>
      <c r="F113" s="136"/>
      <c r="G113" s="136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6.600000000000001">
      <c r="A114" s="1" t="s">
        <v>66</v>
      </c>
      <c r="B114" s="349" t="s">
        <v>1138</v>
      </c>
      <c r="C114" s="136" t="s">
        <v>73</v>
      </c>
      <c r="D114" s="137"/>
      <c r="E114" s="137"/>
      <c r="F114" s="137"/>
      <c r="G114" s="137"/>
      <c r="H114" s="1"/>
      <c r="I114" s="1"/>
      <c r="J114" s="1"/>
      <c r="K114" s="1"/>
      <c r="L114" s="1"/>
      <c r="M114" s="1"/>
      <c r="N114" s="1"/>
      <c r="O114" s="1"/>
      <c r="P114" s="1"/>
    </row>
    <row r="115" spans="1:16" ht="16.600000000000001">
      <c r="A115" s="1" t="s">
        <v>66</v>
      </c>
      <c r="B115" s="349" t="s">
        <v>1139</v>
      </c>
      <c r="C115" s="136" t="s">
        <v>74</v>
      </c>
      <c r="D115" s="136"/>
      <c r="E115" s="136"/>
      <c r="F115" s="136"/>
      <c r="G115" s="136"/>
      <c r="H115" s="1"/>
      <c r="I115" s="1"/>
      <c r="J115" s="1"/>
      <c r="K115" s="1"/>
      <c r="L115" s="1"/>
      <c r="M115" s="1"/>
      <c r="N115" s="1"/>
      <c r="O115" s="1"/>
      <c r="P115" s="1"/>
    </row>
    <row r="116" spans="1:16" ht="16.600000000000001">
      <c r="A116" s="1" t="s">
        <v>583</v>
      </c>
      <c r="B116" s="349" t="s">
        <v>1140</v>
      </c>
      <c r="C116" s="136" t="s">
        <v>75</v>
      </c>
      <c r="D116" s="137"/>
      <c r="E116" s="137"/>
      <c r="F116" s="137"/>
      <c r="G116" s="137"/>
      <c r="H116" s="1"/>
      <c r="I116" s="1"/>
      <c r="J116" s="1"/>
      <c r="K116" s="1"/>
      <c r="L116" s="1"/>
      <c r="M116" s="1"/>
      <c r="N116" s="1"/>
      <c r="O116" s="1"/>
      <c r="P116" s="1"/>
    </row>
    <row r="117" spans="1:16" ht="16.600000000000001">
      <c r="A117" s="1" t="s">
        <v>585</v>
      </c>
      <c r="B117" s="349" t="s">
        <v>1141</v>
      </c>
      <c r="C117" s="136" t="s">
        <v>77</v>
      </c>
      <c r="D117" s="137"/>
      <c r="E117" s="137"/>
      <c r="F117" s="137"/>
      <c r="G117" s="137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6.600000000000001">
      <c r="A118" s="1" t="s">
        <v>585</v>
      </c>
      <c r="B118" s="349" t="s">
        <v>1142</v>
      </c>
      <c r="C118" s="135" t="s">
        <v>78</v>
      </c>
      <c r="D118" s="136"/>
      <c r="E118" s="136"/>
      <c r="F118" s="136"/>
      <c r="G118" s="136"/>
      <c r="H118" s="1"/>
      <c r="I118" s="1"/>
      <c r="J118" s="1"/>
      <c r="K118" s="1"/>
      <c r="L118" s="1"/>
      <c r="M118" s="1"/>
      <c r="N118" s="1"/>
      <c r="O118" s="1"/>
      <c r="P118" s="1"/>
    </row>
    <row r="119" spans="1:16" ht="16.600000000000001">
      <c r="A119" s="1" t="s">
        <v>585</v>
      </c>
      <c r="B119" s="349" t="s">
        <v>1143</v>
      </c>
      <c r="C119" s="136" t="s">
        <v>79</v>
      </c>
      <c r="D119" s="136"/>
      <c r="E119" s="136"/>
      <c r="F119" s="136"/>
      <c r="G119" s="136"/>
      <c r="H119" s="1"/>
      <c r="I119" s="1"/>
      <c r="J119" s="1"/>
      <c r="K119" s="1"/>
      <c r="L119" s="1"/>
      <c r="M119" s="1"/>
      <c r="N119" s="1"/>
      <c r="O119" s="1"/>
      <c r="P119" s="1"/>
    </row>
    <row r="120" spans="1:16" ht="16.600000000000001">
      <c r="A120" s="1" t="s">
        <v>585</v>
      </c>
      <c r="B120" s="349" t="s">
        <v>1144</v>
      </c>
      <c r="C120" s="136" t="s">
        <v>80</v>
      </c>
      <c r="D120" s="137"/>
      <c r="E120" s="137"/>
      <c r="F120" s="137"/>
      <c r="G120" s="137"/>
      <c r="H120" s="1"/>
      <c r="I120" s="1"/>
      <c r="J120" s="1"/>
      <c r="K120" s="1"/>
      <c r="L120" s="1"/>
      <c r="M120" s="1"/>
      <c r="N120" s="1"/>
      <c r="O120" s="1"/>
      <c r="P120" s="1"/>
    </row>
    <row r="121" spans="1:16" ht="16.600000000000001">
      <c r="B121" s="349" t="s">
        <v>1145</v>
      </c>
      <c r="C121" s="136" t="s">
        <v>81</v>
      </c>
      <c r="D121" s="137"/>
      <c r="E121" s="137"/>
      <c r="F121" s="137"/>
      <c r="G121" s="137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6.600000000000001">
      <c r="A122" s="1" t="s">
        <v>584</v>
      </c>
      <c r="B122" s="349" t="s">
        <v>1146</v>
      </c>
      <c r="C122" s="136" t="s">
        <v>83</v>
      </c>
      <c r="D122" s="137"/>
      <c r="E122" s="137"/>
      <c r="F122" s="137"/>
      <c r="G122" s="137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6.600000000000001">
      <c r="A123" s="1" t="s">
        <v>82</v>
      </c>
      <c r="B123" s="349" t="s">
        <v>1147</v>
      </c>
      <c r="C123" s="136" t="s">
        <v>84</v>
      </c>
      <c r="D123" s="136"/>
      <c r="E123" s="136"/>
      <c r="F123" s="136"/>
      <c r="G123" s="136"/>
      <c r="H123" s="1"/>
      <c r="I123" s="1"/>
      <c r="J123" s="1"/>
      <c r="K123" s="1"/>
      <c r="L123" s="1"/>
      <c r="M123" s="1"/>
      <c r="N123" s="1"/>
      <c r="O123" s="1"/>
      <c r="P123" s="1"/>
    </row>
    <row r="124" spans="1:16" ht="16.600000000000001">
      <c r="B124" s="349" t="s">
        <v>1148</v>
      </c>
      <c r="C124" s="136" t="s">
        <v>85</v>
      </c>
      <c r="D124" s="137"/>
      <c r="E124" s="137"/>
      <c r="F124" s="137"/>
      <c r="G124" s="137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6.600000000000001">
      <c r="A125" s="1" t="s">
        <v>82</v>
      </c>
      <c r="B125" s="349" t="s">
        <v>1149</v>
      </c>
      <c r="C125" s="136" t="s">
        <v>86</v>
      </c>
      <c r="D125" s="136"/>
      <c r="E125" s="136"/>
      <c r="F125" s="136"/>
      <c r="G125" s="136"/>
      <c r="H125" s="1"/>
      <c r="I125" s="1"/>
      <c r="J125" s="1"/>
      <c r="K125" s="1"/>
      <c r="L125" s="1"/>
      <c r="M125" s="1"/>
      <c r="N125" s="1"/>
      <c r="O125" s="1"/>
      <c r="P125" s="1"/>
    </row>
    <row r="126" spans="1:16" ht="16.600000000000001">
      <c r="A126" s="1" t="s">
        <v>82</v>
      </c>
      <c r="B126" s="349" t="s">
        <v>1150</v>
      </c>
      <c r="C126" s="136" t="s">
        <v>87</v>
      </c>
      <c r="D126" s="136"/>
      <c r="E126" s="136"/>
      <c r="F126" s="136"/>
      <c r="G126" s="137"/>
      <c r="H126" s="1"/>
      <c r="I126" s="1"/>
      <c r="J126" s="1"/>
      <c r="K126" s="1"/>
      <c r="L126" s="1"/>
      <c r="M126" s="1"/>
      <c r="N126" s="1"/>
      <c r="O126" s="1"/>
      <c r="P126" s="1"/>
    </row>
    <row r="127" spans="1:16" ht="16.600000000000001">
      <c r="A127" s="1" t="s">
        <v>583</v>
      </c>
      <c r="B127" s="349" t="s">
        <v>1151</v>
      </c>
      <c r="C127" s="136" t="s">
        <v>88</v>
      </c>
      <c r="D127" s="137"/>
      <c r="E127" s="137"/>
      <c r="F127" s="137"/>
      <c r="G127" s="137"/>
      <c r="H127" s="1"/>
      <c r="I127" s="1"/>
      <c r="J127" s="1"/>
      <c r="K127" s="1"/>
      <c r="L127" s="1"/>
      <c r="M127" s="1"/>
      <c r="N127" s="1"/>
      <c r="O127" s="1"/>
      <c r="P127" s="1"/>
    </row>
    <row r="128" spans="1:16" ht="16.600000000000001">
      <c r="A128" s="1" t="s">
        <v>82</v>
      </c>
      <c r="B128" s="349" t="s">
        <v>1152</v>
      </c>
      <c r="C128" s="136" t="s">
        <v>158</v>
      </c>
      <c r="D128" s="137"/>
      <c r="E128" s="137"/>
      <c r="F128" s="137"/>
      <c r="G128" s="137"/>
      <c r="H128" s="1"/>
      <c r="I128" s="1"/>
      <c r="J128" s="1"/>
      <c r="K128" s="1"/>
      <c r="L128" s="1"/>
      <c r="M128" s="1"/>
      <c r="N128" s="1"/>
      <c r="O128" s="1"/>
      <c r="P128" s="1"/>
    </row>
    <row r="129" spans="1:16" ht="16.600000000000001">
      <c r="A129" s="1" t="s">
        <v>82</v>
      </c>
      <c r="B129" s="349" t="s">
        <v>1153</v>
      </c>
      <c r="C129" s="136" t="s">
        <v>159</v>
      </c>
      <c r="D129" s="136"/>
      <c r="E129" s="136"/>
      <c r="F129" s="136"/>
      <c r="G129" s="136"/>
      <c r="H129" s="1"/>
      <c r="I129" s="1"/>
      <c r="J129" s="1"/>
      <c r="K129" s="1"/>
      <c r="L129" s="1"/>
      <c r="M129" s="1"/>
      <c r="N129" s="1"/>
      <c r="O129" s="1"/>
      <c r="P129" s="1"/>
    </row>
    <row r="130" spans="1:16" ht="16.600000000000001">
      <c r="A130" s="1" t="s">
        <v>82</v>
      </c>
      <c r="B130" s="349" t="s">
        <v>1154</v>
      </c>
      <c r="C130" s="136" t="s">
        <v>157</v>
      </c>
      <c r="D130" s="137"/>
      <c r="E130" s="137"/>
      <c r="F130" s="137"/>
      <c r="G130" s="137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6.600000000000001">
      <c r="B131" s="349" t="s">
        <v>1155</v>
      </c>
      <c r="C131" s="136" t="s">
        <v>89</v>
      </c>
      <c r="D131" s="137"/>
      <c r="E131" s="137"/>
      <c r="F131" s="137"/>
      <c r="G131" s="137"/>
      <c r="H131" s="1"/>
      <c r="I131" s="1"/>
      <c r="J131" s="1"/>
      <c r="K131" s="1"/>
      <c r="L131" s="1"/>
      <c r="M131" s="1"/>
      <c r="N131" s="1"/>
      <c r="O131" s="1"/>
      <c r="P131" s="1"/>
    </row>
    <row r="132" spans="1:16" ht="16.600000000000001">
      <c r="B132" s="349" t="s">
        <v>1156</v>
      </c>
      <c r="C132" s="136" t="s">
        <v>90</v>
      </c>
      <c r="D132" s="137"/>
      <c r="E132" s="137"/>
      <c r="F132" s="137"/>
      <c r="G132" s="137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6.600000000000001">
      <c r="B133" s="349" t="s">
        <v>1157</v>
      </c>
      <c r="C133" s="136" t="s">
        <v>91</v>
      </c>
      <c r="D133" s="137"/>
      <c r="E133" s="137"/>
      <c r="F133" s="137"/>
      <c r="G133" s="137"/>
      <c r="H133" s="1"/>
      <c r="I133" s="1"/>
      <c r="J133" s="1"/>
      <c r="K133" s="1"/>
      <c r="L133" s="1"/>
      <c r="M133" s="1"/>
      <c r="N133" s="1"/>
      <c r="O133" s="1"/>
      <c r="P133" s="1"/>
    </row>
    <row r="134" spans="1:16" ht="16.600000000000001">
      <c r="A134" s="1" t="s">
        <v>92</v>
      </c>
      <c r="B134" s="349" t="s">
        <v>1158</v>
      </c>
      <c r="C134" s="136" t="s">
        <v>93</v>
      </c>
      <c r="D134" s="137"/>
      <c r="E134" s="137"/>
      <c r="F134" s="137"/>
      <c r="G134" s="137"/>
      <c r="H134" s="1"/>
      <c r="I134" s="1"/>
      <c r="J134" s="1"/>
      <c r="K134" s="1"/>
      <c r="L134" s="1"/>
      <c r="M134" s="1"/>
      <c r="N134" s="1"/>
      <c r="O134" s="1"/>
      <c r="P134" s="1"/>
    </row>
    <row r="135" spans="1:16" ht="16.600000000000001">
      <c r="A135" s="1" t="s">
        <v>100</v>
      </c>
      <c r="B135" s="349" t="s">
        <v>1159</v>
      </c>
      <c r="C135" s="136" t="s">
        <v>94</v>
      </c>
      <c r="D135" s="136"/>
      <c r="E135" s="136"/>
      <c r="F135" s="136"/>
      <c r="G135" s="136"/>
      <c r="H135" s="1"/>
      <c r="I135" s="1"/>
      <c r="J135" s="1"/>
      <c r="K135" s="1"/>
      <c r="L135" s="1"/>
      <c r="M135" s="1"/>
      <c r="N135" s="1"/>
      <c r="O135" s="1"/>
      <c r="P135" s="1"/>
    </row>
    <row r="136" spans="1:16" ht="16.600000000000001">
      <c r="A136" s="1" t="s">
        <v>92</v>
      </c>
      <c r="B136" s="349" t="s">
        <v>1160</v>
      </c>
      <c r="C136" s="136" t="s">
        <v>95</v>
      </c>
      <c r="D136" s="137"/>
      <c r="E136" s="137"/>
      <c r="F136" s="137"/>
      <c r="G136" s="137"/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6.600000000000001">
      <c r="A137" s="1" t="s">
        <v>96</v>
      </c>
      <c r="B137" s="349" t="s">
        <v>1161</v>
      </c>
      <c r="C137" s="136" t="s">
        <v>97</v>
      </c>
      <c r="D137" s="136"/>
      <c r="E137" s="136"/>
      <c r="F137" s="137"/>
      <c r="G137" s="136"/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6.600000000000001">
      <c r="A138" s="1" t="s">
        <v>96</v>
      </c>
      <c r="B138" s="349" t="s">
        <v>1162</v>
      </c>
      <c r="C138" s="136" t="s">
        <v>98</v>
      </c>
      <c r="D138" s="136"/>
      <c r="E138" s="136"/>
      <c r="F138" s="136"/>
      <c r="G138" s="136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6.600000000000001">
      <c r="A139" s="1" t="s">
        <v>100</v>
      </c>
      <c r="B139" s="349" t="s">
        <v>1163</v>
      </c>
      <c r="C139" s="136" t="s">
        <v>99</v>
      </c>
      <c r="D139" s="137"/>
      <c r="E139" s="137"/>
      <c r="F139" s="137"/>
      <c r="G139" s="137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6.600000000000001">
      <c r="A140" s="1" t="s">
        <v>100</v>
      </c>
      <c r="B140" s="349" t="s">
        <v>1164</v>
      </c>
      <c r="C140" s="136" t="s">
        <v>101</v>
      </c>
      <c r="D140" s="136"/>
      <c r="E140" s="136"/>
      <c r="F140" s="136"/>
      <c r="G140" s="136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6.600000000000001">
      <c r="A141" s="1" t="s">
        <v>96</v>
      </c>
      <c r="B141" s="349" t="s">
        <v>1165</v>
      </c>
      <c r="C141" s="136" t="s">
        <v>102</v>
      </c>
      <c r="D141" s="137"/>
      <c r="E141" s="137"/>
      <c r="F141" s="137"/>
      <c r="G141" s="137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6.600000000000001">
      <c r="A142" s="1" t="s">
        <v>587</v>
      </c>
      <c r="B142" s="349" t="s">
        <v>1166</v>
      </c>
      <c r="C142" s="136" t="s">
        <v>103</v>
      </c>
      <c r="D142" s="137"/>
      <c r="E142" s="137"/>
      <c r="F142" s="137"/>
      <c r="G142" s="137"/>
      <c r="H142" s="1"/>
      <c r="I142" s="1"/>
      <c r="J142" s="1"/>
      <c r="K142" s="1"/>
      <c r="L142" s="1"/>
      <c r="M142" s="1"/>
      <c r="N142" s="1"/>
      <c r="O142" s="1"/>
      <c r="P142" s="1"/>
    </row>
    <row r="143" spans="1:16" ht="16.600000000000001">
      <c r="A143" s="1" t="s">
        <v>586</v>
      </c>
      <c r="B143" s="349" t="s">
        <v>1167</v>
      </c>
      <c r="C143" s="136" t="s">
        <v>104</v>
      </c>
      <c r="D143" s="137"/>
      <c r="E143" s="137"/>
      <c r="F143" s="137"/>
      <c r="G143" s="137"/>
      <c r="H143" s="1"/>
      <c r="I143" s="1"/>
      <c r="J143" s="1"/>
      <c r="K143" s="1"/>
      <c r="L143" s="1"/>
      <c r="M143" s="1"/>
      <c r="N143" s="1"/>
      <c r="O143" s="1"/>
      <c r="P143" s="1"/>
    </row>
    <row r="144" spans="1:16" ht="16.600000000000001">
      <c r="A144" s="1" t="s">
        <v>96</v>
      </c>
      <c r="B144" s="349" t="s">
        <v>1168</v>
      </c>
      <c r="C144" s="136" t="s">
        <v>105</v>
      </c>
      <c r="D144" s="136"/>
      <c r="E144" s="136"/>
      <c r="F144" s="137"/>
      <c r="G144" s="136"/>
      <c r="H144" s="1"/>
      <c r="I144" s="1"/>
      <c r="J144" s="1"/>
      <c r="K144" s="1"/>
      <c r="L144" s="1"/>
      <c r="M144" s="1"/>
      <c r="N144" s="1"/>
      <c r="O144" s="1"/>
      <c r="P144" s="1"/>
    </row>
    <row r="145" spans="1:16" ht="16.600000000000001">
      <c r="A145" s="1" t="s">
        <v>96</v>
      </c>
      <c r="B145" s="349" t="s">
        <v>1169</v>
      </c>
      <c r="C145" s="136" t="s">
        <v>106</v>
      </c>
      <c r="D145" s="136"/>
      <c r="E145" s="136"/>
      <c r="F145" s="136"/>
      <c r="G145" s="136"/>
      <c r="H145" s="1"/>
      <c r="I145" s="1"/>
      <c r="J145" s="1"/>
      <c r="K145" s="1"/>
      <c r="L145" s="1"/>
      <c r="M145" s="1"/>
      <c r="N145" s="1"/>
      <c r="O145" s="1"/>
      <c r="P145" s="1"/>
    </row>
    <row r="146" spans="1:16" ht="16.600000000000001">
      <c r="A146" s="1" t="s">
        <v>588</v>
      </c>
      <c r="B146" s="349" t="s">
        <v>1170</v>
      </c>
      <c r="C146" s="136" t="s">
        <v>107</v>
      </c>
      <c r="D146" s="137"/>
      <c r="E146" s="137"/>
      <c r="F146" s="136"/>
      <c r="G146" s="136"/>
      <c r="H146" s="1"/>
      <c r="I146" s="1"/>
      <c r="J146" s="1"/>
      <c r="K146" s="1"/>
      <c r="L146" s="1"/>
      <c r="M146" s="1"/>
      <c r="N146" s="1"/>
      <c r="O146" s="1"/>
      <c r="P146" s="1"/>
    </row>
    <row r="147" spans="1:16" ht="16.600000000000001">
      <c r="A147" s="1" t="s">
        <v>590</v>
      </c>
      <c r="B147" s="349" t="s">
        <v>1171</v>
      </c>
      <c r="C147" s="136" t="s">
        <v>108</v>
      </c>
      <c r="D147" s="137"/>
      <c r="E147" s="137"/>
      <c r="F147" s="137"/>
      <c r="G147" s="137"/>
      <c r="H147" s="1"/>
      <c r="I147" s="1"/>
      <c r="J147" s="1"/>
      <c r="K147" s="1"/>
      <c r="L147" s="1"/>
      <c r="M147" s="1"/>
      <c r="N147" s="1"/>
      <c r="O147" s="1"/>
      <c r="P147" s="1"/>
    </row>
    <row r="148" spans="1:16" ht="16.600000000000001">
      <c r="A148" s="1" t="s">
        <v>92</v>
      </c>
      <c r="B148" s="349" t="s">
        <v>1172</v>
      </c>
      <c r="C148" s="136" t="s">
        <v>109</v>
      </c>
      <c r="D148" s="136"/>
      <c r="E148" s="136"/>
      <c r="F148" s="136"/>
      <c r="G148" s="136"/>
      <c r="H148" s="1"/>
      <c r="I148" s="1"/>
      <c r="J148" s="1"/>
      <c r="K148" s="1"/>
      <c r="L148" s="1"/>
      <c r="M148" s="1"/>
      <c r="N148" s="1"/>
      <c r="O148" s="1"/>
      <c r="P148" s="1"/>
    </row>
    <row r="149" spans="1:16" ht="16.600000000000001">
      <c r="A149" s="1" t="s">
        <v>100</v>
      </c>
      <c r="B149" s="349" t="s">
        <v>1173</v>
      </c>
      <c r="C149" s="136" t="s">
        <v>110</v>
      </c>
      <c r="D149" s="136"/>
      <c r="E149" s="136"/>
      <c r="F149" s="136"/>
      <c r="G149" s="136"/>
      <c r="H149" s="1"/>
      <c r="I149" s="1"/>
      <c r="J149" s="1"/>
      <c r="K149" s="1"/>
      <c r="L149" s="1"/>
      <c r="M149" s="1"/>
      <c r="N149" s="1"/>
      <c r="O149" s="1"/>
      <c r="P149" s="1"/>
    </row>
    <row r="150" spans="1:16" ht="16.600000000000001">
      <c r="A150" s="1" t="s">
        <v>96</v>
      </c>
      <c r="B150" s="349" t="s">
        <v>1174</v>
      </c>
      <c r="C150" s="136" t="s">
        <v>112</v>
      </c>
      <c r="D150" s="137"/>
      <c r="E150" s="137"/>
      <c r="F150" s="137"/>
      <c r="G150" s="137"/>
      <c r="H150" s="1"/>
      <c r="I150" s="1"/>
      <c r="J150" s="1"/>
      <c r="K150" s="1"/>
      <c r="L150" s="1"/>
      <c r="M150" s="1"/>
      <c r="N150" s="1"/>
      <c r="O150" s="1"/>
      <c r="P150" s="1"/>
    </row>
    <row r="151" spans="1:16" ht="16.600000000000001">
      <c r="B151" s="349" t="s">
        <v>1175</v>
      </c>
      <c r="C151" s="136" t="s">
        <v>111</v>
      </c>
      <c r="D151" s="137"/>
      <c r="E151" s="137"/>
      <c r="F151" s="137"/>
      <c r="G151" s="137"/>
      <c r="H151" s="1"/>
      <c r="I151" s="1"/>
      <c r="J151" s="1"/>
      <c r="K151" s="1"/>
      <c r="L151" s="1"/>
      <c r="M151" s="1"/>
      <c r="N151" s="1"/>
      <c r="O151" s="1"/>
      <c r="P151" s="1"/>
    </row>
    <row r="152" spans="1:16" ht="16.600000000000001">
      <c r="A152" s="1" t="s">
        <v>114</v>
      </c>
      <c r="B152" s="349" t="s">
        <v>1176</v>
      </c>
      <c r="C152" s="136" t="s">
        <v>113</v>
      </c>
      <c r="D152" s="137"/>
      <c r="E152" s="137"/>
      <c r="F152" s="136"/>
      <c r="G152" s="136"/>
      <c r="H152" s="1"/>
      <c r="I152" s="1"/>
      <c r="J152" s="1"/>
      <c r="K152" s="1"/>
      <c r="L152" s="1"/>
      <c r="M152" s="1"/>
      <c r="N152" s="1"/>
      <c r="O152" s="1"/>
      <c r="P152" s="1"/>
    </row>
    <row r="153" spans="1:16" ht="16.600000000000001">
      <c r="A153" s="1" t="s">
        <v>114</v>
      </c>
      <c r="B153" s="349" t="s">
        <v>1177</v>
      </c>
      <c r="C153" s="136" t="s">
        <v>115</v>
      </c>
      <c r="D153" s="136"/>
      <c r="E153" s="137"/>
      <c r="F153" s="136"/>
      <c r="G153" s="136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6.600000000000001">
      <c r="A154" s="1" t="s">
        <v>114</v>
      </c>
      <c r="B154" s="349" t="s">
        <v>1178</v>
      </c>
      <c r="C154" s="136" t="s">
        <v>116</v>
      </c>
      <c r="D154" s="136"/>
      <c r="E154" s="136"/>
      <c r="F154" s="136"/>
      <c r="G154" s="136"/>
      <c r="H154" s="1"/>
      <c r="I154" s="1"/>
      <c r="J154" s="1"/>
      <c r="K154" s="1"/>
      <c r="L154" s="1"/>
      <c r="M154" s="1"/>
      <c r="N154" s="1"/>
      <c r="O154" s="1"/>
      <c r="P154" s="1"/>
    </row>
    <row r="155" spans="1:16" ht="16.600000000000001">
      <c r="A155" s="1" t="s">
        <v>114</v>
      </c>
      <c r="B155" s="349" t="s">
        <v>1179</v>
      </c>
      <c r="C155" s="136" t="s">
        <v>117</v>
      </c>
      <c r="D155" s="136"/>
      <c r="E155" s="136"/>
      <c r="F155" s="136"/>
      <c r="G155" s="136"/>
      <c r="H155" s="1"/>
      <c r="I155" s="1"/>
      <c r="J155" s="1"/>
      <c r="K155" s="1"/>
      <c r="L155" s="1"/>
      <c r="M155" s="1"/>
      <c r="N155" s="1"/>
      <c r="O155" s="1"/>
      <c r="P155" s="1"/>
    </row>
    <row r="156" spans="1:16" ht="16.600000000000001">
      <c r="A156" s="1" t="s">
        <v>118</v>
      </c>
      <c r="B156" s="349" t="s">
        <v>1180</v>
      </c>
      <c r="C156" s="136" t="s">
        <v>119</v>
      </c>
      <c r="D156" s="137"/>
      <c r="E156" s="137"/>
      <c r="F156" s="137"/>
      <c r="G156" s="137"/>
      <c r="H156" s="1"/>
      <c r="I156" s="1"/>
      <c r="J156" s="1"/>
      <c r="K156" s="1"/>
      <c r="L156" s="1"/>
      <c r="M156" s="1"/>
      <c r="N156" s="1"/>
      <c r="O156" s="1"/>
      <c r="P156" s="1"/>
    </row>
    <row r="157" spans="1:16" ht="16.600000000000001">
      <c r="A157" s="1" t="s">
        <v>118</v>
      </c>
      <c r="B157" s="349" t="s">
        <v>1181</v>
      </c>
      <c r="C157" s="136" t="s">
        <v>120</v>
      </c>
      <c r="D157" s="137"/>
      <c r="E157" s="137"/>
      <c r="F157" s="137"/>
      <c r="G157" s="137"/>
      <c r="H157" s="1"/>
      <c r="I157" s="1"/>
      <c r="J157" s="1"/>
      <c r="K157" s="1"/>
      <c r="L157" s="1"/>
      <c r="M157" s="1"/>
      <c r="N157" s="1"/>
      <c r="O157" s="1"/>
      <c r="P157" s="1"/>
    </row>
    <row r="158" spans="1:16" ht="16.600000000000001">
      <c r="A158" s="1" t="s">
        <v>118</v>
      </c>
      <c r="B158" s="349" t="s">
        <v>1182</v>
      </c>
      <c r="C158" s="136" t="s">
        <v>121</v>
      </c>
      <c r="D158" s="137"/>
      <c r="E158" s="137"/>
      <c r="F158" s="137"/>
      <c r="G158" s="137"/>
      <c r="H158" s="1"/>
      <c r="I158" s="1"/>
      <c r="J158" s="1"/>
      <c r="K158" s="1"/>
      <c r="L158" s="1"/>
      <c r="M158" s="1"/>
      <c r="N158" s="1"/>
      <c r="O158" s="1"/>
      <c r="P158" s="1"/>
    </row>
    <row r="159" spans="1:16" ht="16.600000000000001">
      <c r="A159" s="1" t="s">
        <v>118</v>
      </c>
      <c r="B159" s="349" t="s">
        <v>1183</v>
      </c>
      <c r="C159" s="136" t="s">
        <v>122</v>
      </c>
      <c r="D159" s="137"/>
      <c r="E159" s="137"/>
      <c r="F159" s="137"/>
      <c r="G159" s="137"/>
      <c r="H159" s="1"/>
      <c r="I159" s="1"/>
      <c r="J159" s="1"/>
      <c r="K159" s="1"/>
      <c r="L159" s="1"/>
      <c r="M159" s="1"/>
      <c r="N159" s="1"/>
      <c r="O159" s="1"/>
      <c r="P159" s="1"/>
    </row>
    <row r="160" spans="1:16" ht="16.600000000000001">
      <c r="A160" s="1" t="s">
        <v>118</v>
      </c>
      <c r="B160" s="349" t="s">
        <v>1184</v>
      </c>
      <c r="C160" s="136" t="s">
        <v>123</v>
      </c>
      <c r="D160" s="136"/>
      <c r="E160" s="136"/>
      <c r="F160" s="136"/>
      <c r="G160" s="136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6.600000000000001">
      <c r="A161" s="1" t="s">
        <v>114</v>
      </c>
      <c r="B161" s="349" t="s">
        <v>1185</v>
      </c>
      <c r="C161" s="136" t="s">
        <v>124</v>
      </c>
      <c r="D161" s="137"/>
      <c r="E161" s="137"/>
      <c r="F161" s="137"/>
      <c r="G161" s="137"/>
      <c r="H161" s="1"/>
      <c r="I161" s="1"/>
      <c r="J161" s="1"/>
      <c r="K161" s="1"/>
      <c r="L161" s="1"/>
      <c r="M161" s="1"/>
      <c r="N161" s="1"/>
      <c r="O161" s="1"/>
      <c r="P161" s="1"/>
    </row>
    <row r="162" spans="1:16" ht="16.600000000000001">
      <c r="A162" s="1" t="s">
        <v>591</v>
      </c>
      <c r="B162" s="349" t="s">
        <v>1186</v>
      </c>
      <c r="C162" s="136" t="s">
        <v>125</v>
      </c>
      <c r="D162" s="137"/>
      <c r="E162" s="137"/>
      <c r="F162" s="137"/>
      <c r="G162" s="137"/>
      <c r="H162" s="1"/>
      <c r="I162" s="1"/>
      <c r="J162" s="1"/>
      <c r="K162" s="1"/>
      <c r="L162" s="1"/>
      <c r="M162" s="1"/>
      <c r="N162" s="1"/>
      <c r="O162" s="1"/>
      <c r="P162" s="1"/>
    </row>
    <row r="163" spans="1:16" ht="16.600000000000001">
      <c r="A163" s="1" t="s">
        <v>114</v>
      </c>
      <c r="B163" s="349" t="s">
        <v>1187</v>
      </c>
      <c r="C163" s="136" t="s">
        <v>126</v>
      </c>
      <c r="D163" s="137"/>
      <c r="E163" s="137"/>
      <c r="F163" s="137"/>
      <c r="G163" s="137"/>
      <c r="H163" s="1"/>
      <c r="I163" s="1"/>
      <c r="J163" s="1"/>
      <c r="K163" s="1"/>
      <c r="L163" s="1"/>
      <c r="M163" s="1"/>
      <c r="N163" s="1"/>
      <c r="O163" s="1"/>
      <c r="P163" s="1"/>
    </row>
    <row r="164" spans="1:16" ht="16.600000000000001">
      <c r="B164" s="349" t="s">
        <v>1188</v>
      </c>
      <c r="C164" s="136" t="s">
        <v>128</v>
      </c>
      <c r="D164" s="137"/>
      <c r="E164" s="137"/>
      <c r="F164" s="137"/>
      <c r="G164" s="137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6.600000000000001">
      <c r="B165" s="349" t="s">
        <v>1189</v>
      </c>
      <c r="C165" s="136" t="s">
        <v>127</v>
      </c>
      <c r="D165" s="137"/>
      <c r="E165" s="137"/>
      <c r="F165" s="137"/>
      <c r="G165" s="137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6.600000000000001">
      <c r="A166" s="1" t="s">
        <v>129</v>
      </c>
      <c r="B166" s="349" t="s">
        <v>1190</v>
      </c>
      <c r="C166" s="136" t="s">
        <v>130</v>
      </c>
      <c r="D166" s="137"/>
      <c r="E166" s="137"/>
      <c r="F166" s="137"/>
      <c r="G166" s="137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6.600000000000001">
      <c r="A167" s="1" t="s">
        <v>129</v>
      </c>
      <c r="B167" s="349" t="s">
        <v>1191</v>
      </c>
      <c r="C167" s="136" t="s">
        <v>131</v>
      </c>
      <c r="D167" s="136"/>
      <c r="E167" s="136"/>
      <c r="F167" s="136"/>
      <c r="G167" s="136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6.600000000000001">
      <c r="A168" s="1" t="s">
        <v>129</v>
      </c>
      <c r="B168" s="349" t="s">
        <v>1192</v>
      </c>
      <c r="C168" s="136" t="s">
        <v>132</v>
      </c>
      <c r="D168" s="136"/>
      <c r="E168" s="136"/>
      <c r="F168" s="136"/>
      <c r="G168" s="136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6.600000000000001">
      <c r="A169" s="1" t="s">
        <v>129</v>
      </c>
      <c r="B169" s="349" t="s">
        <v>1193</v>
      </c>
      <c r="C169" s="136" t="s">
        <v>133</v>
      </c>
      <c r="D169" s="136"/>
      <c r="E169" s="136"/>
      <c r="F169" s="136"/>
      <c r="G169" s="136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6.600000000000001">
      <c r="A170" s="1" t="s">
        <v>129</v>
      </c>
      <c r="B170" s="349" t="s">
        <v>1194</v>
      </c>
      <c r="C170" s="136" t="s">
        <v>134</v>
      </c>
      <c r="D170" s="136"/>
      <c r="E170" s="136"/>
      <c r="F170" s="136"/>
      <c r="G170" s="136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6.600000000000001">
      <c r="B171" s="349" t="s">
        <v>1195</v>
      </c>
      <c r="C171" s="136" t="s">
        <v>135</v>
      </c>
      <c r="D171" s="137"/>
      <c r="E171" s="137"/>
      <c r="F171" s="137"/>
      <c r="G171" s="137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6.600000000000001">
      <c r="A172" s="1" t="s">
        <v>129</v>
      </c>
      <c r="B172" s="349" t="s">
        <v>1196</v>
      </c>
      <c r="C172" s="135" t="s">
        <v>136</v>
      </c>
      <c r="D172" s="137"/>
      <c r="E172" s="137"/>
      <c r="F172" s="137"/>
      <c r="G172" s="137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6.600000000000001">
      <c r="A173" s="1" t="s">
        <v>129</v>
      </c>
      <c r="B173" s="349" t="s">
        <v>1197</v>
      </c>
      <c r="C173" s="136" t="s">
        <v>137</v>
      </c>
      <c r="D173" s="136"/>
      <c r="E173" s="136"/>
      <c r="F173" s="136"/>
      <c r="G173" s="136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6.600000000000001">
      <c r="A174" s="1" t="s">
        <v>129</v>
      </c>
      <c r="B174" s="349" t="s">
        <v>1198</v>
      </c>
      <c r="C174" s="136" t="s">
        <v>138</v>
      </c>
      <c r="D174" s="137"/>
      <c r="E174" s="137"/>
      <c r="F174" s="137"/>
      <c r="G174" s="137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6.600000000000001">
      <c r="A175" s="1" t="s">
        <v>129</v>
      </c>
      <c r="B175" s="349" t="s">
        <v>1199</v>
      </c>
      <c r="C175" s="136" t="s">
        <v>139</v>
      </c>
      <c r="D175" s="137"/>
      <c r="E175" s="137"/>
      <c r="F175" s="137"/>
      <c r="G175" s="136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6.600000000000001">
      <c r="A176" s="1" t="s">
        <v>129</v>
      </c>
      <c r="B176" s="349" t="s">
        <v>1200</v>
      </c>
      <c r="C176" s="135" t="s">
        <v>577</v>
      </c>
      <c r="D176" s="136"/>
      <c r="E176" s="136"/>
      <c r="F176" s="136"/>
      <c r="G176" s="136"/>
      <c r="H176" s="1"/>
      <c r="I176" s="1"/>
      <c r="J176" s="1"/>
      <c r="K176" s="1"/>
      <c r="L176" s="1"/>
      <c r="M176" s="1"/>
      <c r="N176" s="1"/>
      <c r="O176" s="1"/>
      <c r="P176" s="1"/>
    </row>
    <row r="177" spans="1:16" ht="16.600000000000001">
      <c r="A177" s="1" t="s">
        <v>129</v>
      </c>
      <c r="B177" s="349" t="s">
        <v>1201</v>
      </c>
      <c r="C177" s="136" t="s">
        <v>140</v>
      </c>
      <c r="D177" s="137"/>
      <c r="E177" s="136"/>
      <c r="F177" s="136"/>
      <c r="G177" s="136"/>
      <c r="H177" s="1"/>
      <c r="I177" s="1"/>
      <c r="J177" s="1"/>
      <c r="K177" s="1"/>
      <c r="L177" s="1"/>
      <c r="M177" s="1"/>
      <c r="N177" s="1"/>
      <c r="O177" s="1"/>
      <c r="P177" s="1"/>
    </row>
    <row r="178" spans="1:16" ht="16.600000000000001">
      <c r="A178" s="1" t="s">
        <v>129</v>
      </c>
      <c r="B178" s="349" t="s">
        <v>1202</v>
      </c>
      <c r="C178" s="135" t="s">
        <v>141</v>
      </c>
      <c r="D178" s="137"/>
      <c r="E178" s="137"/>
      <c r="F178" s="137"/>
      <c r="G178" s="137"/>
      <c r="H178" s="1"/>
      <c r="I178" s="1"/>
      <c r="J178" s="1"/>
      <c r="K178" s="1"/>
      <c r="L178" s="1"/>
      <c r="M178" s="1"/>
      <c r="N178" s="1"/>
      <c r="O178" s="1"/>
      <c r="P178" s="1"/>
    </row>
    <row r="179" spans="1:16" ht="16.600000000000001">
      <c r="A179" s="1" t="s">
        <v>129</v>
      </c>
      <c r="B179" s="349" t="s">
        <v>1203</v>
      </c>
      <c r="C179" s="136" t="s">
        <v>142</v>
      </c>
      <c r="D179" s="137"/>
      <c r="E179" s="137"/>
      <c r="F179" s="137"/>
      <c r="G179" s="137"/>
      <c r="H179" s="1"/>
      <c r="I179" s="1"/>
      <c r="J179" s="1"/>
      <c r="K179" s="1"/>
      <c r="L179" s="1"/>
      <c r="M179" s="1"/>
      <c r="N179" s="1"/>
      <c r="O179" s="1"/>
      <c r="P179" s="1"/>
    </row>
    <row r="180" spans="1:16" ht="16.600000000000001">
      <c r="A180" s="1" t="s">
        <v>129</v>
      </c>
      <c r="B180" s="349" t="s">
        <v>1204</v>
      </c>
      <c r="C180" s="136" t="s">
        <v>143</v>
      </c>
      <c r="D180" s="136"/>
      <c r="E180" s="136"/>
      <c r="F180" s="136"/>
      <c r="G180" s="136"/>
      <c r="H180" s="1"/>
      <c r="I180" s="1"/>
      <c r="J180" s="1"/>
      <c r="K180" s="1"/>
      <c r="L180" s="1"/>
      <c r="M180" s="1"/>
      <c r="N180" s="1"/>
      <c r="O180" s="1"/>
      <c r="P180" s="1"/>
    </row>
    <row r="181" spans="1:16" ht="16.600000000000001">
      <c r="A181" s="1" t="s">
        <v>129</v>
      </c>
      <c r="B181" s="349" t="s">
        <v>1205</v>
      </c>
      <c r="C181" s="136" t="s">
        <v>144</v>
      </c>
      <c r="D181" s="136"/>
      <c r="E181" s="137"/>
      <c r="F181" s="137"/>
      <c r="G181" s="137"/>
      <c r="H181" s="1"/>
      <c r="I181" s="1"/>
      <c r="J181" s="1"/>
      <c r="K181" s="1"/>
      <c r="L181" s="1"/>
      <c r="M181" s="1"/>
      <c r="N181" s="1"/>
      <c r="O181" s="1"/>
      <c r="P181" s="1"/>
    </row>
    <row r="182" spans="1:16" ht="16.600000000000001">
      <c r="A182" s="1" t="s">
        <v>129</v>
      </c>
      <c r="B182" s="349" t="s">
        <v>1206</v>
      </c>
      <c r="C182" s="136" t="s">
        <v>145</v>
      </c>
      <c r="D182" s="136"/>
      <c r="E182" s="137"/>
      <c r="F182" s="137"/>
      <c r="G182" s="137"/>
      <c r="H182" s="1"/>
      <c r="I182" s="1"/>
      <c r="J182" s="1"/>
      <c r="K182" s="1"/>
      <c r="L182" s="1"/>
      <c r="M182" s="1"/>
      <c r="N182" s="1"/>
      <c r="O182" s="1"/>
      <c r="P182" s="1"/>
    </row>
    <row r="183" spans="1:16" ht="16.600000000000001">
      <c r="B183" s="349" t="s">
        <v>1207</v>
      </c>
      <c r="C183" s="136" t="s">
        <v>146</v>
      </c>
      <c r="D183" s="137"/>
      <c r="E183" s="137"/>
      <c r="F183" s="137"/>
      <c r="G183" s="137"/>
      <c r="H183" s="1"/>
      <c r="I183" s="1"/>
      <c r="J183" s="1"/>
      <c r="K183" s="1"/>
      <c r="L183" s="1"/>
      <c r="M183" s="1"/>
      <c r="N183" s="1"/>
      <c r="O183" s="1"/>
      <c r="P183" s="1"/>
    </row>
    <row r="184" spans="1:16" ht="16.600000000000001">
      <c r="A184" s="1" t="s">
        <v>129</v>
      </c>
      <c r="B184" s="349" t="s">
        <v>1208</v>
      </c>
      <c r="C184" s="136" t="s">
        <v>147</v>
      </c>
      <c r="D184" s="137"/>
      <c r="E184" s="137"/>
      <c r="F184" s="137"/>
      <c r="G184" s="137"/>
      <c r="H184" s="1"/>
      <c r="I184" s="1"/>
      <c r="J184" s="1"/>
      <c r="K184" s="1"/>
      <c r="L184" s="1"/>
      <c r="M184" s="1"/>
      <c r="N184" s="1"/>
      <c r="O184" s="1"/>
      <c r="P184" s="1"/>
    </row>
    <row r="185" spans="1:16" ht="16.600000000000001">
      <c r="A185" s="1" t="s">
        <v>129</v>
      </c>
      <c r="B185" s="349" t="s">
        <v>1209</v>
      </c>
      <c r="C185" s="135" t="s">
        <v>148</v>
      </c>
      <c r="D185" s="137"/>
      <c r="E185" s="137"/>
      <c r="F185" s="137"/>
      <c r="G185" s="137"/>
      <c r="H185" s="1"/>
      <c r="I185" s="1"/>
      <c r="J185" s="1"/>
      <c r="K185" s="1"/>
      <c r="L185" s="1"/>
      <c r="M185" s="1"/>
      <c r="N185" s="1"/>
      <c r="O185" s="1"/>
      <c r="P185" s="1"/>
    </row>
    <row r="186" spans="1:16" ht="16.600000000000001">
      <c r="A186" s="1" t="s">
        <v>129</v>
      </c>
      <c r="B186" s="349" t="s">
        <v>1210</v>
      </c>
      <c r="C186" s="136" t="s">
        <v>149</v>
      </c>
      <c r="D186" s="137"/>
      <c r="E186" s="137"/>
      <c r="F186" s="137"/>
      <c r="G186" s="137"/>
      <c r="H186" s="1"/>
      <c r="I186" s="1"/>
      <c r="J186" s="1"/>
      <c r="K186" s="1"/>
      <c r="L186" s="1"/>
      <c r="M186" s="1"/>
      <c r="N186" s="1"/>
      <c r="O186" s="1"/>
      <c r="P186" s="1"/>
    </row>
    <row r="187" spans="1:16" ht="16.600000000000001">
      <c r="B187" s="349" t="s">
        <v>1211</v>
      </c>
      <c r="C187" s="136" t="s">
        <v>150</v>
      </c>
      <c r="D187" s="137"/>
      <c r="E187" s="137"/>
      <c r="F187" s="137"/>
      <c r="G187" s="137"/>
      <c r="H187" s="1"/>
      <c r="I187" s="1"/>
      <c r="J187" s="1"/>
      <c r="K187" s="1"/>
      <c r="L187" s="1"/>
      <c r="M187" s="1"/>
      <c r="N187" s="1"/>
      <c r="O187" s="1"/>
      <c r="P187" s="1"/>
    </row>
    <row r="188" spans="1:16" ht="16.600000000000001">
      <c r="A188" s="1" t="s">
        <v>129</v>
      </c>
      <c r="B188" s="349" t="s">
        <v>1212</v>
      </c>
      <c r="C188" s="136" t="s">
        <v>151</v>
      </c>
      <c r="D188" s="137"/>
      <c r="E188" s="137"/>
      <c r="F188" s="137"/>
      <c r="G188" s="137"/>
      <c r="H188" s="1"/>
      <c r="I188" s="1"/>
      <c r="J188" s="1"/>
      <c r="K188" s="1"/>
      <c r="L188" s="1"/>
      <c r="M188" s="1"/>
      <c r="N188" s="1"/>
      <c r="O188" s="1"/>
      <c r="P188" s="1"/>
    </row>
    <row r="189" spans="1:16" ht="16.600000000000001">
      <c r="A189" s="1" t="s">
        <v>129</v>
      </c>
      <c r="B189" s="349" t="s">
        <v>1213</v>
      </c>
      <c r="C189" s="136" t="s">
        <v>152</v>
      </c>
      <c r="D189" s="137"/>
      <c r="E189" s="137"/>
      <c r="F189" s="137"/>
      <c r="G189" s="137"/>
      <c r="H189" s="1"/>
      <c r="I189" s="1"/>
      <c r="J189" s="1"/>
      <c r="K189" s="1"/>
      <c r="L189" s="1"/>
      <c r="M189" s="1"/>
      <c r="N189" s="1"/>
      <c r="O189" s="1"/>
      <c r="P189" s="1"/>
    </row>
    <row r="190" spans="1:16" ht="16.600000000000001">
      <c r="A190" s="1" t="s">
        <v>129</v>
      </c>
      <c r="B190" s="349" t="s">
        <v>1214</v>
      </c>
      <c r="C190" s="136" t="s">
        <v>153</v>
      </c>
      <c r="D190" s="136"/>
      <c r="E190" s="136"/>
      <c r="F190" s="136"/>
      <c r="G190" s="136"/>
      <c r="H190" s="1"/>
      <c r="I190" s="1"/>
      <c r="J190" s="1"/>
      <c r="K190" s="1"/>
      <c r="L190" s="1"/>
      <c r="M190" s="1"/>
      <c r="N190" s="1"/>
      <c r="O190" s="1"/>
      <c r="P190" s="1"/>
    </row>
    <row r="191" spans="1:16" ht="16.600000000000001">
      <c r="A191" s="1" t="s">
        <v>129</v>
      </c>
      <c r="B191" s="349" t="s">
        <v>1215</v>
      </c>
      <c r="C191" s="136" t="s">
        <v>154</v>
      </c>
      <c r="D191" s="136"/>
      <c r="E191" s="136"/>
      <c r="F191" s="136"/>
      <c r="G191" s="136"/>
      <c r="H191" s="1"/>
      <c r="I191" s="1"/>
      <c r="J191" s="1"/>
      <c r="K191" s="1"/>
      <c r="L191" s="1"/>
      <c r="M191" s="1"/>
      <c r="N191" s="1"/>
      <c r="O191" s="1"/>
      <c r="P191" s="1"/>
    </row>
    <row r="192" spans="1:16" ht="16.600000000000001">
      <c r="A192" s="1" t="s">
        <v>129</v>
      </c>
      <c r="B192" s="349" t="s">
        <v>1216</v>
      </c>
      <c r="C192" s="136" t="s">
        <v>155</v>
      </c>
      <c r="D192" s="136"/>
      <c r="E192" s="136"/>
      <c r="F192" s="136"/>
      <c r="G192" s="136"/>
      <c r="H192" s="1"/>
      <c r="I192" s="1"/>
      <c r="J192" s="1"/>
      <c r="K192" s="1"/>
      <c r="L192" s="1"/>
      <c r="M192" s="1"/>
      <c r="N192" s="1"/>
      <c r="O192" s="1"/>
      <c r="P192" s="1"/>
    </row>
    <row r="193" spans="1:16" ht="16.600000000000001">
      <c r="A193" s="1" t="s">
        <v>129</v>
      </c>
      <c r="B193" s="349" t="s">
        <v>1217</v>
      </c>
      <c r="C193" s="136" t="s">
        <v>156</v>
      </c>
      <c r="D193" s="136"/>
      <c r="E193" s="136"/>
      <c r="F193" s="136"/>
      <c r="G193" s="136"/>
      <c r="H193" s="1"/>
      <c r="I193" s="1"/>
      <c r="J193" s="1"/>
      <c r="K193" s="1"/>
      <c r="L193" s="1"/>
      <c r="M193" s="1"/>
      <c r="N193" s="1"/>
      <c r="O193" s="1"/>
      <c r="P193" s="1"/>
    </row>
    <row r="194" spans="1:16" ht="16.600000000000001">
      <c r="A194" s="1" t="s">
        <v>129</v>
      </c>
      <c r="B194" s="349" t="s">
        <v>1218</v>
      </c>
      <c r="C194" s="136" t="s">
        <v>160</v>
      </c>
      <c r="D194" s="136"/>
      <c r="E194" s="137"/>
      <c r="F194" s="137"/>
      <c r="G194" s="137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6.600000000000001">
      <c r="A195" s="1" t="s">
        <v>129</v>
      </c>
      <c r="B195" s="349" t="s">
        <v>1219</v>
      </c>
      <c r="C195" s="136" t="s">
        <v>161</v>
      </c>
      <c r="D195" s="136"/>
      <c r="E195" s="136"/>
      <c r="F195" s="136"/>
      <c r="G195" s="136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6.600000000000001">
      <c r="B196" s="349" t="s">
        <v>1220</v>
      </c>
      <c r="C196" s="136" t="s">
        <v>162</v>
      </c>
      <c r="D196" s="137"/>
      <c r="E196" s="137"/>
      <c r="F196" s="137"/>
      <c r="G196" s="137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6.600000000000001">
      <c r="A197" s="1" t="s">
        <v>129</v>
      </c>
      <c r="B197" s="349" t="s">
        <v>1221</v>
      </c>
      <c r="C197" s="136" t="s">
        <v>163</v>
      </c>
      <c r="D197" s="137"/>
      <c r="E197" s="136"/>
      <c r="F197" s="136"/>
      <c r="G197" s="137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6.600000000000001">
      <c r="B198" s="349" t="s">
        <v>1222</v>
      </c>
      <c r="C198" s="135" t="s">
        <v>167</v>
      </c>
      <c r="D198" s="137"/>
      <c r="E198" s="137"/>
      <c r="F198" s="137"/>
      <c r="G198" s="137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6.600000000000001">
      <c r="A199" s="1" t="s">
        <v>165</v>
      </c>
      <c r="B199" s="349" t="s">
        <v>1223</v>
      </c>
      <c r="C199" s="135" t="s">
        <v>578</v>
      </c>
      <c r="D199" s="136"/>
      <c r="E199" s="136"/>
      <c r="F199" s="136"/>
      <c r="G199" s="136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6.600000000000001">
      <c r="A200" s="1" t="s">
        <v>165</v>
      </c>
      <c r="B200" s="349" t="s">
        <v>1224</v>
      </c>
      <c r="C200" s="135" t="s">
        <v>359</v>
      </c>
      <c r="D200" s="136"/>
      <c r="E200" s="136"/>
      <c r="F200" s="136"/>
      <c r="G200" s="136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6.600000000000001">
      <c r="A201" s="1" t="s">
        <v>165</v>
      </c>
      <c r="B201" s="349" t="s">
        <v>1225</v>
      </c>
      <c r="C201" s="136" t="s">
        <v>166</v>
      </c>
      <c r="D201" s="137"/>
      <c r="E201" s="137"/>
      <c r="F201" s="137"/>
      <c r="G201" s="137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6.600000000000001">
      <c r="B202" s="349" t="s">
        <v>1226</v>
      </c>
      <c r="C202" s="136" t="s">
        <v>164</v>
      </c>
      <c r="D202" s="137"/>
      <c r="E202" s="137"/>
      <c r="F202" s="137"/>
      <c r="G202" s="137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6.600000000000001">
      <c r="B203" s="349" t="s">
        <v>1227</v>
      </c>
      <c r="C203" s="136" t="s">
        <v>168</v>
      </c>
      <c r="D203" s="137"/>
      <c r="E203" s="137"/>
      <c r="F203" s="137"/>
      <c r="G203" s="137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6.600000000000001">
      <c r="A204" s="1" t="s">
        <v>169</v>
      </c>
      <c r="B204" s="349" t="s">
        <v>1228</v>
      </c>
      <c r="C204" s="136" t="s">
        <v>177</v>
      </c>
      <c r="D204" s="137"/>
      <c r="E204" s="137"/>
      <c r="F204" s="137"/>
      <c r="G204" s="137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6.600000000000001">
      <c r="A205" s="1" t="s">
        <v>171</v>
      </c>
      <c r="B205" s="349" t="s">
        <v>1229</v>
      </c>
      <c r="C205" s="136" t="s">
        <v>172</v>
      </c>
      <c r="D205" s="137"/>
      <c r="E205" s="137"/>
      <c r="F205" s="137"/>
      <c r="G205" s="137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6.600000000000001">
      <c r="A206" s="1" t="s">
        <v>171</v>
      </c>
      <c r="B206" s="349" t="s">
        <v>1230</v>
      </c>
      <c r="C206" s="136" t="s">
        <v>173</v>
      </c>
      <c r="D206" s="136"/>
      <c r="E206" s="136"/>
      <c r="F206" s="136"/>
      <c r="G206" s="136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6.600000000000001">
      <c r="A207" s="1" t="s">
        <v>171</v>
      </c>
      <c r="B207" s="349" t="s">
        <v>1231</v>
      </c>
      <c r="C207" s="136" t="s">
        <v>174</v>
      </c>
      <c r="D207" s="136"/>
      <c r="E207" s="136"/>
      <c r="F207" s="136"/>
      <c r="G207" s="136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6.600000000000001">
      <c r="A208" s="1" t="s">
        <v>171</v>
      </c>
      <c r="B208" s="349" t="s">
        <v>1232</v>
      </c>
      <c r="C208" s="136" t="s">
        <v>175</v>
      </c>
      <c r="D208" s="136"/>
      <c r="E208" s="136"/>
      <c r="F208" s="136"/>
      <c r="G208" s="136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6.600000000000001">
      <c r="A209" s="1" t="s">
        <v>171</v>
      </c>
      <c r="B209" s="349" t="s">
        <v>1233</v>
      </c>
      <c r="C209" s="136" t="s">
        <v>176</v>
      </c>
      <c r="D209" s="136"/>
      <c r="E209" s="136"/>
      <c r="F209" s="136"/>
      <c r="G209" s="136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6.600000000000001">
      <c r="A210" s="1" t="s">
        <v>169</v>
      </c>
      <c r="B210" s="349" t="s">
        <v>1234</v>
      </c>
      <c r="C210" s="136" t="s">
        <v>178</v>
      </c>
      <c r="D210" s="136"/>
      <c r="E210" s="136"/>
      <c r="F210" s="136"/>
      <c r="G210" s="136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6.600000000000001">
      <c r="B211" s="349" t="s">
        <v>1235</v>
      </c>
      <c r="C211" s="136" t="s">
        <v>179</v>
      </c>
      <c r="D211" s="137"/>
      <c r="E211" s="137"/>
      <c r="F211" s="137"/>
      <c r="G211" s="137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6.600000000000001">
      <c r="A212" s="1" t="s">
        <v>180</v>
      </c>
      <c r="B212" s="349" t="s">
        <v>1236</v>
      </c>
      <c r="C212" s="136" t="s">
        <v>181</v>
      </c>
      <c r="D212" s="137"/>
      <c r="E212" s="137"/>
      <c r="F212" s="137"/>
      <c r="G212" s="137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6.600000000000001">
      <c r="A213" s="1" t="s">
        <v>171</v>
      </c>
      <c r="B213" s="349" t="s">
        <v>1237</v>
      </c>
      <c r="C213" s="136" t="s">
        <v>183</v>
      </c>
      <c r="D213" s="136"/>
      <c r="E213" s="136"/>
      <c r="F213" s="136"/>
      <c r="G213" s="136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6.600000000000001">
      <c r="A214" s="1" t="s">
        <v>171</v>
      </c>
      <c r="B214" s="349" t="s">
        <v>1238</v>
      </c>
      <c r="C214" s="136" t="s">
        <v>184</v>
      </c>
      <c r="D214" s="136"/>
      <c r="E214" s="136"/>
      <c r="F214" s="136"/>
      <c r="G214" s="136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6.600000000000001">
      <c r="A215" s="1" t="s">
        <v>171</v>
      </c>
      <c r="B215" s="349" t="s">
        <v>1239</v>
      </c>
      <c r="C215" s="136" t="s">
        <v>185</v>
      </c>
      <c r="D215" s="136"/>
      <c r="E215" s="136"/>
      <c r="F215" s="136"/>
      <c r="G215" s="136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6.600000000000001">
      <c r="A216" s="1" t="s">
        <v>171</v>
      </c>
      <c r="B216" s="349" t="s">
        <v>1240</v>
      </c>
      <c r="C216" s="136" t="s">
        <v>186</v>
      </c>
      <c r="D216" s="136"/>
      <c r="E216" s="136"/>
      <c r="F216" s="136"/>
      <c r="G216" s="136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6.600000000000001">
      <c r="A217" s="1" t="s">
        <v>171</v>
      </c>
      <c r="B217" s="349" t="s">
        <v>1241</v>
      </c>
      <c r="C217" s="136" t="s">
        <v>187</v>
      </c>
      <c r="D217" s="136"/>
      <c r="E217" s="136"/>
      <c r="F217" s="136"/>
      <c r="G217" s="136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6.600000000000001">
      <c r="B218" s="349" t="s">
        <v>1242</v>
      </c>
      <c r="C218" s="136" t="s">
        <v>188</v>
      </c>
      <c r="D218" s="137"/>
      <c r="E218" s="137"/>
      <c r="F218" s="137"/>
      <c r="G218" s="137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6.600000000000001">
      <c r="B219" s="349" t="s">
        <v>1243</v>
      </c>
      <c r="C219" s="136" t="s">
        <v>189</v>
      </c>
      <c r="D219" s="137"/>
      <c r="E219" s="137"/>
      <c r="F219" s="137"/>
      <c r="G219" s="137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6.600000000000001">
      <c r="A220" s="1" t="s">
        <v>171</v>
      </c>
      <c r="B220" s="349" t="s">
        <v>1244</v>
      </c>
      <c r="C220" s="136" t="s">
        <v>190</v>
      </c>
      <c r="D220" s="137"/>
      <c r="E220" s="137"/>
      <c r="F220" s="137"/>
      <c r="G220" s="136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6.600000000000001">
      <c r="B221" s="349" t="s">
        <v>1245</v>
      </c>
      <c r="C221" s="136" t="s">
        <v>191</v>
      </c>
      <c r="D221" s="137"/>
      <c r="E221" s="137"/>
      <c r="F221" s="137"/>
      <c r="G221" s="137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6.600000000000001">
      <c r="B222" s="349" t="s">
        <v>1246</v>
      </c>
      <c r="C222" s="136" t="s">
        <v>607</v>
      </c>
      <c r="D222" s="137"/>
      <c r="E222" s="137"/>
      <c r="F222" s="137"/>
      <c r="G222" s="137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6.600000000000001">
      <c r="A223" s="1" t="s">
        <v>608</v>
      </c>
      <c r="B223" s="349" t="s">
        <v>1247</v>
      </c>
      <c r="C223" s="136" t="s">
        <v>609</v>
      </c>
      <c r="D223" s="137"/>
      <c r="E223" s="137"/>
      <c r="F223" s="137"/>
      <c r="G223" s="137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6.600000000000001">
      <c r="A224" s="1" t="s">
        <v>182</v>
      </c>
      <c r="B224" s="349" t="s">
        <v>1248</v>
      </c>
      <c r="C224" s="136" t="s">
        <v>610</v>
      </c>
      <c r="D224" s="137"/>
      <c r="E224" s="137"/>
      <c r="F224" s="137"/>
      <c r="G224" s="137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6.600000000000001">
      <c r="A225" s="1" t="s">
        <v>611</v>
      </c>
      <c r="B225" s="349" t="s">
        <v>1249</v>
      </c>
      <c r="C225" s="136" t="s">
        <v>612</v>
      </c>
      <c r="D225" s="137"/>
      <c r="E225" s="137"/>
      <c r="F225" s="137"/>
      <c r="G225" s="137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6.600000000000001">
      <c r="A226" s="1" t="s">
        <v>182</v>
      </c>
      <c r="B226" s="349" t="s">
        <v>1250</v>
      </c>
      <c r="C226" s="136" t="s">
        <v>613</v>
      </c>
      <c r="D226" s="136"/>
      <c r="E226" s="136"/>
      <c r="F226" s="136"/>
      <c r="G226" s="136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6.600000000000001">
      <c r="A227" s="1" t="s">
        <v>182</v>
      </c>
      <c r="B227" s="349" t="s">
        <v>1251</v>
      </c>
      <c r="C227" s="136" t="s">
        <v>614</v>
      </c>
      <c r="D227" s="137"/>
      <c r="E227" s="137"/>
      <c r="F227" s="137"/>
      <c r="G227" s="137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6.600000000000001">
      <c r="B228" s="349" t="s">
        <v>1252</v>
      </c>
      <c r="C228" s="136" t="s">
        <v>615</v>
      </c>
      <c r="D228" s="137"/>
      <c r="E228" s="137"/>
      <c r="F228" s="137"/>
      <c r="G228" s="137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6.600000000000001">
      <c r="A229" s="1" t="s">
        <v>616</v>
      </c>
      <c r="B229" s="349" t="s">
        <v>1253</v>
      </c>
      <c r="C229" s="136" t="s">
        <v>617</v>
      </c>
      <c r="D229" s="137"/>
      <c r="E229" s="137"/>
      <c r="F229" s="137"/>
      <c r="G229" s="137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6.600000000000001">
      <c r="A230" s="1" t="s">
        <v>171</v>
      </c>
      <c r="B230" s="349" t="s">
        <v>1254</v>
      </c>
      <c r="C230" s="136" t="s">
        <v>618</v>
      </c>
      <c r="D230" s="137"/>
      <c r="E230" s="137"/>
      <c r="F230" s="137"/>
      <c r="G230" s="137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6.600000000000001">
      <c r="A231" s="1" t="s">
        <v>171</v>
      </c>
      <c r="B231" s="349" t="s">
        <v>1255</v>
      </c>
      <c r="C231" s="136" t="s">
        <v>619</v>
      </c>
      <c r="D231" s="136"/>
      <c r="E231" s="136"/>
      <c r="F231" s="136"/>
      <c r="G231" s="136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6.600000000000001">
      <c r="A232" s="1" t="s">
        <v>620</v>
      </c>
      <c r="B232" s="349" t="s">
        <v>1256</v>
      </c>
      <c r="C232" s="136" t="s">
        <v>621</v>
      </c>
      <c r="D232" s="137"/>
      <c r="E232" s="137"/>
      <c r="F232" s="137"/>
      <c r="G232" s="137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6.600000000000001">
      <c r="A233" s="1" t="s">
        <v>171</v>
      </c>
      <c r="B233" s="349" t="s">
        <v>1257</v>
      </c>
      <c r="C233" s="135" t="s">
        <v>579</v>
      </c>
      <c r="D233" s="136"/>
      <c r="E233" s="136"/>
      <c r="F233" s="136"/>
      <c r="G233" s="136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6.600000000000001">
      <c r="A234" s="1" t="s">
        <v>171</v>
      </c>
      <c r="B234" s="349" t="s">
        <v>1258</v>
      </c>
      <c r="C234" s="135" t="s">
        <v>622</v>
      </c>
      <c r="D234" s="136"/>
      <c r="E234" s="136"/>
      <c r="F234" s="136"/>
      <c r="G234" s="136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6.600000000000001">
      <c r="A235" s="1" t="s">
        <v>171</v>
      </c>
      <c r="B235" s="349" t="s">
        <v>1259</v>
      </c>
      <c r="C235" s="136" t="s">
        <v>623</v>
      </c>
      <c r="D235" s="137"/>
      <c r="E235" s="136"/>
      <c r="F235" s="136"/>
      <c r="G235" s="136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6.600000000000001">
      <c r="A236" s="1" t="s">
        <v>171</v>
      </c>
      <c r="B236" s="349" t="s">
        <v>1260</v>
      </c>
      <c r="C236" s="136" t="s">
        <v>624</v>
      </c>
      <c r="D236" s="136"/>
      <c r="E236" s="136"/>
      <c r="F236" s="136"/>
      <c r="G236" s="136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6.600000000000001">
      <c r="A237" s="1" t="s">
        <v>171</v>
      </c>
      <c r="B237" s="349" t="s">
        <v>1261</v>
      </c>
      <c r="C237" s="136" t="s">
        <v>625</v>
      </c>
      <c r="D237" s="136"/>
      <c r="E237" s="136"/>
      <c r="F237" s="136"/>
      <c r="G237" s="136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6.600000000000001">
      <c r="A238" s="1" t="s">
        <v>171</v>
      </c>
      <c r="B238" s="349" t="s">
        <v>1262</v>
      </c>
      <c r="C238" s="136" t="s">
        <v>626</v>
      </c>
      <c r="D238" s="137"/>
      <c r="E238" s="137"/>
      <c r="F238" s="137"/>
      <c r="G238" s="137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6.600000000000001">
      <c r="B239" s="349" t="s">
        <v>1263</v>
      </c>
      <c r="C239" s="136" t="s">
        <v>627</v>
      </c>
      <c r="D239" s="137"/>
      <c r="E239" s="137"/>
      <c r="F239" s="137"/>
      <c r="G239" s="137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6.600000000000001">
      <c r="A240" s="1" t="s">
        <v>628</v>
      </c>
      <c r="B240" s="349" t="s">
        <v>1264</v>
      </c>
      <c r="C240" s="136" t="s">
        <v>629</v>
      </c>
      <c r="D240" s="136"/>
      <c r="E240" s="136"/>
      <c r="F240" s="136"/>
      <c r="G240" s="136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6.600000000000001">
      <c r="A241" s="1" t="s">
        <v>628</v>
      </c>
      <c r="B241" s="349" t="s">
        <v>1265</v>
      </c>
      <c r="C241" s="136" t="s">
        <v>630</v>
      </c>
      <c r="D241" s="137"/>
      <c r="E241" s="137"/>
      <c r="F241" s="137"/>
      <c r="G241" s="137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6.600000000000001">
      <c r="A242" s="1" t="s">
        <v>628</v>
      </c>
      <c r="B242" s="349" t="s">
        <v>1266</v>
      </c>
      <c r="C242" s="136" t="s">
        <v>631</v>
      </c>
      <c r="D242" s="137"/>
      <c r="E242" s="137"/>
      <c r="F242" s="137"/>
      <c r="G242" s="137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6.600000000000001">
      <c r="A243" s="1" t="s">
        <v>628</v>
      </c>
      <c r="B243" s="349" t="s">
        <v>1267</v>
      </c>
      <c r="C243" s="136" t="s">
        <v>632</v>
      </c>
      <c r="D243" s="137"/>
      <c r="E243" s="137"/>
      <c r="F243" s="137"/>
      <c r="G243" s="137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6.600000000000001">
      <c r="A244" s="1" t="s">
        <v>628</v>
      </c>
      <c r="B244" s="349" t="s">
        <v>1268</v>
      </c>
      <c r="C244" s="136" t="s">
        <v>633</v>
      </c>
      <c r="D244" s="136"/>
      <c r="E244" s="136"/>
      <c r="F244" s="136"/>
      <c r="G244" s="136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6.600000000000001">
      <c r="A245" s="1" t="s">
        <v>628</v>
      </c>
      <c r="B245" s="349" t="s">
        <v>1269</v>
      </c>
      <c r="C245" s="136" t="s">
        <v>634</v>
      </c>
      <c r="D245" s="136"/>
      <c r="E245" s="137"/>
      <c r="F245" s="136"/>
      <c r="G245" s="136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6.600000000000001">
      <c r="A246" s="1" t="s">
        <v>628</v>
      </c>
      <c r="B246" s="349" t="s">
        <v>1270</v>
      </c>
      <c r="C246" s="136" t="s">
        <v>635</v>
      </c>
      <c r="D246" s="136"/>
      <c r="E246" s="136"/>
      <c r="F246" s="136"/>
      <c r="G246" s="136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6.600000000000001">
      <c r="A247" s="1" t="s">
        <v>628</v>
      </c>
      <c r="B247" s="349" t="s">
        <v>1271</v>
      </c>
      <c r="C247" s="136" t="s">
        <v>636</v>
      </c>
      <c r="D247" s="136"/>
      <c r="E247" s="136"/>
      <c r="F247" s="136"/>
      <c r="G247" s="136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6.600000000000001">
      <c r="A248" s="1" t="s">
        <v>628</v>
      </c>
      <c r="B248" s="349" t="s">
        <v>1272</v>
      </c>
      <c r="C248" s="136" t="s">
        <v>637</v>
      </c>
      <c r="D248" s="136"/>
      <c r="E248" s="136"/>
      <c r="F248" s="136"/>
      <c r="G248" s="136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6.600000000000001">
      <c r="A249" s="1" t="s">
        <v>628</v>
      </c>
      <c r="B249" s="349" t="s">
        <v>1273</v>
      </c>
      <c r="C249" s="136" t="s">
        <v>638</v>
      </c>
      <c r="D249" s="136"/>
      <c r="E249" s="136"/>
      <c r="F249" s="136"/>
      <c r="G249" s="136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6.600000000000001">
      <c r="A250" s="1" t="s">
        <v>628</v>
      </c>
      <c r="B250" s="349" t="s">
        <v>1274</v>
      </c>
      <c r="C250" s="136" t="s">
        <v>639</v>
      </c>
      <c r="D250" s="137"/>
      <c r="E250" s="137"/>
      <c r="F250" s="136"/>
      <c r="G250" s="136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6.600000000000001">
      <c r="A251" s="1" t="s">
        <v>628</v>
      </c>
      <c r="B251" s="349" t="s">
        <v>1275</v>
      </c>
      <c r="C251" s="136" t="s">
        <v>640</v>
      </c>
      <c r="D251" s="136"/>
      <c r="E251" s="136"/>
      <c r="F251" s="136"/>
      <c r="G251" s="136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6.600000000000001">
      <c r="A252" s="1" t="s">
        <v>641</v>
      </c>
      <c r="B252" s="349" t="s">
        <v>1276</v>
      </c>
      <c r="C252" s="136" t="s">
        <v>642</v>
      </c>
      <c r="D252" s="136"/>
      <c r="E252" s="136"/>
      <c r="F252" s="136"/>
      <c r="G252" s="136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6.600000000000001">
      <c r="A253" s="1" t="s">
        <v>641</v>
      </c>
      <c r="B253" s="349" t="s">
        <v>1277</v>
      </c>
      <c r="C253" s="136" t="s">
        <v>643</v>
      </c>
      <c r="D253" s="136"/>
      <c r="E253" s="136"/>
      <c r="F253" s="136"/>
      <c r="G253" s="136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6.600000000000001">
      <c r="A254" s="1" t="s">
        <v>641</v>
      </c>
      <c r="B254" s="349" t="s">
        <v>1278</v>
      </c>
      <c r="C254" s="136" t="s">
        <v>644</v>
      </c>
      <c r="D254" s="136"/>
      <c r="E254" s="136"/>
      <c r="F254" s="136"/>
      <c r="G254" s="136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6.600000000000001">
      <c r="A255" s="1" t="s">
        <v>641</v>
      </c>
      <c r="B255" s="349" t="s">
        <v>1279</v>
      </c>
      <c r="C255" s="136" t="s">
        <v>645</v>
      </c>
      <c r="D255" s="137"/>
      <c r="E255" s="137"/>
      <c r="F255" s="137"/>
      <c r="G255" s="137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6.600000000000001">
      <c r="A256" s="1" t="s">
        <v>641</v>
      </c>
      <c r="B256" s="349" t="s">
        <v>1280</v>
      </c>
      <c r="C256" s="136" t="s">
        <v>646</v>
      </c>
      <c r="D256" s="136"/>
      <c r="E256" s="136"/>
      <c r="F256" s="136"/>
      <c r="G256" s="137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6.600000000000001">
      <c r="A257" s="1" t="s">
        <v>641</v>
      </c>
      <c r="B257" s="349" t="s">
        <v>1281</v>
      </c>
      <c r="C257" s="136" t="s">
        <v>647</v>
      </c>
      <c r="D257" s="137"/>
      <c r="E257" s="137"/>
      <c r="F257" s="137"/>
      <c r="G257" s="137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6.600000000000001">
      <c r="A258" s="1" t="s">
        <v>641</v>
      </c>
      <c r="B258" s="349" t="s">
        <v>1282</v>
      </c>
      <c r="C258" s="136" t="s">
        <v>648</v>
      </c>
      <c r="D258" s="137"/>
      <c r="E258" s="137"/>
      <c r="F258" s="137"/>
      <c r="G258" s="137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6.600000000000001">
      <c r="A259" s="1" t="s">
        <v>641</v>
      </c>
      <c r="B259" s="349" t="s">
        <v>1283</v>
      </c>
      <c r="C259" s="136" t="s">
        <v>649</v>
      </c>
      <c r="D259" s="136"/>
      <c r="E259" s="136"/>
      <c r="F259" s="136"/>
      <c r="G259" s="136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6.600000000000001">
      <c r="A260" s="1" t="s">
        <v>641</v>
      </c>
      <c r="B260" s="349" t="s">
        <v>1284</v>
      </c>
      <c r="C260" s="136" t="s">
        <v>650</v>
      </c>
      <c r="D260" s="137"/>
      <c r="E260" s="137"/>
      <c r="F260" s="137"/>
      <c r="G260" s="137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6.600000000000001">
      <c r="B261" s="349" t="s">
        <v>1285</v>
      </c>
      <c r="C261" s="136" t="s">
        <v>651</v>
      </c>
      <c r="D261" s="136"/>
      <c r="E261" s="137"/>
      <c r="F261" s="136"/>
      <c r="G261" s="137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6.600000000000001">
      <c r="A262" s="1" t="s">
        <v>641</v>
      </c>
      <c r="B262" s="349" t="s">
        <v>1286</v>
      </c>
      <c r="C262" s="136" t="s">
        <v>652</v>
      </c>
      <c r="D262" s="136"/>
      <c r="E262" s="137"/>
      <c r="F262" s="136"/>
      <c r="G262" s="136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6.600000000000001">
      <c r="A263" s="1" t="s">
        <v>641</v>
      </c>
      <c r="B263" s="349" t="s">
        <v>1287</v>
      </c>
      <c r="C263" s="136" t="s">
        <v>653</v>
      </c>
      <c r="D263" s="136"/>
      <c r="E263" s="136"/>
      <c r="F263" s="136"/>
      <c r="G263" s="136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6.600000000000001">
      <c r="A264" s="1" t="s">
        <v>641</v>
      </c>
      <c r="B264" s="349" t="s">
        <v>1288</v>
      </c>
      <c r="C264" s="136" t="s">
        <v>654</v>
      </c>
      <c r="D264" s="136"/>
      <c r="E264" s="136"/>
      <c r="F264" s="136"/>
      <c r="G264" s="137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6.600000000000001">
      <c r="A265" s="1" t="s">
        <v>641</v>
      </c>
      <c r="B265" s="349" t="s">
        <v>1289</v>
      </c>
      <c r="C265" s="136" t="s">
        <v>655</v>
      </c>
      <c r="D265" s="136"/>
      <c r="E265" s="136"/>
      <c r="F265" s="136"/>
      <c r="G265" s="136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6.600000000000001">
      <c r="A266" s="1" t="s">
        <v>628</v>
      </c>
      <c r="B266" s="349" t="s">
        <v>1290</v>
      </c>
      <c r="C266" s="136" t="s">
        <v>656</v>
      </c>
      <c r="D266" s="137"/>
      <c r="E266" s="137"/>
      <c r="F266" s="137"/>
      <c r="G266" s="137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6.600000000000001">
      <c r="B267" s="349" t="s">
        <v>1291</v>
      </c>
      <c r="C267" s="136" t="s">
        <v>657</v>
      </c>
      <c r="D267" s="137"/>
      <c r="E267" s="137"/>
      <c r="F267" s="137"/>
      <c r="G267" s="137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6.600000000000001">
      <c r="A268" s="1" t="s">
        <v>76</v>
      </c>
      <c r="B268" s="349" t="s">
        <v>1292</v>
      </c>
      <c r="C268" s="136" t="s">
        <v>658</v>
      </c>
      <c r="D268" s="137"/>
      <c r="E268" s="137"/>
      <c r="F268" s="137"/>
      <c r="G268" s="137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6.600000000000001">
      <c r="A269" s="1" t="s">
        <v>76</v>
      </c>
      <c r="B269" s="349" t="s">
        <v>1293</v>
      </c>
      <c r="C269" s="136" t="s">
        <v>659</v>
      </c>
      <c r="D269" s="136"/>
      <c r="E269" s="136"/>
      <c r="F269" s="136"/>
      <c r="G269" s="136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6.600000000000001">
      <c r="A270" s="1" t="s">
        <v>76</v>
      </c>
      <c r="B270" s="349" t="s">
        <v>1294</v>
      </c>
      <c r="C270" s="136" t="s">
        <v>660</v>
      </c>
      <c r="D270" s="137"/>
      <c r="E270" s="137"/>
      <c r="F270" s="137"/>
      <c r="G270" s="137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6.600000000000001">
      <c r="B271" s="349" t="s">
        <v>1295</v>
      </c>
      <c r="C271" s="136" t="s">
        <v>661</v>
      </c>
      <c r="D271" s="137"/>
      <c r="E271" s="137"/>
      <c r="F271" s="137"/>
      <c r="G271" s="137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6.600000000000001">
      <c r="A272" s="1" t="s">
        <v>628</v>
      </c>
      <c r="B272" s="349" t="s">
        <v>1296</v>
      </c>
      <c r="C272" s="136" t="s">
        <v>662</v>
      </c>
      <c r="D272" s="137"/>
      <c r="E272" s="137"/>
      <c r="F272" s="137"/>
      <c r="G272" s="137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6.600000000000001">
      <c r="A273" s="1" t="s">
        <v>641</v>
      </c>
      <c r="B273" s="349" t="s">
        <v>1297</v>
      </c>
      <c r="C273" s="136" t="s">
        <v>663</v>
      </c>
      <c r="D273" s="136"/>
      <c r="E273" s="136"/>
      <c r="F273" s="137"/>
      <c r="G273" s="136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6.600000000000001">
      <c r="B274" s="349" t="s">
        <v>1298</v>
      </c>
      <c r="C274" s="136" t="s">
        <v>664</v>
      </c>
      <c r="D274" s="137"/>
      <c r="E274" s="137"/>
      <c r="F274" s="137"/>
      <c r="G274" s="137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6.600000000000001">
      <c r="B275" s="349" t="s">
        <v>1299</v>
      </c>
      <c r="C275" s="136" t="s">
        <v>665</v>
      </c>
      <c r="D275" s="136"/>
      <c r="E275" s="136"/>
      <c r="F275" s="136"/>
      <c r="G275" s="136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6.600000000000001">
      <c r="B276" s="349" t="s">
        <v>1300</v>
      </c>
      <c r="C276" s="136" t="s">
        <v>666</v>
      </c>
      <c r="D276" s="137"/>
      <c r="E276" s="137"/>
      <c r="F276" s="137"/>
      <c r="G276" s="137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6.600000000000001">
      <c r="B277" s="349" t="s">
        <v>1301</v>
      </c>
      <c r="C277" s="136" t="s">
        <v>667</v>
      </c>
      <c r="D277" s="137"/>
      <c r="E277" s="137"/>
      <c r="F277" s="137"/>
      <c r="G277" s="137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6.600000000000001">
      <c r="A278" s="1" t="s">
        <v>668</v>
      </c>
      <c r="B278" s="349" t="s">
        <v>1302</v>
      </c>
      <c r="C278" s="136" t="s">
        <v>669</v>
      </c>
      <c r="D278" s="137"/>
      <c r="E278" s="137"/>
      <c r="F278" s="137"/>
      <c r="G278" s="137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6.600000000000001">
      <c r="B279" s="349" t="s">
        <v>1303</v>
      </c>
      <c r="C279" s="136" t="s">
        <v>670</v>
      </c>
      <c r="D279" s="137"/>
      <c r="E279" s="137"/>
      <c r="F279" s="137"/>
      <c r="G279" s="137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6.600000000000001">
      <c r="A280" s="1" t="s">
        <v>628</v>
      </c>
      <c r="B280" s="349" t="s">
        <v>1304</v>
      </c>
      <c r="C280" s="136" t="s">
        <v>671</v>
      </c>
      <c r="D280" s="136"/>
      <c r="E280" s="136"/>
      <c r="F280" s="136"/>
      <c r="G280" s="136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6.600000000000001">
      <c r="A281" s="1" t="s">
        <v>672</v>
      </c>
      <c r="B281" s="349" t="s">
        <v>1305</v>
      </c>
      <c r="C281" s="136" t="s">
        <v>673</v>
      </c>
      <c r="D281" s="136"/>
      <c r="E281" s="136"/>
      <c r="F281" s="136"/>
      <c r="G281" s="136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6.600000000000001">
      <c r="B282" s="349" t="s">
        <v>1306</v>
      </c>
      <c r="C282" s="136" t="s">
        <v>674</v>
      </c>
      <c r="D282" s="137"/>
      <c r="E282" s="137"/>
      <c r="F282" s="137"/>
      <c r="G282" s="137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6.600000000000001">
      <c r="B283" s="349" t="s">
        <v>1307</v>
      </c>
      <c r="C283" s="135" t="s">
        <v>442</v>
      </c>
      <c r="D283" s="137"/>
      <c r="E283" s="137"/>
      <c r="F283" s="137"/>
      <c r="G283" s="137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6.600000000000001">
      <c r="B284" s="349" t="s">
        <v>1308</v>
      </c>
      <c r="C284" s="135" t="s">
        <v>443</v>
      </c>
      <c r="D284" s="136"/>
      <c r="E284" s="136"/>
      <c r="F284" s="136"/>
      <c r="G284" s="136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6.600000000000001">
      <c r="B285" s="349" t="s">
        <v>1309</v>
      </c>
      <c r="C285" s="135" t="s">
        <v>444</v>
      </c>
      <c r="D285" s="137"/>
      <c r="E285" s="137"/>
      <c r="F285" s="137"/>
      <c r="G285" s="137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6.600000000000001">
      <c r="B286" s="349" t="s">
        <v>1310</v>
      </c>
      <c r="C286" s="135" t="s">
        <v>445</v>
      </c>
      <c r="D286" s="136"/>
      <c r="E286" s="136"/>
      <c r="F286" s="136"/>
      <c r="G286" s="136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6.600000000000001">
      <c r="B287" s="349" t="s">
        <v>1311</v>
      </c>
      <c r="C287" s="135" t="s">
        <v>446</v>
      </c>
      <c r="D287" s="136"/>
      <c r="E287" s="136"/>
      <c r="F287" s="136"/>
      <c r="G287" s="136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6.600000000000001">
      <c r="B288" s="349" t="s">
        <v>1312</v>
      </c>
      <c r="C288" s="135" t="s">
        <v>447</v>
      </c>
      <c r="D288" s="136"/>
      <c r="E288" s="136"/>
      <c r="F288" s="136"/>
      <c r="G288" s="136"/>
      <c r="H288" s="1"/>
      <c r="I288" s="1"/>
      <c r="J288" s="1"/>
      <c r="K288" s="1"/>
      <c r="L288" s="1"/>
      <c r="M288" s="1"/>
      <c r="N288" s="1"/>
      <c r="O288" s="1"/>
      <c r="P288" s="1"/>
    </row>
    <row r="289" spans="2:16" ht="16.600000000000001">
      <c r="B289" s="349" t="s">
        <v>1313</v>
      </c>
      <c r="C289" s="135" t="s">
        <v>448</v>
      </c>
      <c r="D289" s="137"/>
      <c r="E289" s="137"/>
      <c r="F289" s="137"/>
      <c r="G289" s="136"/>
      <c r="H289" s="1"/>
      <c r="I289" s="1"/>
      <c r="J289" s="1"/>
      <c r="K289" s="1"/>
      <c r="L289" s="1"/>
      <c r="M289" s="1"/>
      <c r="N289" s="1"/>
      <c r="O289" s="1"/>
      <c r="P289" s="1"/>
    </row>
    <row r="290" spans="2:16" ht="16.600000000000001">
      <c r="B290" s="349" t="s">
        <v>1314</v>
      </c>
      <c r="C290" s="135" t="s">
        <v>449</v>
      </c>
      <c r="D290" s="137"/>
      <c r="E290" s="137"/>
      <c r="F290" s="137"/>
      <c r="G290" s="137"/>
      <c r="H290" s="1"/>
      <c r="I290" s="1"/>
      <c r="J290" s="1"/>
      <c r="K290" s="1"/>
      <c r="L290" s="1"/>
      <c r="M290" s="1"/>
      <c r="N290" s="1"/>
      <c r="O290" s="1"/>
      <c r="P290" s="1"/>
    </row>
    <row r="291" spans="2:16" ht="16.600000000000001">
      <c r="B291" s="349" t="s">
        <v>1315</v>
      </c>
      <c r="C291" s="135" t="s">
        <v>450</v>
      </c>
      <c r="D291" s="136"/>
      <c r="E291" s="136"/>
      <c r="F291" s="136"/>
      <c r="G291" s="136"/>
      <c r="H291" s="1"/>
      <c r="I291" s="1"/>
      <c r="J291" s="1"/>
      <c r="K291" s="1"/>
      <c r="L291" s="1"/>
      <c r="M291" s="1"/>
      <c r="N291" s="1"/>
      <c r="O291" s="1"/>
      <c r="P291" s="1"/>
    </row>
    <row r="292" spans="2:16" ht="16.600000000000001">
      <c r="B292" s="349" t="s">
        <v>1316</v>
      </c>
      <c r="C292" s="135" t="s">
        <v>451</v>
      </c>
      <c r="D292" s="137"/>
      <c r="E292" s="137"/>
      <c r="F292" s="137"/>
      <c r="G292" s="137"/>
      <c r="H292" s="1"/>
      <c r="I292" s="1"/>
      <c r="J292" s="1"/>
      <c r="K292" s="1"/>
      <c r="L292" s="1"/>
      <c r="M292" s="1"/>
      <c r="N292" s="1"/>
      <c r="O292" s="1"/>
      <c r="P292" s="1"/>
    </row>
    <row r="293" spans="2:16" ht="16.600000000000001">
      <c r="B293" s="349" t="s">
        <v>1317</v>
      </c>
      <c r="C293" s="135" t="s">
        <v>452</v>
      </c>
      <c r="D293" s="137"/>
      <c r="E293" s="137"/>
      <c r="F293" s="137"/>
      <c r="G293" s="137"/>
      <c r="H293" s="1"/>
      <c r="I293" s="1"/>
      <c r="J293" s="1"/>
      <c r="K293" s="1"/>
      <c r="L293" s="1"/>
      <c r="M293" s="1"/>
      <c r="N293" s="1"/>
      <c r="O293" s="1"/>
      <c r="P293" s="1"/>
    </row>
    <row r="294" spans="2:16" ht="16.600000000000001">
      <c r="B294" s="349" t="s">
        <v>1318</v>
      </c>
      <c r="C294" s="135" t="s">
        <v>453</v>
      </c>
      <c r="D294" s="137"/>
      <c r="E294" s="137"/>
      <c r="F294" s="137"/>
      <c r="G294" s="137"/>
      <c r="H294" s="1"/>
      <c r="I294" s="1"/>
      <c r="J294" s="1"/>
      <c r="K294" s="1"/>
      <c r="L294" s="1"/>
      <c r="M294" s="1"/>
      <c r="N294" s="1"/>
      <c r="O294" s="1"/>
      <c r="P294" s="1"/>
    </row>
    <row r="295" spans="2:16" ht="16.600000000000001">
      <c r="B295" s="349" t="s">
        <v>1319</v>
      </c>
      <c r="C295" s="135" t="s">
        <v>454</v>
      </c>
      <c r="D295" s="137"/>
      <c r="E295" s="137"/>
      <c r="F295" s="137"/>
      <c r="G295" s="137"/>
      <c r="H295" s="1"/>
      <c r="I295" s="1"/>
      <c r="J295" s="1"/>
      <c r="K295" s="1"/>
      <c r="L295" s="1"/>
      <c r="M295" s="1"/>
      <c r="N295" s="1"/>
      <c r="O295" s="1"/>
      <c r="P295" s="1"/>
    </row>
    <row r="296" spans="2:16" ht="16.600000000000001">
      <c r="B296" s="349" t="s">
        <v>1320</v>
      </c>
      <c r="C296" s="135" t="s">
        <v>455</v>
      </c>
      <c r="D296" s="137"/>
      <c r="E296" s="137"/>
      <c r="F296" s="137"/>
      <c r="G296" s="137"/>
      <c r="H296" s="1"/>
      <c r="I296" s="1"/>
      <c r="J296" s="1"/>
      <c r="K296" s="1"/>
      <c r="L296" s="1"/>
      <c r="M296" s="1"/>
      <c r="N296" s="1"/>
      <c r="O296" s="1"/>
      <c r="P296" s="1"/>
    </row>
    <row r="297" spans="2:16" ht="16.600000000000001">
      <c r="B297" s="349" t="s">
        <v>1321</v>
      </c>
      <c r="C297" s="135" t="s">
        <v>456</v>
      </c>
      <c r="D297" s="136"/>
      <c r="E297" s="136"/>
      <c r="F297" s="136"/>
      <c r="G297" s="136"/>
      <c r="H297" s="1"/>
      <c r="I297" s="1"/>
      <c r="J297" s="1"/>
      <c r="K297" s="1"/>
      <c r="L297" s="1"/>
      <c r="M297" s="1"/>
      <c r="N297" s="1"/>
      <c r="O297" s="1"/>
      <c r="P297" s="1"/>
    </row>
    <row r="298" spans="2:16" ht="16.600000000000001">
      <c r="B298" s="349" t="s">
        <v>1322</v>
      </c>
      <c r="C298" s="135" t="s">
        <v>457</v>
      </c>
      <c r="D298" s="137"/>
      <c r="E298" s="137"/>
      <c r="F298" s="137"/>
      <c r="G298" s="137"/>
      <c r="H298" s="1"/>
      <c r="I298" s="1"/>
      <c r="J298" s="1"/>
      <c r="K298" s="1"/>
      <c r="L298" s="1"/>
      <c r="M298" s="1"/>
      <c r="N298" s="1"/>
      <c r="O298" s="1"/>
      <c r="P298" s="1"/>
    </row>
    <row r="299" spans="2:16" ht="16.600000000000001">
      <c r="B299" s="349" t="s">
        <v>1323</v>
      </c>
      <c r="C299" s="135" t="s">
        <v>458</v>
      </c>
      <c r="D299" s="137"/>
      <c r="E299" s="137"/>
      <c r="F299" s="137"/>
      <c r="G299" s="137"/>
      <c r="H299" s="1"/>
      <c r="I299" s="1"/>
      <c r="J299" s="1"/>
      <c r="K299" s="1"/>
      <c r="L299" s="1"/>
      <c r="M299" s="1"/>
      <c r="N299" s="1"/>
      <c r="O299" s="1"/>
      <c r="P299" s="1"/>
    </row>
    <row r="300" spans="2:16" ht="16.600000000000001">
      <c r="B300" s="349" t="s">
        <v>1324</v>
      </c>
      <c r="C300" s="135" t="s">
        <v>459</v>
      </c>
      <c r="D300" s="136"/>
      <c r="E300" s="136"/>
      <c r="F300" s="136"/>
      <c r="G300" s="136"/>
      <c r="H300" s="1"/>
      <c r="I300" s="1"/>
      <c r="J300" s="1"/>
      <c r="K300" s="1"/>
      <c r="L300" s="1"/>
      <c r="M300" s="1"/>
      <c r="N300" s="1"/>
      <c r="O300" s="1"/>
      <c r="P300" s="1"/>
    </row>
    <row r="301" spans="2:16" ht="16.600000000000001">
      <c r="B301" s="349" t="s">
        <v>1325</v>
      </c>
      <c r="C301" s="135" t="s">
        <v>460</v>
      </c>
      <c r="D301" s="136"/>
      <c r="E301" s="136"/>
      <c r="F301" s="136"/>
      <c r="G301" s="136"/>
      <c r="H301" s="1"/>
      <c r="I301" s="1"/>
      <c r="J301" s="1"/>
      <c r="K301" s="1"/>
      <c r="L301" s="1"/>
      <c r="M301" s="1"/>
      <c r="N301" s="1"/>
      <c r="O301" s="1"/>
      <c r="P301" s="1"/>
    </row>
    <row r="302" spans="2:16" ht="16.600000000000001">
      <c r="B302" s="349" t="s">
        <v>1326</v>
      </c>
      <c r="C302" s="135" t="s">
        <v>461</v>
      </c>
      <c r="D302" s="137"/>
      <c r="E302" s="137"/>
      <c r="F302" s="137"/>
      <c r="G302" s="137"/>
      <c r="H302" s="1"/>
      <c r="I302" s="1"/>
      <c r="J302" s="1"/>
      <c r="K302" s="1"/>
      <c r="L302" s="1"/>
      <c r="M302" s="1"/>
      <c r="N302" s="1"/>
      <c r="O302" s="1"/>
      <c r="P302" s="1"/>
    </row>
    <row r="303" spans="2:16" ht="16.600000000000001">
      <c r="B303" s="349" t="s">
        <v>1327</v>
      </c>
      <c r="C303" s="135" t="s">
        <v>462</v>
      </c>
      <c r="D303" s="136"/>
      <c r="E303" s="136"/>
      <c r="F303" s="136"/>
      <c r="G303" s="136"/>
      <c r="H303" s="1"/>
      <c r="I303" s="1"/>
      <c r="J303" s="1"/>
      <c r="K303" s="1"/>
      <c r="L303" s="1"/>
      <c r="M303" s="1"/>
      <c r="N303" s="1"/>
      <c r="O303" s="1"/>
      <c r="P303" s="1"/>
    </row>
    <row r="304" spans="2:16" ht="16.600000000000001">
      <c r="B304" s="349" t="s">
        <v>1328</v>
      </c>
      <c r="C304" s="135" t="s">
        <v>463</v>
      </c>
      <c r="D304" s="137"/>
      <c r="E304" s="137"/>
      <c r="F304" s="137"/>
      <c r="G304" s="137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6.600000000000001">
      <c r="B305" s="349" t="s">
        <v>1329</v>
      </c>
      <c r="C305" s="135" t="s">
        <v>464</v>
      </c>
      <c r="D305" s="136"/>
      <c r="E305" s="136"/>
      <c r="F305" s="136"/>
      <c r="G305" s="136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6.600000000000001">
      <c r="B306" s="349" t="s">
        <v>1330</v>
      </c>
      <c r="C306" s="135" t="s">
        <v>465</v>
      </c>
      <c r="D306" s="136"/>
      <c r="E306" s="137"/>
      <c r="F306" s="137"/>
      <c r="G306" s="137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6.600000000000001">
      <c r="B307" s="349" t="s">
        <v>1331</v>
      </c>
      <c r="C307" s="135" t="s">
        <v>466</v>
      </c>
      <c r="D307" s="137"/>
      <c r="E307" s="137"/>
      <c r="F307" s="137"/>
      <c r="G307" s="137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6.600000000000001">
      <c r="B308" s="349" t="s">
        <v>1332</v>
      </c>
      <c r="C308" s="135" t="s">
        <v>467</v>
      </c>
      <c r="D308" s="137"/>
      <c r="E308" s="137"/>
      <c r="F308" s="137"/>
      <c r="G308" s="137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6.600000000000001">
      <c r="B309" s="349" t="s">
        <v>1333</v>
      </c>
      <c r="C309" s="135" t="s">
        <v>468</v>
      </c>
      <c r="D309" s="137"/>
      <c r="E309" s="137"/>
      <c r="F309" s="137"/>
      <c r="G309" s="137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6.600000000000001">
      <c r="B310" s="349" t="s">
        <v>1334</v>
      </c>
      <c r="C310" s="135" t="s">
        <v>469</v>
      </c>
      <c r="D310" s="137"/>
      <c r="E310" s="136"/>
      <c r="F310" s="136"/>
      <c r="G310" s="137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6.600000000000001">
      <c r="B311" s="349" t="s">
        <v>1335</v>
      </c>
      <c r="C311" s="135" t="s">
        <v>470</v>
      </c>
      <c r="D311" s="136"/>
      <c r="E311" s="136"/>
      <c r="F311" s="136"/>
      <c r="G311" s="136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6.600000000000001">
      <c r="B312" s="349" t="s">
        <v>1336</v>
      </c>
      <c r="C312" s="135" t="s">
        <v>471</v>
      </c>
      <c r="D312" s="137"/>
      <c r="E312" s="136"/>
      <c r="F312" s="136"/>
      <c r="G312" s="137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6.600000000000001">
      <c r="B313" s="349" t="s">
        <v>1337</v>
      </c>
      <c r="C313" s="135" t="s">
        <v>472</v>
      </c>
      <c r="D313" s="137"/>
      <c r="E313" s="137"/>
      <c r="F313" s="137"/>
      <c r="G313" s="137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6.600000000000001">
      <c r="A314" s="1" t="s">
        <v>675</v>
      </c>
      <c r="B314" s="349" t="s">
        <v>1338</v>
      </c>
      <c r="C314" s="135" t="s">
        <v>473</v>
      </c>
      <c r="D314" s="137"/>
      <c r="E314" s="137"/>
      <c r="F314" s="137"/>
      <c r="G314" s="137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6.600000000000001">
      <c r="A315" s="1" t="s">
        <v>676</v>
      </c>
      <c r="B315" s="349" t="s">
        <v>1339</v>
      </c>
      <c r="C315" s="135" t="s">
        <v>474</v>
      </c>
      <c r="D315" s="137"/>
      <c r="E315" s="137"/>
      <c r="F315" s="137"/>
      <c r="G315" s="137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6.600000000000001">
      <c r="B316" s="349" t="s">
        <v>1340</v>
      </c>
      <c r="C316" s="135" t="s">
        <v>475</v>
      </c>
      <c r="D316" s="137"/>
      <c r="E316" s="136"/>
      <c r="F316" s="136"/>
      <c r="G316" s="136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6.600000000000001">
      <c r="B317" s="349" t="s">
        <v>1341</v>
      </c>
      <c r="C317" s="135" t="s">
        <v>476</v>
      </c>
      <c r="D317" s="137"/>
      <c r="E317" s="137"/>
      <c r="F317" s="137"/>
      <c r="G317" s="137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6.600000000000001">
      <c r="B318" s="349" t="s">
        <v>1342</v>
      </c>
      <c r="C318" s="135" t="s">
        <v>477</v>
      </c>
      <c r="D318" s="136"/>
      <c r="E318" s="136"/>
      <c r="F318" s="136"/>
      <c r="G318" s="136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6.600000000000001">
      <c r="B319" s="349" t="s">
        <v>1343</v>
      </c>
      <c r="C319" s="135" t="s">
        <v>478</v>
      </c>
      <c r="D319" s="137"/>
      <c r="E319" s="137"/>
      <c r="F319" s="137"/>
      <c r="G319" s="137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6.600000000000001">
      <c r="B320" s="349" t="s">
        <v>1344</v>
      </c>
      <c r="C320" s="135" t="s">
        <v>479</v>
      </c>
      <c r="D320" s="136"/>
      <c r="E320" s="136"/>
      <c r="F320" s="136"/>
      <c r="G320" s="136"/>
      <c r="H320" s="1"/>
      <c r="I320" s="1"/>
      <c r="J320" s="1"/>
      <c r="K320" s="1"/>
      <c r="L320" s="1"/>
      <c r="M320" s="1"/>
      <c r="N320" s="1"/>
      <c r="O320" s="1"/>
      <c r="P320" s="1"/>
    </row>
    <row r="321" spans="2:16" ht="16.600000000000001">
      <c r="B321" s="349" t="s">
        <v>1345</v>
      </c>
      <c r="C321" s="135" t="s">
        <v>480</v>
      </c>
      <c r="D321" s="137"/>
      <c r="E321" s="137"/>
      <c r="F321" s="137"/>
      <c r="G321" s="137"/>
      <c r="H321" s="1"/>
      <c r="I321" s="1"/>
      <c r="J321" s="1"/>
      <c r="K321" s="1"/>
      <c r="L321" s="1"/>
      <c r="M321" s="1"/>
      <c r="N321" s="1"/>
      <c r="O321" s="1"/>
      <c r="P321" s="1"/>
    </row>
    <row r="322" spans="2:16" ht="16.600000000000001">
      <c r="B322" s="349" t="s">
        <v>1346</v>
      </c>
      <c r="C322" s="135" t="s">
        <v>481</v>
      </c>
      <c r="D322" s="137"/>
      <c r="E322" s="137"/>
      <c r="F322" s="137"/>
      <c r="G322" s="137"/>
      <c r="H322" s="1"/>
      <c r="I322" s="1"/>
      <c r="J322" s="1"/>
      <c r="K322" s="1"/>
      <c r="L322" s="1"/>
      <c r="M322" s="1"/>
      <c r="N322" s="1"/>
      <c r="O322" s="1"/>
      <c r="P322" s="1"/>
    </row>
    <row r="323" spans="2:16" ht="16.600000000000001">
      <c r="B323" s="349" t="s">
        <v>1347</v>
      </c>
      <c r="C323" s="135" t="s">
        <v>482</v>
      </c>
      <c r="D323" s="137"/>
      <c r="E323" s="137"/>
      <c r="F323" s="137"/>
      <c r="G323" s="137"/>
      <c r="H323" s="1"/>
      <c r="I323" s="1"/>
      <c r="J323" s="1"/>
      <c r="K323" s="1"/>
      <c r="L323" s="1"/>
      <c r="M323" s="1"/>
      <c r="N323" s="1"/>
      <c r="O323" s="1"/>
      <c r="P323" s="1"/>
    </row>
    <row r="324" spans="2:16" ht="16.600000000000001">
      <c r="B324" s="349" t="s">
        <v>1348</v>
      </c>
      <c r="C324" s="135" t="s">
        <v>483</v>
      </c>
      <c r="D324" s="137"/>
      <c r="E324" s="137"/>
      <c r="F324" s="137"/>
      <c r="G324" s="137"/>
      <c r="H324" s="1"/>
      <c r="I324" s="1"/>
      <c r="J324" s="1"/>
      <c r="K324" s="1"/>
      <c r="L324" s="1"/>
      <c r="M324" s="1"/>
      <c r="N324" s="1"/>
      <c r="O324" s="1"/>
      <c r="P324" s="1"/>
    </row>
    <row r="325" spans="2:16" ht="16.600000000000001">
      <c r="B325" s="349" t="s">
        <v>1349</v>
      </c>
      <c r="C325" s="135" t="s">
        <v>484</v>
      </c>
      <c r="D325" s="136"/>
      <c r="E325" s="136"/>
      <c r="F325" s="137"/>
      <c r="G325" s="136"/>
      <c r="H325" s="1"/>
      <c r="I325" s="1"/>
      <c r="J325" s="1"/>
      <c r="K325" s="1"/>
      <c r="L325" s="1"/>
      <c r="M325" s="1"/>
      <c r="N325" s="1"/>
      <c r="O325" s="1"/>
      <c r="P325" s="1"/>
    </row>
    <row r="326" spans="2:16" ht="16.600000000000001">
      <c r="B326" s="349" t="s">
        <v>1350</v>
      </c>
      <c r="C326" s="135" t="s">
        <v>485</v>
      </c>
      <c r="D326" s="136"/>
      <c r="E326" s="137"/>
      <c r="F326" s="137"/>
      <c r="G326" s="136"/>
      <c r="H326" s="1"/>
      <c r="I326" s="1"/>
      <c r="J326" s="1"/>
      <c r="K326" s="1"/>
      <c r="L326" s="1"/>
      <c r="M326" s="1"/>
      <c r="N326" s="1"/>
      <c r="O326" s="1"/>
      <c r="P326" s="1"/>
    </row>
    <row r="327" spans="2:16" ht="16.600000000000001">
      <c r="B327" s="349" t="s">
        <v>1351</v>
      </c>
      <c r="C327" s="135" t="s">
        <v>486</v>
      </c>
      <c r="D327" s="137"/>
      <c r="E327" s="137"/>
      <c r="F327" s="137"/>
      <c r="G327" s="137"/>
      <c r="H327" s="1"/>
      <c r="I327" s="1"/>
      <c r="J327" s="1"/>
      <c r="K327" s="1"/>
      <c r="L327" s="1"/>
      <c r="M327" s="1"/>
      <c r="N327" s="1"/>
      <c r="O327" s="1"/>
      <c r="P327" s="1"/>
    </row>
    <row r="328" spans="2:16" ht="16.600000000000001">
      <c r="B328" s="349" t="s">
        <v>1352</v>
      </c>
      <c r="C328" s="135" t="s">
        <v>487</v>
      </c>
      <c r="D328" s="136"/>
      <c r="E328" s="136"/>
      <c r="F328" s="136"/>
      <c r="G328" s="136"/>
      <c r="H328" s="1"/>
      <c r="I328" s="1"/>
      <c r="J328" s="1"/>
      <c r="K328" s="1"/>
      <c r="L328" s="1"/>
      <c r="M328" s="1"/>
      <c r="N328" s="1"/>
      <c r="O328" s="1"/>
      <c r="P328" s="1"/>
    </row>
    <row r="329" spans="2:16" ht="16.600000000000001">
      <c r="B329" s="349" t="s">
        <v>1353</v>
      </c>
      <c r="C329" s="135" t="s">
        <v>488</v>
      </c>
      <c r="D329" s="136"/>
      <c r="E329" s="136"/>
      <c r="F329" s="136"/>
      <c r="G329" s="136"/>
      <c r="H329" s="1"/>
      <c r="I329" s="1"/>
      <c r="J329" s="1"/>
      <c r="K329" s="1"/>
      <c r="L329" s="1"/>
      <c r="M329" s="1"/>
      <c r="N329" s="1"/>
      <c r="O329" s="1"/>
      <c r="P329" s="1"/>
    </row>
    <row r="330" spans="2:16" ht="16.600000000000001">
      <c r="B330" s="349" t="s">
        <v>1354</v>
      </c>
      <c r="C330" s="135" t="s">
        <v>489</v>
      </c>
      <c r="D330" s="136"/>
      <c r="E330" s="136"/>
      <c r="F330" s="136"/>
      <c r="G330" s="136"/>
      <c r="H330" s="1"/>
      <c r="I330" s="1"/>
      <c r="J330" s="1"/>
      <c r="K330" s="1"/>
      <c r="L330" s="1"/>
      <c r="M330" s="1"/>
      <c r="N330" s="1"/>
      <c r="O330" s="1"/>
      <c r="P330" s="1"/>
    </row>
    <row r="331" spans="2:16" ht="16.600000000000001">
      <c r="B331" s="349" t="s">
        <v>1355</v>
      </c>
      <c r="C331" s="135" t="s">
        <v>490</v>
      </c>
      <c r="D331" s="137"/>
      <c r="E331" s="137"/>
      <c r="F331" s="137"/>
      <c r="G331" s="137"/>
      <c r="H331" s="1"/>
      <c r="I331" s="1"/>
      <c r="J331" s="1"/>
      <c r="K331" s="1"/>
      <c r="L331" s="1"/>
      <c r="M331" s="1"/>
      <c r="N331" s="1"/>
      <c r="O331" s="1"/>
      <c r="P331" s="1"/>
    </row>
    <row r="332" spans="2:16" ht="16.600000000000001">
      <c r="B332" s="349" t="s">
        <v>1356</v>
      </c>
      <c r="C332" s="135" t="s">
        <v>491</v>
      </c>
      <c r="D332" s="137"/>
      <c r="E332" s="137"/>
      <c r="F332" s="137"/>
      <c r="G332" s="137"/>
      <c r="H332" s="1"/>
      <c r="I332" s="1"/>
      <c r="J332" s="1"/>
      <c r="K332" s="1"/>
      <c r="L332" s="1"/>
      <c r="M332" s="1"/>
      <c r="N332" s="1"/>
      <c r="O332" s="1"/>
      <c r="P332" s="1"/>
    </row>
    <row r="333" spans="2:16" ht="16.600000000000001">
      <c r="B333" s="349" t="s">
        <v>1357</v>
      </c>
      <c r="C333" s="135" t="s">
        <v>492</v>
      </c>
      <c r="D333" s="136"/>
      <c r="E333" s="137"/>
      <c r="F333" s="136"/>
      <c r="G333" s="136"/>
      <c r="H333" s="1"/>
      <c r="I333" s="1"/>
      <c r="J333" s="1"/>
      <c r="K333" s="1"/>
      <c r="L333" s="1"/>
      <c r="M333" s="1"/>
      <c r="N333" s="1"/>
      <c r="O333" s="1"/>
      <c r="P333" s="1"/>
    </row>
    <row r="334" spans="2:16" ht="16.600000000000001">
      <c r="B334" s="349" t="s">
        <v>1358</v>
      </c>
      <c r="C334" s="135" t="s">
        <v>493</v>
      </c>
      <c r="D334" s="137"/>
      <c r="E334" s="137"/>
      <c r="F334" s="137"/>
      <c r="G334" s="137"/>
      <c r="H334" s="1"/>
      <c r="I334" s="1"/>
      <c r="J334" s="1"/>
      <c r="K334" s="1"/>
      <c r="L334" s="1"/>
      <c r="M334" s="1"/>
      <c r="N334" s="1"/>
      <c r="O334" s="1"/>
      <c r="P334" s="1"/>
    </row>
    <row r="335" spans="2:16" ht="16.600000000000001">
      <c r="B335" s="349" t="s">
        <v>1359</v>
      </c>
      <c r="C335" s="135" t="s">
        <v>494</v>
      </c>
      <c r="D335" s="136"/>
      <c r="E335" s="136"/>
      <c r="F335" s="136"/>
      <c r="G335" s="136"/>
      <c r="H335" s="1"/>
      <c r="I335" s="1"/>
      <c r="J335" s="1"/>
      <c r="K335" s="1"/>
      <c r="L335" s="1"/>
      <c r="M335" s="1"/>
      <c r="N335" s="1"/>
      <c r="O335" s="1"/>
      <c r="P335" s="1"/>
    </row>
    <row r="336" spans="2:16" ht="16.600000000000001">
      <c r="B336" s="349" t="s">
        <v>1360</v>
      </c>
      <c r="C336" s="135" t="s">
        <v>495</v>
      </c>
      <c r="D336" s="136"/>
      <c r="E336" s="136"/>
      <c r="F336" s="137"/>
      <c r="G336" s="137"/>
      <c r="H336" s="1"/>
      <c r="I336" s="1"/>
      <c r="J336" s="1"/>
      <c r="K336" s="1"/>
      <c r="L336" s="1"/>
      <c r="M336" s="1"/>
      <c r="N336" s="1"/>
      <c r="O336" s="1"/>
      <c r="P336" s="1"/>
    </row>
    <row r="337" spans="2:16" ht="16.600000000000001">
      <c r="B337" s="349" t="s">
        <v>1361</v>
      </c>
      <c r="C337" s="135" t="s">
        <v>496</v>
      </c>
      <c r="D337" s="136"/>
      <c r="E337" s="136"/>
      <c r="F337" s="136"/>
      <c r="G337" s="136"/>
      <c r="H337" s="1"/>
      <c r="I337" s="1"/>
      <c r="J337" s="1"/>
      <c r="K337" s="1"/>
      <c r="L337" s="1"/>
      <c r="M337" s="1"/>
      <c r="N337" s="1"/>
      <c r="O337" s="1"/>
      <c r="P337" s="1"/>
    </row>
    <row r="338" spans="2:16" ht="16.600000000000001">
      <c r="B338" s="349" t="s">
        <v>1362</v>
      </c>
      <c r="C338" s="135" t="s">
        <v>497</v>
      </c>
      <c r="D338" s="136"/>
      <c r="E338" s="136"/>
      <c r="F338" s="136"/>
      <c r="G338" s="136"/>
      <c r="H338" s="1"/>
      <c r="I338" s="1"/>
      <c r="J338" s="1"/>
      <c r="K338" s="1"/>
      <c r="L338" s="1"/>
      <c r="M338" s="1"/>
      <c r="N338" s="1"/>
      <c r="O338" s="1"/>
      <c r="P338" s="1"/>
    </row>
    <row r="339" spans="2:16" ht="16.600000000000001">
      <c r="B339" s="349" t="s">
        <v>1363</v>
      </c>
      <c r="C339" s="135" t="s">
        <v>498</v>
      </c>
      <c r="D339" s="136"/>
      <c r="E339" s="136"/>
      <c r="F339" s="136"/>
      <c r="G339" s="137"/>
      <c r="H339" s="1"/>
      <c r="I339" s="1"/>
      <c r="J339" s="1"/>
      <c r="K339" s="1"/>
      <c r="L339" s="1"/>
      <c r="M339" s="1"/>
      <c r="N339" s="1"/>
      <c r="O339" s="1"/>
      <c r="P339" s="1"/>
    </row>
    <row r="340" spans="2:16" ht="16.600000000000001">
      <c r="B340" s="349" t="s">
        <v>1364</v>
      </c>
      <c r="C340" s="135" t="s">
        <v>499</v>
      </c>
      <c r="D340" s="136"/>
      <c r="E340" s="136"/>
      <c r="F340" s="136"/>
      <c r="G340" s="136"/>
      <c r="H340" s="1"/>
      <c r="I340" s="1"/>
      <c r="J340" s="1"/>
      <c r="K340" s="1"/>
      <c r="L340" s="1"/>
      <c r="M340" s="1"/>
      <c r="N340" s="1"/>
      <c r="O340" s="1"/>
      <c r="P340" s="1"/>
    </row>
    <row r="341" spans="2:16" ht="16.600000000000001">
      <c r="B341" s="349" t="s">
        <v>1365</v>
      </c>
      <c r="C341" s="135" t="s">
        <v>500</v>
      </c>
      <c r="D341" s="137"/>
      <c r="E341" s="137"/>
      <c r="F341" s="137"/>
      <c r="G341" s="136"/>
      <c r="H341" s="1"/>
      <c r="I341" s="1"/>
      <c r="J341" s="1"/>
      <c r="K341" s="1"/>
      <c r="L341" s="1"/>
      <c r="M341" s="1"/>
      <c r="N341" s="1"/>
      <c r="O341" s="1"/>
      <c r="P341" s="1"/>
    </row>
    <row r="342" spans="2:16" ht="16.600000000000001">
      <c r="B342" s="349" t="s">
        <v>1366</v>
      </c>
      <c r="C342" s="135" t="s">
        <v>501</v>
      </c>
      <c r="D342" s="136"/>
      <c r="E342" s="136"/>
      <c r="F342" s="136"/>
      <c r="G342" s="136"/>
      <c r="H342" s="1"/>
      <c r="I342" s="1"/>
      <c r="J342" s="1"/>
      <c r="K342" s="1"/>
      <c r="L342" s="1"/>
      <c r="M342" s="1"/>
      <c r="N342" s="1"/>
      <c r="O342" s="1"/>
      <c r="P342" s="1"/>
    </row>
    <row r="343" spans="2:16" ht="16.600000000000001">
      <c r="B343" s="349" t="s">
        <v>1367</v>
      </c>
      <c r="C343" s="135" t="s">
        <v>502</v>
      </c>
      <c r="D343" s="136"/>
      <c r="E343" s="136"/>
      <c r="F343" s="136"/>
      <c r="G343" s="136"/>
      <c r="H343" s="1"/>
      <c r="I343" s="1"/>
      <c r="J343" s="1"/>
      <c r="K343" s="1"/>
      <c r="L343" s="1"/>
      <c r="M343" s="1"/>
      <c r="N343" s="1"/>
      <c r="O343" s="1"/>
      <c r="P343" s="1"/>
    </row>
    <row r="344" spans="2:16" ht="16.600000000000001">
      <c r="B344" s="349" t="s">
        <v>1368</v>
      </c>
      <c r="C344" s="135" t="s">
        <v>503</v>
      </c>
      <c r="D344" s="137"/>
      <c r="E344" s="137"/>
      <c r="F344" s="137"/>
      <c r="G344" s="137"/>
      <c r="H344" s="1"/>
      <c r="I344" s="1"/>
      <c r="J344" s="1"/>
      <c r="K344" s="1"/>
      <c r="L344" s="1"/>
      <c r="M344" s="1"/>
      <c r="N344" s="1"/>
      <c r="O344" s="1"/>
      <c r="P344" s="1"/>
    </row>
    <row r="345" spans="2:16" ht="16.600000000000001">
      <c r="B345" s="349" t="s">
        <v>1369</v>
      </c>
      <c r="C345" s="135" t="s">
        <v>504</v>
      </c>
      <c r="D345" s="137"/>
      <c r="E345" s="137"/>
      <c r="F345" s="137"/>
      <c r="G345" s="137"/>
      <c r="H345" s="1"/>
      <c r="I345" s="1"/>
      <c r="J345" s="1"/>
      <c r="K345" s="1"/>
      <c r="L345" s="1"/>
      <c r="M345" s="1"/>
      <c r="N345" s="1"/>
      <c r="O345" s="1"/>
      <c r="P345" s="1"/>
    </row>
    <row r="346" spans="2:16" ht="16.600000000000001">
      <c r="B346" s="349" t="s">
        <v>1370</v>
      </c>
      <c r="C346" s="135" t="s">
        <v>505</v>
      </c>
      <c r="D346" s="137"/>
      <c r="E346" s="137"/>
      <c r="F346" s="137"/>
      <c r="G346" s="137"/>
      <c r="H346" s="1"/>
      <c r="I346" s="1"/>
      <c r="J346" s="1"/>
      <c r="K346" s="1"/>
      <c r="L346" s="1"/>
      <c r="M346" s="1"/>
      <c r="N346" s="1"/>
      <c r="O346" s="1"/>
      <c r="P346" s="1"/>
    </row>
    <row r="347" spans="2:16" ht="16.600000000000001">
      <c r="B347" s="349" t="s">
        <v>1371</v>
      </c>
      <c r="C347" s="135" t="s">
        <v>506</v>
      </c>
      <c r="D347" s="137"/>
      <c r="E347" s="137"/>
      <c r="F347" s="137"/>
      <c r="G347" s="137"/>
      <c r="H347" s="1"/>
      <c r="I347" s="1"/>
      <c r="J347" s="1"/>
      <c r="K347" s="1"/>
      <c r="L347" s="1"/>
      <c r="M347" s="1"/>
      <c r="N347" s="1"/>
      <c r="O347" s="1"/>
      <c r="P347" s="1"/>
    </row>
    <row r="348" spans="2:16" ht="16.600000000000001">
      <c r="B348" s="349" t="s">
        <v>1372</v>
      </c>
      <c r="C348" s="135" t="s">
        <v>507</v>
      </c>
      <c r="D348" s="137"/>
      <c r="E348" s="137"/>
      <c r="F348" s="137"/>
      <c r="G348" s="137"/>
      <c r="H348" s="1"/>
      <c r="I348" s="1"/>
      <c r="J348" s="1"/>
      <c r="K348" s="1"/>
      <c r="L348" s="1"/>
      <c r="M348" s="1"/>
      <c r="N348" s="1"/>
      <c r="O348" s="1"/>
      <c r="P348" s="1"/>
    </row>
    <row r="349" spans="2:16" ht="16.600000000000001">
      <c r="B349" s="349" t="s">
        <v>1373</v>
      </c>
      <c r="C349" s="135" t="s">
        <v>508</v>
      </c>
      <c r="D349" s="137"/>
      <c r="E349" s="137"/>
      <c r="F349" s="136"/>
      <c r="G349" s="136"/>
      <c r="H349" s="1"/>
      <c r="I349" s="1"/>
      <c r="J349" s="1"/>
      <c r="K349" s="1"/>
      <c r="L349" s="1"/>
      <c r="M349" s="1"/>
      <c r="N349" s="1"/>
      <c r="O349" s="1"/>
      <c r="P349" s="1"/>
    </row>
    <row r="350" spans="2:16" ht="16.600000000000001">
      <c r="B350" s="349" t="s">
        <v>1374</v>
      </c>
      <c r="C350" s="135" t="s">
        <v>509</v>
      </c>
      <c r="D350" s="136"/>
      <c r="E350" s="136"/>
      <c r="F350" s="136"/>
      <c r="G350" s="136"/>
      <c r="H350" s="1"/>
      <c r="I350" s="1"/>
      <c r="J350" s="1"/>
      <c r="K350" s="1"/>
      <c r="L350" s="1"/>
      <c r="M350" s="1"/>
      <c r="N350" s="1"/>
      <c r="O350" s="1"/>
      <c r="P350" s="1"/>
    </row>
    <row r="351" spans="2:16" ht="16.600000000000001">
      <c r="B351" s="349" t="s">
        <v>1375</v>
      </c>
      <c r="C351" s="135" t="s">
        <v>510</v>
      </c>
      <c r="D351" s="136"/>
      <c r="E351" s="136"/>
      <c r="F351" s="136"/>
      <c r="G351" s="136"/>
      <c r="H351" s="1"/>
      <c r="I351" s="1"/>
      <c r="J351" s="1"/>
      <c r="K351" s="1"/>
      <c r="L351" s="1"/>
      <c r="M351" s="1"/>
      <c r="N351" s="1"/>
      <c r="O351" s="1"/>
      <c r="P351" s="1"/>
    </row>
    <row r="352" spans="2:16" ht="16.600000000000001">
      <c r="B352" s="349" t="s">
        <v>1376</v>
      </c>
      <c r="C352" s="135" t="s">
        <v>511</v>
      </c>
      <c r="D352" s="137"/>
      <c r="E352" s="137"/>
      <c r="F352" s="137"/>
      <c r="G352" s="137"/>
      <c r="H352" s="1"/>
      <c r="I352" s="1"/>
      <c r="J352" s="1"/>
      <c r="K352" s="1"/>
      <c r="L352" s="1"/>
      <c r="M352" s="1"/>
      <c r="N352" s="1"/>
      <c r="O352" s="1"/>
      <c r="P352" s="1"/>
    </row>
    <row r="353" spans="2:16" ht="16.600000000000001">
      <c r="B353" s="349" t="s">
        <v>1377</v>
      </c>
      <c r="C353" s="135" t="s">
        <v>512</v>
      </c>
      <c r="D353" s="137"/>
      <c r="E353" s="137"/>
      <c r="F353" s="137"/>
      <c r="G353" s="137"/>
      <c r="H353" s="1"/>
      <c r="I353" s="1"/>
      <c r="J353" s="1"/>
      <c r="K353" s="1"/>
      <c r="L353" s="1"/>
      <c r="M353" s="1"/>
      <c r="N353" s="1"/>
      <c r="O353" s="1"/>
      <c r="P353" s="1"/>
    </row>
    <row r="354" spans="2:16" ht="16.600000000000001">
      <c r="B354" s="349" t="s">
        <v>1378</v>
      </c>
      <c r="C354" s="135" t="s">
        <v>513</v>
      </c>
      <c r="D354" s="137"/>
      <c r="E354" s="137"/>
      <c r="F354" s="136"/>
      <c r="G354" s="136"/>
      <c r="H354" s="1"/>
      <c r="I354" s="1"/>
      <c r="J354" s="1"/>
      <c r="K354" s="1"/>
      <c r="L354" s="1"/>
      <c r="M354" s="1"/>
      <c r="N354" s="1"/>
      <c r="O354" s="1"/>
      <c r="P354" s="1"/>
    </row>
    <row r="355" spans="2:16" ht="16.600000000000001">
      <c r="B355" s="349" t="s">
        <v>1379</v>
      </c>
      <c r="C355" s="135" t="s">
        <v>514</v>
      </c>
      <c r="D355" s="136"/>
      <c r="E355" s="136"/>
      <c r="F355" s="136"/>
      <c r="G355" s="136"/>
      <c r="H355" s="1"/>
      <c r="I355" s="1"/>
      <c r="J355" s="1"/>
      <c r="K355" s="1"/>
      <c r="L355" s="1"/>
      <c r="M355" s="1"/>
      <c r="N355" s="1"/>
      <c r="O355" s="1"/>
      <c r="P355" s="1"/>
    </row>
    <row r="356" spans="2:16" ht="16.600000000000001">
      <c r="B356" s="349" t="s">
        <v>1380</v>
      </c>
      <c r="C356" s="135" t="s">
        <v>515</v>
      </c>
      <c r="D356" s="137"/>
      <c r="E356" s="137"/>
      <c r="F356" s="137"/>
      <c r="G356" s="137"/>
      <c r="H356" s="1"/>
      <c r="I356" s="1"/>
      <c r="J356" s="1"/>
      <c r="K356" s="1"/>
      <c r="L356" s="1"/>
      <c r="M356" s="1"/>
      <c r="N356" s="1"/>
      <c r="O356" s="1"/>
      <c r="P356" s="1"/>
    </row>
    <row r="357" spans="2:16" ht="16.600000000000001">
      <c r="B357" s="349" t="s">
        <v>1381</v>
      </c>
      <c r="C357" s="135" t="s">
        <v>516</v>
      </c>
      <c r="D357" s="136"/>
      <c r="E357" s="137"/>
      <c r="F357" s="137"/>
      <c r="G357" s="137"/>
      <c r="H357" s="1"/>
      <c r="I357" s="1"/>
      <c r="J357" s="1"/>
      <c r="K357" s="1"/>
      <c r="L357" s="1"/>
      <c r="M357" s="1"/>
      <c r="N357" s="1"/>
      <c r="O357" s="1"/>
      <c r="P357" s="1"/>
    </row>
    <row r="358" spans="2:16" ht="16.600000000000001">
      <c r="B358" s="349" t="s">
        <v>1382</v>
      </c>
      <c r="C358" s="135" t="s">
        <v>517</v>
      </c>
      <c r="D358" s="137"/>
      <c r="E358" s="136"/>
      <c r="F358" s="136"/>
      <c r="G358" s="136"/>
      <c r="H358" s="1"/>
      <c r="I358" s="1"/>
      <c r="J358" s="1"/>
      <c r="K358" s="1"/>
      <c r="L358" s="1"/>
      <c r="M358" s="1"/>
      <c r="N358" s="1"/>
      <c r="O358" s="1"/>
      <c r="P358" s="1"/>
    </row>
    <row r="359" spans="2:16" ht="16.600000000000001">
      <c r="B359" s="349" t="s">
        <v>1383</v>
      </c>
      <c r="C359" s="135" t="s">
        <v>518</v>
      </c>
      <c r="D359" s="137"/>
      <c r="E359" s="137"/>
      <c r="F359" s="137"/>
      <c r="G359" s="137"/>
      <c r="H359" s="1"/>
      <c r="I359" s="1"/>
      <c r="J359" s="1"/>
      <c r="K359" s="1"/>
      <c r="L359" s="1"/>
      <c r="M359" s="1"/>
      <c r="N359" s="1"/>
      <c r="O359" s="1"/>
      <c r="P359" s="1"/>
    </row>
    <row r="360" spans="2:16" ht="16.600000000000001">
      <c r="B360" s="349" t="s">
        <v>1384</v>
      </c>
      <c r="C360" s="135" t="s">
        <v>519</v>
      </c>
      <c r="D360" s="137"/>
      <c r="E360" s="137"/>
      <c r="F360" s="137"/>
      <c r="G360" s="137"/>
      <c r="H360" s="1"/>
      <c r="I360" s="1"/>
      <c r="J360" s="1"/>
      <c r="K360" s="1"/>
      <c r="L360" s="1"/>
      <c r="M360" s="1"/>
      <c r="N360" s="1"/>
      <c r="O360" s="1"/>
      <c r="P360" s="1"/>
    </row>
    <row r="361" spans="2:16" ht="16.600000000000001">
      <c r="B361" s="349" t="s">
        <v>1385</v>
      </c>
      <c r="C361" s="135" t="s">
        <v>520</v>
      </c>
      <c r="D361" s="137"/>
      <c r="E361" s="137"/>
      <c r="F361" s="137"/>
      <c r="G361" s="137"/>
      <c r="H361" s="1"/>
      <c r="I361" s="1"/>
      <c r="J361" s="1"/>
      <c r="K361" s="1"/>
      <c r="L361" s="1"/>
      <c r="M361" s="1"/>
      <c r="N361" s="1"/>
      <c r="O361" s="1"/>
      <c r="P361" s="1"/>
    </row>
    <row r="362" spans="2:16" ht="16.600000000000001">
      <c r="B362" s="349" t="s">
        <v>1386</v>
      </c>
      <c r="C362" s="135" t="s">
        <v>521</v>
      </c>
      <c r="D362" s="136"/>
      <c r="E362" s="136"/>
      <c r="F362" s="136"/>
      <c r="G362" s="136"/>
      <c r="H362" s="1"/>
      <c r="I362" s="1"/>
      <c r="J362" s="1"/>
      <c r="K362" s="1"/>
      <c r="L362" s="1"/>
      <c r="M362" s="1"/>
      <c r="N362" s="1"/>
      <c r="O362" s="1"/>
      <c r="P362" s="1"/>
    </row>
    <row r="363" spans="2:16" ht="16.600000000000001">
      <c r="B363" s="349" t="s">
        <v>1387</v>
      </c>
      <c r="C363" s="135" t="s">
        <v>522</v>
      </c>
      <c r="D363" s="137"/>
      <c r="E363" s="137"/>
      <c r="F363" s="137"/>
      <c r="G363" s="137"/>
      <c r="H363" s="1"/>
      <c r="I363" s="1"/>
      <c r="J363" s="1"/>
      <c r="K363" s="1"/>
      <c r="L363" s="1"/>
      <c r="M363" s="1"/>
      <c r="N363" s="1"/>
      <c r="O363" s="1"/>
      <c r="P363" s="1"/>
    </row>
    <row r="364" spans="2:16" ht="16.600000000000001">
      <c r="B364" s="349" t="s">
        <v>1388</v>
      </c>
      <c r="C364" s="135" t="s">
        <v>523</v>
      </c>
      <c r="D364" s="137"/>
      <c r="E364" s="137"/>
      <c r="F364" s="137"/>
      <c r="G364" s="137"/>
      <c r="H364" s="1"/>
      <c r="I364" s="1"/>
      <c r="J364" s="1"/>
      <c r="K364" s="1"/>
      <c r="L364" s="1"/>
      <c r="M364" s="1"/>
      <c r="N364" s="1"/>
      <c r="O364" s="1"/>
      <c r="P364" s="1"/>
    </row>
    <row r="365" spans="2:16" ht="16.600000000000001">
      <c r="B365" s="349" t="s">
        <v>1389</v>
      </c>
      <c r="C365" s="135" t="s">
        <v>524</v>
      </c>
      <c r="D365" s="137"/>
      <c r="E365" s="137"/>
      <c r="F365" s="137"/>
      <c r="G365" s="137"/>
      <c r="H365" s="1"/>
      <c r="I365" s="1"/>
      <c r="J365" s="1"/>
      <c r="K365" s="1"/>
      <c r="L365" s="1"/>
      <c r="M365" s="1"/>
      <c r="N365" s="1"/>
      <c r="O365" s="1"/>
      <c r="P365" s="1"/>
    </row>
    <row r="366" spans="2:16" ht="16.600000000000001">
      <c r="B366" s="349" t="s">
        <v>1390</v>
      </c>
      <c r="C366" s="135" t="s">
        <v>525</v>
      </c>
      <c r="D366" s="136"/>
      <c r="E366" s="136"/>
      <c r="F366" s="136"/>
      <c r="G366" s="136"/>
      <c r="H366" s="1"/>
      <c r="I366" s="1"/>
      <c r="J366" s="1"/>
      <c r="K366" s="1"/>
      <c r="L366" s="1"/>
      <c r="M366" s="1"/>
      <c r="N366" s="1"/>
      <c r="O366" s="1"/>
      <c r="P366" s="1"/>
    </row>
    <row r="367" spans="2:16" ht="16.600000000000001">
      <c r="B367" s="349" t="s">
        <v>1391</v>
      </c>
      <c r="C367" s="135" t="s">
        <v>526</v>
      </c>
      <c r="D367" s="137"/>
      <c r="E367" s="137"/>
      <c r="F367" s="137"/>
      <c r="G367" s="137"/>
      <c r="H367" s="1"/>
      <c r="I367" s="1"/>
      <c r="J367" s="1"/>
      <c r="K367" s="1"/>
      <c r="L367" s="1"/>
      <c r="M367" s="1"/>
      <c r="N367" s="1"/>
      <c r="O367" s="1"/>
      <c r="P367" s="1"/>
    </row>
    <row r="368" spans="2:16" ht="16.600000000000001">
      <c r="B368" s="349" t="s">
        <v>1392</v>
      </c>
      <c r="C368" s="135" t="s">
        <v>527</v>
      </c>
      <c r="D368" s="137"/>
      <c r="E368" s="137"/>
      <c r="F368" s="137"/>
      <c r="G368" s="137"/>
      <c r="H368" s="1"/>
      <c r="I368" s="1"/>
      <c r="J368" s="1"/>
      <c r="K368" s="1"/>
      <c r="L368" s="1"/>
      <c r="M368" s="1"/>
      <c r="N368" s="1"/>
      <c r="O368" s="1"/>
      <c r="P368" s="1"/>
    </row>
    <row r="369" spans="2:16" ht="16.600000000000001">
      <c r="B369" s="349" t="s">
        <v>1393</v>
      </c>
      <c r="C369" s="135" t="s">
        <v>528</v>
      </c>
      <c r="D369" s="137"/>
      <c r="E369" s="137"/>
      <c r="F369" s="137"/>
      <c r="G369" s="137"/>
      <c r="H369" s="1"/>
      <c r="I369" s="1"/>
      <c r="J369" s="1"/>
      <c r="K369" s="1"/>
      <c r="L369" s="1"/>
      <c r="M369" s="1"/>
      <c r="N369" s="1"/>
      <c r="O369" s="1"/>
      <c r="P369" s="1"/>
    </row>
    <row r="370" spans="2:16" ht="16.600000000000001">
      <c r="B370" s="349" t="s">
        <v>1394</v>
      </c>
      <c r="C370" s="135" t="s">
        <v>529</v>
      </c>
      <c r="D370" s="136"/>
      <c r="E370" s="136"/>
      <c r="F370" s="136"/>
      <c r="G370" s="136"/>
      <c r="H370" s="1"/>
      <c r="I370" s="1"/>
      <c r="J370" s="1"/>
      <c r="K370" s="1"/>
      <c r="L370" s="1"/>
      <c r="M370" s="1"/>
      <c r="N370" s="1"/>
      <c r="O370" s="1"/>
      <c r="P370" s="1"/>
    </row>
    <row r="371" spans="2:16" ht="16.600000000000001">
      <c r="B371" s="349" t="s">
        <v>1395</v>
      </c>
      <c r="C371" s="135" t="s">
        <v>530</v>
      </c>
      <c r="D371" s="136"/>
      <c r="E371" s="137"/>
      <c r="F371" s="137"/>
      <c r="G371" s="136"/>
      <c r="H371" s="1"/>
      <c r="I371" s="1"/>
      <c r="J371" s="1"/>
      <c r="K371" s="1"/>
      <c r="L371" s="1"/>
      <c r="M371" s="1"/>
      <c r="N371" s="1"/>
      <c r="O371" s="1"/>
      <c r="P371" s="1"/>
    </row>
    <row r="372" spans="2:16" ht="16.600000000000001">
      <c r="B372" s="349" t="s">
        <v>1396</v>
      </c>
      <c r="C372" s="135" t="s">
        <v>531</v>
      </c>
      <c r="D372" s="136"/>
      <c r="E372" s="136"/>
      <c r="F372" s="136"/>
      <c r="G372" s="136"/>
      <c r="H372" s="1"/>
      <c r="I372" s="1"/>
      <c r="J372" s="1"/>
      <c r="K372" s="1"/>
      <c r="L372" s="1"/>
      <c r="M372" s="1"/>
      <c r="N372" s="1"/>
      <c r="O372" s="1"/>
      <c r="P372" s="1"/>
    </row>
    <row r="373" spans="2:16" ht="16.600000000000001">
      <c r="B373" s="349" t="s">
        <v>1397</v>
      </c>
      <c r="C373" s="135" t="s">
        <v>532</v>
      </c>
      <c r="D373" s="137"/>
      <c r="E373" s="137"/>
      <c r="F373" s="137"/>
      <c r="G373" s="137"/>
      <c r="H373" s="1"/>
      <c r="I373" s="1"/>
      <c r="J373" s="1"/>
      <c r="K373" s="1"/>
      <c r="L373" s="1"/>
      <c r="M373" s="1"/>
      <c r="N373" s="1"/>
      <c r="O373" s="1"/>
      <c r="P373" s="1"/>
    </row>
    <row r="374" spans="2:16" ht="16.600000000000001">
      <c r="B374" s="349" t="s">
        <v>1398</v>
      </c>
      <c r="C374" s="135" t="s">
        <v>533</v>
      </c>
      <c r="D374" s="137"/>
      <c r="E374" s="137"/>
      <c r="F374" s="137"/>
      <c r="G374" s="137"/>
      <c r="H374" s="1"/>
      <c r="I374" s="1"/>
      <c r="J374" s="1"/>
      <c r="K374" s="1"/>
      <c r="L374" s="1"/>
      <c r="M374" s="1"/>
      <c r="N374" s="1"/>
      <c r="O374" s="1"/>
      <c r="P374" s="1"/>
    </row>
    <row r="375" spans="2:16" ht="16.600000000000001">
      <c r="B375" s="349" t="s">
        <v>1399</v>
      </c>
      <c r="C375" s="135" t="s">
        <v>534</v>
      </c>
      <c r="D375" s="137"/>
      <c r="E375" s="136"/>
      <c r="F375" s="137"/>
      <c r="G375" s="137"/>
      <c r="H375" s="1"/>
      <c r="I375" s="1"/>
      <c r="J375" s="1"/>
      <c r="K375" s="1"/>
      <c r="L375" s="1"/>
      <c r="M375" s="1"/>
      <c r="N375" s="1"/>
      <c r="O375" s="1"/>
      <c r="P375" s="1"/>
    </row>
    <row r="376" spans="2:16" ht="16.600000000000001">
      <c r="B376" s="349" t="s">
        <v>1400</v>
      </c>
      <c r="C376" s="135" t="s">
        <v>535</v>
      </c>
      <c r="D376" s="137"/>
      <c r="E376" s="137"/>
      <c r="F376" s="137"/>
      <c r="G376" s="137"/>
      <c r="H376" s="1"/>
      <c r="I376" s="1"/>
      <c r="J376" s="1"/>
      <c r="K376" s="1"/>
      <c r="L376" s="1"/>
      <c r="M376" s="1"/>
      <c r="N376" s="1"/>
      <c r="O376" s="1"/>
      <c r="P376" s="1"/>
    </row>
    <row r="377" spans="2:16" ht="16.600000000000001">
      <c r="B377" s="349" t="s">
        <v>1401</v>
      </c>
      <c r="C377" s="135" t="s">
        <v>536</v>
      </c>
      <c r="D377" s="137"/>
      <c r="E377" s="137"/>
      <c r="F377" s="137"/>
      <c r="G377" s="137"/>
      <c r="H377" s="1"/>
      <c r="I377" s="1"/>
      <c r="J377" s="1"/>
      <c r="K377" s="1"/>
      <c r="L377" s="1"/>
      <c r="M377" s="1"/>
      <c r="N377" s="1"/>
      <c r="O377" s="1"/>
      <c r="P377" s="1"/>
    </row>
    <row r="378" spans="2:16" ht="16.600000000000001">
      <c r="B378" s="349" t="s">
        <v>1402</v>
      </c>
      <c r="C378" s="135" t="s">
        <v>537</v>
      </c>
      <c r="D378" s="136"/>
      <c r="E378" s="136"/>
      <c r="F378" s="136"/>
      <c r="G378" s="136"/>
      <c r="H378" s="1"/>
      <c r="I378" s="1"/>
      <c r="J378" s="1"/>
      <c r="K378" s="1"/>
      <c r="L378" s="1"/>
      <c r="M378" s="1"/>
      <c r="N378" s="1"/>
      <c r="O378" s="1"/>
      <c r="P378" s="1"/>
    </row>
    <row r="379" spans="2:16" ht="16.600000000000001">
      <c r="B379" s="349" t="s">
        <v>1403</v>
      </c>
      <c r="C379" s="135" t="s">
        <v>538</v>
      </c>
      <c r="D379" s="137"/>
      <c r="E379" s="137"/>
      <c r="F379" s="137"/>
      <c r="G379" s="137"/>
      <c r="H379" s="1"/>
      <c r="I379" s="1"/>
      <c r="J379" s="1"/>
      <c r="K379" s="1"/>
      <c r="L379" s="1"/>
      <c r="M379" s="1"/>
      <c r="N379" s="1"/>
      <c r="O379" s="1"/>
      <c r="P379" s="1"/>
    </row>
    <row r="380" spans="2:16" ht="16.600000000000001">
      <c r="B380" s="349" t="s">
        <v>1404</v>
      </c>
      <c r="C380" s="135" t="s">
        <v>539</v>
      </c>
      <c r="D380" s="137"/>
      <c r="E380" s="137"/>
      <c r="F380" s="137"/>
      <c r="G380" s="137"/>
      <c r="H380" s="1"/>
      <c r="I380" s="1"/>
      <c r="J380" s="1"/>
      <c r="K380" s="1"/>
      <c r="L380" s="1"/>
      <c r="M380" s="1"/>
      <c r="N380" s="1"/>
      <c r="O380" s="1"/>
      <c r="P380" s="1"/>
    </row>
    <row r="381" spans="2:16" ht="16.600000000000001">
      <c r="B381" s="349" t="s">
        <v>1405</v>
      </c>
      <c r="C381" s="135" t="s">
        <v>540</v>
      </c>
      <c r="D381" s="136"/>
      <c r="E381" s="136"/>
      <c r="F381" s="136"/>
      <c r="G381" s="137"/>
      <c r="H381" s="1"/>
      <c r="I381" s="1"/>
      <c r="J381" s="1"/>
      <c r="K381" s="1"/>
      <c r="L381" s="1"/>
      <c r="M381" s="1"/>
      <c r="N381" s="1"/>
      <c r="O381" s="1"/>
      <c r="P381" s="1"/>
    </row>
    <row r="382" spans="2:16" ht="16.600000000000001">
      <c r="B382" s="349" t="s">
        <v>1406</v>
      </c>
      <c r="C382" s="135" t="s">
        <v>541</v>
      </c>
      <c r="D382" s="137"/>
      <c r="E382" s="137"/>
      <c r="F382" s="136"/>
      <c r="G382" s="137"/>
      <c r="H382" s="1"/>
      <c r="I382" s="1"/>
      <c r="J382" s="1"/>
      <c r="K382" s="1"/>
      <c r="L382" s="1"/>
      <c r="M382" s="1"/>
      <c r="N382" s="1"/>
      <c r="O382" s="1"/>
      <c r="P382" s="1"/>
    </row>
    <row r="383" spans="2:16" ht="16.600000000000001">
      <c r="B383" s="349" t="s">
        <v>1407</v>
      </c>
      <c r="C383" s="135" t="s">
        <v>542</v>
      </c>
      <c r="D383" s="137"/>
      <c r="E383" s="137"/>
      <c r="F383" s="137"/>
      <c r="G383" s="137"/>
      <c r="H383" s="1"/>
      <c r="I383" s="1"/>
      <c r="J383" s="1"/>
      <c r="K383" s="1"/>
      <c r="L383" s="1"/>
      <c r="M383" s="1"/>
      <c r="N383" s="1"/>
      <c r="O383" s="1"/>
      <c r="P383" s="1"/>
    </row>
    <row r="384" spans="2:16" ht="16.600000000000001">
      <c r="B384" s="349" t="s">
        <v>1408</v>
      </c>
      <c r="C384" s="135" t="s">
        <v>543</v>
      </c>
      <c r="D384" s="137"/>
      <c r="E384" s="137"/>
      <c r="F384" s="137"/>
      <c r="G384" s="137"/>
      <c r="H384" s="1"/>
      <c r="I384" s="1"/>
      <c r="J384" s="1"/>
      <c r="K384" s="1"/>
      <c r="L384" s="1"/>
      <c r="M384" s="1"/>
      <c r="N384" s="1"/>
      <c r="O384" s="1"/>
      <c r="P384" s="1"/>
    </row>
    <row r="385" spans="2:16" ht="16.600000000000001">
      <c r="B385" s="349" t="s">
        <v>1409</v>
      </c>
      <c r="C385" s="135" t="s">
        <v>544</v>
      </c>
      <c r="D385" s="136"/>
      <c r="E385" s="136"/>
      <c r="F385" s="136"/>
      <c r="G385" s="136"/>
      <c r="H385" s="1"/>
      <c r="I385" s="1"/>
      <c r="J385" s="1"/>
      <c r="K385" s="1"/>
      <c r="L385" s="1"/>
      <c r="M385" s="1"/>
      <c r="N385" s="1"/>
      <c r="O385" s="1"/>
      <c r="P385" s="1"/>
    </row>
    <row r="386" spans="2:16" ht="16.600000000000001">
      <c r="B386" s="349" t="s">
        <v>1410</v>
      </c>
      <c r="C386" s="135" t="s">
        <v>545</v>
      </c>
      <c r="D386" s="137"/>
      <c r="E386" s="137"/>
      <c r="F386" s="137"/>
      <c r="G386" s="137"/>
      <c r="H386" s="1"/>
      <c r="I386" s="1"/>
      <c r="J386" s="1"/>
      <c r="K386" s="1"/>
      <c r="L386" s="1"/>
      <c r="M386" s="1"/>
      <c r="N386" s="1"/>
      <c r="O386" s="1"/>
      <c r="P386" s="1"/>
    </row>
    <row r="387" spans="2:16" ht="16.600000000000001">
      <c r="B387" s="349" t="s">
        <v>1411</v>
      </c>
      <c r="C387" s="135" t="s">
        <v>546</v>
      </c>
      <c r="D387" s="137"/>
      <c r="E387" s="137"/>
      <c r="F387" s="137"/>
      <c r="G387" s="137"/>
      <c r="H387" s="1"/>
      <c r="I387" s="1"/>
      <c r="J387" s="1"/>
      <c r="K387" s="1"/>
      <c r="L387" s="1"/>
      <c r="M387" s="1"/>
      <c r="N387" s="1"/>
      <c r="O387" s="1"/>
      <c r="P387" s="1"/>
    </row>
    <row r="388" spans="2:16" ht="16.600000000000001">
      <c r="B388" s="349" t="s">
        <v>1412</v>
      </c>
      <c r="C388" s="135" t="s">
        <v>547</v>
      </c>
      <c r="D388" s="137"/>
      <c r="E388" s="137"/>
      <c r="F388" s="137"/>
      <c r="G388" s="137"/>
      <c r="H388" s="1"/>
      <c r="I388" s="1"/>
      <c r="J388" s="1"/>
      <c r="K388" s="1"/>
      <c r="L388" s="1"/>
      <c r="M388" s="1"/>
      <c r="N388" s="1"/>
      <c r="O388" s="1"/>
      <c r="P388" s="1"/>
    </row>
    <row r="389" spans="2:16" ht="16.600000000000001">
      <c r="B389" s="349" t="s">
        <v>1413</v>
      </c>
      <c r="C389" s="135" t="s">
        <v>548</v>
      </c>
      <c r="D389" s="136"/>
      <c r="E389" s="136"/>
      <c r="F389" s="136"/>
      <c r="G389" s="136"/>
      <c r="H389" s="1"/>
      <c r="I389" s="1"/>
      <c r="J389" s="1"/>
      <c r="K389" s="1"/>
      <c r="L389" s="1"/>
      <c r="M389" s="1"/>
      <c r="N389" s="1"/>
      <c r="O389" s="1"/>
      <c r="P389" s="1"/>
    </row>
    <row r="390" spans="2:16" ht="16.600000000000001">
      <c r="B390" s="349" t="s">
        <v>1414</v>
      </c>
      <c r="C390" s="135" t="s">
        <v>549</v>
      </c>
      <c r="D390" s="137"/>
      <c r="E390" s="137"/>
      <c r="F390" s="136"/>
      <c r="G390" s="136"/>
      <c r="H390" s="1"/>
      <c r="I390" s="1"/>
      <c r="J390" s="1"/>
      <c r="K390" s="1"/>
      <c r="L390" s="1"/>
      <c r="M390" s="1"/>
      <c r="N390" s="1"/>
      <c r="O390" s="1"/>
      <c r="P390" s="1"/>
    </row>
    <row r="391" spans="2:16" ht="16.600000000000001">
      <c r="B391" s="349" t="s">
        <v>1415</v>
      </c>
      <c r="C391" s="135" t="s">
        <v>550</v>
      </c>
      <c r="D391" s="137"/>
      <c r="E391" s="136"/>
      <c r="F391" s="137"/>
      <c r="G391" s="137"/>
      <c r="H391" s="1"/>
      <c r="I391" s="1"/>
      <c r="J391" s="1"/>
      <c r="K391" s="1"/>
      <c r="L391" s="1"/>
      <c r="M391" s="1"/>
      <c r="N391" s="1"/>
      <c r="O391" s="1"/>
      <c r="P391" s="1"/>
    </row>
    <row r="392" spans="2:16" ht="16.600000000000001">
      <c r="B392" s="349" t="s">
        <v>1416</v>
      </c>
      <c r="C392" s="135" t="s">
        <v>551</v>
      </c>
      <c r="D392" s="137"/>
      <c r="E392" s="137"/>
      <c r="F392" s="137"/>
      <c r="G392" s="137"/>
      <c r="H392" s="1"/>
      <c r="I392" s="1"/>
      <c r="J392" s="1"/>
      <c r="K392" s="1"/>
      <c r="L392" s="1"/>
      <c r="M392" s="1"/>
      <c r="N392" s="1"/>
      <c r="O392" s="1"/>
      <c r="P392" s="1"/>
    </row>
    <row r="393" spans="2:16" ht="16.600000000000001">
      <c r="B393" s="349" t="s">
        <v>1417</v>
      </c>
      <c r="C393" s="135" t="s">
        <v>552</v>
      </c>
      <c r="D393" s="137"/>
      <c r="E393" s="137"/>
      <c r="F393" s="137"/>
      <c r="G393" s="137"/>
      <c r="H393" s="1"/>
      <c r="I393" s="1"/>
      <c r="J393" s="1"/>
      <c r="K393" s="1"/>
      <c r="L393" s="1"/>
      <c r="M393" s="1"/>
      <c r="N393" s="1"/>
      <c r="O393" s="1"/>
      <c r="P393" s="1"/>
    </row>
    <row r="394" spans="2:16" ht="16.600000000000001">
      <c r="B394" s="349" t="s">
        <v>1418</v>
      </c>
      <c r="C394" s="135" t="s">
        <v>553</v>
      </c>
      <c r="D394" s="136"/>
      <c r="E394" s="136"/>
      <c r="F394" s="136"/>
      <c r="G394" s="136"/>
      <c r="H394" s="1"/>
      <c r="I394" s="1"/>
      <c r="J394" s="1"/>
      <c r="K394" s="1"/>
      <c r="L394" s="1"/>
      <c r="M394" s="1"/>
      <c r="N394" s="1"/>
      <c r="O394" s="1"/>
      <c r="P394" s="1"/>
    </row>
    <row r="395" spans="2:16" ht="16.600000000000001">
      <c r="B395" s="349" t="s">
        <v>1419</v>
      </c>
      <c r="C395" s="135" t="s">
        <v>554</v>
      </c>
      <c r="D395" s="136"/>
      <c r="E395" s="136"/>
      <c r="F395" s="136"/>
      <c r="G395" s="136"/>
      <c r="H395" s="1"/>
      <c r="I395" s="1"/>
      <c r="J395" s="1"/>
      <c r="K395" s="1"/>
      <c r="L395" s="1"/>
      <c r="M395" s="1"/>
      <c r="N395" s="1"/>
      <c r="O395" s="1"/>
      <c r="P395" s="1"/>
    </row>
    <row r="396" spans="2:16" ht="16.600000000000001">
      <c r="B396" s="349" t="s">
        <v>1420</v>
      </c>
      <c r="C396" s="135" t="s">
        <v>555</v>
      </c>
      <c r="D396" s="137"/>
      <c r="E396" s="136"/>
      <c r="F396" s="136"/>
      <c r="G396" s="137"/>
      <c r="H396" s="1"/>
      <c r="I396" s="1"/>
      <c r="J396" s="1"/>
      <c r="K396" s="1"/>
      <c r="L396" s="1"/>
      <c r="M396" s="1"/>
      <c r="N396" s="1"/>
      <c r="O396" s="1"/>
      <c r="P396" s="1"/>
    </row>
    <row r="397" spans="2:16" ht="16.600000000000001">
      <c r="B397" s="349" t="s">
        <v>1421</v>
      </c>
      <c r="C397" s="135" t="s">
        <v>556</v>
      </c>
      <c r="D397" s="137"/>
      <c r="E397" s="137"/>
      <c r="F397" s="136"/>
      <c r="G397" s="136"/>
      <c r="H397" s="1"/>
      <c r="I397" s="1"/>
      <c r="J397" s="1"/>
      <c r="K397" s="1"/>
      <c r="L397" s="1"/>
      <c r="M397" s="1"/>
      <c r="N397" s="1"/>
      <c r="O397" s="1"/>
      <c r="P397" s="1"/>
    </row>
    <row r="398" spans="2:16" ht="16.600000000000001">
      <c r="B398" s="349" t="s">
        <v>1422</v>
      </c>
      <c r="C398" s="135" t="s">
        <v>557</v>
      </c>
      <c r="D398" s="137"/>
      <c r="E398" s="137"/>
      <c r="F398" s="137"/>
      <c r="G398" s="137"/>
      <c r="H398" s="1"/>
      <c r="I398" s="1"/>
      <c r="J398" s="1"/>
      <c r="K398" s="1"/>
      <c r="L398" s="1"/>
      <c r="M398" s="1"/>
      <c r="N398" s="1"/>
      <c r="O398" s="1"/>
      <c r="P398" s="1"/>
    </row>
    <row r="399" spans="2:16" ht="16.600000000000001">
      <c r="B399" s="349" t="s">
        <v>1423</v>
      </c>
      <c r="C399" s="135" t="s">
        <v>558</v>
      </c>
      <c r="D399" s="137"/>
      <c r="E399" s="137"/>
      <c r="F399" s="137"/>
      <c r="G399" s="137"/>
      <c r="H399" s="1"/>
      <c r="I399" s="1"/>
      <c r="J399" s="1"/>
      <c r="K399" s="1"/>
      <c r="L399" s="1"/>
      <c r="M399" s="1"/>
      <c r="N399" s="1"/>
      <c r="O399" s="1"/>
      <c r="P399" s="1"/>
    </row>
    <row r="400" spans="2:16" ht="16.600000000000001">
      <c r="B400" s="349" t="s">
        <v>1424</v>
      </c>
      <c r="C400" s="135" t="s">
        <v>559</v>
      </c>
      <c r="D400" s="136"/>
      <c r="E400" s="136"/>
      <c r="F400" s="136"/>
      <c r="G400" s="136"/>
      <c r="H400" s="1"/>
      <c r="I400" s="1"/>
      <c r="J400" s="1"/>
      <c r="K400" s="1"/>
      <c r="L400" s="1"/>
      <c r="M400" s="1"/>
      <c r="N400" s="1"/>
      <c r="O400" s="1"/>
      <c r="P400" s="1"/>
    </row>
    <row r="401" spans="2:16" ht="16.600000000000001">
      <c r="B401" s="349" t="s">
        <v>1425</v>
      </c>
      <c r="C401" s="135" t="s">
        <v>560</v>
      </c>
      <c r="D401" s="136"/>
      <c r="E401" s="136"/>
      <c r="F401" s="136"/>
      <c r="G401" s="136"/>
      <c r="H401" s="1"/>
      <c r="I401" s="1"/>
      <c r="J401" s="1"/>
      <c r="K401" s="1"/>
      <c r="L401" s="1"/>
      <c r="M401" s="1"/>
      <c r="N401" s="1"/>
      <c r="O401" s="1"/>
      <c r="P401" s="1"/>
    </row>
    <row r="402" spans="2:16" ht="16.600000000000001">
      <c r="B402" s="349" t="s">
        <v>1426</v>
      </c>
      <c r="C402" s="135" t="s">
        <v>561</v>
      </c>
      <c r="D402" s="136"/>
      <c r="E402" s="136"/>
      <c r="F402" s="136"/>
      <c r="G402" s="136"/>
      <c r="H402" s="1"/>
      <c r="I402" s="1"/>
      <c r="J402" s="1"/>
      <c r="K402" s="1"/>
      <c r="L402" s="1"/>
      <c r="M402" s="1"/>
      <c r="N402" s="1"/>
      <c r="O402" s="1"/>
      <c r="P402" s="1"/>
    </row>
    <row r="403" spans="2:16" ht="16.600000000000001">
      <c r="B403" s="349" t="s">
        <v>1427</v>
      </c>
      <c r="C403" s="135" t="s">
        <v>562</v>
      </c>
      <c r="D403" s="137"/>
      <c r="E403" s="137"/>
      <c r="F403" s="137"/>
      <c r="G403" s="137"/>
      <c r="H403" s="1"/>
      <c r="I403" s="1"/>
      <c r="J403" s="1"/>
      <c r="K403" s="1"/>
      <c r="L403" s="1"/>
      <c r="M403" s="1"/>
      <c r="N403" s="1"/>
      <c r="O403" s="1"/>
      <c r="P403" s="1"/>
    </row>
    <row r="404" spans="2:16" ht="16.600000000000001">
      <c r="B404" s="349" t="s">
        <v>1428</v>
      </c>
      <c r="C404" s="135" t="s">
        <v>563</v>
      </c>
      <c r="D404" s="136"/>
      <c r="E404" s="136"/>
      <c r="F404" s="136"/>
      <c r="G404" s="136"/>
      <c r="H404" s="1"/>
      <c r="I404" s="1"/>
      <c r="J404" s="1"/>
      <c r="K404" s="1"/>
      <c r="L404" s="1"/>
      <c r="M404" s="1"/>
      <c r="N404" s="1"/>
      <c r="O404" s="1"/>
      <c r="P404" s="1"/>
    </row>
    <row r="405" spans="2:16" ht="16.600000000000001">
      <c r="B405" s="349" t="s">
        <v>1429</v>
      </c>
      <c r="C405" s="135" t="s">
        <v>564</v>
      </c>
      <c r="D405" s="136"/>
      <c r="E405" s="137"/>
      <c r="F405" s="136"/>
      <c r="G405" s="136"/>
      <c r="H405" s="1"/>
      <c r="I405" s="1"/>
      <c r="J405" s="1"/>
      <c r="K405" s="1"/>
      <c r="L405" s="1"/>
      <c r="M405" s="1"/>
      <c r="N405" s="1"/>
      <c r="O405" s="1"/>
      <c r="P405" s="1"/>
    </row>
    <row r="406" spans="2:16" ht="16.600000000000001">
      <c r="B406" s="349" t="s">
        <v>1430</v>
      </c>
      <c r="C406" s="135" t="s">
        <v>565</v>
      </c>
      <c r="D406" s="136"/>
      <c r="E406" s="136"/>
      <c r="F406" s="136"/>
      <c r="G406" s="136"/>
      <c r="H406" s="1"/>
      <c r="I406" s="1"/>
      <c r="J406" s="1"/>
      <c r="K406" s="1"/>
      <c r="L406" s="1"/>
      <c r="M406" s="1"/>
      <c r="N406" s="1"/>
      <c r="O406" s="1"/>
      <c r="P406" s="1"/>
    </row>
    <row r="407" spans="2:16" ht="16.600000000000001">
      <c r="B407" s="349" t="s">
        <v>1431</v>
      </c>
      <c r="C407" s="135" t="s">
        <v>566</v>
      </c>
      <c r="D407" s="137"/>
      <c r="E407" s="137"/>
      <c r="F407" s="137"/>
      <c r="G407" s="137"/>
      <c r="H407" s="1"/>
      <c r="I407" s="1"/>
      <c r="J407" s="1"/>
      <c r="K407" s="1"/>
      <c r="L407" s="1"/>
      <c r="M407" s="1"/>
      <c r="N407" s="1"/>
      <c r="O407" s="1"/>
      <c r="P407" s="1"/>
    </row>
    <row r="408" spans="2:16" ht="16.600000000000001">
      <c r="B408" s="349" t="s">
        <v>1432</v>
      </c>
      <c r="C408" s="135" t="s">
        <v>567</v>
      </c>
      <c r="D408" s="136"/>
      <c r="E408" s="136"/>
      <c r="F408" s="136"/>
      <c r="G408" s="136"/>
      <c r="H408" s="1"/>
      <c r="I408" s="1"/>
      <c r="J408" s="1"/>
      <c r="K408" s="1"/>
      <c r="L408" s="1"/>
      <c r="M408" s="1"/>
      <c r="N408" s="1"/>
      <c r="O408" s="1"/>
      <c r="P408" s="1"/>
    </row>
    <row r="409" spans="2:16" ht="16.600000000000001">
      <c r="B409" s="349" t="s">
        <v>1433</v>
      </c>
      <c r="C409" s="135" t="s">
        <v>568</v>
      </c>
      <c r="D409" s="137"/>
      <c r="E409" s="137"/>
      <c r="F409" s="137"/>
      <c r="G409" s="137"/>
      <c r="H409" s="1"/>
      <c r="I409" s="1"/>
      <c r="J409" s="1"/>
      <c r="K409" s="1"/>
      <c r="L409" s="1"/>
      <c r="M409" s="1"/>
      <c r="N409" s="1"/>
      <c r="O409" s="1"/>
      <c r="P409" s="1"/>
    </row>
    <row r="410" spans="2:16" ht="16.600000000000001">
      <c r="B410" s="349" t="s">
        <v>1434</v>
      </c>
      <c r="C410" s="135" t="s">
        <v>569</v>
      </c>
      <c r="D410" s="137"/>
      <c r="E410" s="137"/>
      <c r="F410" s="137"/>
      <c r="G410" s="137"/>
      <c r="H410" s="1"/>
      <c r="I410" s="1"/>
      <c r="J410" s="1"/>
      <c r="K410" s="1"/>
      <c r="L410" s="1"/>
      <c r="M410" s="1"/>
      <c r="N410" s="1"/>
      <c r="O410" s="1"/>
      <c r="P410" s="1"/>
    </row>
    <row r="411" spans="2:16" ht="16.600000000000001">
      <c r="B411" s="349" t="s">
        <v>1435</v>
      </c>
      <c r="C411" s="135" t="s">
        <v>570</v>
      </c>
      <c r="D411" s="137"/>
      <c r="E411" s="137"/>
      <c r="F411" s="137"/>
      <c r="G411" s="137"/>
      <c r="H411" s="1"/>
      <c r="I411" s="1"/>
      <c r="J411" s="1"/>
      <c r="K411" s="1"/>
      <c r="L411" s="1"/>
      <c r="M411" s="1"/>
      <c r="N411" s="1"/>
      <c r="O411" s="1"/>
      <c r="P411" s="1"/>
    </row>
    <row r="412" spans="2:16" ht="16.600000000000001">
      <c r="B412" s="349" t="s">
        <v>1436</v>
      </c>
      <c r="C412" s="135" t="s">
        <v>571</v>
      </c>
      <c r="D412" s="137"/>
      <c r="E412" s="137"/>
      <c r="F412" s="137"/>
      <c r="G412" s="137"/>
      <c r="H412" s="1"/>
      <c r="I412" s="1"/>
      <c r="J412" s="1"/>
      <c r="K412" s="1"/>
      <c r="L412" s="1"/>
      <c r="M412" s="1"/>
      <c r="N412" s="1"/>
      <c r="O412" s="1"/>
      <c r="P412" s="1"/>
    </row>
    <row r="413" spans="2:16" ht="16.600000000000001">
      <c r="B413" s="349" t="s">
        <v>1437</v>
      </c>
      <c r="C413" s="135" t="s">
        <v>572</v>
      </c>
      <c r="D413" s="137"/>
      <c r="E413" s="137"/>
      <c r="F413" s="137"/>
      <c r="G413" s="137"/>
      <c r="H413" s="1"/>
      <c r="I413" s="1"/>
      <c r="J413" s="1"/>
      <c r="K413" s="1"/>
      <c r="L413" s="1"/>
      <c r="M413" s="1"/>
      <c r="N413" s="1"/>
      <c r="O413" s="1"/>
      <c r="P413" s="1"/>
    </row>
    <row r="414" spans="2:16" ht="16.600000000000001">
      <c r="B414" s="349" t="s">
        <v>1438</v>
      </c>
      <c r="C414" s="135" t="s">
        <v>573</v>
      </c>
      <c r="D414" s="137"/>
      <c r="E414" s="137"/>
      <c r="F414" s="137"/>
      <c r="G414" s="137"/>
      <c r="H414" s="1"/>
      <c r="I414" s="1"/>
      <c r="J414" s="1"/>
      <c r="K414" s="1"/>
      <c r="L414" s="1"/>
      <c r="M414" s="1"/>
      <c r="N414" s="1"/>
      <c r="O414" s="1"/>
      <c r="P414" s="1"/>
    </row>
    <row r="415" spans="2:16" ht="16.600000000000001">
      <c r="B415" s="349" t="s">
        <v>1439</v>
      </c>
      <c r="C415" s="135" t="s">
        <v>574</v>
      </c>
      <c r="D415" s="137"/>
      <c r="E415" s="137"/>
      <c r="F415" s="137"/>
      <c r="G415" s="137"/>
      <c r="H415" s="1"/>
      <c r="I415" s="1"/>
      <c r="J415" s="1"/>
      <c r="K415" s="1"/>
      <c r="L415" s="1"/>
      <c r="M415" s="1"/>
      <c r="N415" s="1"/>
      <c r="O415" s="1"/>
      <c r="P415" s="1"/>
    </row>
    <row r="416" spans="2:16" ht="17.3" thickBot="1">
      <c r="B416" s="350" t="s">
        <v>1440</v>
      </c>
      <c r="C416" s="138" t="s">
        <v>575</v>
      </c>
      <c r="D416" s="139"/>
      <c r="E416" s="139"/>
      <c r="F416" s="140"/>
      <c r="G416" s="140"/>
      <c r="H416" s="1"/>
      <c r="I416" s="1"/>
      <c r="J416" s="1"/>
      <c r="K416" s="1"/>
      <c r="L416" s="1"/>
      <c r="M416" s="1"/>
      <c r="N416" s="1"/>
      <c r="O416" s="1"/>
      <c r="P416" s="1"/>
    </row>
  </sheetData>
  <autoFilter ref="A82:G416"/>
  <phoneticPr fontId="2" type="noConversion"/>
  <conditionalFormatting sqref="D6:T7">
    <cfRule type="cellIs" dxfId="4" priority="1" operator="equal">
      <formula>TRUE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6" r:id="rId3" name="Drop Down 4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356616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tabColor theme="6"/>
  </sheetPr>
  <dimension ref="A1:AJ416"/>
  <sheetViews>
    <sheetView topLeftCell="A118" workbookViewId="0">
      <selection activeCell="H127" sqref="H127"/>
    </sheetView>
  </sheetViews>
  <sheetFormatPr defaultColWidth="9.140625" defaultRowHeight="14.4" outlineLevelCol="1"/>
  <cols>
    <col min="1" max="1" width="12" style="1" customWidth="1"/>
    <col min="2" max="2" width="53.5703125" style="1" hidden="1" customWidth="1" outlineLevel="1"/>
    <col min="3" max="3" width="77.140625" style="1" customWidth="1" collapsed="1"/>
    <col min="4" max="4" width="16.5703125" style="1" customWidth="1"/>
    <col min="5" max="6" width="14.7109375" style="125" customWidth="1"/>
    <col min="7" max="7" width="13.28515625" style="125" customWidth="1"/>
    <col min="8" max="8" width="12" style="52" bestFit="1" customWidth="1"/>
    <col min="9" max="9" width="11.5703125" style="52" customWidth="1"/>
    <col min="10" max="10" width="11.5703125" style="52" bestFit="1" customWidth="1"/>
    <col min="11" max="16" width="9.140625" style="52"/>
    <col min="17" max="16384" width="9.140625" style="1"/>
  </cols>
  <sheetData>
    <row r="1" spans="1:36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Panel'!B11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1:36" s="209" customFormat="1" ht="14.6" customHeight="1">
      <c r="C2" s="209" t="s">
        <v>871</v>
      </c>
      <c r="D2" s="209">
        <f>'Financial summary'!E5</f>
        <v>1</v>
      </c>
      <c r="E2" s="209">
        <f>INDEX(D18:D21,D2)</f>
        <v>0</v>
      </c>
      <c r="I2" s="209" t="s">
        <v>693</v>
      </c>
      <c r="J2" s="209">
        <f>'Control Panel'!B5</f>
        <v>5</v>
      </c>
    </row>
    <row r="3" spans="1:36">
      <c r="B3" s="28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36">
      <c r="B4" s="28"/>
      <c r="C4" s="180" t="s">
        <v>692</v>
      </c>
      <c r="D4" s="180">
        <v>1</v>
      </c>
      <c r="E4" s="180">
        <f>D4+1</f>
        <v>2</v>
      </c>
      <c r="F4" s="180">
        <f t="shared" ref="F4:T4" si="0">E4+1</f>
        <v>3</v>
      </c>
      <c r="G4" s="180">
        <f t="shared" si="0"/>
        <v>4</v>
      </c>
      <c r="H4" s="180">
        <f t="shared" si="0"/>
        <v>5</v>
      </c>
      <c r="I4" s="180">
        <f t="shared" si="0"/>
        <v>6</v>
      </c>
      <c r="J4" s="180">
        <f t="shared" si="0"/>
        <v>7</v>
      </c>
      <c r="K4" s="180">
        <f t="shared" si="0"/>
        <v>8</v>
      </c>
      <c r="L4" s="180">
        <f t="shared" si="0"/>
        <v>9</v>
      </c>
      <c r="M4" s="180">
        <f t="shared" si="0"/>
        <v>10</v>
      </c>
      <c r="N4" s="180">
        <f t="shared" si="0"/>
        <v>11</v>
      </c>
      <c r="O4" s="180">
        <f t="shared" si="0"/>
        <v>12</v>
      </c>
      <c r="P4" s="180">
        <f t="shared" si="0"/>
        <v>13</v>
      </c>
      <c r="Q4" s="180">
        <f t="shared" si="0"/>
        <v>14</v>
      </c>
      <c r="R4" s="180">
        <f t="shared" si="0"/>
        <v>15</v>
      </c>
      <c r="S4" s="180">
        <f t="shared" si="0"/>
        <v>16</v>
      </c>
      <c r="T4" s="180">
        <f t="shared" si="0"/>
        <v>17</v>
      </c>
    </row>
    <row r="5" spans="1:36" s="34" customFormat="1" ht="14.6" customHeight="1">
      <c r="B5" s="28"/>
      <c r="C5" s="307" t="s">
        <v>719</v>
      </c>
      <c r="D5" s="307">
        <f>DATE('Control Panel'!B4,'Control Panel'!B6,'Control Panel'!B7)</f>
        <v>42004</v>
      </c>
      <c r="E5" s="307">
        <f>E6*EOMONTH(D5,12)+E7*$J$1</f>
        <v>42369</v>
      </c>
      <c r="F5" s="307">
        <f t="shared" ref="F5:T5" si="1">F6*EOMONTH(E5,12)+F7*$J$1</f>
        <v>42735</v>
      </c>
      <c r="G5" s="307">
        <f t="shared" si="1"/>
        <v>43100</v>
      </c>
      <c r="H5" s="307">
        <f t="shared" si="1"/>
        <v>43465</v>
      </c>
      <c r="I5" s="307">
        <f>I6*EOMONTH(H5,12)+I7*$J$1</f>
        <v>0</v>
      </c>
      <c r="J5" s="307">
        <f t="shared" si="1"/>
        <v>0</v>
      </c>
      <c r="K5" s="307">
        <f t="shared" si="1"/>
        <v>0</v>
      </c>
      <c r="L5" s="307">
        <f t="shared" si="1"/>
        <v>0</v>
      </c>
      <c r="M5" s="307">
        <f t="shared" si="1"/>
        <v>0</v>
      </c>
      <c r="N5" s="307">
        <f t="shared" si="1"/>
        <v>0</v>
      </c>
      <c r="O5" s="307">
        <f t="shared" si="1"/>
        <v>0</v>
      </c>
      <c r="P5" s="307">
        <f t="shared" si="1"/>
        <v>0</v>
      </c>
      <c r="Q5" s="307">
        <f t="shared" si="1"/>
        <v>0</v>
      </c>
      <c r="R5" s="307">
        <f t="shared" si="1"/>
        <v>0</v>
      </c>
      <c r="S5" s="307">
        <f t="shared" si="1"/>
        <v>0</v>
      </c>
      <c r="T5" s="307">
        <f t="shared" si="1"/>
        <v>0</v>
      </c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</row>
    <row r="6" spans="1:36">
      <c r="B6" s="28"/>
      <c r="C6" s="28" t="s">
        <v>686</v>
      </c>
      <c r="D6" s="28" t="b">
        <f>D4&lt;=$J$2</f>
        <v>1</v>
      </c>
      <c r="E6" s="28" t="b">
        <f t="shared" ref="E6" si="2">E4&lt;=$J$2</f>
        <v>1</v>
      </c>
      <c r="F6" s="28" t="b">
        <f t="shared" ref="F6:T6" si="3">F4&lt;=$J$2</f>
        <v>1</v>
      </c>
      <c r="G6" s="28" t="b">
        <f t="shared" si="3"/>
        <v>1</v>
      </c>
      <c r="H6" s="28" t="b">
        <f t="shared" si="3"/>
        <v>1</v>
      </c>
      <c r="I6" s="28" t="b">
        <f t="shared" si="3"/>
        <v>0</v>
      </c>
      <c r="J6" s="28" t="b">
        <f t="shared" si="3"/>
        <v>0</v>
      </c>
      <c r="K6" s="28" t="b">
        <f t="shared" si="3"/>
        <v>0</v>
      </c>
      <c r="L6" s="28" t="b">
        <f t="shared" si="3"/>
        <v>0</v>
      </c>
      <c r="M6" s="28" t="b">
        <f t="shared" si="3"/>
        <v>0</v>
      </c>
      <c r="N6" s="28" t="b">
        <f t="shared" si="3"/>
        <v>0</v>
      </c>
      <c r="O6" s="28" t="b">
        <f t="shared" si="3"/>
        <v>0</v>
      </c>
      <c r="P6" s="28" t="b">
        <f t="shared" si="3"/>
        <v>0</v>
      </c>
      <c r="Q6" s="28" t="b">
        <f t="shared" si="3"/>
        <v>0</v>
      </c>
      <c r="R6" s="28" t="b">
        <f t="shared" si="3"/>
        <v>0</v>
      </c>
      <c r="S6" s="28" t="b">
        <f t="shared" si="3"/>
        <v>0</v>
      </c>
      <c r="T6" s="28" t="b">
        <f t="shared" si="3"/>
        <v>0</v>
      </c>
    </row>
    <row r="7" spans="1:36">
      <c r="B7" s="28"/>
      <c r="C7" s="28" t="s">
        <v>687</v>
      </c>
      <c r="D7" s="28" t="b">
        <f>(D4=$J$2+1)*stub_switch=1</f>
        <v>0</v>
      </c>
      <c r="E7" s="28" t="b">
        <f t="shared" ref="E7" si="4">(E4=$J$2+1)*stub_switch=1</f>
        <v>0</v>
      </c>
      <c r="F7" s="28" t="b">
        <f t="shared" ref="F7:T7" si="5">(F4=$J$2+1)*stub_switch=1</f>
        <v>0</v>
      </c>
      <c r="G7" s="28" t="b">
        <f t="shared" si="5"/>
        <v>0</v>
      </c>
      <c r="H7" s="28" t="b">
        <f>(H4=$J$2+1)*stub_switch=1</f>
        <v>0</v>
      </c>
      <c r="I7" s="28" t="b">
        <f>(I4=$J$2+1)*stub_switch=1</f>
        <v>0</v>
      </c>
      <c r="J7" s="28" t="b">
        <f t="shared" si="5"/>
        <v>0</v>
      </c>
      <c r="K7" s="28" t="b">
        <f t="shared" si="5"/>
        <v>0</v>
      </c>
      <c r="L7" s="28" t="b">
        <f t="shared" si="5"/>
        <v>0</v>
      </c>
      <c r="M7" s="28" t="b">
        <f t="shared" si="5"/>
        <v>0</v>
      </c>
      <c r="N7" s="28" t="b">
        <f t="shared" si="5"/>
        <v>0</v>
      </c>
      <c r="O7" s="28" t="b">
        <f t="shared" si="5"/>
        <v>0</v>
      </c>
      <c r="P7" s="28" t="b">
        <f t="shared" si="5"/>
        <v>0</v>
      </c>
      <c r="Q7" s="28" t="b">
        <f t="shared" si="5"/>
        <v>0</v>
      </c>
      <c r="R7" s="28" t="b">
        <f t="shared" si="5"/>
        <v>0</v>
      </c>
      <c r="S7" s="28" t="b">
        <f t="shared" si="5"/>
        <v>0</v>
      </c>
      <c r="T7" s="28" t="b">
        <f t="shared" si="5"/>
        <v>0</v>
      </c>
    </row>
    <row r="8" spans="1:36">
      <c r="A8" s="113"/>
      <c r="B8" s="113"/>
      <c r="C8" s="114"/>
      <c r="D8" s="113"/>
      <c r="E8" s="113"/>
      <c r="F8" s="113"/>
      <c r="G8" s="113"/>
      <c r="H8" s="1"/>
      <c r="I8" s="1"/>
      <c r="J8" s="1"/>
      <c r="K8" s="1"/>
      <c r="L8" s="1"/>
      <c r="M8" s="1"/>
      <c r="N8" s="1"/>
      <c r="O8" s="1"/>
      <c r="P8" s="1"/>
    </row>
    <row r="9" spans="1:36">
      <c r="A9" s="113" t="s">
        <v>193</v>
      </c>
      <c r="B9" s="113"/>
      <c r="C9" s="113" t="s">
        <v>194</v>
      </c>
      <c r="D9" s="115">
        <f>D11</f>
        <v>42004</v>
      </c>
      <c r="E9" s="115">
        <f>E11</f>
        <v>42369</v>
      </c>
      <c r="F9" s="115">
        <f>F11</f>
        <v>42735</v>
      </c>
      <c r="G9" s="115">
        <f>G11</f>
        <v>43100</v>
      </c>
      <c r="H9" s="115">
        <f t="shared" ref="H9:T9" si="6">H11</f>
        <v>43465</v>
      </c>
      <c r="I9" s="115">
        <f t="shared" si="6"/>
        <v>0</v>
      </c>
      <c r="J9" s="115">
        <f t="shared" si="6"/>
        <v>0</v>
      </c>
      <c r="K9" s="115">
        <f t="shared" si="6"/>
        <v>0</v>
      </c>
      <c r="L9" s="115">
        <f t="shared" si="6"/>
        <v>0</v>
      </c>
      <c r="M9" s="115">
        <f t="shared" si="6"/>
        <v>0</v>
      </c>
      <c r="N9" s="115">
        <f t="shared" si="6"/>
        <v>0</v>
      </c>
      <c r="O9" s="115">
        <f t="shared" si="6"/>
        <v>0</v>
      </c>
      <c r="P9" s="115">
        <f t="shared" si="6"/>
        <v>0</v>
      </c>
      <c r="Q9" s="115">
        <f t="shared" si="6"/>
        <v>0</v>
      </c>
      <c r="R9" s="115">
        <f t="shared" si="6"/>
        <v>0</v>
      </c>
      <c r="S9" s="115">
        <f t="shared" si="6"/>
        <v>0</v>
      </c>
      <c r="T9" s="115">
        <f t="shared" si="6"/>
        <v>0</v>
      </c>
    </row>
    <row r="10" spans="1:36">
      <c r="A10" s="113" t="s">
        <v>195</v>
      </c>
      <c r="B10" s="113"/>
      <c r="C10" s="113" t="s">
        <v>196</v>
      </c>
      <c r="D10" s="113">
        <v>365</v>
      </c>
      <c r="E10" s="116">
        <f>E11-D11</f>
        <v>365</v>
      </c>
      <c r="F10" s="116">
        <f>F11-E11</f>
        <v>366</v>
      </c>
      <c r="G10" s="116">
        <f>G11-F11</f>
        <v>365</v>
      </c>
      <c r="H10" s="116">
        <f t="shared" ref="H10:T10" si="7">H11-G11</f>
        <v>365</v>
      </c>
      <c r="I10" s="116">
        <f t="shared" si="7"/>
        <v>-43465</v>
      </c>
      <c r="J10" s="116">
        <f t="shared" si="7"/>
        <v>0</v>
      </c>
      <c r="K10" s="116">
        <f t="shared" si="7"/>
        <v>0</v>
      </c>
      <c r="L10" s="116">
        <f t="shared" si="7"/>
        <v>0</v>
      </c>
      <c r="M10" s="116">
        <f t="shared" si="7"/>
        <v>0</v>
      </c>
      <c r="N10" s="116">
        <f t="shared" si="7"/>
        <v>0</v>
      </c>
      <c r="O10" s="116">
        <f t="shared" si="7"/>
        <v>0</v>
      </c>
      <c r="P10" s="116">
        <f t="shared" si="7"/>
        <v>0</v>
      </c>
      <c r="Q10" s="116">
        <f t="shared" si="7"/>
        <v>0</v>
      </c>
      <c r="R10" s="116">
        <f t="shared" si="7"/>
        <v>0</v>
      </c>
      <c r="S10" s="116">
        <f t="shared" si="7"/>
        <v>0</v>
      </c>
      <c r="T10" s="116">
        <f t="shared" si="7"/>
        <v>0</v>
      </c>
    </row>
    <row r="11" spans="1:36">
      <c r="A11" s="113" t="s">
        <v>197</v>
      </c>
      <c r="B11" s="113"/>
      <c r="C11" s="113" t="s">
        <v>198</v>
      </c>
      <c r="D11" s="117">
        <f>D5</f>
        <v>42004</v>
      </c>
      <c r="E11" s="117">
        <f t="shared" ref="E11:T11" si="8">E5</f>
        <v>42369</v>
      </c>
      <c r="F11" s="117">
        <f t="shared" si="8"/>
        <v>42735</v>
      </c>
      <c r="G11" s="117">
        <f t="shared" si="8"/>
        <v>43100</v>
      </c>
      <c r="H11" s="117">
        <f t="shared" si="8"/>
        <v>43465</v>
      </c>
      <c r="I11" s="117">
        <f t="shared" si="8"/>
        <v>0</v>
      </c>
      <c r="J11" s="117">
        <f t="shared" si="8"/>
        <v>0</v>
      </c>
      <c r="K11" s="117">
        <f t="shared" si="8"/>
        <v>0</v>
      </c>
      <c r="L11" s="117">
        <f t="shared" si="8"/>
        <v>0</v>
      </c>
      <c r="M11" s="117">
        <f t="shared" si="8"/>
        <v>0</v>
      </c>
      <c r="N11" s="117">
        <f t="shared" si="8"/>
        <v>0</v>
      </c>
      <c r="O11" s="117">
        <f t="shared" si="8"/>
        <v>0</v>
      </c>
      <c r="P11" s="117">
        <f t="shared" si="8"/>
        <v>0</v>
      </c>
      <c r="Q11" s="117">
        <f t="shared" si="8"/>
        <v>0</v>
      </c>
      <c r="R11" s="117">
        <f t="shared" si="8"/>
        <v>0</v>
      </c>
      <c r="S11" s="117">
        <f t="shared" si="8"/>
        <v>0</v>
      </c>
      <c r="T11" s="117">
        <f t="shared" si="8"/>
        <v>0</v>
      </c>
    </row>
    <row r="12" spans="1:36">
      <c r="A12" s="113" t="s">
        <v>199</v>
      </c>
      <c r="B12" s="113"/>
      <c r="C12" s="113" t="s">
        <v>977</v>
      </c>
      <c r="D12" s="118" t="s">
        <v>978</v>
      </c>
      <c r="E12" s="118" t="s">
        <v>978</v>
      </c>
      <c r="F12" s="118" t="s">
        <v>978</v>
      </c>
      <c r="G12" s="118" t="s">
        <v>978</v>
      </c>
      <c r="H12" s="118" t="s">
        <v>978</v>
      </c>
      <c r="I12" s="118" t="s">
        <v>978</v>
      </c>
      <c r="J12" s="118" t="s">
        <v>978</v>
      </c>
      <c r="K12" s="118" t="s">
        <v>978</v>
      </c>
      <c r="L12" s="118" t="s">
        <v>978</v>
      </c>
      <c r="M12" s="118" t="s">
        <v>978</v>
      </c>
      <c r="N12" s="118" t="s">
        <v>978</v>
      </c>
      <c r="O12" s="118" t="s">
        <v>978</v>
      </c>
      <c r="P12" s="118" t="s">
        <v>978</v>
      </c>
      <c r="Q12" s="118" t="s">
        <v>978</v>
      </c>
      <c r="R12" s="118" t="s">
        <v>978</v>
      </c>
      <c r="S12" s="118" t="s">
        <v>978</v>
      </c>
      <c r="T12" s="118" t="s">
        <v>978</v>
      </c>
    </row>
    <row r="13" spans="1:36" ht="15.15" thickBot="1">
      <c r="A13" s="119" t="s">
        <v>200</v>
      </c>
      <c r="B13" s="119"/>
      <c r="C13" s="119" t="s">
        <v>979</v>
      </c>
      <c r="D13" s="120">
        <f>D9</f>
        <v>42004</v>
      </c>
      <c r="E13" s="120">
        <f>E9</f>
        <v>42369</v>
      </c>
      <c r="F13" s="120">
        <f>F9</f>
        <v>42735</v>
      </c>
      <c r="G13" s="120">
        <f>G9</f>
        <v>43100</v>
      </c>
      <c r="H13" s="120">
        <f t="shared" ref="H13:T13" si="9">H9</f>
        <v>43465</v>
      </c>
      <c r="I13" s="120">
        <f t="shared" si="9"/>
        <v>0</v>
      </c>
      <c r="J13" s="120">
        <f t="shared" si="9"/>
        <v>0</v>
      </c>
      <c r="K13" s="120">
        <f t="shared" si="9"/>
        <v>0</v>
      </c>
      <c r="L13" s="120">
        <f t="shared" si="9"/>
        <v>0</v>
      </c>
      <c r="M13" s="120">
        <f t="shared" si="9"/>
        <v>0</v>
      </c>
      <c r="N13" s="120">
        <f t="shared" si="9"/>
        <v>0</v>
      </c>
      <c r="O13" s="120">
        <f t="shared" si="9"/>
        <v>0</v>
      </c>
      <c r="P13" s="120">
        <f t="shared" si="9"/>
        <v>0</v>
      </c>
      <c r="Q13" s="120">
        <f t="shared" si="9"/>
        <v>0</v>
      </c>
      <c r="R13" s="120">
        <f t="shared" si="9"/>
        <v>0</v>
      </c>
      <c r="S13" s="120">
        <f t="shared" si="9"/>
        <v>0</v>
      </c>
      <c r="T13" s="120">
        <f t="shared" si="9"/>
        <v>0</v>
      </c>
    </row>
    <row r="14" spans="1:36">
      <c r="A14" s="111" t="s">
        <v>169</v>
      </c>
      <c r="B14" s="111"/>
      <c r="C14" s="111" t="s">
        <v>170</v>
      </c>
      <c r="D14" s="111">
        <f t="shared" ref="D14:T14" si="10">IFERROR(SUMIF($A$88:$A$416,$A14,INDEX($D$88:$EE$416,0,MATCH(D$11,$D$84:$EF$84,0))),0)*Input_unit</f>
        <v>0</v>
      </c>
      <c r="E14" s="111">
        <f t="shared" si="10"/>
        <v>0</v>
      </c>
      <c r="F14" s="111">
        <f t="shared" si="10"/>
        <v>0</v>
      </c>
      <c r="G14" s="111">
        <f t="shared" si="10"/>
        <v>0</v>
      </c>
      <c r="H14" s="111">
        <f t="shared" si="10"/>
        <v>0</v>
      </c>
      <c r="I14" s="111">
        <f t="shared" si="10"/>
        <v>0</v>
      </c>
      <c r="J14" s="111">
        <f t="shared" si="10"/>
        <v>0</v>
      </c>
      <c r="K14" s="111">
        <f t="shared" si="10"/>
        <v>0</v>
      </c>
      <c r="L14" s="111">
        <f t="shared" si="10"/>
        <v>0</v>
      </c>
      <c r="M14" s="111">
        <f t="shared" si="10"/>
        <v>0</v>
      </c>
      <c r="N14" s="111">
        <f t="shared" si="10"/>
        <v>0</v>
      </c>
      <c r="O14" s="111">
        <f t="shared" si="10"/>
        <v>0</v>
      </c>
      <c r="P14" s="111">
        <f t="shared" si="10"/>
        <v>0</v>
      </c>
      <c r="Q14" s="111">
        <f t="shared" si="10"/>
        <v>0</v>
      </c>
      <c r="R14" s="111">
        <f t="shared" si="10"/>
        <v>0</v>
      </c>
      <c r="S14" s="111">
        <f t="shared" si="10"/>
        <v>0</v>
      </c>
      <c r="T14" s="111">
        <f t="shared" si="10"/>
        <v>0</v>
      </c>
    </row>
    <row r="15" spans="1:36">
      <c r="A15" s="56" t="s">
        <v>180</v>
      </c>
      <c r="B15" s="56"/>
      <c r="C15" s="56" t="s">
        <v>968</v>
      </c>
      <c r="D15" s="56">
        <f t="shared" ref="D15:T15" si="11">-IFERROR(SUMIF($A$88:$A$416,$A15,INDEX($D$88:$EE$416,0,MATCH(D$11,$D$84:$EF$84,0))),0)*Input_unit</f>
        <v>0</v>
      </c>
      <c r="E15" s="56">
        <f t="shared" si="11"/>
        <v>0</v>
      </c>
      <c r="F15" s="56">
        <f t="shared" si="11"/>
        <v>0</v>
      </c>
      <c r="G15" s="56">
        <f t="shared" si="11"/>
        <v>0</v>
      </c>
      <c r="H15" s="56">
        <f t="shared" si="11"/>
        <v>0</v>
      </c>
      <c r="I15" s="56">
        <f t="shared" si="11"/>
        <v>0</v>
      </c>
      <c r="J15" s="56">
        <f t="shared" si="11"/>
        <v>0</v>
      </c>
      <c r="K15" s="56">
        <f t="shared" si="11"/>
        <v>0</v>
      </c>
      <c r="L15" s="56">
        <f t="shared" si="11"/>
        <v>0</v>
      </c>
      <c r="M15" s="56">
        <f t="shared" si="11"/>
        <v>0</v>
      </c>
      <c r="N15" s="56">
        <f t="shared" si="11"/>
        <v>0</v>
      </c>
      <c r="O15" s="56">
        <f t="shared" si="11"/>
        <v>0</v>
      </c>
      <c r="P15" s="56">
        <f t="shared" si="11"/>
        <v>0</v>
      </c>
      <c r="Q15" s="56">
        <f t="shared" si="11"/>
        <v>0</v>
      </c>
      <c r="R15" s="56">
        <f t="shared" si="11"/>
        <v>0</v>
      </c>
      <c r="S15" s="56">
        <f t="shared" si="11"/>
        <v>0</v>
      </c>
      <c r="T15" s="56">
        <f t="shared" si="11"/>
        <v>0</v>
      </c>
    </row>
    <row r="16" spans="1:36">
      <c r="A16" s="98"/>
      <c r="B16" s="98"/>
      <c r="C16" s="98" t="s">
        <v>969</v>
      </c>
      <c r="D16" s="98">
        <f>SUM(D14:D15)</f>
        <v>0</v>
      </c>
      <c r="E16" s="98">
        <f t="shared" ref="E16:T16" si="12">SUM(E14:E15)</f>
        <v>0</v>
      </c>
      <c r="F16" s="98">
        <f t="shared" si="12"/>
        <v>0</v>
      </c>
      <c r="G16" s="98">
        <f t="shared" si="12"/>
        <v>0</v>
      </c>
      <c r="H16" s="98">
        <f t="shared" si="12"/>
        <v>0</v>
      </c>
      <c r="I16" s="98">
        <f t="shared" si="12"/>
        <v>0</v>
      </c>
      <c r="J16" s="98">
        <f t="shared" si="12"/>
        <v>0</v>
      </c>
      <c r="K16" s="98">
        <f t="shared" si="12"/>
        <v>0</v>
      </c>
      <c r="L16" s="98">
        <f t="shared" si="12"/>
        <v>0</v>
      </c>
      <c r="M16" s="98">
        <f t="shared" si="12"/>
        <v>0</v>
      </c>
      <c r="N16" s="98">
        <f t="shared" si="12"/>
        <v>0</v>
      </c>
      <c r="O16" s="98">
        <f t="shared" si="12"/>
        <v>0</v>
      </c>
      <c r="P16" s="98">
        <f t="shared" si="12"/>
        <v>0</v>
      </c>
      <c r="Q16" s="98">
        <f t="shared" si="12"/>
        <v>0</v>
      </c>
      <c r="R16" s="98">
        <f t="shared" si="12"/>
        <v>0</v>
      </c>
      <c r="S16" s="98">
        <f t="shared" si="12"/>
        <v>0</v>
      </c>
      <c r="T16" s="98">
        <f t="shared" si="12"/>
        <v>0</v>
      </c>
    </row>
    <row r="17" spans="1:20">
      <c r="A17" s="56" t="s">
        <v>182</v>
      </c>
      <c r="B17" s="56"/>
      <c r="C17" s="56" t="s">
        <v>201</v>
      </c>
      <c r="D17" s="56">
        <f t="shared" ref="D17:M19" si="13">-IFERROR(SUMIF($A$88:$A$416,$A17,INDEX($D$88:$EE$416,0,MATCH(D$11,$D$84:$EF$84,0))),0)*Input_unit</f>
        <v>0</v>
      </c>
      <c r="E17" s="56">
        <f t="shared" si="13"/>
        <v>0</v>
      </c>
      <c r="F17" s="56">
        <f t="shared" si="13"/>
        <v>0</v>
      </c>
      <c r="G17" s="56">
        <f t="shared" si="13"/>
        <v>0</v>
      </c>
      <c r="H17" s="56">
        <f t="shared" si="13"/>
        <v>0</v>
      </c>
      <c r="I17" s="56">
        <f t="shared" si="13"/>
        <v>0</v>
      </c>
      <c r="J17" s="56">
        <f t="shared" si="13"/>
        <v>0</v>
      </c>
      <c r="K17" s="56">
        <f t="shared" si="13"/>
        <v>0</v>
      </c>
      <c r="L17" s="56">
        <f t="shared" si="13"/>
        <v>0</v>
      </c>
      <c r="M17" s="56">
        <f t="shared" si="13"/>
        <v>0</v>
      </c>
      <c r="N17" s="56">
        <f t="shared" ref="N17:T19" si="14">-IFERROR(SUMIF($A$88:$A$416,$A17,INDEX($D$88:$EE$416,0,MATCH(N$11,$D$84:$EF$84,0))),0)*Input_unit</f>
        <v>0</v>
      </c>
      <c r="O17" s="56">
        <f t="shared" si="14"/>
        <v>0</v>
      </c>
      <c r="P17" s="56">
        <f t="shared" si="14"/>
        <v>0</v>
      </c>
      <c r="Q17" s="56">
        <f t="shared" si="14"/>
        <v>0</v>
      </c>
      <c r="R17" s="56">
        <f t="shared" si="14"/>
        <v>0</v>
      </c>
      <c r="S17" s="56">
        <f t="shared" si="14"/>
        <v>0</v>
      </c>
      <c r="T17" s="56">
        <f t="shared" si="14"/>
        <v>0</v>
      </c>
    </row>
    <row r="18" spans="1:20">
      <c r="A18" s="56" t="s">
        <v>608</v>
      </c>
      <c r="B18" s="56"/>
      <c r="C18" s="56" t="s">
        <v>970</v>
      </c>
      <c r="D18" s="56">
        <f t="shared" si="13"/>
        <v>0</v>
      </c>
      <c r="E18" s="56">
        <f t="shared" si="13"/>
        <v>0</v>
      </c>
      <c r="F18" s="56">
        <f t="shared" si="13"/>
        <v>0</v>
      </c>
      <c r="G18" s="56">
        <f t="shared" si="13"/>
        <v>0</v>
      </c>
      <c r="H18" s="56">
        <f t="shared" si="13"/>
        <v>0</v>
      </c>
      <c r="I18" s="56">
        <f t="shared" si="13"/>
        <v>0</v>
      </c>
      <c r="J18" s="56">
        <f t="shared" si="13"/>
        <v>0</v>
      </c>
      <c r="K18" s="56">
        <f t="shared" si="13"/>
        <v>0</v>
      </c>
      <c r="L18" s="56">
        <f t="shared" si="13"/>
        <v>0</v>
      </c>
      <c r="M18" s="56">
        <f t="shared" si="13"/>
        <v>0</v>
      </c>
      <c r="N18" s="56">
        <f t="shared" si="14"/>
        <v>0</v>
      </c>
      <c r="O18" s="56">
        <f t="shared" si="14"/>
        <v>0</v>
      </c>
      <c r="P18" s="56">
        <f t="shared" si="14"/>
        <v>0</v>
      </c>
      <c r="Q18" s="56">
        <f t="shared" si="14"/>
        <v>0</v>
      </c>
      <c r="R18" s="56">
        <f t="shared" si="14"/>
        <v>0</v>
      </c>
      <c r="S18" s="56">
        <f t="shared" si="14"/>
        <v>0</v>
      </c>
      <c r="T18" s="56">
        <f t="shared" si="14"/>
        <v>0</v>
      </c>
    </row>
    <row r="19" spans="1:20">
      <c r="A19" s="56" t="s">
        <v>611</v>
      </c>
      <c r="B19" s="56"/>
      <c r="C19" s="56" t="s">
        <v>971</v>
      </c>
      <c r="D19" s="56">
        <f t="shared" si="13"/>
        <v>0</v>
      </c>
      <c r="E19" s="56">
        <f t="shared" si="13"/>
        <v>0</v>
      </c>
      <c r="F19" s="56">
        <f t="shared" si="13"/>
        <v>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0</v>
      </c>
      <c r="K19" s="56">
        <f t="shared" si="13"/>
        <v>0</v>
      </c>
      <c r="L19" s="56">
        <f t="shared" si="13"/>
        <v>0</v>
      </c>
      <c r="M19" s="56">
        <f t="shared" si="13"/>
        <v>0</v>
      </c>
      <c r="N19" s="56">
        <f t="shared" si="14"/>
        <v>0</v>
      </c>
      <c r="O19" s="56">
        <f t="shared" si="14"/>
        <v>0</v>
      </c>
      <c r="P19" s="56">
        <f t="shared" si="14"/>
        <v>0</v>
      </c>
      <c r="Q19" s="56">
        <f t="shared" si="14"/>
        <v>0</v>
      </c>
      <c r="R19" s="56">
        <f t="shared" si="14"/>
        <v>0</v>
      </c>
      <c r="S19" s="56">
        <f t="shared" si="14"/>
        <v>0</v>
      </c>
      <c r="T19" s="56">
        <f t="shared" si="14"/>
        <v>0</v>
      </c>
    </row>
    <row r="20" spans="1:20">
      <c r="A20" s="56" t="s">
        <v>171</v>
      </c>
      <c r="B20" s="56"/>
      <c r="C20" s="56" t="s">
        <v>972</v>
      </c>
      <c r="D20" s="56">
        <f t="shared" ref="D20:T20" si="15">IFERROR(SUMIF($A$88:$A$416,$A20,INDEX($D$88:$EE$416,0,MATCH(D$11,$D$84:$EF$84,0))),0)*Input_unit</f>
        <v>0</v>
      </c>
      <c r="E20" s="56">
        <f t="shared" si="15"/>
        <v>0</v>
      </c>
      <c r="F20" s="56">
        <f t="shared" si="15"/>
        <v>0</v>
      </c>
      <c r="G20" s="56">
        <f t="shared" si="15"/>
        <v>0</v>
      </c>
      <c r="H20" s="56">
        <f t="shared" si="15"/>
        <v>0</v>
      </c>
      <c r="I20" s="56">
        <f t="shared" si="15"/>
        <v>0</v>
      </c>
      <c r="J20" s="56">
        <f t="shared" si="15"/>
        <v>0</v>
      </c>
      <c r="K20" s="56">
        <f t="shared" si="15"/>
        <v>0</v>
      </c>
      <c r="L20" s="56">
        <f t="shared" si="15"/>
        <v>0</v>
      </c>
      <c r="M20" s="56">
        <f t="shared" si="15"/>
        <v>0</v>
      </c>
      <c r="N20" s="56">
        <f t="shared" si="15"/>
        <v>0</v>
      </c>
      <c r="O20" s="56">
        <f t="shared" si="15"/>
        <v>0</v>
      </c>
      <c r="P20" s="56">
        <f t="shared" si="15"/>
        <v>0</v>
      </c>
      <c r="Q20" s="56">
        <f t="shared" si="15"/>
        <v>0</v>
      </c>
      <c r="R20" s="56">
        <f t="shared" si="15"/>
        <v>0</v>
      </c>
      <c r="S20" s="56">
        <f t="shared" si="15"/>
        <v>0</v>
      </c>
      <c r="T20" s="56">
        <f t="shared" si="15"/>
        <v>0</v>
      </c>
    </row>
    <row r="21" spans="1:20">
      <c r="A21" s="56"/>
      <c r="B21" s="56"/>
      <c r="C21" s="112" t="s">
        <v>973</v>
      </c>
      <c r="D21" s="112">
        <f t="shared" ref="D21:T21" si="16">depr_inc*(-D23-D24)</f>
        <v>0</v>
      </c>
      <c r="E21" s="112">
        <f t="shared" si="16"/>
        <v>0</v>
      </c>
      <c r="F21" s="112">
        <f t="shared" si="16"/>
        <v>0</v>
      </c>
      <c r="G21" s="112">
        <f t="shared" si="16"/>
        <v>0</v>
      </c>
      <c r="H21" s="112">
        <f t="shared" si="16"/>
        <v>0</v>
      </c>
      <c r="I21" s="112">
        <f t="shared" si="16"/>
        <v>0</v>
      </c>
      <c r="J21" s="112">
        <f t="shared" si="16"/>
        <v>0</v>
      </c>
      <c r="K21" s="112">
        <f t="shared" si="16"/>
        <v>0</v>
      </c>
      <c r="L21" s="112">
        <f t="shared" si="16"/>
        <v>0</v>
      </c>
      <c r="M21" s="112">
        <f t="shared" si="16"/>
        <v>0</v>
      </c>
      <c r="N21" s="112">
        <f t="shared" si="16"/>
        <v>0</v>
      </c>
      <c r="O21" s="112">
        <f t="shared" si="16"/>
        <v>0</v>
      </c>
      <c r="P21" s="112">
        <f t="shared" si="16"/>
        <v>0</v>
      </c>
      <c r="Q21" s="112">
        <f t="shared" si="16"/>
        <v>0</v>
      </c>
      <c r="R21" s="112">
        <f t="shared" si="16"/>
        <v>0</v>
      </c>
      <c r="S21" s="112">
        <f t="shared" si="16"/>
        <v>0</v>
      </c>
      <c r="T21" s="112">
        <f t="shared" si="16"/>
        <v>0</v>
      </c>
    </row>
    <row r="22" spans="1:20">
      <c r="A22" s="56"/>
      <c r="B22" s="56"/>
      <c r="C22" s="98" t="s">
        <v>684</v>
      </c>
      <c r="D22" s="98">
        <f>SUM(D16:D21)</f>
        <v>0</v>
      </c>
      <c r="E22" s="98">
        <f t="shared" ref="E22:T22" si="17">SUM(E16:E21)</f>
        <v>0</v>
      </c>
      <c r="F22" s="98">
        <f t="shared" si="17"/>
        <v>0</v>
      </c>
      <c r="G22" s="98">
        <f t="shared" si="17"/>
        <v>0</v>
      </c>
      <c r="H22" s="98">
        <f t="shared" si="17"/>
        <v>0</v>
      </c>
      <c r="I22" s="98">
        <f t="shared" si="17"/>
        <v>0</v>
      </c>
      <c r="J22" s="98">
        <f t="shared" si="17"/>
        <v>0</v>
      </c>
      <c r="K22" s="98">
        <f t="shared" si="17"/>
        <v>0</v>
      </c>
      <c r="L22" s="98">
        <f t="shared" si="17"/>
        <v>0</v>
      </c>
      <c r="M22" s="98">
        <f t="shared" si="17"/>
        <v>0</v>
      </c>
      <c r="N22" s="98">
        <f t="shared" si="17"/>
        <v>0</v>
      </c>
      <c r="O22" s="98">
        <f t="shared" si="17"/>
        <v>0</v>
      </c>
      <c r="P22" s="98">
        <f t="shared" si="17"/>
        <v>0</v>
      </c>
      <c r="Q22" s="98">
        <f t="shared" si="17"/>
        <v>0</v>
      </c>
      <c r="R22" s="98">
        <f t="shared" si="17"/>
        <v>0</v>
      </c>
      <c r="S22" s="98">
        <f t="shared" si="17"/>
        <v>0</v>
      </c>
      <c r="T22" s="98">
        <f t="shared" si="17"/>
        <v>0</v>
      </c>
    </row>
    <row r="23" spans="1:20">
      <c r="A23" s="56" t="s">
        <v>675</v>
      </c>
      <c r="B23" s="56"/>
      <c r="C23" s="112" t="s">
        <v>202</v>
      </c>
      <c r="D23" s="112">
        <f t="shared" ref="D23:M24" si="18">-IFERROR(SUMIF($A$88:$A$416,$A23,INDEX($D$88:$EE$416,0,MATCH(D$11,$D$84:$EF$84,0))),0)*Input_unit</f>
        <v>0</v>
      </c>
      <c r="E23" s="112">
        <f t="shared" si="18"/>
        <v>0</v>
      </c>
      <c r="F23" s="112">
        <f t="shared" si="18"/>
        <v>0</v>
      </c>
      <c r="G23" s="112">
        <f t="shared" si="18"/>
        <v>0</v>
      </c>
      <c r="H23" s="112">
        <f t="shared" si="18"/>
        <v>0</v>
      </c>
      <c r="I23" s="112">
        <f t="shared" si="18"/>
        <v>0</v>
      </c>
      <c r="J23" s="112">
        <f t="shared" si="18"/>
        <v>0</v>
      </c>
      <c r="K23" s="112">
        <f t="shared" si="18"/>
        <v>0</v>
      </c>
      <c r="L23" s="112">
        <f t="shared" si="18"/>
        <v>0</v>
      </c>
      <c r="M23" s="112">
        <f t="shared" si="18"/>
        <v>0</v>
      </c>
      <c r="N23" s="112">
        <f t="shared" ref="N23:T24" si="19">-IFERROR(SUMIF($A$88:$A$416,$A23,INDEX($D$88:$EE$416,0,MATCH(N$11,$D$84:$EF$84,0))),0)*Input_unit</f>
        <v>0</v>
      </c>
      <c r="O23" s="112">
        <f t="shared" si="19"/>
        <v>0</v>
      </c>
      <c r="P23" s="112">
        <f t="shared" si="19"/>
        <v>0</v>
      </c>
      <c r="Q23" s="112">
        <f t="shared" si="19"/>
        <v>0</v>
      </c>
      <c r="R23" s="112">
        <f t="shared" si="19"/>
        <v>0</v>
      </c>
      <c r="S23" s="112">
        <f t="shared" si="19"/>
        <v>0</v>
      </c>
      <c r="T23" s="112">
        <f t="shared" si="19"/>
        <v>0</v>
      </c>
    </row>
    <row r="24" spans="1:20">
      <c r="A24" s="56" t="s">
        <v>676</v>
      </c>
      <c r="B24" s="56"/>
      <c r="C24" s="112" t="s">
        <v>203</v>
      </c>
      <c r="D24" s="112">
        <f t="shared" si="18"/>
        <v>0</v>
      </c>
      <c r="E24" s="112">
        <f t="shared" si="18"/>
        <v>0</v>
      </c>
      <c r="F24" s="112">
        <f t="shared" si="18"/>
        <v>0</v>
      </c>
      <c r="G24" s="112">
        <f t="shared" si="18"/>
        <v>0</v>
      </c>
      <c r="H24" s="112">
        <f t="shared" si="18"/>
        <v>0</v>
      </c>
      <c r="I24" s="112">
        <f t="shared" si="18"/>
        <v>0</v>
      </c>
      <c r="J24" s="112">
        <f t="shared" si="18"/>
        <v>0</v>
      </c>
      <c r="K24" s="112">
        <f t="shared" si="18"/>
        <v>0</v>
      </c>
      <c r="L24" s="112">
        <f t="shared" si="18"/>
        <v>0</v>
      </c>
      <c r="M24" s="112">
        <f t="shared" si="18"/>
        <v>0</v>
      </c>
      <c r="N24" s="112">
        <f t="shared" si="19"/>
        <v>0</v>
      </c>
      <c r="O24" s="112">
        <f t="shared" si="19"/>
        <v>0</v>
      </c>
      <c r="P24" s="112">
        <f t="shared" si="19"/>
        <v>0</v>
      </c>
      <c r="Q24" s="112">
        <f t="shared" si="19"/>
        <v>0</v>
      </c>
      <c r="R24" s="112">
        <f t="shared" si="19"/>
        <v>0</v>
      </c>
      <c r="S24" s="112">
        <f t="shared" si="19"/>
        <v>0</v>
      </c>
      <c r="T24" s="112">
        <f t="shared" si="19"/>
        <v>0</v>
      </c>
    </row>
    <row r="25" spans="1:20">
      <c r="A25" s="98"/>
      <c r="B25" s="98"/>
      <c r="C25" s="98" t="s">
        <v>204</v>
      </c>
      <c r="D25" s="98">
        <f>SUM(D22:D24)</f>
        <v>0</v>
      </c>
      <c r="E25" s="98">
        <f t="shared" ref="E25:T25" si="20">SUM(E22:E24)</f>
        <v>0</v>
      </c>
      <c r="F25" s="98">
        <f t="shared" si="20"/>
        <v>0</v>
      </c>
      <c r="G25" s="98">
        <f t="shared" si="20"/>
        <v>0</v>
      </c>
      <c r="H25" s="98">
        <f t="shared" si="20"/>
        <v>0</v>
      </c>
      <c r="I25" s="98">
        <f t="shared" si="20"/>
        <v>0</v>
      </c>
      <c r="J25" s="98">
        <f t="shared" si="20"/>
        <v>0</v>
      </c>
      <c r="K25" s="98">
        <f t="shared" si="20"/>
        <v>0</v>
      </c>
      <c r="L25" s="98">
        <f t="shared" si="20"/>
        <v>0</v>
      </c>
      <c r="M25" s="98">
        <f t="shared" si="20"/>
        <v>0</v>
      </c>
      <c r="N25" s="98">
        <f t="shared" si="20"/>
        <v>0</v>
      </c>
      <c r="O25" s="98">
        <f t="shared" si="20"/>
        <v>0</v>
      </c>
      <c r="P25" s="98">
        <f t="shared" si="20"/>
        <v>0</v>
      </c>
      <c r="Q25" s="98">
        <f t="shared" si="20"/>
        <v>0</v>
      </c>
      <c r="R25" s="98">
        <f t="shared" si="20"/>
        <v>0</v>
      </c>
      <c r="S25" s="98">
        <f t="shared" si="20"/>
        <v>0</v>
      </c>
      <c r="T25" s="98">
        <f t="shared" si="20"/>
        <v>0</v>
      </c>
    </row>
    <row r="26" spans="1:20">
      <c r="A26" s="56" t="s">
        <v>628</v>
      </c>
      <c r="B26" s="56"/>
      <c r="C26" s="56" t="s">
        <v>974</v>
      </c>
      <c r="D26" s="56">
        <f t="shared" ref="D26:T26" si="21">IFERROR(SUMIF($A$88:$A$416,$A26,INDEX($D$88:$EE$416,0,MATCH(D$11,$D$84:$EF$84,0))),0)*Input_unit</f>
        <v>0</v>
      </c>
      <c r="E26" s="56">
        <f t="shared" si="21"/>
        <v>0</v>
      </c>
      <c r="F26" s="56">
        <f t="shared" si="21"/>
        <v>0</v>
      </c>
      <c r="G26" s="56">
        <f t="shared" si="21"/>
        <v>0</v>
      </c>
      <c r="H26" s="56">
        <f t="shared" si="21"/>
        <v>0</v>
      </c>
      <c r="I26" s="56">
        <f t="shared" si="21"/>
        <v>0</v>
      </c>
      <c r="J26" s="56">
        <f t="shared" si="21"/>
        <v>0</v>
      </c>
      <c r="K26" s="56">
        <f t="shared" si="21"/>
        <v>0</v>
      </c>
      <c r="L26" s="56">
        <f t="shared" si="21"/>
        <v>0</v>
      </c>
      <c r="M26" s="56">
        <f t="shared" si="21"/>
        <v>0</v>
      </c>
      <c r="N26" s="56">
        <f t="shared" si="21"/>
        <v>0</v>
      </c>
      <c r="O26" s="56">
        <f t="shared" si="21"/>
        <v>0</v>
      </c>
      <c r="P26" s="56">
        <f t="shared" si="21"/>
        <v>0</v>
      </c>
      <c r="Q26" s="56">
        <f t="shared" si="21"/>
        <v>0</v>
      </c>
      <c r="R26" s="56">
        <f t="shared" si="21"/>
        <v>0</v>
      </c>
      <c r="S26" s="56">
        <f t="shared" si="21"/>
        <v>0</v>
      </c>
      <c r="T26" s="56">
        <f t="shared" si="21"/>
        <v>0</v>
      </c>
    </row>
    <row r="27" spans="1:20">
      <c r="A27" s="56" t="s">
        <v>641</v>
      </c>
      <c r="B27" s="56"/>
      <c r="C27" s="97" t="s">
        <v>975</v>
      </c>
      <c r="D27" s="56">
        <f t="shared" ref="D27:M28" si="22">-IFERROR(SUMIF($A$88:$A$416,$A27,INDEX($D$88:$EE$416,0,MATCH(D$11,$D$84:$EF$84,0))),0)*Input_unit</f>
        <v>0</v>
      </c>
      <c r="E27" s="56">
        <f t="shared" si="22"/>
        <v>0</v>
      </c>
      <c r="F27" s="56">
        <f t="shared" si="22"/>
        <v>0</v>
      </c>
      <c r="G27" s="56">
        <f t="shared" si="22"/>
        <v>0</v>
      </c>
      <c r="H27" s="56">
        <f t="shared" si="22"/>
        <v>0</v>
      </c>
      <c r="I27" s="56">
        <f t="shared" si="22"/>
        <v>0</v>
      </c>
      <c r="J27" s="56">
        <f t="shared" si="22"/>
        <v>0</v>
      </c>
      <c r="K27" s="56">
        <f t="shared" si="22"/>
        <v>0</v>
      </c>
      <c r="L27" s="56">
        <f t="shared" si="22"/>
        <v>0</v>
      </c>
      <c r="M27" s="56">
        <f t="shared" si="22"/>
        <v>0</v>
      </c>
      <c r="N27" s="56">
        <f t="shared" ref="N27:T28" si="23">-IFERROR(SUMIF($A$88:$A$416,$A27,INDEX($D$88:$EE$416,0,MATCH(N$11,$D$84:$EF$84,0))),0)*Input_unit</f>
        <v>0</v>
      </c>
      <c r="O27" s="56">
        <f t="shared" si="23"/>
        <v>0</v>
      </c>
      <c r="P27" s="56">
        <f t="shared" si="23"/>
        <v>0</v>
      </c>
      <c r="Q27" s="56">
        <f t="shared" si="23"/>
        <v>0</v>
      </c>
      <c r="R27" s="56">
        <f t="shared" si="23"/>
        <v>0</v>
      </c>
      <c r="S27" s="56">
        <f t="shared" si="23"/>
        <v>0</v>
      </c>
      <c r="T27" s="56">
        <f t="shared" si="23"/>
        <v>0</v>
      </c>
    </row>
    <row r="28" spans="1:20">
      <c r="A28" s="56" t="s">
        <v>76</v>
      </c>
      <c r="B28" s="56"/>
      <c r="C28" s="97" t="s">
        <v>205</v>
      </c>
      <c r="D28" s="56">
        <f t="shared" si="22"/>
        <v>0</v>
      </c>
      <c r="E28" s="56">
        <f t="shared" si="22"/>
        <v>0</v>
      </c>
      <c r="F28" s="56">
        <f t="shared" si="22"/>
        <v>0</v>
      </c>
      <c r="G28" s="56">
        <f t="shared" si="22"/>
        <v>0</v>
      </c>
      <c r="H28" s="56">
        <f t="shared" si="22"/>
        <v>0</v>
      </c>
      <c r="I28" s="56">
        <f t="shared" si="22"/>
        <v>0</v>
      </c>
      <c r="J28" s="56">
        <f t="shared" si="22"/>
        <v>0</v>
      </c>
      <c r="K28" s="56">
        <f t="shared" si="22"/>
        <v>0</v>
      </c>
      <c r="L28" s="56">
        <f t="shared" si="22"/>
        <v>0</v>
      </c>
      <c r="M28" s="56">
        <f t="shared" si="22"/>
        <v>0</v>
      </c>
      <c r="N28" s="56">
        <f t="shared" si="23"/>
        <v>0</v>
      </c>
      <c r="O28" s="56">
        <f t="shared" si="23"/>
        <v>0</v>
      </c>
      <c r="P28" s="56">
        <f t="shared" si="23"/>
        <v>0</v>
      </c>
      <c r="Q28" s="56">
        <f t="shared" si="23"/>
        <v>0</v>
      </c>
      <c r="R28" s="56">
        <f t="shared" si="23"/>
        <v>0</v>
      </c>
      <c r="S28" s="56">
        <f t="shared" si="23"/>
        <v>0</v>
      </c>
      <c r="T28" s="56">
        <f t="shared" si="23"/>
        <v>0</v>
      </c>
    </row>
    <row r="29" spans="1:20">
      <c r="A29" s="56" t="s">
        <v>616</v>
      </c>
      <c r="B29" s="56"/>
      <c r="C29" s="97" t="s">
        <v>206</v>
      </c>
      <c r="D29" s="56">
        <f t="shared" ref="D29:M30" si="24">IFERROR(SUMIF($A$88:$A$416,$A29,INDEX($D$88:$EE$416,0,MATCH(D$11,$D$84:$EF$84,0))),0)*Input_unit</f>
        <v>0</v>
      </c>
      <c r="E29" s="56">
        <f t="shared" si="24"/>
        <v>0</v>
      </c>
      <c r="F29" s="56">
        <f t="shared" si="24"/>
        <v>0</v>
      </c>
      <c r="G29" s="56">
        <f t="shared" si="24"/>
        <v>0</v>
      </c>
      <c r="H29" s="56">
        <f t="shared" si="24"/>
        <v>0</v>
      </c>
      <c r="I29" s="56">
        <f t="shared" si="24"/>
        <v>0</v>
      </c>
      <c r="J29" s="56">
        <f t="shared" si="24"/>
        <v>0</v>
      </c>
      <c r="K29" s="56">
        <f t="shared" si="24"/>
        <v>0</v>
      </c>
      <c r="L29" s="56">
        <f t="shared" si="24"/>
        <v>0</v>
      </c>
      <c r="M29" s="56">
        <f t="shared" si="24"/>
        <v>0</v>
      </c>
      <c r="N29" s="56">
        <f t="shared" ref="N29:T30" si="25">IFERROR(SUMIF($A$88:$A$416,$A29,INDEX($D$88:$EE$416,0,MATCH(N$11,$D$84:$EF$84,0))),0)*Input_unit</f>
        <v>0</v>
      </c>
      <c r="O29" s="56">
        <f t="shared" si="25"/>
        <v>0</v>
      </c>
      <c r="P29" s="56">
        <f t="shared" si="25"/>
        <v>0</v>
      </c>
      <c r="Q29" s="56">
        <f t="shared" si="25"/>
        <v>0</v>
      </c>
      <c r="R29" s="56">
        <f t="shared" si="25"/>
        <v>0</v>
      </c>
      <c r="S29" s="56">
        <f t="shared" si="25"/>
        <v>0</v>
      </c>
      <c r="T29" s="56">
        <f t="shared" si="25"/>
        <v>0</v>
      </c>
    </row>
    <row r="30" spans="1:20">
      <c r="A30" s="56" t="s">
        <v>620</v>
      </c>
      <c r="B30" s="56"/>
      <c r="C30" s="97" t="s">
        <v>976</v>
      </c>
      <c r="D30" s="56">
        <f t="shared" si="24"/>
        <v>0</v>
      </c>
      <c r="E30" s="56">
        <f t="shared" si="24"/>
        <v>0</v>
      </c>
      <c r="F30" s="56">
        <f t="shared" si="24"/>
        <v>0</v>
      </c>
      <c r="G30" s="56">
        <f t="shared" si="24"/>
        <v>0</v>
      </c>
      <c r="H30" s="56">
        <f t="shared" si="24"/>
        <v>0</v>
      </c>
      <c r="I30" s="56">
        <f t="shared" si="24"/>
        <v>0</v>
      </c>
      <c r="J30" s="56">
        <f t="shared" si="24"/>
        <v>0</v>
      </c>
      <c r="K30" s="56">
        <f t="shared" si="24"/>
        <v>0</v>
      </c>
      <c r="L30" s="56">
        <f t="shared" si="24"/>
        <v>0</v>
      </c>
      <c r="M30" s="56">
        <f t="shared" si="24"/>
        <v>0</v>
      </c>
      <c r="N30" s="56">
        <f t="shared" si="25"/>
        <v>0</v>
      </c>
      <c r="O30" s="56">
        <f t="shared" si="25"/>
        <v>0</v>
      </c>
      <c r="P30" s="56">
        <f t="shared" si="25"/>
        <v>0</v>
      </c>
      <c r="Q30" s="56">
        <f t="shared" si="25"/>
        <v>0</v>
      </c>
      <c r="R30" s="56">
        <f t="shared" si="25"/>
        <v>0</v>
      </c>
      <c r="S30" s="56">
        <f t="shared" si="25"/>
        <v>0</v>
      </c>
      <c r="T30" s="56">
        <f t="shared" si="25"/>
        <v>0</v>
      </c>
    </row>
    <row r="31" spans="1:20">
      <c r="A31" s="98"/>
      <c r="B31" s="98"/>
      <c r="C31" s="99" t="s">
        <v>207</v>
      </c>
      <c r="D31" s="98">
        <f>SUM(D25:D30)</f>
        <v>0</v>
      </c>
      <c r="E31" s="98">
        <f t="shared" ref="E31:T31" si="26">SUM(E25:E30)</f>
        <v>0</v>
      </c>
      <c r="F31" s="98">
        <f t="shared" si="26"/>
        <v>0</v>
      </c>
      <c r="G31" s="98">
        <f t="shared" si="26"/>
        <v>0</v>
      </c>
      <c r="H31" s="98">
        <f t="shared" si="26"/>
        <v>0</v>
      </c>
      <c r="I31" s="98">
        <f t="shared" si="26"/>
        <v>0</v>
      </c>
      <c r="J31" s="98">
        <f t="shared" si="26"/>
        <v>0</v>
      </c>
      <c r="K31" s="98">
        <f t="shared" si="26"/>
        <v>0</v>
      </c>
      <c r="L31" s="98">
        <f t="shared" si="26"/>
        <v>0</v>
      </c>
      <c r="M31" s="98">
        <f t="shared" si="26"/>
        <v>0</v>
      </c>
      <c r="N31" s="98">
        <f t="shared" si="26"/>
        <v>0</v>
      </c>
      <c r="O31" s="98">
        <f t="shared" si="26"/>
        <v>0</v>
      </c>
      <c r="P31" s="98">
        <f t="shared" si="26"/>
        <v>0</v>
      </c>
      <c r="Q31" s="98">
        <f t="shared" si="26"/>
        <v>0</v>
      </c>
      <c r="R31" s="98">
        <f t="shared" si="26"/>
        <v>0</v>
      </c>
      <c r="S31" s="98">
        <f t="shared" si="26"/>
        <v>0</v>
      </c>
      <c r="T31" s="98">
        <f t="shared" si="26"/>
        <v>0</v>
      </c>
    </row>
    <row r="32" spans="1:20">
      <c r="A32" s="56" t="s">
        <v>668</v>
      </c>
      <c r="B32" s="56"/>
      <c r="C32" s="56" t="s">
        <v>980</v>
      </c>
      <c r="D32" s="56">
        <f t="shared" ref="D32:T32" si="27">-IFERROR(SUMIF($A$88:$A$416,$A32,INDEX($D$88:$EE$416,0,MATCH(D$11,$D$84:$EF$84,0))),0)*Input_unit</f>
        <v>0</v>
      </c>
      <c r="E32" s="56">
        <f t="shared" si="27"/>
        <v>0</v>
      </c>
      <c r="F32" s="56">
        <f t="shared" si="27"/>
        <v>0</v>
      </c>
      <c r="G32" s="56">
        <f t="shared" si="27"/>
        <v>0</v>
      </c>
      <c r="H32" s="56">
        <f t="shared" si="27"/>
        <v>0</v>
      </c>
      <c r="I32" s="56">
        <f t="shared" si="27"/>
        <v>0</v>
      </c>
      <c r="J32" s="56">
        <f t="shared" si="27"/>
        <v>0</v>
      </c>
      <c r="K32" s="56">
        <f t="shared" si="27"/>
        <v>0</v>
      </c>
      <c r="L32" s="56">
        <f t="shared" si="27"/>
        <v>0</v>
      </c>
      <c r="M32" s="56">
        <f t="shared" si="27"/>
        <v>0</v>
      </c>
      <c r="N32" s="56">
        <f t="shared" si="27"/>
        <v>0</v>
      </c>
      <c r="O32" s="56">
        <f t="shared" si="27"/>
        <v>0</v>
      </c>
      <c r="P32" s="56">
        <f t="shared" si="27"/>
        <v>0</v>
      </c>
      <c r="Q32" s="56">
        <f t="shared" si="27"/>
        <v>0</v>
      </c>
      <c r="R32" s="56">
        <f t="shared" si="27"/>
        <v>0</v>
      </c>
      <c r="S32" s="56">
        <f t="shared" si="27"/>
        <v>0</v>
      </c>
      <c r="T32" s="56">
        <f t="shared" si="27"/>
        <v>0</v>
      </c>
    </row>
    <row r="33" spans="1:20">
      <c r="A33" s="98"/>
      <c r="B33" s="98"/>
      <c r="C33" s="98" t="s">
        <v>208</v>
      </c>
      <c r="D33" s="98">
        <f>SUM(D31:D32)</f>
        <v>0</v>
      </c>
      <c r="E33" s="98">
        <f t="shared" ref="E33:T33" si="28">SUM(E31:E32)</f>
        <v>0</v>
      </c>
      <c r="F33" s="98">
        <f t="shared" si="28"/>
        <v>0</v>
      </c>
      <c r="G33" s="98">
        <f t="shared" si="28"/>
        <v>0</v>
      </c>
      <c r="H33" s="98">
        <f t="shared" si="28"/>
        <v>0</v>
      </c>
      <c r="I33" s="98">
        <f t="shared" si="28"/>
        <v>0</v>
      </c>
      <c r="J33" s="98">
        <f t="shared" si="28"/>
        <v>0</v>
      </c>
      <c r="K33" s="98">
        <f t="shared" si="28"/>
        <v>0</v>
      </c>
      <c r="L33" s="98">
        <f t="shared" si="28"/>
        <v>0</v>
      </c>
      <c r="M33" s="98">
        <f t="shared" si="28"/>
        <v>0</v>
      </c>
      <c r="N33" s="98">
        <f t="shared" si="28"/>
        <v>0</v>
      </c>
      <c r="O33" s="98">
        <f t="shared" si="28"/>
        <v>0</v>
      </c>
      <c r="P33" s="98">
        <f t="shared" si="28"/>
        <v>0</v>
      </c>
      <c r="Q33" s="98">
        <f t="shared" si="28"/>
        <v>0</v>
      </c>
      <c r="R33" s="98">
        <f t="shared" si="28"/>
        <v>0</v>
      </c>
      <c r="S33" s="98">
        <f t="shared" si="28"/>
        <v>0</v>
      </c>
      <c r="T33" s="98">
        <f t="shared" si="28"/>
        <v>0</v>
      </c>
    </row>
    <row r="34" spans="1:20">
      <c r="A34" s="56" t="s">
        <v>672</v>
      </c>
      <c r="B34" s="56"/>
      <c r="C34" s="56" t="s">
        <v>209</v>
      </c>
      <c r="D34" s="56">
        <f t="shared" ref="D34:T34" si="29">-IFERROR(SUMIF($A$88:$A$416,$A34,INDEX($D$88:$EE$416,0,MATCH(D$11,$D$84:$EF$84,0))),0)*Input_unit</f>
        <v>0</v>
      </c>
      <c r="E34" s="56">
        <f t="shared" si="29"/>
        <v>0</v>
      </c>
      <c r="F34" s="56">
        <f t="shared" si="29"/>
        <v>0</v>
      </c>
      <c r="G34" s="56">
        <f t="shared" si="29"/>
        <v>0</v>
      </c>
      <c r="H34" s="56">
        <f t="shared" si="29"/>
        <v>0</v>
      </c>
      <c r="I34" s="56">
        <f t="shared" si="29"/>
        <v>0</v>
      </c>
      <c r="J34" s="56">
        <f t="shared" si="29"/>
        <v>0</v>
      </c>
      <c r="K34" s="56">
        <f t="shared" si="29"/>
        <v>0</v>
      </c>
      <c r="L34" s="56">
        <f t="shared" si="29"/>
        <v>0</v>
      </c>
      <c r="M34" s="56">
        <f t="shared" si="29"/>
        <v>0</v>
      </c>
      <c r="N34" s="56">
        <f t="shared" si="29"/>
        <v>0</v>
      </c>
      <c r="O34" s="56">
        <f t="shared" si="29"/>
        <v>0</v>
      </c>
      <c r="P34" s="56">
        <f t="shared" si="29"/>
        <v>0</v>
      </c>
      <c r="Q34" s="56">
        <f t="shared" si="29"/>
        <v>0</v>
      </c>
      <c r="R34" s="56">
        <f t="shared" si="29"/>
        <v>0</v>
      </c>
      <c r="S34" s="56">
        <f t="shared" si="29"/>
        <v>0</v>
      </c>
      <c r="T34" s="56">
        <f t="shared" si="29"/>
        <v>0</v>
      </c>
    </row>
    <row r="35" spans="1:20">
      <c r="A35" s="98"/>
      <c r="B35" s="98"/>
      <c r="C35" s="98" t="s">
        <v>192</v>
      </c>
      <c r="D35" s="98">
        <f>SUM(D33:D34)</f>
        <v>0</v>
      </c>
      <c r="E35" s="98">
        <f t="shared" ref="E35:T35" si="30">SUM(E33:E34)</f>
        <v>0</v>
      </c>
      <c r="F35" s="98">
        <f t="shared" si="30"/>
        <v>0</v>
      </c>
      <c r="G35" s="98">
        <f t="shared" si="30"/>
        <v>0</v>
      </c>
      <c r="H35" s="98">
        <f t="shared" si="30"/>
        <v>0</v>
      </c>
      <c r="I35" s="98">
        <f t="shared" si="30"/>
        <v>0</v>
      </c>
      <c r="J35" s="98">
        <f t="shared" si="30"/>
        <v>0</v>
      </c>
      <c r="K35" s="98">
        <f t="shared" si="30"/>
        <v>0</v>
      </c>
      <c r="L35" s="98">
        <f t="shared" si="30"/>
        <v>0</v>
      </c>
      <c r="M35" s="98">
        <f t="shared" si="30"/>
        <v>0</v>
      </c>
      <c r="N35" s="98">
        <f t="shared" si="30"/>
        <v>0</v>
      </c>
      <c r="O35" s="98">
        <f t="shared" si="30"/>
        <v>0</v>
      </c>
      <c r="P35" s="98">
        <f t="shared" si="30"/>
        <v>0</v>
      </c>
      <c r="Q35" s="98">
        <f t="shared" si="30"/>
        <v>0</v>
      </c>
      <c r="R35" s="98">
        <f t="shared" si="30"/>
        <v>0</v>
      </c>
      <c r="S35" s="98">
        <f t="shared" si="30"/>
        <v>0</v>
      </c>
      <c r="T35" s="98">
        <f t="shared" si="30"/>
        <v>0</v>
      </c>
    </row>
    <row r="36" spans="1:20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</row>
    <row r="37" spans="1:20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</row>
    <row r="38" spans="1:20">
      <c r="A38" s="121" t="s">
        <v>210</v>
      </c>
      <c r="B38" s="121"/>
      <c r="C38" s="122" t="s">
        <v>581</v>
      </c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</row>
    <row r="39" spans="1:20" ht="15.15" thickBot="1">
      <c r="A39" s="123" t="s">
        <v>580</v>
      </c>
      <c r="B39" s="123"/>
      <c r="C39" s="123"/>
      <c r="D39" s="124">
        <f>D9</f>
        <v>42004</v>
      </c>
      <c r="E39" s="124">
        <f t="shared" ref="E39:T39" si="31">E9</f>
        <v>42369</v>
      </c>
      <c r="F39" s="124">
        <f t="shared" si="31"/>
        <v>42735</v>
      </c>
      <c r="G39" s="124">
        <f t="shared" si="31"/>
        <v>43100</v>
      </c>
      <c r="H39" s="124">
        <f t="shared" si="31"/>
        <v>43465</v>
      </c>
      <c r="I39" s="124">
        <f t="shared" si="31"/>
        <v>0</v>
      </c>
      <c r="J39" s="124">
        <f t="shared" si="31"/>
        <v>0</v>
      </c>
      <c r="K39" s="124">
        <f t="shared" si="31"/>
        <v>0</v>
      </c>
      <c r="L39" s="124">
        <f t="shared" si="31"/>
        <v>0</v>
      </c>
      <c r="M39" s="124">
        <f t="shared" si="31"/>
        <v>0</v>
      </c>
      <c r="N39" s="124">
        <f t="shared" si="31"/>
        <v>0</v>
      </c>
      <c r="O39" s="124">
        <f t="shared" si="31"/>
        <v>0</v>
      </c>
      <c r="P39" s="124">
        <f t="shared" si="31"/>
        <v>0</v>
      </c>
      <c r="Q39" s="124">
        <f t="shared" si="31"/>
        <v>0</v>
      </c>
      <c r="R39" s="124">
        <f t="shared" si="31"/>
        <v>0</v>
      </c>
      <c r="S39" s="124">
        <f t="shared" si="31"/>
        <v>0</v>
      </c>
      <c r="T39" s="124">
        <f t="shared" si="31"/>
        <v>0</v>
      </c>
    </row>
    <row r="40" spans="1:20">
      <c r="A40" s="113"/>
      <c r="B40" s="113"/>
      <c r="C40" s="113" t="s">
        <v>211</v>
      </c>
      <c r="D40" s="113">
        <f>D55-D80</f>
        <v>0</v>
      </c>
      <c r="E40" s="113">
        <f t="shared" ref="E40:T40" si="32">E55-E80</f>
        <v>0</v>
      </c>
      <c r="F40" s="113">
        <f t="shared" si="32"/>
        <v>0</v>
      </c>
      <c r="G40" s="113">
        <f t="shared" si="32"/>
        <v>0</v>
      </c>
      <c r="H40" s="113">
        <f t="shared" si="32"/>
        <v>0</v>
      </c>
      <c r="I40" s="113">
        <f t="shared" si="32"/>
        <v>0</v>
      </c>
      <c r="J40" s="113">
        <f t="shared" si="32"/>
        <v>0</v>
      </c>
      <c r="K40" s="113">
        <f t="shared" si="32"/>
        <v>0</v>
      </c>
      <c r="L40" s="113">
        <f t="shared" si="32"/>
        <v>0</v>
      </c>
      <c r="M40" s="113">
        <f t="shared" si="32"/>
        <v>0</v>
      </c>
      <c r="N40" s="113">
        <f t="shared" si="32"/>
        <v>0</v>
      </c>
      <c r="O40" s="113">
        <f t="shared" si="32"/>
        <v>0</v>
      </c>
      <c r="P40" s="113">
        <f t="shared" si="32"/>
        <v>0</v>
      </c>
      <c r="Q40" s="113">
        <f t="shared" si="32"/>
        <v>0</v>
      </c>
      <c r="R40" s="113">
        <f t="shared" si="32"/>
        <v>0</v>
      </c>
      <c r="S40" s="113">
        <f t="shared" si="32"/>
        <v>0</v>
      </c>
      <c r="T40" s="113">
        <f t="shared" si="32"/>
        <v>0</v>
      </c>
    </row>
    <row r="41" spans="1:20">
      <c r="A41" s="98" t="s">
        <v>212</v>
      </c>
      <c r="B41" s="98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</row>
    <row r="42" spans="1:20">
      <c r="A42" s="56" t="s">
        <v>55</v>
      </c>
      <c r="B42" s="56"/>
      <c r="C42" s="56" t="s">
        <v>213</v>
      </c>
      <c r="D42" s="56">
        <f t="shared" ref="D42:M47" si="33">IFERROR(SUMIF($A$88:$A$416,$A42,INDEX($D$88:$EE$416,0,MATCH(D$11,$D$84:$EF$84,0))),0)*Input_unit</f>
        <v>0</v>
      </c>
      <c r="E42" s="56">
        <f t="shared" si="33"/>
        <v>0</v>
      </c>
      <c r="F42" s="56">
        <f t="shared" si="33"/>
        <v>0</v>
      </c>
      <c r="G42" s="56">
        <f t="shared" si="33"/>
        <v>0</v>
      </c>
      <c r="H42" s="56">
        <f t="shared" si="33"/>
        <v>0</v>
      </c>
      <c r="I42" s="56">
        <f t="shared" si="33"/>
        <v>0</v>
      </c>
      <c r="J42" s="56">
        <f t="shared" si="33"/>
        <v>0</v>
      </c>
      <c r="K42" s="56">
        <f t="shared" si="33"/>
        <v>0</v>
      </c>
      <c r="L42" s="56">
        <f t="shared" si="33"/>
        <v>0</v>
      </c>
      <c r="M42" s="56">
        <f t="shared" si="33"/>
        <v>0</v>
      </c>
      <c r="N42" s="56">
        <f t="shared" ref="N42:T47" si="34">IFERROR(SUMIF($A$88:$A$416,$A42,INDEX($D$88:$EE$416,0,MATCH(N$11,$D$84:$EF$84,0))),0)*Input_unit</f>
        <v>0</v>
      </c>
      <c r="O42" s="56">
        <f t="shared" si="34"/>
        <v>0</v>
      </c>
      <c r="P42" s="56">
        <f t="shared" si="34"/>
        <v>0</v>
      </c>
      <c r="Q42" s="56">
        <f t="shared" si="34"/>
        <v>0</v>
      </c>
      <c r="R42" s="56">
        <f t="shared" si="34"/>
        <v>0</v>
      </c>
      <c r="S42" s="56">
        <f t="shared" si="34"/>
        <v>0</v>
      </c>
      <c r="T42" s="56">
        <f t="shared" si="34"/>
        <v>0</v>
      </c>
    </row>
    <row r="43" spans="1:20">
      <c r="A43" s="56" t="s">
        <v>56</v>
      </c>
      <c r="B43" s="56"/>
      <c r="C43" s="56" t="s">
        <v>214</v>
      </c>
      <c r="D43" s="56">
        <f t="shared" si="33"/>
        <v>0</v>
      </c>
      <c r="E43" s="56">
        <f t="shared" si="33"/>
        <v>0</v>
      </c>
      <c r="F43" s="56">
        <f t="shared" si="33"/>
        <v>0</v>
      </c>
      <c r="G43" s="56">
        <f t="shared" si="33"/>
        <v>0</v>
      </c>
      <c r="H43" s="56">
        <f t="shared" si="33"/>
        <v>0</v>
      </c>
      <c r="I43" s="56">
        <f t="shared" si="33"/>
        <v>0</v>
      </c>
      <c r="J43" s="56">
        <f t="shared" si="33"/>
        <v>0</v>
      </c>
      <c r="K43" s="56">
        <f t="shared" si="33"/>
        <v>0</v>
      </c>
      <c r="L43" s="56">
        <f t="shared" si="33"/>
        <v>0</v>
      </c>
      <c r="M43" s="56">
        <f t="shared" si="33"/>
        <v>0</v>
      </c>
      <c r="N43" s="56">
        <f t="shared" si="34"/>
        <v>0</v>
      </c>
      <c r="O43" s="56">
        <f t="shared" si="34"/>
        <v>0</v>
      </c>
      <c r="P43" s="56">
        <f t="shared" si="34"/>
        <v>0</v>
      </c>
      <c r="Q43" s="56">
        <f t="shared" si="34"/>
        <v>0</v>
      </c>
      <c r="R43" s="56">
        <f t="shared" si="34"/>
        <v>0</v>
      </c>
      <c r="S43" s="56">
        <f t="shared" si="34"/>
        <v>0</v>
      </c>
      <c r="T43" s="56">
        <f t="shared" si="34"/>
        <v>0</v>
      </c>
    </row>
    <row r="44" spans="1:20">
      <c r="A44" s="56" t="s">
        <v>63</v>
      </c>
      <c r="B44" s="56"/>
      <c r="C44" s="97" t="s">
        <v>215</v>
      </c>
      <c r="D44" s="56">
        <f t="shared" si="33"/>
        <v>0</v>
      </c>
      <c r="E44" s="56">
        <f t="shared" si="33"/>
        <v>0</v>
      </c>
      <c r="F44" s="56">
        <f t="shared" si="33"/>
        <v>0</v>
      </c>
      <c r="G44" s="56">
        <f t="shared" si="33"/>
        <v>0</v>
      </c>
      <c r="H44" s="56">
        <f t="shared" si="33"/>
        <v>0</v>
      </c>
      <c r="I44" s="56">
        <f t="shared" si="33"/>
        <v>0</v>
      </c>
      <c r="J44" s="56">
        <f t="shared" si="33"/>
        <v>0</v>
      </c>
      <c r="K44" s="56">
        <f t="shared" si="33"/>
        <v>0</v>
      </c>
      <c r="L44" s="56">
        <f t="shared" si="33"/>
        <v>0</v>
      </c>
      <c r="M44" s="56">
        <f t="shared" si="33"/>
        <v>0</v>
      </c>
      <c r="N44" s="56">
        <f t="shared" si="34"/>
        <v>0</v>
      </c>
      <c r="O44" s="56">
        <f t="shared" si="34"/>
        <v>0</v>
      </c>
      <c r="P44" s="56">
        <f t="shared" si="34"/>
        <v>0</v>
      </c>
      <c r="Q44" s="56">
        <f t="shared" si="34"/>
        <v>0</v>
      </c>
      <c r="R44" s="56">
        <f t="shared" si="34"/>
        <v>0</v>
      </c>
      <c r="S44" s="56">
        <f t="shared" si="34"/>
        <v>0</v>
      </c>
      <c r="T44" s="56">
        <f t="shared" si="34"/>
        <v>0</v>
      </c>
    </row>
    <row r="45" spans="1:20">
      <c r="A45" s="56" t="s">
        <v>58</v>
      </c>
      <c r="B45" s="56"/>
      <c r="C45" s="97" t="s">
        <v>6</v>
      </c>
      <c r="D45" s="56">
        <f t="shared" si="33"/>
        <v>0</v>
      </c>
      <c r="E45" s="56">
        <f t="shared" si="33"/>
        <v>0</v>
      </c>
      <c r="F45" s="56">
        <f t="shared" si="33"/>
        <v>0</v>
      </c>
      <c r="G45" s="56">
        <f t="shared" si="33"/>
        <v>0</v>
      </c>
      <c r="H45" s="56">
        <f t="shared" si="33"/>
        <v>0</v>
      </c>
      <c r="I45" s="56">
        <f t="shared" si="33"/>
        <v>0</v>
      </c>
      <c r="J45" s="56">
        <f t="shared" si="33"/>
        <v>0</v>
      </c>
      <c r="K45" s="56">
        <f t="shared" si="33"/>
        <v>0</v>
      </c>
      <c r="L45" s="56">
        <f t="shared" si="33"/>
        <v>0</v>
      </c>
      <c r="M45" s="56">
        <f t="shared" si="33"/>
        <v>0</v>
      </c>
      <c r="N45" s="56">
        <f t="shared" si="34"/>
        <v>0</v>
      </c>
      <c r="O45" s="56">
        <f t="shared" si="34"/>
        <v>0</v>
      </c>
      <c r="P45" s="56">
        <f t="shared" si="34"/>
        <v>0</v>
      </c>
      <c r="Q45" s="56">
        <f t="shared" si="34"/>
        <v>0</v>
      </c>
      <c r="R45" s="56">
        <f t="shared" si="34"/>
        <v>0</v>
      </c>
      <c r="S45" s="56">
        <f t="shared" si="34"/>
        <v>0</v>
      </c>
      <c r="T45" s="56">
        <f t="shared" si="34"/>
        <v>0</v>
      </c>
    </row>
    <row r="46" spans="1:20">
      <c r="A46" s="56" t="s">
        <v>57</v>
      </c>
      <c r="B46" s="56"/>
      <c r="C46" s="97" t="s">
        <v>582</v>
      </c>
      <c r="D46" s="56">
        <f t="shared" si="33"/>
        <v>0</v>
      </c>
      <c r="E46" s="56">
        <f t="shared" si="33"/>
        <v>0</v>
      </c>
      <c r="F46" s="56">
        <f t="shared" si="33"/>
        <v>0</v>
      </c>
      <c r="G46" s="56">
        <f t="shared" si="33"/>
        <v>0</v>
      </c>
      <c r="H46" s="56">
        <f t="shared" si="33"/>
        <v>0</v>
      </c>
      <c r="I46" s="56">
        <f t="shared" si="33"/>
        <v>0</v>
      </c>
      <c r="J46" s="56">
        <f t="shared" si="33"/>
        <v>0</v>
      </c>
      <c r="K46" s="56">
        <f t="shared" si="33"/>
        <v>0</v>
      </c>
      <c r="L46" s="56">
        <f t="shared" si="33"/>
        <v>0</v>
      </c>
      <c r="M46" s="56">
        <f t="shared" si="33"/>
        <v>0</v>
      </c>
      <c r="N46" s="56">
        <f t="shared" si="34"/>
        <v>0</v>
      </c>
      <c r="O46" s="56">
        <f t="shared" si="34"/>
        <v>0</v>
      </c>
      <c r="P46" s="56">
        <f t="shared" si="34"/>
        <v>0</v>
      </c>
      <c r="Q46" s="56">
        <f t="shared" si="34"/>
        <v>0</v>
      </c>
      <c r="R46" s="56">
        <f t="shared" si="34"/>
        <v>0</v>
      </c>
      <c r="S46" s="56">
        <f t="shared" si="34"/>
        <v>0</v>
      </c>
      <c r="T46" s="56">
        <f t="shared" si="34"/>
        <v>0</v>
      </c>
    </row>
    <row r="47" spans="1:20">
      <c r="A47" s="56" t="s">
        <v>60</v>
      </c>
      <c r="B47" s="56"/>
      <c r="C47" s="97" t="s">
        <v>216</v>
      </c>
      <c r="D47" s="56">
        <f t="shared" si="33"/>
        <v>0</v>
      </c>
      <c r="E47" s="56">
        <f t="shared" si="33"/>
        <v>0</v>
      </c>
      <c r="F47" s="56">
        <f t="shared" si="33"/>
        <v>0</v>
      </c>
      <c r="G47" s="56">
        <f t="shared" si="33"/>
        <v>0</v>
      </c>
      <c r="H47" s="56">
        <f t="shared" si="33"/>
        <v>0</v>
      </c>
      <c r="I47" s="56">
        <f t="shared" si="33"/>
        <v>0</v>
      </c>
      <c r="J47" s="56">
        <f t="shared" si="33"/>
        <v>0</v>
      </c>
      <c r="K47" s="56">
        <f t="shared" si="33"/>
        <v>0</v>
      </c>
      <c r="L47" s="56">
        <f t="shared" si="33"/>
        <v>0</v>
      </c>
      <c r="M47" s="56">
        <f t="shared" si="33"/>
        <v>0</v>
      </c>
      <c r="N47" s="56">
        <f t="shared" si="34"/>
        <v>0</v>
      </c>
      <c r="O47" s="56">
        <f t="shared" si="34"/>
        <v>0</v>
      </c>
      <c r="P47" s="56">
        <f t="shared" si="34"/>
        <v>0</v>
      </c>
      <c r="Q47" s="56">
        <f t="shared" si="34"/>
        <v>0</v>
      </c>
      <c r="R47" s="56">
        <f t="shared" si="34"/>
        <v>0</v>
      </c>
      <c r="S47" s="56">
        <f t="shared" si="34"/>
        <v>0</v>
      </c>
      <c r="T47" s="56">
        <f t="shared" si="34"/>
        <v>0</v>
      </c>
    </row>
    <row r="48" spans="1:20">
      <c r="A48" s="98"/>
      <c r="B48" s="98"/>
      <c r="C48" s="99" t="s">
        <v>217</v>
      </c>
      <c r="D48" s="98">
        <f>SUM(D42:D47)</f>
        <v>0</v>
      </c>
      <c r="E48" s="98">
        <f t="shared" ref="E48:T48" si="35">SUM(E42:E47)</f>
        <v>0</v>
      </c>
      <c r="F48" s="98">
        <f t="shared" si="35"/>
        <v>0</v>
      </c>
      <c r="G48" s="98">
        <f t="shared" si="35"/>
        <v>0</v>
      </c>
      <c r="H48" s="98">
        <f t="shared" si="35"/>
        <v>0</v>
      </c>
      <c r="I48" s="98">
        <f t="shared" si="35"/>
        <v>0</v>
      </c>
      <c r="J48" s="98">
        <f t="shared" si="35"/>
        <v>0</v>
      </c>
      <c r="K48" s="98">
        <f t="shared" si="35"/>
        <v>0</v>
      </c>
      <c r="L48" s="98">
        <f t="shared" si="35"/>
        <v>0</v>
      </c>
      <c r="M48" s="98">
        <f t="shared" si="35"/>
        <v>0</v>
      </c>
      <c r="N48" s="98">
        <f t="shared" si="35"/>
        <v>0</v>
      </c>
      <c r="O48" s="98">
        <f t="shared" si="35"/>
        <v>0</v>
      </c>
      <c r="P48" s="98">
        <f t="shared" si="35"/>
        <v>0</v>
      </c>
      <c r="Q48" s="98">
        <f t="shared" si="35"/>
        <v>0</v>
      </c>
      <c r="R48" s="98">
        <f t="shared" si="35"/>
        <v>0</v>
      </c>
      <c r="S48" s="98">
        <f t="shared" si="35"/>
        <v>0</v>
      </c>
      <c r="T48" s="98">
        <f t="shared" si="35"/>
        <v>0</v>
      </c>
    </row>
    <row r="49" spans="1:20">
      <c r="A49" s="56" t="s">
        <v>583</v>
      </c>
      <c r="B49" s="56"/>
      <c r="C49" s="97" t="s">
        <v>218</v>
      </c>
      <c r="D49" s="56">
        <f t="shared" ref="D49:M53" si="36">IFERROR(SUMIF($A$88:$A$416,$A49,INDEX($D$88:$EE$416,0,MATCH(D$11,$D$84:$EF$84,0))),0)*Input_unit</f>
        <v>0</v>
      </c>
      <c r="E49" s="56">
        <f t="shared" si="36"/>
        <v>0</v>
      </c>
      <c r="F49" s="56">
        <f t="shared" si="36"/>
        <v>0</v>
      </c>
      <c r="G49" s="56">
        <f t="shared" si="36"/>
        <v>0</v>
      </c>
      <c r="H49" s="56">
        <f t="shared" si="36"/>
        <v>0</v>
      </c>
      <c r="I49" s="56">
        <f t="shared" si="36"/>
        <v>0</v>
      </c>
      <c r="J49" s="56">
        <f t="shared" si="36"/>
        <v>0</v>
      </c>
      <c r="K49" s="56">
        <f t="shared" si="36"/>
        <v>0</v>
      </c>
      <c r="L49" s="56">
        <f t="shared" si="36"/>
        <v>0</v>
      </c>
      <c r="M49" s="56">
        <f t="shared" si="36"/>
        <v>0</v>
      </c>
      <c r="N49" s="56">
        <f t="shared" ref="N49:T53" si="37">IFERROR(SUMIF($A$88:$A$416,$A49,INDEX($D$88:$EE$416,0,MATCH(N$11,$D$84:$EF$84,0))),0)*Input_unit</f>
        <v>0</v>
      </c>
      <c r="O49" s="56">
        <f t="shared" si="37"/>
        <v>0</v>
      </c>
      <c r="P49" s="56">
        <f t="shared" si="37"/>
        <v>0</v>
      </c>
      <c r="Q49" s="56">
        <f t="shared" si="37"/>
        <v>0</v>
      </c>
      <c r="R49" s="56">
        <f t="shared" si="37"/>
        <v>0</v>
      </c>
      <c r="S49" s="56">
        <f t="shared" si="37"/>
        <v>0</v>
      </c>
      <c r="T49" s="56">
        <f t="shared" si="37"/>
        <v>0</v>
      </c>
    </row>
    <row r="50" spans="1:20">
      <c r="A50" s="56" t="s">
        <v>584</v>
      </c>
      <c r="B50" s="56"/>
      <c r="C50" s="97" t="s">
        <v>219</v>
      </c>
      <c r="D50" s="56">
        <f t="shared" si="36"/>
        <v>0</v>
      </c>
      <c r="E50" s="56">
        <f t="shared" si="36"/>
        <v>0</v>
      </c>
      <c r="F50" s="56">
        <f t="shared" si="36"/>
        <v>0</v>
      </c>
      <c r="G50" s="56">
        <f t="shared" si="36"/>
        <v>0</v>
      </c>
      <c r="H50" s="56">
        <f t="shared" si="36"/>
        <v>0</v>
      </c>
      <c r="I50" s="56">
        <f t="shared" si="36"/>
        <v>0</v>
      </c>
      <c r="J50" s="56">
        <f t="shared" si="36"/>
        <v>0</v>
      </c>
      <c r="K50" s="56">
        <f t="shared" si="36"/>
        <v>0</v>
      </c>
      <c r="L50" s="56">
        <f t="shared" si="36"/>
        <v>0</v>
      </c>
      <c r="M50" s="56">
        <f t="shared" si="36"/>
        <v>0</v>
      </c>
      <c r="N50" s="56">
        <f t="shared" si="37"/>
        <v>0</v>
      </c>
      <c r="O50" s="56">
        <f t="shared" si="37"/>
        <v>0</v>
      </c>
      <c r="P50" s="56">
        <f t="shared" si="37"/>
        <v>0</v>
      </c>
      <c r="Q50" s="56">
        <f t="shared" si="37"/>
        <v>0</v>
      </c>
      <c r="R50" s="56">
        <f t="shared" si="37"/>
        <v>0</v>
      </c>
      <c r="S50" s="56">
        <f t="shared" si="37"/>
        <v>0</v>
      </c>
      <c r="T50" s="56">
        <f t="shared" si="37"/>
        <v>0</v>
      </c>
    </row>
    <row r="51" spans="1:20">
      <c r="A51" s="56" t="s">
        <v>66</v>
      </c>
      <c r="B51" s="56"/>
      <c r="C51" s="97" t="s">
        <v>220</v>
      </c>
      <c r="D51" s="56">
        <f t="shared" si="36"/>
        <v>0</v>
      </c>
      <c r="E51" s="56">
        <f t="shared" si="36"/>
        <v>0</v>
      </c>
      <c r="F51" s="56">
        <f t="shared" si="36"/>
        <v>0</v>
      </c>
      <c r="G51" s="56">
        <f t="shared" si="36"/>
        <v>0</v>
      </c>
      <c r="H51" s="56">
        <f t="shared" si="36"/>
        <v>0</v>
      </c>
      <c r="I51" s="56">
        <f t="shared" si="36"/>
        <v>0</v>
      </c>
      <c r="J51" s="56">
        <f t="shared" si="36"/>
        <v>0</v>
      </c>
      <c r="K51" s="56">
        <f t="shared" si="36"/>
        <v>0</v>
      </c>
      <c r="L51" s="56">
        <f t="shared" si="36"/>
        <v>0</v>
      </c>
      <c r="M51" s="56">
        <f t="shared" si="36"/>
        <v>0</v>
      </c>
      <c r="N51" s="56">
        <f t="shared" si="37"/>
        <v>0</v>
      </c>
      <c r="O51" s="56">
        <f t="shared" si="37"/>
        <v>0</v>
      </c>
      <c r="P51" s="56">
        <f t="shared" si="37"/>
        <v>0</v>
      </c>
      <c r="Q51" s="56">
        <f t="shared" si="37"/>
        <v>0</v>
      </c>
      <c r="R51" s="56">
        <f t="shared" si="37"/>
        <v>0</v>
      </c>
      <c r="S51" s="56">
        <f t="shared" si="37"/>
        <v>0</v>
      </c>
      <c r="T51" s="56">
        <f t="shared" si="37"/>
        <v>0</v>
      </c>
    </row>
    <row r="52" spans="1:20">
      <c r="A52" s="56" t="s">
        <v>585</v>
      </c>
      <c r="B52" s="56"/>
      <c r="C52" s="56" t="s">
        <v>221</v>
      </c>
      <c r="D52" s="56">
        <f t="shared" si="36"/>
        <v>0</v>
      </c>
      <c r="E52" s="56">
        <f t="shared" si="36"/>
        <v>0</v>
      </c>
      <c r="F52" s="56">
        <f t="shared" si="36"/>
        <v>0</v>
      </c>
      <c r="G52" s="56">
        <f t="shared" si="36"/>
        <v>0</v>
      </c>
      <c r="H52" s="56">
        <f t="shared" si="36"/>
        <v>0</v>
      </c>
      <c r="I52" s="56">
        <f t="shared" si="36"/>
        <v>0</v>
      </c>
      <c r="J52" s="56">
        <f t="shared" si="36"/>
        <v>0</v>
      </c>
      <c r="K52" s="56">
        <f t="shared" si="36"/>
        <v>0</v>
      </c>
      <c r="L52" s="56">
        <f t="shared" si="36"/>
        <v>0</v>
      </c>
      <c r="M52" s="56">
        <f t="shared" si="36"/>
        <v>0</v>
      </c>
      <c r="N52" s="56">
        <f t="shared" si="37"/>
        <v>0</v>
      </c>
      <c r="O52" s="56">
        <f t="shared" si="37"/>
        <v>0</v>
      </c>
      <c r="P52" s="56">
        <f t="shared" si="37"/>
        <v>0</v>
      </c>
      <c r="Q52" s="56">
        <f t="shared" si="37"/>
        <v>0</v>
      </c>
      <c r="R52" s="56">
        <f t="shared" si="37"/>
        <v>0</v>
      </c>
      <c r="S52" s="56">
        <f t="shared" si="37"/>
        <v>0</v>
      </c>
      <c r="T52" s="56">
        <f t="shared" si="37"/>
        <v>0</v>
      </c>
    </row>
    <row r="53" spans="1:20">
      <c r="A53" s="56" t="s">
        <v>82</v>
      </c>
      <c r="B53" s="56"/>
      <c r="C53" s="56" t="s">
        <v>222</v>
      </c>
      <c r="D53" s="56">
        <f t="shared" si="36"/>
        <v>0</v>
      </c>
      <c r="E53" s="56">
        <f t="shared" si="36"/>
        <v>0</v>
      </c>
      <c r="F53" s="56">
        <f t="shared" si="36"/>
        <v>0</v>
      </c>
      <c r="G53" s="56">
        <f t="shared" si="36"/>
        <v>0</v>
      </c>
      <c r="H53" s="56">
        <f t="shared" si="36"/>
        <v>0</v>
      </c>
      <c r="I53" s="56">
        <f t="shared" si="36"/>
        <v>0</v>
      </c>
      <c r="J53" s="56">
        <f t="shared" si="36"/>
        <v>0</v>
      </c>
      <c r="K53" s="56">
        <f t="shared" si="36"/>
        <v>0</v>
      </c>
      <c r="L53" s="56">
        <f t="shared" si="36"/>
        <v>0</v>
      </c>
      <c r="M53" s="56">
        <f t="shared" si="36"/>
        <v>0</v>
      </c>
      <c r="N53" s="56">
        <f t="shared" si="37"/>
        <v>0</v>
      </c>
      <c r="O53" s="56">
        <f t="shared" si="37"/>
        <v>0</v>
      </c>
      <c r="P53" s="56">
        <f t="shared" si="37"/>
        <v>0</v>
      </c>
      <c r="Q53" s="56">
        <f t="shared" si="37"/>
        <v>0</v>
      </c>
      <c r="R53" s="56">
        <f t="shared" si="37"/>
        <v>0</v>
      </c>
      <c r="S53" s="56">
        <f t="shared" si="37"/>
        <v>0</v>
      </c>
      <c r="T53" s="56">
        <f t="shared" si="37"/>
        <v>0</v>
      </c>
    </row>
    <row r="54" spans="1:20">
      <c r="A54" s="98"/>
      <c r="B54" s="98"/>
      <c r="C54" s="98" t="s">
        <v>223</v>
      </c>
      <c r="D54" s="98">
        <f>SUM(D49:D53)</f>
        <v>0</v>
      </c>
      <c r="E54" s="98">
        <f t="shared" ref="E54:T54" si="38">SUM(E49:E53)</f>
        <v>0</v>
      </c>
      <c r="F54" s="98">
        <f t="shared" si="38"/>
        <v>0</v>
      </c>
      <c r="G54" s="98">
        <f t="shared" si="38"/>
        <v>0</v>
      </c>
      <c r="H54" s="98">
        <f t="shared" si="38"/>
        <v>0</v>
      </c>
      <c r="I54" s="98">
        <f t="shared" si="38"/>
        <v>0</v>
      </c>
      <c r="J54" s="98">
        <f t="shared" si="38"/>
        <v>0</v>
      </c>
      <c r="K54" s="98">
        <f t="shared" si="38"/>
        <v>0</v>
      </c>
      <c r="L54" s="98">
        <f t="shared" si="38"/>
        <v>0</v>
      </c>
      <c r="M54" s="98">
        <f t="shared" si="38"/>
        <v>0</v>
      </c>
      <c r="N54" s="98">
        <f t="shared" si="38"/>
        <v>0</v>
      </c>
      <c r="O54" s="98">
        <f t="shared" si="38"/>
        <v>0</v>
      </c>
      <c r="P54" s="98">
        <f t="shared" si="38"/>
        <v>0</v>
      </c>
      <c r="Q54" s="98">
        <f t="shared" si="38"/>
        <v>0</v>
      </c>
      <c r="R54" s="98">
        <f t="shared" si="38"/>
        <v>0</v>
      </c>
      <c r="S54" s="98">
        <f t="shared" si="38"/>
        <v>0</v>
      </c>
      <c r="T54" s="98">
        <f t="shared" si="38"/>
        <v>0</v>
      </c>
    </row>
    <row r="55" spans="1:20">
      <c r="A55" s="98"/>
      <c r="B55" s="98"/>
      <c r="C55" s="98" t="s">
        <v>10</v>
      </c>
      <c r="D55" s="98">
        <f>D48+D54</f>
        <v>0</v>
      </c>
      <c r="E55" s="98">
        <f t="shared" ref="E55:T55" si="39">E48+E54</f>
        <v>0</v>
      </c>
      <c r="F55" s="98">
        <f t="shared" si="39"/>
        <v>0</v>
      </c>
      <c r="G55" s="98">
        <f t="shared" si="39"/>
        <v>0</v>
      </c>
      <c r="H55" s="98">
        <f t="shared" si="39"/>
        <v>0</v>
      </c>
      <c r="I55" s="98">
        <f t="shared" si="39"/>
        <v>0</v>
      </c>
      <c r="J55" s="98">
        <f t="shared" si="39"/>
        <v>0</v>
      </c>
      <c r="K55" s="98">
        <f t="shared" si="39"/>
        <v>0</v>
      </c>
      <c r="L55" s="98">
        <f t="shared" si="39"/>
        <v>0</v>
      </c>
      <c r="M55" s="98">
        <f t="shared" si="39"/>
        <v>0</v>
      </c>
      <c r="N55" s="98">
        <f t="shared" si="39"/>
        <v>0</v>
      </c>
      <c r="O55" s="98">
        <f t="shared" si="39"/>
        <v>0</v>
      </c>
      <c r="P55" s="98">
        <f t="shared" si="39"/>
        <v>0</v>
      </c>
      <c r="Q55" s="98">
        <f t="shared" si="39"/>
        <v>0</v>
      </c>
      <c r="R55" s="98">
        <f t="shared" si="39"/>
        <v>0</v>
      </c>
      <c r="S55" s="98">
        <f t="shared" si="39"/>
        <v>0</v>
      </c>
      <c r="T55" s="98">
        <f t="shared" si="39"/>
        <v>0</v>
      </c>
    </row>
    <row r="56" spans="1:20">
      <c r="A56" s="98" t="s">
        <v>224</v>
      </c>
      <c r="B56" s="98"/>
      <c r="C56" s="56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</row>
    <row r="57" spans="1:20">
      <c r="A57" s="56" t="s">
        <v>100</v>
      </c>
      <c r="B57" s="56"/>
      <c r="C57" s="56" t="s">
        <v>225</v>
      </c>
      <c r="D57" s="56">
        <f t="shared" ref="D57:M64" si="40">IFERROR(SUMIF($A$88:$A$416,$A57,INDEX($D$88:$EE$416,0,MATCH(D$11,$D$84:$EF$84,0))),0)*Input_unit</f>
        <v>0</v>
      </c>
      <c r="E57" s="56">
        <f t="shared" si="40"/>
        <v>0</v>
      </c>
      <c r="F57" s="56">
        <f t="shared" si="40"/>
        <v>0</v>
      </c>
      <c r="G57" s="56">
        <f t="shared" si="40"/>
        <v>0</v>
      </c>
      <c r="H57" s="56">
        <f t="shared" si="40"/>
        <v>0</v>
      </c>
      <c r="I57" s="56">
        <f t="shared" si="40"/>
        <v>0</v>
      </c>
      <c r="J57" s="56">
        <f t="shared" si="40"/>
        <v>0</v>
      </c>
      <c r="K57" s="56">
        <f t="shared" si="40"/>
        <v>0</v>
      </c>
      <c r="L57" s="56">
        <f t="shared" si="40"/>
        <v>0</v>
      </c>
      <c r="M57" s="56">
        <f t="shared" si="40"/>
        <v>0</v>
      </c>
      <c r="N57" s="56">
        <f t="shared" ref="N57:T64" si="41">IFERROR(SUMIF($A$88:$A$416,$A57,INDEX($D$88:$EE$416,0,MATCH(N$11,$D$84:$EF$84,0))),0)*Input_unit</f>
        <v>0</v>
      </c>
      <c r="O57" s="56">
        <f t="shared" si="41"/>
        <v>0</v>
      </c>
      <c r="P57" s="56">
        <f t="shared" si="41"/>
        <v>0</v>
      </c>
      <c r="Q57" s="56">
        <f t="shared" si="41"/>
        <v>0</v>
      </c>
      <c r="R57" s="56">
        <f t="shared" si="41"/>
        <v>0</v>
      </c>
      <c r="S57" s="56">
        <f t="shared" si="41"/>
        <v>0</v>
      </c>
      <c r="T57" s="56">
        <f t="shared" si="41"/>
        <v>0</v>
      </c>
    </row>
    <row r="58" spans="1:20">
      <c r="A58" s="56" t="s">
        <v>586</v>
      </c>
      <c r="B58" s="56"/>
      <c r="C58" s="56" t="s">
        <v>226</v>
      </c>
      <c r="D58" s="56">
        <f t="shared" si="40"/>
        <v>0</v>
      </c>
      <c r="E58" s="56">
        <f t="shared" si="40"/>
        <v>0</v>
      </c>
      <c r="F58" s="56">
        <f t="shared" si="40"/>
        <v>0</v>
      </c>
      <c r="G58" s="56">
        <f t="shared" si="40"/>
        <v>0</v>
      </c>
      <c r="H58" s="56">
        <f t="shared" si="40"/>
        <v>0</v>
      </c>
      <c r="I58" s="56">
        <f t="shared" si="40"/>
        <v>0</v>
      </c>
      <c r="J58" s="56">
        <f t="shared" si="40"/>
        <v>0</v>
      </c>
      <c r="K58" s="56">
        <f t="shared" si="40"/>
        <v>0</v>
      </c>
      <c r="L58" s="56">
        <f t="shared" si="40"/>
        <v>0</v>
      </c>
      <c r="M58" s="56">
        <f t="shared" si="40"/>
        <v>0</v>
      </c>
      <c r="N58" s="56">
        <f t="shared" si="41"/>
        <v>0</v>
      </c>
      <c r="O58" s="56">
        <f t="shared" si="41"/>
        <v>0</v>
      </c>
      <c r="P58" s="56">
        <f t="shared" si="41"/>
        <v>0</v>
      </c>
      <c r="Q58" s="56">
        <f t="shared" si="41"/>
        <v>0</v>
      </c>
      <c r="R58" s="56">
        <f t="shared" si="41"/>
        <v>0</v>
      </c>
      <c r="S58" s="56">
        <f t="shared" si="41"/>
        <v>0</v>
      </c>
      <c r="T58" s="56">
        <f t="shared" si="41"/>
        <v>0</v>
      </c>
    </row>
    <row r="59" spans="1:20">
      <c r="A59" s="56" t="s">
        <v>587</v>
      </c>
      <c r="B59" s="56"/>
      <c r="C59" s="56" t="s">
        <v>227</v>
      </c>
      <c r="D59" s="56">
        <f t="shared" si="40"/>
        <v>0</v>
      </c>
      <c r="E59" s="56">
        <f t="shared" si="40"/>
        <v>0</v>
      </c>
      <c r="F59" s="56">
        <f t="shared" si="40"/>
        <v>0</v>
      </c>
      <c r="G59" s="56">
        <f t="shared" si="40"/>
        <v>0</v>
      </c>
      <c r="H59" s="56">
        <f t="shared" si="40"/>
        <v>0</v>
      </c>
      <c r="I59" s="56">
        <f t="shared" si="40"/>
        <v>0</v>
      </c>
      <c r="J59" s="56">
        <f t="shared" si="40"/>
        <v>0</v>
      </c>
      <c r="K59" s="56">
        <f t="shared" si="40"/>
        <v>0</v>
      </c>
      <c r="L59" s="56">
        <f t="shared" si="40"/>
        <v>0</v>
      </c>
      <c r="M59" s="56">
        <f t="shared" si="40"/>
        <v>0</v>
      </c>
      <c r="N59" s="56">
        <f t="shared" si="41"/>
        <v>0</v>
      </c>
      <c r="O59" s="56">
        <f t="shared" si="41"/>
        <v>0</v>
      </c>
      <c r="P59" s="56">
        <f t="shared" si="41"/>
        <v>0</v>
      </c>
      <c r="Q59" s="56">
        <f t="shared" si="41"/>
        <v>0</v>
      </c>
      <c r="R59" s="56">
        <f t="shared" si="41"/>
        <v>0</v>
      </c>
      <c r="S59" s="56">
        <f t="shared" si="41"/>
        <v>0</v>
      </c>
      <c r="T59" s="56">
        <f t="shared" si="41"/>
        <v>0</v>
      </c>
    </row>
    <row r="60" spans="1:20">
      <c r="A60" s="56" t="s">
        <v>588</v>
      </c>
      <c r="B60" s="56"/>
      <c r="C60" s="97" t="s">
        <v>228</v>
      </c>
      <c r="D60" s="56">
        <f t="shared" si="40"/>
        <v>0</v>
      </c>
      <c r="E60" s="56">
        <f t="shared" si="40"/>
        <v>0</v>
      </c>
      <c r="F60" s="56">
        <f t="shared" si="40"/>
        <v>0</v>
      </c>
      <c r="G60" s="56">
        <f t="shared" si="40"/>
        <v>0</v>
      </c>
      <c r="H60" s="56">
        <f t="shared" si="40"/>
        <v>0</v>
      </c>
      <c r="I60" s="56">
        <f t="shared" si="40"/>
        <v>0</v>
      </c>
      <c r="J60" s="56">
        <f t="shared" si="40"/>
        <v>0</v>
      </c>
      <c r="K60" s="56">
        <f t="shared" si="40"/>
        <v>0</v>
      </c>
      <c r="L60" s="56">
        <f t="shared" si="40"/>
        <v>0</v>
      </c>
      <c r="M60" s="56">
        <f t="shared" si="40"/>
        <v>0</v>
      </c>
      <c r="N60" s="56">
        <f t="shared" si="41"/>
        <v>0</v>
      </c>
      <c r="O60" s="56">
        <f t="shared" si="41"/>
        <v>0</v>
      </c>
      <c r="P60" s="56">
        <f t="shared" si="41"/>
        <v>0</v>
      </c>
      <c r="Q60" s="56">
        <f t="shared" si="41"/>
        <v>0</v>
      </c>
      <c r="R60" s="56">
        <f t="shared" si="41"/>
        <v>0</v>
      </c>
      <c r="S60" s="56">
        <f t="shared" si="41"/>
        <v>0</v>
      </c>
      <c r="T60" s="56">
        <f t="shared" si="41"/>
        <v>0</v>
      </c>
    </row>
    <row r="61" spans="1:20">
      <c r="A61" s="56" t="s">
        <v>96</v>
      </c>
      <c r="B61" s="56"/>
      <c r="C61" s="97" t="s">
        <v>229</v>
      </c>
      <c r="D61" s="56">
        <f t="shared" si="40"/>
        <v>0</v>
      </c>
      <c r="E61" s="56">
        <f t="shared" si="40"/>
        <v>0</v>
      </c>
      <c r="F61" s="56">
        <f t="shared" si="40"/>
        <v>0</v>
      </c>
      <c r="G61" s="56">
        <f t="shared" si="40"/>
        <v>0</v>
      </c>
      <c r="H61" s="56">
        <f t="shared" si="40"/>
        <v>0</v>
      </c>
      <c r="I61" s="56">
        <f t="shared" si="40"/>
        <v>0</v>
      </c>
      <c r="J61" s="56">
        <f t="shared" si="40"/>
        <v>0</v>
      </c>
      <c r="K61" s="56">
        <f t="shared" si="40"/>
        <v>0</v>
      </c>
      <c r="L61" s="56">
        <f t="shared" si="40"/>
        <v>0</v>
      </c>
      <c r="M61" s="56">
        <f t="shared" si="40"/>
        <v>0</v>
      </c>
      <c r="N61" s="56">
        <f t="shared" si="41"/>
        <v>0</v>
      </c>
      <c r="O61" s="56">
        <f t="shared" si="41"/>
        <v>0</v>
      </c>
      <c r="P61" s="56">
        <f t="shared" si="41"/>
        <v>0</v>
      </c>
      <c r="Q61" s="56">
        <f t="shared" si="41"/>
        <v>0</v>
      </c>
      <c r="R61" s="56">
        <f t="shared" si="41"/>
        <v>0</v>
      </c>
      <c r="S61" s="56">
        <f t="shared" si="41"/>
        <v>0</v>
      </c>
      <c r="T61" s="56">
        <f t="shared" si="41"/>
        <v>0</v>
      </c>
    </row>
    <row r="62" spans="1:20">
      <c r="A62" s="56" t="s">
        <v>589</v>
      </c>
      <c r="B62" s="56"/>
      <c r="C62" s="97" t="s">
        <v>230</v>
      </c>
      <c r="D62" s="56">
        <f t="shared" si="40"/>
        <v>0</v>
      </c>
      <c r="E62" s="56">
        <f t="shared" si="40"/>
        <v>0</v>
      </c>
      <c r="F62" s="56">
        <f t="shared" si="40"/>
        <v>0</v>
      </c>
      <c r="G62" s="56">
        <f t="shared" si="40"/>
        <v>0</v>
      </c>
      <c r="H62" s="56">
        <f t="shared" si="40"/>
        <v>0</v>
      </c>
      <c r="I62" s="56">
        <f t="shared" si="40"/>
        <v>0</v>
      </c>
      <c r="J62" s="56">
        <f t="shared" si="40"/>
        <v>0</v>
      </c>
      <c r="K62" s="56">
        <f t="shared" si="40"/>
        <v>0</v>
      </c>
      <c r="L62" s="56">
        <f t="shared" si="40"/>
        <v>0</v>
      </c>
      <c r="M62" s="56">
        <f t="shared" si="40"/>
        <v>0</v>
      </c>
      <c r="N62" s="56">
        <f t="shared" si="41"/>
        <v>0</v>
      </c>
      <c r="O62" s="56">
        <f t="shared" si="41"/>
        <v>0</v>
      </c>
      <c r="P62" s="56">
        <f t="shared" si="41"/>
        <v>0</v>
      </c>
      <c r="Q62" s="56">
        <f t="shared" si="41"/>
        <v>0</v>
      </c>
      <c r="R62" s="56">
        <f t="shared" si="41"/>
        <v>0</v>
      </c>
      <c r="S62" s="56">
        <f t="shared" si="41"/>
        <v>0</v>
      </c>
      <c r="T62" s="56">
        <f t="shared" si="41"/>
        <v>0</v>
      </c>
    </row>
    <row r="63" spans="1:20">
      <c r="A63" s="100" t="s">
        <v>92</v>
      </c>
      <c r="B63" s="100"/>
      <c r="C63" s="101" t="s">
        <v>231</v>
      </c>
      <c r="D63" s="56">
        <f t="shared" si="40"/>
        <v>0</v>
      </c>
      <c r="E63" s="56">
        <f t="shared" si="40"/>
        <v>0</v>
      </c>
      <c r="F63" s="56">
        <f t="shared" si="40"/>
        <v>0</v>
      </c>
      <c r="G63" s="56">
        <f t="shared" si="40"/>
        <v>0</v>
      </c>
      <c r="H63" s="56">
        <f t="shared" si="40"/>
        <v>0</v>
      </c>
      <c r="I63" s="56">
        <f t="shared" si="40"/>
        <v>0</v>
      </c>
      <c r="J63" s="56">
        <f t="shared" si="40"/>
        <v>0</v>
      </c>
      <c r="K63" s="56">
        <f t="shared" si="40"/>
        <v>0</v>
      </c>
      <c r="L63" s="56">
        <f t="shared" si="40"/>
        <v>0</v>
      </c>
      <c r="M63" s="56">
        <f t="shared" si="40"/>
        <v>0</v>
      </c>
      <c r="N63" s="56">
        <f t="shared" si="41"/>
        <v>0</v>
      </c>
      <c r="O63" s="56">
        <f t="shared" si="41"/>
        <v>0</v>
      </c>
      <c r="P63" s="56">
        <f t="shared" si="41"/>
        <v>0</v>
      </c>
      <c r="Q63" s="56">
        <f t="shared" si="41"/>
        <v>0</v>
      </c>
      <c r="R63" s="56">
        <f t="shared" si="41"/>
        <v>0</v>
      </c>
      <c r="S63" s="56">
        <f t="shared" si="41"/>
        <v>0</v>
      </c>
      <c r="T63" s="56">
        <f t="shared" si="41"/>
        <v>0</v>
      </c>
    </row>
    <row r="64" spans="1:20">
      <c r="A64" s="56" t="s">
        <v>590</v>
      </c>
      <c r="B64" s="56"/>
      <c r="C64" s="97" t="s">
        <v>232</v>
      </c>
      <c r="D64" s="56">
        <f t="shared" si="40"/>
        <v>0</v>
      </c>
      <c r="E64" s="56">
        <f t="shared" si="40"/>
        <v>0</v>
      </c>
      <c r="F64" s="56">
        <f t="shared" si="40"/>
        <v>0</v>
      </c>
      <c r="G64" s="56">
        <f t="shared" si="40"/>
        <v>0</v>
      </c>
      <c r="H64" s="56">
        <f t="shared" si="40"/>
        <v>0</v>
      </c>
      <c r="I64" s="56">
        <f t="shared" si="40"/>
        <v>0</v>
      </c>
      <c r="J64" s="56">
        <f t="shared" si="40"/>
        <v>0</v>
      </c>
      <c r="K64" s="56">
        <f t="shared" si="40"/>
        <v>0</v>
      </c>
      <c r="L64" s="56">
        <f t="shared" si="40"/>
        <v>0</v>
      </c>
      <c r="M64" s="56">
        <f t="shared" si="40"/>
        <v>0</v>
      </c>
      <c r="N64" s="56">
        <f t="shared" si="41"/>
        <v>0</v>
      </c>
      <c r="O64" s="56">
        <f t="shared" si="41"/>
        <v>0</v>
      </c>
      <c r="P64" s="56">
        <f t="shared" si="41"/>
        <v>0</v>
      </c>
      <c r="Q64" s="56">
        <f t="shared" si="41"/>
        <v>0</v>
      </c>
      <c r="R64" s="56">
        <f t="shared" si="41"/>
        <v>0</v>
      </c>
      <c r="S64" s="56">
        <f t="shared" si="41"/>
        <v>0</v>
      </c>
      <c r="T64" s="56">
        <f t="shared" si="41"/>
        <v>0</v>
      </c>
    </row>
    <row r="65" spans="1:20">
      <c r="A65" s="98"/>
      <c r="B65" s="98"/>
      <c r="C65" s="99" t="s">
        <v>233</v>
      </c>
      <c r="D65" s="98">
        <f>SUM(D57:D64)</f>
        <v>0</v>
      </c>
      <c r="E65" s="98">
        <f t="shared" ref="E65:T65" si="42">SUM(E57:E64)</f>
        <v>0</v>
      </c>
      <c r="F65" s="98">
        <f t="shared" si="42"/>
        <v>0</v>
      </c>
      <c r="G65" s="98">
        <f t="shared" si="42"/>
        <v>0</v>
      </c>
      <c r="H65" s="98">
        <f t="shared" si="42"/>
        <v>0</v>
      </c>
      <c r="I65" s="98">
        <f t="shared" si="42"/>
        <v>0</v>
      </c>
      <c r="J65" s="98">
        <f t="shared" si="42"/>
        <v>0</v>
      </c>
      <c r="K65" s="98">
        <f t="shared" si="42"/>
        <v>0</v>
      </c>
      <c r="L65" s="98">
        <f t="shared" si="42"/>
        <v>0</v>
      </c>
      <c r="M65" s="98">
        <f t="shared" si="42"/>
        <v>0</v>
      </c>
      <c r="N65" s="98">
        <f t="shared" si="42"/>
        <v>0</v>
      </c>
      <c r="O65" s="98">
        <f t="shared" si="42"/>
        <v>0</v>
      </c>
      <c r="P65" s="98">
        <f t="shared" si="42"/>
        <v>0</v>
      </c>
      <c r="Q65" s="98">
        <f t="shared" si="42"/>
        <v>0</v>
      </c>
      <c r="R65" s="98">
        <f t="shared" si="42"/>
        <v>0</v>
      </c>
      <c r="S65" s="98">
        <f t="shared" si="42"/>
        <v>0</v>
      </c>
      <c r="T65" s="98">
        <f t="shared" si="42"/>
        <v>0</v>
      </c>
    </row>
    <row r="66" spans="1:20">
      <c r="A66" s="56"/>
      <c r="B66" s="56"/>
      <c r="C66" s="97" t="s">
        <v>234</v>
      </c>
      <c r="D66" s="56">
        <f t="shared" ref="D66:M67" si="43">IFERROR(SUMIF($A$88:$A$416,$A66,INDEX($D$88:$EE$416,0,MATCH(D$11,$D$84:$EF$84,0))),0)*Input_unit</f>
        <v>0</v>
      </c>
      <c r="E66" s="56">
        <f t="shared" si="43"/>
        <v>0</v>
      </c>
      <c r="F66" s="56">
        <f t="shared" si="43"/>
        <v>0</v>
      </c>
      <c r="G66" s="56">
        <f t="shared" si="43"/>
        <v>0</v>
      </c>
      <c r="H66" s="56">
        <f t="shared" si="43"/>
        <v>0</v>
      </c>
      <c r="I66" s="56">
        <f t="shared" si="43"/>
        <v>0</v>
      </c>
      <c r="J66" s="56">
        <f t="shared" si="43"/>
        <v>0</v>
      </c>
      <c r="K66" s="56">
        <f t="shared" si="43"/>
        <v>0</v>
      </c>
      <c r="L66" s="56">
        <f t="shared" si="43"/>
        <v>0</v>
      </c>
      <c r="M66" s="56">
        <f t="shared" si="43"/>
        <v>0</v>
      </c>
      <c r="N66" s="56">
        <f t="shared" ref="N66:T67" si="44">IFERROR(SUMIF($A$88:$A$416,$A66,INDEX($D$88:$EE$416,0,MATCH(N$11,$D$84:$EF$84,0))),0)*Input_unit</f>
        <v>0</v>
      </c>
      <c r="O66" s="56">
        <f t="shared" si="44"/>
        <v>0</v>
      </c>
      <c r="P66" s="56">
        <f t="shared" si="44"/>
        <v>0</v>
      </c>
      <c r="Q66" s="56">
        <f t="shared" si="44"/>
        <v>0</v>
      </c>
      <c r="R66" s="56">
        <f t="shared" si="44"/>
        <v>0</v>
      </c>
      <c r="S66" s="56">
        <f t="shared" si="44"/>
        <v>0</v>
      </c>
      <c r="T66" s="56">
        <f t="shared" si="44"/>
        <v>0</v>
      </c>
    </row>
    <row r="67" spans="1:20">
      <c r="A67" s="56" t="s">
        <v>118</v>
      </c>
      <c r="B67" s="56"/>
      <c r="C67" s="97" t="s">
        <v>235</v>
      </c>
      <c r="D67" s="56">
        <f t="shared" si="43"/>
        <v>0</v>
      </c>
      <c r="E67" s="56">
        <f t="shared" si="43"/>
        <v>0</v>
      </c>
      <c r="F67" s="56">
        <f t="shared" si="43"/>
        <v>0</v>
      </c>
      <c r="G67" s="56">
        <f t="shared" si="43"/>
        <v>0</v>
      </c>
      <c r="H67" s="56">
        <f t="shared" si="43"/>
        <v>0</v>
      </c>
      <c r="I67" s="56">
        <f t="shared" si="43"/>
        <v>0</v>
      </c>
      <c r="J67" s="56">
        <f t="shared" si="43"/>
        <v>0</v>
      </c>
      <c r="K67" s="56">
        <f t="shared" si="43"/>
        <v>0</v>
      </c>
      <c r="L67" s="56">
        <f t="shared" si="43"/>
        <v>0</v>
      </c>
      <c r="M67" s="56">
        <f t="shared" si="43"/>
        <v>0</v>
      </c>
      <c r="N67" s="56">
        <f t="shared" si="44"/>
        <v>0</v>
      </c>
      <c r="O67" s="56">
        <f t="shared" si="44"/>
        <v>0</v>
      </c>
      <c r="P67" s="56">
        <f t="shared" si="44"/>
        <v>0</v>
      </c>
      <c r="Q67" s="56">
        <f t="shared" si="44"/>
        <v>0</v>
      </c>
      <c r="R67" s="56">
        <f t="shared" si="44"/>
        <v>0</v>
      </c>
      <c r="S67" s="56">
        <f t="shared" si="44"/>
        <v>0</v>
      </c>
      <c r="T67" s="56">
        <f t="shared" si="44"/>
        <v>0</v>
      </c>
    </row>
    <row r="68" spans="1:20">
      <c r="A68" s="98"/>
      <c r="B68" s="98"/>
      <c r="C68" s="99" t="s">
        <v>236</v>
      </c>
      <c r="D68" s="98">
        <f>D66+D67</f>
        <v>0</v>
      </c>
      <c r="E68" s="98">
        <f t="shared" ref="E68:T68" si="45">E66+E67</f>
        <v>0</v>
      </c>
      <c r="F68" s="98">
        <f t="shared" si="45"/>
        <v>0</v>
      </c>
      <c r="G68" s="98">
        <f t="shared" si="45"/>
        <v>0</v>
      </c>
      <c r="H68" s="98">
        <f t="shared" si="45"/>
        <v>0</v>
      </c>
      <c r="I68" s="98">
        <f t="shared" si="45"/>
        <v>0</v>
      </c>
      <c r="J68" s="98">
        <f t="shared" si="45"/>
        <v>0</v>
      </c>
      <c r="K68" s="98">
        <f t="shared" si="45"/>
        <v>0</v>
      </c>
      <c r="L68" s="98">
        <f t="shared" si="45"/>
        <v>0</v>
      </c>
      <c r="M68" s="98">
        <f t="shared" si="45"/>
        <v>0</v>
      </c>
      <c r="N68" s="98">
        <f t="shared" si="45"/>
        <v>0</v>
      </c>
      <c r="O68" s="98">
        <f t="shared" si="45"/>
        <v>0</v>
      </c>
      <c r="P68" s="98">
        <f t="shared" si="45"/>
        <v>0</v>
      </c>
      <c r="Q68" s="98">
        <f t="shared" si="45"/>
        <v>0</v>
      </c>
      <c r="R68" s="98">
        <f t="shared" si="45"/>
        <v>0</v>
      </c>
      <c r="S68" s="98">
        <f t="shared" si="45"/>
        <v>0</v>
      </c>
      <c r="T68" s="98">
        <f t="shared" si="45"/>
        <v>0</v>
      </c>
    </row>
    <row r="69" spans="1:20">
      <c r="A69" s="56" t="s">
        <v>591</v>
      </c>
      <c r="B69" s="56"/>
      <c r="C69" s="56" t="s">
        <v>237</v>
      </c>
      <c r="D69" s="56">
        <f t="shared" ref="D69:M70" si="46">IFERROR(SUMIF($A$88:$A$416,$A69,INDEX($D$88:$EE$416,0,MATCH(D$11,$D$84:$EF$84,0))),0)*Input_unit</f>
        <v>0</v>
      </c>
      <c r="E69" s="56">
        <f t="shared" si="46"/>
        <v>0</v>
      </c>
      <c r="F69" s="56">
        <f t="shared" si="46"/>
        <v>0</v>
      </c>
      <c r="G69" s="56">
        <f t="shared" si="46"/>
        <v>0</v>
      </c>
      <c r="H69" s="56">
        <f t="shared" si="46"/>
        <v>0</v>
      </c>
      <c r="I69" s="56">
        <f t="shared" si="46"/>
        <v>0</v>
      </c>
      <c r="J69" s="56">
        <f t="shared" si="46"/>
        <v>0</v>
      </c>
      <c r="K69" s="56">
        <f t="shared" si="46"/>
        <v>0</v>
      </c>
      <c r="L69" s="56">
        <f t="shared" si="46"/>
        <v>0</v>
      </c>
      <c r="M69" s="56">
        <f t="shared" si="46"/>
        <v>0</v>
      </c>
      <c r="N69" s="56">
        <f t="shared" ref="N69:T70" si="47">IFERROR(SUMIF($A$88:$A$416,$A69,INDEX($D$88:$EE$416,0,MATCH(N$11,$D$84:$EF$84,0))),0)*Input_unit</f>
        <v>0</v>
      </c>
      <c r="O69" s="56">
        <f t="shared" si="47"/>
        <v>0</v>
      </c>
      <c r="P69" s="56">
        <f t="shared" si="47"/>
        <v>0</v>
      </c>
      <c r="Q69" s="56">
        <f t="shared" si="47"/>
        <v>0</v>
      </c>
      <c r="R69" s="56">
        <f t="shared" si="47"/>
        <v>0</v>
      </c>
      <c r="S69" s="56">
        <f t="shared" si="47"/>
        <v>0</v>
      </c>
      <c r="T69" s="56">
        <f t="shared" si="47"/>
        <v>0</v>
      </c>
    </row>
    <row r="70" spans="1:20">
      <c r="A70" s="56" t="s">
        <v>114</v>
      </c>
      <c r="B70" s="56"/>
      <c r="C70" s="56" t="s">
        <v>238</v>
      </c>
      <c r="D70" s="56">
        <f t="shared" si="46"/>
        <v>0</v>
      </c>
      <c r="E70" s="56">
        <f t="shared" si="46"/>
        <v>0</v>
      </c>
      <c r="F70" s="56">
        <f t="shared" si="46"/>
        <v>0</v>
      </c>
      <c r="G70" s="56">
        <f t="shared" si="46"/>
        <v>0</v>
      </c>
      <c r="H70" s="56">
        <f t="shared" si="46"/>
        <v>0</v>
      </c>
      <c r="I70" s="56">
        <f t="shared" si="46"/>
        <v>0</v>
      </c>
      <c r="J70" s="56">
        <f t="shared" si="46"/>
        <v>0</v>
      </c>
      <c r="K70" s="56">
        <f t="shared" si="46"/>
        <v>0</v>
      </c>
      <c r="L70" s="56">
        <f t="shared" si="46"/>
        <v>0</v>
      </c>
      <c r="M70" s="56">
        <f t="shared" si="46"/>
        <v>0</v>
      </c>
      <c r="N70" s="56">
        <f t="shared" si="47"/>
        <v>0</v>
      </c>
      <c r="O70" s="56">
        <f t="shared" si="47"/>
        <v>0</v>
      </c>
      <c r="P70" s="56">
        <f t="shared" si="47"/>
        <v>0</v>
      </c>
      <c r="Q70" s="56">
        <f t="shared" si="47"/>
        <v>0</v>
      </c>
      <c r="R70" s="56">
        <f t="shared" si="47"/>
        <v>0</v>
      </c>
      <c r="S70" s="56">
        <f t="shared" si="47"/>
        <v>0</v>
      </c>
      <c r="T70" s="56">
        <f t="shared" si="47"/>
        <v>0</v>
      </c>
    </row>
    <row r="71" spans="1:20">
      <c r="A71" s="98"/>
      <c r="B71" s="98"/>
      <c r="C71" s="98" t="s">
        <v>17</v>
      </c>
      <c r="D71" s="98">
        <f>D65+D68+D69+D70</f>
        <v>0</v>
      </c>
      <c r="E71" s="98">
        <f t="shared" ref="E71:T71" si="48">E65+E68+E69+E70</f>
        <v>0</v>
      </c>
      <c r="F71" s="98">
        <f t="shared" si="48"/>
        <v>0</v>
      </c>
      <c r="G71" s="98">
        <f t="shared" si="48"/>
        <v>0</v>
      </c>
      <c r="H71" s="98">
        <f t="shared" si="48"/>
        <v>0</v>
      </c>
      <c r="I71" s="98">
        <f t="shared" si="48"/>
        <v>0</v>
      </c>
      <c r="J71" s="98">
        <f t="shared" si="48"/>
        <v>0</v>
      </c>
      <c r="K71" s="98">
        <f t="shared" si="48"/>
        <v>0</v>
      </c>
      <c r="L71" s="98">
        <f t="shared" si="48"/>
        <v>0</v>
      </c>
      <c r="M71" s="98">
        <f t="shared" si="48"/>
        <v>0</v>
      </c>
      <c r="N71" s="98">
        <f t="shared" si="48"/>
        <v>0</v>
      </c>
      <c r="O71" s="98">
        <f t="shared" si="48"/>
        <v>0</v>
      </c>
      <c r="P71" s="98">
        <f t="shared" si="48"/>
        <v>0</v>
      </c>
      <c r="Q71" s="98">
        <f t="shared" si="48"/>
        <v>0</v>
      </c>
      <c r="R71" s="98">
        <f t="shared" si="48"/>
        <v>0</v>
      </c>
      <c r="S71" s="98">
        <f t="shared" si="48"/>
        <v>0</v>
      </c>
      <c r="T71" s="98">
        <f t="shared" si="48"/>
        <v>0</v>
      </c>
    </row>
    <row r="72" spans="1:20">
      <c r="A72" s="56" t="s">
        <v>165</v>
      </c>
      <c r="B72" s="56"/>
      <c r="C72" s="56" t="s">
        <v>209</v>
      </c>
      <c r="D72" s="56">
        <f t="shared" ref="D72:M78" si="49">IFERROR(SUMIF($A$88:$A$416,$A72,INDEX($D$88:$EE$416,0,MATCH(D$11,$D$84:$EF$84,0))),0)*Input_unit</f>
        <v>0</v>
      </c>
      <c r="E72" s="56">
        <f t="shared" si="49"/>
        <v>0</v>
      </c>
      <c r="F72" s="56">
        <f t="shared" si="49"/>
        <v>0</v>
      </c>
      <c r="G72" s="56">
        <f t="shared" si="49"/>
        <v>0</v>
      </c>
      <c r="H72" s="56">
        <f t="shared" si="49"/>
        <v>0</v>
      </c>
      <c r="I72" s="56">
        <f t="shared" si="49"/>
        <v>0</v>
      </c>
      <c r="J72" s="56">
        <f t="shared" si="49"/>
        <v>0</v>
      </c>
      <c r="K72" s="56">
        <f t="shared" si="49"/>
        <v>0</v>
      </c>
      <c r="L72" s="56">
        <f t="shared" si="49"/>
        <v>0</v>
      </c>
      <c r="M72" s="56">
        <f t="shared" si="49"/>
        <v>0</v>
      </c>
      <c r="N72" s="56">
        <f t="shared" ref="N72:T78" si="50">IFERROR(SUMIF($A$88:$A$416,$A72,INDEX($D$88:$EE$416,0,MATCH(N$11,$D$84:$EF$84,0))),0)*Input_unit</f>
        <v>0</v>
      </c>
      <c r="O72" s="56">
        <f t="shared" si="50"/>
        <v>0</v>
      </c>
      <c r="P72" s="56">
        <f t="shared" si="50"/>
        <v>0</v>
      </c>
      <c r="Q72" s="56">
        <f t="shared" si="50"/>
        <v>0</v>
      </c>
      <c r="R72" s="56">
        <f t="shared" si="50"/>
        <v>0</v>
      </c>
      <c r="S72" s="56">
        <f t="shared" si="50"/>
        <v>0</v>
      </c>
      <c r="T72" s="56">
        <f t="shared" si="50"/>
        <v>0</v>
      </c>
    </row>
    <row r="73" spans="1:20">
      <c r="A73" s="102" t="s">
        <v>592</v>
      </c>
      <c r="B73" s="102"/>
      <c r="C73" s="56" t="s">
        <v>239</v>
      </c>
      <c r="D73" s="56">
        <f t="shared" si="49"/>
        <v>0</v>
      </c>
      <c r="E73" s="56">
        <f t="shared" si="49"/>
        <v>0</v>
      </c>
      <c r="F73" s="56">
        <f t="shared" si="49"/>
        <v>0</v>
      </c>
      <c r="G73" s="56">
        <f t="shared" si="49"/>
        <v>0</v>
      </c>
      <c r="H73" s="56">
        <f t="shared" si="49"/>
        <v>0</v>
      </c>
      <c r="I73" s="56">
        <f t="shared" si="49"/>
        <v>0</v>
      </c>
      <c r="J73" s="56">
        <f t="shared" si="49"/>
        <v>0</v>
      </c>
      <c r="K73" s="56">
        <f t="shared" si="49"/>
        <v>0</v>
      </c>
      <c r="L73" s="56">
        <f t="shared" si="49"/>
        <v>0</v>
      </c>
      <c r="M73" s="56">
        <f t="shared" si="49"/>
        <v>0</v>
      </c>
      <c r="N73" s="56">
        <f t="shared" si="50"/>
        <v>0</v>
      </c>
      <c r="O73" s="56">
        <f t="shared" si="50"/>
        <v>0</v>
      </c>
      <c r="P73" s="56">
        <f t="shared" si="50"/>
        <v>0</v>
      </c>
      <c r="Q73" s="56">
        <f t="shared" si="50"/>
        <v>0</v>
      </c>
      <c r="R73" s="56">
        <f t="shared" si="50"/>
        <v>0</v>
      </c>
      <c r="S73" s="56">
        <f t="shared" si="50"/>
        <v>0</v>
      </c>
      <c r="T73" s="56">
        <f t="shared" si="50"/>
        <v>0</v>
      </c>
    </row>
    <row r="74" spans="1:20">
      <c r="A74" s="102" t="s">
        <v>593</v>
      </c>
      <c r="B74" s="102"/>
      <c r="C74" s="56" t="s">
        <v>240</v>
      </c>
      <c r="D74" s="56">
        <f t="shared" si="49"/>
        <v>0</v>
      </c>
      <c r="E74" s="56">
        <f t="shared" si="49"/>
        <v>0</v>
      </c>
      <c r="F74" s="56">
        <f t="shared" si="49"/>
        <v>0</v>
      </c>
      <c r="G74" s="56">
        <f t="shared" si="49"/>
        <v>0</v>
      </c>
      <c r="H74" s="56">
        <f t="shared" si="49"/>
        <v>0</v>
      </c>
      <c r="I74" s="56">
        <f t="shared" si="49"/>
        <v>0</v>
      </c>
      <c r="J74" s="56">
        <f t="shared" si="49"/>
        <v>0</v>
      </c>
      <c r="K74" s="56">
        <f t="shared" si="49"/>
        <v>0</v>
      </c>
      <c r="L74" s="56">
        <f t="shared" si="49"/>
        <v>0</v>
      </c>
      <c r="M74" s="56">
        <f t="shared" si="49"/>
        <v>0</v>
      </c>
      <c r="N74" s="56">
        <f t="shared" si="50"/>
        <v>0</v>
      </c>
      <c r="O74" s="56">
        <f t="shared" si="50"/>
        <v>0</v>
      </c>
      <c r="P74" s="56">
        <f t="shared" si="50"/>
        <v>0</v>
      </c>
      <c r="Q74" s="56">
        <f t="shared" si="50"/>
        <v>0</v>
      </c>
      <c r="R74" s="56">
        <f t="shared" si="50"/>
        <v>0</v>
      </c>
      <c r="S74" s="56">
        <f t="shared" si="50"/>
        <v>0</v>
      </c>
      <c r="T74" s="56">
        <f t="shared" si="50"/>
        <v>0</v>
      </c>
    </row>
    <row r="75" spans="1:20">
      <c r="A75" s="102" t="s">
        <v>594</v>
      </c>
      <c r="B75" s="102"/>
      <c r="C75" s="56" t="s">
        <v>241</v>
      </c>
      <c r="D75" s="56">
        <f t="shared" si="49"/>
        <v>0</v>
      </c>
      <c r="E75" s="56">
        <f t="shared" si="49"/>
        <v>0</v>
      </c>
      <c r="F75" s="56">
        <f t="shared" si="49"/>
        <v>0</v>
      </c>
      <c r="G75" s="56">
        <f t="shared" si="49"/>
        <v>0</v>
      </c>
      <c r="H75" s="56">
        <f t="shared" si="49"/>
        <v>0</v>
      </c>
      <c r="I75" s="56">
        <f t="shared" si="49"/>
        <v>0</v>
      </c>
      <c r="J75" s="56">
        <f t="shared" si="49"/>
        <v>0</v>
      </c>
      <c r="K75" s="56">
        <f t="shared" si="49"/>
        <v>0</v>
      </c>
      <c r="L75" s="56">
        <f t="shared" si="49"/>
        <v>0</v>
      </c>
      <c r="M75" s="56">
        <f t="shared" si="49"/>
        <v>0</v>
      </c>
      <c r="N75" s="56">
        <f t="shared" si="50"/>
        <v>0</v>
      </c>
      <c r="O75" s="56">
        <f t="shared" si="50"/>
        <v>0</v>
      </c>
      <c r="P75" s="56">
        <f t="shared" si="50"/>
        <v>0</v>
      </c>
      <c r="Q75" s="56">
        <f t="shared" si="50"/>
        <v>0</v>
      </c>
      <c r="R75" s="56">
        <f t="shared" si="50"/>
        <v>0</v>
      </c>
      <c r="S75" s="56">
        <f t="shared" si="50"/>
        <v>0</v>
      </c>
      <c r="T75" s="56">
        <f t="shared" si="50"/>
        <v>0</v>
      </c>
    </row>
    <row r="76" spans="1:20">
      <c r="A76" s="102" t="s">
        <v>595</v>
      </c>
      <c r="B76" s="102"/>
      <c r="C76" s="56" t="s">
        <v>596</v>
      </c>
      <c r="D76" s="56">
        <f t="shared" si="49"/>
        <v>0</v>
      </c>
      <c r="E76" s="56">
        <f t="shared" si="49"/>
        <v>0</v>
      </c>
      <c r="F76" s="56">
        <f t="shared" si="49"/>
        <v>0</v>
      </c>
      <c r="G76" s="56">
        <f t="shared" si="49"/>
        <v>0</v>
      </c>
      <c r="H76" s="56">
        <f t="shared" si="49"/>
        <v>0</v>
      </c>
      <c r="I76" s="56">
        <f t="shared" si="49"/>
        <v>0</v>
      </c>
      <c r="J76" s="56">
        <f t="shared" si="49"/>
        <v>0</v>
      </c>
      <c r="K76" s="56">
        <f t="shared" si="49"/>
        <v>0</v>
      </c>
      <c r="L76" s="56">
        <f t="shared" si="49"/>
        <v>0</v>
      </c>
      <c r="M76" s="56">
        <f t="shared" si="49"/>
        <v>0</v>
      </c>
      <c r="N76" s="56">
        <f t="shared" si="50"/>
        <v>0</v>
      </c>
      <c r="O76" s="56">
        <f t="shared" si="50"/>
        <v>0</v>
      </c>
      <c r="P76" s="56">
        <f t="shared" si="50"/>
        <v>0</v>
      </c>
      <c r="Q76" s="56">
        <f t="shared" si="50"/>
        <v>0</v>
      </c>
      <c r="R76" s="56">
        <f t="shared" si="50"/>
        <v>0</v>
      </c>
      <c r="S76" s="56">
        <f t="shared" si="50"/>
        <v>0</v>
      </c>
      <c r="T76" s="56">
        <f t="shared" si="50"/>
        <v>0</v>
      </c>
    </row>
    <row r="77" spans="1:20">
      <c r="A77" s="102" t="s">
        <v>597</v>
      </c>
      <c r="B77" s="102"/>
      <c r="C77" s="56" t="s">
        <v>242</v>
      </c>
      <c r="D77" s="56">
        <f t="shared" si="49"/>
        <v>0</v>
      </c>
      <c r="E77" s="56">
        <f t="shared" si="49"/>
        <v>0</v>
      </c>
      <c r="F77" s="56">
        <f t="shared" si="49"/>
        <v>0</v>
      </c>
      <c r="G77" s="56">
        <f t="shared" si="49"/>
        <v>0</v>
      </c>
      <c r="H77" s="756">
        <f t="shared" si="49"/>
        <v>0</v>
      </c>
      <c r="I77" s="756">
        <f t="shared" si="49"/>
        <v>0</v>
      </c>
      <c r="J77" s="56">
        <f t="shared" si="49"/>
        <v>0</v>
      </c>
      <c r="K77" s="56">
        <f t="shared" si="49"/>
        <v>0</v>
      </c>
      <c r="L77" s="56">
        <f t="shared" si="49"/>
        <v>0</v>
      </c>
      <c r="M77" s="56">
        <f t="shared" si="49"/>
        <v>0</v>
      </c>
      <c r="N77" s="56">
        <f t="shared" si="50"/>
        <v>0</v>
      </c>
      <c r="O77" s="56">
        <f t="shared" si="50"/>
        <v>0</v>
      </c>
      <c r="P77" s="56">
        <f t="shared" si="50"/>
        <v>0</v>
      </c>
      <c r="Q77" s="56">
        <f t="shared" si="50"/>
        <v>0</v>
      </c>
      <c r="R77" s="56">
        <f t="shared" si="50"/>
        <v>0</v>
      </c>
      <c r="S77" s="56">
        <f t="shared" si="50"/>
        <v>0</v>
      </c>
      <c r="T77" s="56">
        <f t="shared" si="50"/>
        <v>0</v>
      </c>
    </row>
    <row r="78" spans="1:20">
      <c r="A78" s="102" t="s">
        <v>129</v>
      </c>
      <c r="B78" s="102"/>
      <c r="C78" s="56" t="s">
        <v>598</v>
      </c>
      <c r="D78" s="56">
        <f t="shared" si="49"/>
        <v>0</v>
      </c>
      <c r="E78" s="56">
        <f t="shared" si="49"/>
        <v>0</v>
      </c>
      <c r="F78" s="56">
        <f t="shared" si="49"/>
        <v>0</v>
      </c>
      <c r="G78" s="56">
        <f t="shared" si="49"/>
        <v>0</v>
      </c>
      <c r="H78" s="756">
        <f t="shared" si="49"/>
        <v>0</v>
      </c>
      <c r="I78" s="756">
        <f t="shared" si="49"/>
        <v>0</v>
      </c>
      <c r="J78" s="56">
        <f t="shared" si="49"/>
        <v>0</v>
      </c>
      <c r="K78" s="56">
        <f t="shared" si="49"/>
        <v>0</v>
      </c>
      <c r="L78" s="56">
        <f t="shared" si="49"/>
        <v>0</v>
      </c>
      <c r="M78" s="56">
        <f t="shared" si="49"/>
        <v>0</v>
      </c>
      <c r="N78" s="56">
        <f t="shared" si="50"/>
        <v>0</v>
      </c>
      <c r="O78" s="56">
        <f t="shared" si="50"/>
        <v>0</v>
      </c>
      <c r="P78" s="56">
        <f t="shared" si="50"/>
        <v>0</v>
      </c>
      <c r="Q78" s="56">
        <f t="shared" si="50"/>
        <v>0</v>
      </c>
      <c r="R78" s="56">
        <f t="shared" si="50"/>
        <v>0</v>
      </c>
      <c r="S78" s="56">
        <f t="shared" si="50"/>
        <v>0</v>
      </c>
      <c r="T78" s="56">
        <f t="shared" si="50"/>
        <v>0</v>
      </c>
    </row>
    <row r="79" spans="1:20">
      <c r="A79" s="98"/>
      <c r="B79" s="98"/>
      <c r="C79" s="98" t="s">
        <v>243</v>
      </c>
      <c r="D79" s="98">
        <f>SUM(D72:D78)</f>
        <v>0</v>
      </c>
      <c r="E79" s="98">
        <f t="shared" ref="E79:T79" si="51">SUM(E72:E78)</f>
        <v>0</v>
      </c>
      <c r="F79" s="98">
        <f t="shared" si="51"/>
        <v>0</v>
      </c>
      <c r="G79" s="98">
        <f t="shared" si="51"/>
        <v>0</v>
      </c>
      <c r="H79" s="757">
        <f t="shared" si="51"/>
        <v>0</v>
      </c>
      <c r="I79" s="757">
        <f t="shared" si="51"/>
        <v>0</v>
      </c>
      <c r="J79" s="98">
        <f t="shared" si="51"/>
        <v>0</v>
      </c>
      <c r="K79" s="98">
        <f t="shared" si="51"/>
        <v>0</v>
      </c>
      <c r="L79" s="98">
        <f t="shared" si="51"/>
        <v>0</v>
      </c>
      <c r="M79" s="98">
        <f t="shared" si="51"/>
        <v>0</v>
      </c>
      <c r="N79" s="98">
        <f t="shared" si="51"/>
        <v>0</v>
      </c>
      <c r="O79" s="98">
        <f t="shared" si="51"/>
        <v>0</v>
      </c>
      <c r="P79" s="98">
        <f t="shared" si="51"/>
        <v>0</v>
      </c>
      <c r="Q79" s="98">
        <f t="shared" si="51"/>
        <v>0</v>
      </c>
      <c r="R79" s="98">
        <f t="shared" si="51"/>
        <v>0</v>
      </c>
      <c r="S79" s="98">
        <f t="shared" si="51"/>
        <v>0</v>
      </c>
      <c r="T79" s="98">
        <f t="shared" si="51"/>
        <v>0</v>
      </c>
    </row>
    <row r="80" spans="1:20">
      <c r="A80" s="98"/>
      <c r="B80" s="98"/>
      <c r="C80" s="98" t="s">
        <v>244</v>
      </c>
      <c r="D80" s="98">
        <f>D71+D79</f>
        <v>0</v>
      </c>
      <c r="E80" s="98">
        <f t="shared" ref="E80:T80" si="52">E71+E79</f>
        <v>0</v>
      </c>
      <c r="F80" s="98">
        <f t="shared" si="52"/>
        <v>0</v>
      </c>
      <c r="G80" s="98">
        <f t="shared" si="52"/>
        <v>0</v>
      </c>
      <c r="H80" s="757">
        <f t="shared" si="52"/>
        <v>0</v>
      </c>
      <c r="I80" s="757">
        <f t="shared" si="52"/>
        <v>0</v>
      </c>
      <c r="J80" s="98">
        <f t="shared" si="52"/>
        <v>0</v>
      </c>
      <c r="K80" s="98">
        <f t="shared" si="52"/>
        <v>0</v>
      </c>
      <c r="L80" s="98">
        <f t="shared" si="52"/>
        <v>0</v>
      </c>
      <c r="M80" s="98">
        <f t="shared" si="52"/>
        <v>0</v>
      </c>
      <c r="N80" s="98">
        <f t="shared" si="52"/>
        <v>0</v>
      </c>
      <c r="O80" s="98">
        <f t="shared" si="52"/>
        <v>0</v>
      </c>
      <c r="P80" s="98">
        <f t="shared" si="52"/>
        <v>0</v>
      </c>
      <c r="Q80" s="98">
        <f t="shared" si="52"/>
        <v>0</v>
      </c>
      <c r="R80" s="98">
        <f t="shared" si="52"/>
        <v>0</v>
      </c>
      <c r="S80" s="98">
        <f t="shared" si="52"/>
        <v>0</v>
      </c>
      <c r="T80" s="98">
        <f t="shared" si="52"/>
        <v>0</v>
      </c>
    </row>
    <row r="81" spans="1:16" ht="15.15" thickBot="1"/>
    <row r="82" spans="1:16" ht="16.600000000000001">
      <c r="C82" s="126" t="s">
        <v>40</v>
      </c>
      <c r="D82" s="127" t="s">
        <v>1493</v>
      </c>
      <c r="E82" s="128" t="s">
        <v>1493</v>
      </c>
      <c r="F82" s="128" t="s">
        <v>1493</v>
      </c>
      <c r="G82" s="128"/>
      <c r="H82" s="1"/>
      <c r="I82" s="1"/>
      <c r="J82" s="1"/>
      <c r="K82" s="1"/>
      <c r="L82" s="1"/>
      <c r="M82" s="1"/>
      <c r="N82" s="1"/>
      <c r="O82" s="1"/>
      <c r="P82" s="1"/>
    </row>
    <row r="83" spans="1:16" ht="16.600000000000001">
      <c r="C83" s="129" t="s">
        <v>981</v>
      </c>
      <c r="D83" s="336">
        <v>41640</v>
      </c>
      <c r="E83" s="130">
        <v>42005</v>
      </c>
      <c r="F83" s="130">
        <v>42370</v>
      </c>
      <c r="G83" s="130">
        <v>42736</v>
      </c>
      <c r="H83" s="29">
        <v>42736</v>
      </c>
      <c r="I83" s="29">
        <v>43101</v>
      </c>
      <c r="J83" s="1"/>
      <c r="K83" s="1"/>
      <c r="L83" s="1"/>
      <c r="M83" s="1"/>
      <c r="N83" s="1"/>
      <c r="O83" s="1"/>
      <c r="P83" s="1"/>
    </row>
    <row r="84" spans="1:16" ht="16.600000000000001">
      <c r="C84" s="131" t="s">
        <v>982</v>
      </c>
      <c r="D84" s="337">
        <v>42004</v>
      </c>
      <c r="E84" s="337">
        <v>42369</v>
      </c>
      <c r="F84" s="337">
        <v>42735</v>
      </c>
      <c r="G84" s="337">
        <v>42916</v>
      </c>
      <c r="H84" s="29">
        <v>43100</v>
      </c>
      <c r="I84" s="29">
        <v>43465</v>
      </c>
      <c r="J84" s="1"/>
      <c r="K84" s="1"/>
      <c r="L84" s="1"/>
      <c r="M84" s="1"/>
      <c r="N84" s="1"/>
      <c r="O84" s="1"/>
      <c r="P84" s="1"/>
    </row>
    <row r="85" spans="1:16" ht="16.600000000000001">
      <c r="C85" s="131" t="s">
        <v>983</v>
      </c>
      <c r="D85" s="133">
        <f>MONTH(D84-D83)</f>
        <v>12</v>
      </c>
      <c r="E85" s="133">
        <f>MONTH(E84-E83)</f>
        <v>12</v>
      </c>
      <c r="F85" s="133">
        <f>MONTH(F84-F83)</f>
        <v>12</v>
      </c>
      <c r="G85" s="133"/>
      <c r="H85" s="1"/>
      <c r="I85" s="133">
        <f>MONTH(I84-I83)</f>
        <v>12</v>
      </c>
      <c r="J85" s="1"/>
      <c r="K85" s="1"/>
      <c r="L85" s="1"/>
      <c r="M85" s="1"/>
      <c r="N85" s="1"/>
      <c r="O85" s="1"/>
      <c r="P85" s="1"/>
    </row>
    <row r="86" spans="1:16" ht="16.600000000000001">
      <c r="C86" s="131" t="s">
        <v>690</v>
      </c>
      <c r="D86" s="134">
        <f>YEAR(D84)</f>
        <v>2014</v>
      </c>
      <c r="E86" s="134">
        <f>YEAR(E84)</f>
        <v>2015</v>
      </c>
      <c r="F86" s="134">
        <f>YEAR(F84)</f>
        <v>2016</v>
      </c>
      <c r="G86" s="134"/>
      <c r="H86" s="1"/>
      <c r="I86" s="134">
        <f>YEAR(I84)</f>
        <v>2018</v>
      </c>
      <c r="J86" s="1"/>
      <c r="K86" s="1"/>
      <c r="L86" s="1"/>
      <c r="M86" s="1"/>
      <c r="N86" s="1"/>
      <c r="O86" s="1"/>
      <c r="P86" s="1"/>
    </row>
    <row r="87" spans="1:16" ht="16.600000000000001">
      <c r="C87" s="131" t="s">
        <v>984</v>
      </c>
      <c r="D87" s="133">
        <f>ROUNDUP(MONTH(D84)/3,0)</f>
        <v>4</v>
      </c>
      <c r="E87" s="133">
        <f>ROUNDUP(MONTH(E84)/3,0)</f>
        <v>4</v>
      </c>
      <c r="F87" s="133">
        <f>ROUNDUP(MONTH(F84)/3,0)</f>
        <v>4</v>
      </c>
      <c r="G87" s="133"/>
      <c r="H87" s="1"/>
      <c r="I87" s="133">
        <f>ROUNDUP(MONTH(I84)/3,0)</f>
        <v>4</v>
      </c>
      <c r="J87" s="1"/>
      <c r="K87" s="1"/>
      <c r="L87" s="1"/>
      <c r="M87" s="1"/>
      <c r="N87" s="1"/>
      <c r="O87" s="1"/>
      <c r="P87" s="1"/>
    </row>
    <row r="88" spans="1:16" ht="16.600000000000001">
      <c r="A88" s="1" t="s">
        <v>55</v>
      </c>
      <c r="B88" s="135" t="s">
        <v>248</v>
      </c>
      <c r="C88" s="136" t="s">
        <v>891</v>
      </c>
      <c r="D88" s="137"/>
      <c r="E88" s="137"/>
      <c r="F88" s="137"/>
      <c r="G88" s="137"/>
      <c r="H88" s="1"/>
      <c r="I88" s="1"/>
      <c r="J88" s="1"/>
      <c r="K88" s="1"/>
      <c r="L88" s="1"/>
      <c r="M88" s="1"/>
      <c r="N88" s="1"/>
      <c r="O88" s="1"/>
      <c r="P88" s="1"/>
    </row>
    <row r="89" spans="1:16" ht="16.600000000000001">
      <c r="A89" s="1" t="s">
        <v>56</v>
      </c>
      <c r="B89" s="135" t="s">
        <v>249</v>
      </c>
      <c r="C89" s="135" t="s">
        <v>41</v>
      </c>
      <c r="D89" s="137"/>
      <c r="E89" s="137"/>
      <c r="F89" s="137"/>
      <c r="G89" s="137"/>
      <c r="H89" s="1"/>
      <c r="I89" s="1"/>
      <c r="J89" s="1"/>
      <c r="K89" s="1"/>
      <c r="L89" s="1"/>
      <c r="M89" s="1"/>
      <c r="N89" s="1"/>
      <c r="O89" s="1"/>
      <c r="P89" s="1"/>
    </row>
    <row r="90" spans="1:16" ht="16.600000000000001">
      <c r="A90" s="1" t="s">
        <v>56</v>
      </c>
      <c r="B90" s="135" t="s">
        <v>250</v>
      </c>
      <c r="C90" s="136" t="s">
        <v>42</v>
      </c>
      <c r="D90" s="137"/>
      <c r="E90" s="137"/>
      <c r="F90" s="137"/>
      <c r="G90" s="137"/>
      <c r="H90" s="1"/>
      <c r="I90" s="1"/>
      <c r="J90" s="1"/>
      <c r="K90" s="1"/>
      <c r="L90" s="1"/>
      <c r="M90" s="1"/>
      <c r="N90" s="1"/>
      <c r="O90" s="1"/>
      <c r="P90" s="1"/>
    </row>
    <row r="91" spans="1:16" ht="16.600000000000001">
      <c r="A91" s="1" t="s">
        <v>56</v>
      </c>
      <c r="B91" s="135" t="s">
        <v>251</v>
      </c>
      <c r="C91" s="136" t="s">
        <v>43</v>
      </c>
      <c r="D91" s="137"/>
      <c r="E91" s="137"/>
      <c r="F91" s="137"/>
      <c r="G91" s="137"/>
      <c r="H91" s="1"/>
      <c r="I91" s="1"/>
      <c r="J91" s="1"/>
      <c r="K91" s="1"/>
      <c r="L91" s="1"/>
      <c r="M91" s="1"/>
      <c r="N91" s="1"/>
      <c r="O91" s="1"/>
      <c r="P91" s="1"/>
    </row>
    <row r="92" spans="1:16" ht="16.600000000000001">
      <c r="A92" s="1" t="s">
        <v>56</v>
      </c>
      <c r="B92" s="135" t="s">
        <v>252</v>
      </c>
      <c r="C92" s="136" t="s">
        <v>44</v>
      </c>
      <c r="D92" s="136"/>
      <c r="E92" s="136"/>
      <c r="F92" s="136"/>
      <c r="G92" s="137"/>
      <c r="H92" s="1"/>
      <c r="I92" s="1"/>
      <c r="J92" s="1"/>
      <c r="K92" s="1"/>
      <c r="L92" s="1"/>
      <c r="M92" s="1"/>
      <c r="N92" s="1"/>
      <c r="O92" s="1"/>
      <c r="P92" s="1"/>
    </row>
    <row r="93" spans="1:16" ht="16.600000000000001">
      <c r="A93" s="1" t="s">
        <v>56</v>
      </c>
      <c r="B93" s="135" t="s">
        <v>253</v>
      </c>
      <c r="C93" s="136" t="s">
        <v>45</v>
      </c>
      <c r="D93" s="136"/>
      <c r="E93" s="136"/>
      <c r="F93" s="136"/>
      <c r="G93" s="136"/>
      <c r="H93" s="1"/>
      <c r="I93" s="1"/>
      <c r="J93" s="1"/>
      <c r="K93" s="1"/>
      <c r="L93" s="1"/>
      <c r="M93" s="1"/>
      <c r="N93" s="1"/>
      <c r="O93" s="1"/>
      <c r="P93" s="1"/>
    </row>
    <row r="94" spans="1:16" ht="16.600000000000001">
      <c r="A94" s="1" t="s">
        <v>56</v>
      </c>
      <c r="B94" s="135" t="s">
        <v>254</v>
      </c>
      <c r="C94" s="136" t="s">
        <v>46</v>
      </c>
      <c r="D94" s="136"/>
      <c r="E94" s="136"/>
      <c r="F94" s="136"/>
      <c r="G94" s="136"/>
      <c r="H94" s="1"/>
      <c r="I94" s="1"/>
      <c r="J94" s="1"/>
      <c r="K94" s="1"/>
      <c r="L94" s="1"/>
      <c r="M94" s="1"/>
      <c r="N94" s="1"/>
      <c r="O94" s="1"/>
      <c r="P94" s="1"/>
    </row>
    <row r="95" spans="1:16" ht="16.600000000000001">
      <c r="A95" s="1" t="s">
        <v>63</v>
      </c>
      <c r="B95" s="135" t="s">
        <v>255</v>
      </c>
      <c r="C95" s="136" t="s">
        <v>47</v>
      </c>
      <c r="D95" s="137"/>
      <c r="E95" s="137"/>
      <c r="F95" s="137"/>
      <c r="G95" s="137"/>
      <c r="H95" s="1"/>
      <c r="I95" s="1"/>
      <c r="J95" s="1"/>
      <c r="K95" s="1"/>
      <c r="L95" s="1"/>
      <c r="M95" s="1"/>
      <c r="N95" s="1"/>
      <c r="O95" s="1"/>
      <c r="P95" s="1"/>
    </row>
    <row r="96" spans="1:16" ht="16.600000000000001">
      <c r="A96" s="1" t="s">
        <v>63</v>
      </c>
      <c r="B96" s="135" t="s">
        <v>256</v>
      </c>
      <c r="C96" s="136" t="s">
        <v>48</v>
      </c>
      <c r="D96" s="136"/>
      <c r="E96" s="136"/>
      <c r="F96" s="136"/>
      <c r="G96" s="136"/>
      <c r="H96" s="1"/>
      <c r="I96" s="1"/>
      <c r="J96" s="1"/>
      <c r="K96" s="1"/>
      <c r="L96" s="1"/>
      <c r="M96" s="1"/>
      <c r="N96" s="1"/>
      <c r="O96" s="1"/>
      <c r="P96" s="1"/>
    </row>
    <row r="97" spans="1:16" ht="16.600000000000001">
      <c r="A97" s="1" t="s">
        <v>57</v>
      </c>
      <c r="B97" s="135" t="s">
        <v>257</v>
      </c>
      <c r="C97" s="136" t="s">
        <v>49</v>
      </c>
      <c r="D97" s="137"/>
      <c r="E97" s="137"/>
      <c r="F97" s="137"/>
      <c r="G97" s="137"/>
      <c r="H97" s="1"/>
      <c r="I97" s="1"/>
      <c r="J97" s="1"/>
      <c r="K97" s="1"/>
      <c r="L97" s="1"/>
      <c r="M97" s="1"/>
      <c r="N97" s="1"/>
      <c r="O97" s="1"/>
      <c r="P97" s="1"/>
    </row>
    <row r="98" spans="1:16" ht="16.600000000000001">
      <c r="A98" s="1" t="s">
        <v>57</v>
      </c>
      <c r="B98" s="135" t="s">
        <v>258</v>
      </c>
      <c r="C98" s="136" t="s">
        <v>51</v>
      </c>
      <c r="D98" s="136"/>
      <c r="E98" s="136"/>
      <c r="F98" s="136"/>
      <c r="G98" s="137"/>
      <c r="H98" s="1"/>
      <c r="I98" s="1"/>
      <c r="J98" s="1"/>
      <c r="K98" s="1"/>
      <c r="L98" s="1"/>
      <c r="M98" s="1"/>
      <c r="N98" s="1"/>
      <c r="O98" s="1"/>
      <c r="P98" s="1"/>
    </row>
    <row r="99" spans="1:16" ht="16.600000000000001">
      <c r="A99" s="1" t="s">
        <v>58</v>
      </c>
      <c r="B99" s="135" t="s">
        <v>259</v>
      </c>
      <c r="C99" s="136" t="s">
        <v>50</v>
      </c>
      <c r="D99" s="137"/>
      <c r="E99" s="137"/>
      <c r="F99" s="137"/>
      <c r="G99" s="137"/>
      <c r="H99" s="1"/>
      <c r="I99" s="1"/>
      <c r="J99" s="1"/>
      <c r="K99" s="1"/>
      <c r="L99" s="1"/>
      <c r="M99" s="1"/>
      <c r="N99" s="1"/>
      <c r="O99" s="1"/>
      <c r="P99" s="1"/>
    </row>
    <row r="100" spans="1:16" ht="16.600000000000001">
      <c r="A100" s="1" t="s">
        <v>58</v>
      </c>
      <c r="B100" s="135" t="s">
        <v>576</v>
      </c>
      <c r="C100" s="136" t="s">
        <v>52</v>
      </c>
      <c r="D100" s="136"/>
      <c r="E100" s="136"/>
      <c r="F100" s="136"/>
      <c r="G100" s="136"/>
      <c r="H100" s="1"/>
      <c r="I100" s="1"/>
      <c r="J100" s="1"/>
      <c r="K100" s="1"/>
      <c r="L100" s="1"/>
      <c r="M100" s="1"/>
      <c r="N100" s="1"/>
      <c r="O100" s="1"/>
      <c r="P100" s="1"/>
    </row>
    <row r="101" spans="1:16" ht="16.600000000000001">
      <c r="A101" s="1" t="s">
        <v>60</v>
      </c>
      <c r="B101" s="135" t="s">
        <v>260</v>
      </c>
      <c r="C101" s="136" t="s">
        <v>53</v>
      </c>
      <c r="D101" s="137"/>
      <c r="E101" s="137"/>
      <c r="F101" s="137"/>
      <c r="G101" s="137"/>
      <c r="H101" s="1"/>
      <c r="I101" s="1"/>
      <c r="J101" s="1"/>
      <c r="K101" s="1"/>
      <c r="L101" s="1"/>
      <c r="M101" s="1"/>
      <c r="N101" s="1"/>
      <c r="O101" s="1"/>
      <c r="P101" s="1"/>
    </row>
    <row r="102" spans="1:16" ht="16.600000000000001">
      <c r="A102" s="1" t="s">
        <v>60</v>
      </c>
      <c r="B102" s="135" t="s">
        <v>261</v>
      </c>
      <c r="C102" s="136" t="s">
        <v>54</v>
      </c>
      <c r="D102" s="136"/>
      <c r="E102" s="136"/>
      <c r="F102" s="136"/>
      <c r="G102" s="136"/>
      <c r="H102" s="1"/>
      <c r="I102" s="1"/>
      <c r="J102" s="1"/>
      <c r="K102" s="1"/>
      <c r="L102" s="1"/>
      <c r="M102" s="1"/>
      <c r="N102" s="1"/>
      <c r="O102" s="1"/>
      <c r="P102" s="1"/>
    </row>
    <row r="103" spans="1:16" ht="16.600000000000001">
      <c r="A103" s="1" t="s">
        <v>60</v>
      </c>
      <c r="B103" s="135" t="s">
        <v>262</v>
      </c>
      <c r="C103" s="136" t="s">
        <v>59</v>
      </c>
      <c r="D103" s="136"/>
      <c r="E103" s="136"/>
      <c r="F103" s="137"/>
      <c r="G103" s="136"/>
      <c r="H103" s="1"/>
      <c r="I103" s="1"/>
      <c r="J103" s="1"/>
      <c r="K103" s="1"/>
      <c r="L103" s="1"/>
      <c r="M103" s="1"/>
      <c r="N103" s="1"/>
      <c r="O103" s="1"/>
      <c r="P103" s="1"/>
    </row>
    <row r="104" spans="1:16" ht="16.600000000000001">
      <c r="A104" s="1" t="s">
        <v>57</v>
      </c>
      <c r="B104" s="135" t="s">
        <v>263</v>
      </c>
      <c r="C104" s="136" t="s">
        <v>61</v>
      </c>
      <c r="D104" s="137"/>
      <c r="E104" s="137"/>
      <c r="F104" s="137"/>
      <c r="G104" s="137"/>
      <c r="H104" s="1"/>
      <c r="I104" s="1"/>
      <c r="J104" s="1"/>
      <c r="K104" s="1"/>
      <c r="L104" s="1"/>
      <c r="M104" s="1"/>
      <c r="N104" s="1"/>
      <c r="O104" s="1"/>
      <c r="P104" s="1"/>
    </row>
    <row r="105" spans="1:16" ht="16.600000000000001">
      <c r="A105" s="1" t="s">
        <v>56</v>
      </c>
      <c r="B105" s="135" t="s">
        <v>264</v>
      </c>
      <c r="C105" s="136" t="s">
        <v>62</v>
      </c>
      <c r="D105" s="137"/>
      <c r="E105" s="137"/>
      <c r="F105" s="137"/>
      <c r="G105" s="137"/>
      <c r="H105" s="1"/>
      <c r="I105" s="1"/>
      <c r="J105" s="1"/>
      <c r="K105" s="1"/>
      <c r="L105" s="1"/>
      <c r="M105" s="1"/>
      <c r="N105" s="1"/>
      <c r="O105" s="1"/>
      <c r="P105" s="1"/>
    </row>
    <row r="106" spans="1:16" ht="16.600000000000001">
      <c r="A106" s="1" t="s">
        <v>60</v>
      </c>
      <c r="B106" s="135" t="s">
        <v>265</v>
      </c>
      <c r="C106" s="136" t="s">
        <v>64</v>
      </c>
      <c r="D106" s="137"/>
      <c r="E106" s="137"/>
      <c r="F106" s="137"/>
      <c r="G106" s="137"/>
      <c r="H106" s="1"/>
      <c r="I106" s="1"/>
      <c r="J106" s="1"/>
      <c r="K106" s="1"/>
      <c r="L106" s="1"/>
      <c r="M106" s="1"/>
      <c r="N106" s="1"/>
      <c r="O106" s="1"/>
      <c r="P106" s="1"/>
    </row>
    <row r="107" spans="1:16" ht="16.600000000000001">
      <c r="B107" s="135" t="s">
        <v>266</v>
      </c>
      <c r="C107" s="136" t="s">
        <v>65</v>
      </c>
      <c r="D107" s="137"/>
      <c r="E107" s="137"/>
      <c r="F107" s="137"/>
      <c r="G107" s="137"/>
      <c r="H107" s="1"/>
      <c r="I107" s="1"/>
      <c r="J107" s="1"/>
      <c r="K107" s="1"/>
      <c r="L107" s="1"/>
      <c r="M107" s="1"/>
      <c r="N107" s="1"/>
      <c r="O107" s="1"/>
      <c r="P107" s="1"/>
    </row>
    <row r="108" spans="1:16" ht="16.600000000000001">
      <c r="A108" s="1" t="s">
        <v>66</v>
      </c>
      <c r="B108" s="135" t="s">
        <v>267</v>
      </c>
      <c r="C108" s="136" t="s">
        <v>67</v>
      </c>
      <c r="D108" s="136"/>
      <c r="E108" s="136"/>
      <c r="F108" s="136"/>
      <c r="G108" s="136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6.600000000000001">
      <c r="A109" s="1" t="s">
        <v>66</v>
      </c>
      <c r="B109" s="135" t="s">
        <v>268</v>
      </c>
      <c r="C109" s="136" t="s">
        <v>68</v>
      </c>
      <c r="D109" s="137"/>
      <c r="E109" s="137"/>
      <c r="F109" s="137"/>
      <c r="G109" s="137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6.600000000000001">
      <c r="A110" s="1" t="s">
        <v>66</v>
      </c>
      <c r="B110" s="135" t="s">
        <v>269</v>
      </c>
      <c r="C110" s="136" t="s">
        <v>69</v>
      </c>
      <c r="D110" s="136"/>
      <c r="E110" s="136"/>
      <c r="F110" s="136"/>
      <c r="G110" s="137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6.600000000000001">
      <c r="A111" s="1" t="s">
        <v>66</v>
      </c>
      <c r="B111" s="135" t="s">
        <v>270</v>
      </c>
      <c r="C111" s="136" t="s">
        <v>70</v>
      </c>
      <c r="D111" s="136"/>
      <c r="E111" s="136"/>
      <c r="F111" s="136"/>
      <c r="G111" s="136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6.600000000000001">
      <c r="A112" s="1" t="s">
        <v>66</v>
      </c>
      <c r="B112" s="135" t="s">
        <v>271</v>
      </c>
      <c r="C112" s="136" t="s">
        <v>71</v>
      </c>
      <c r="D112" s="137"/>
      <c r="E112" s="137"/>
      <c r="F112" s="137"/>
      <c r="G112" s="137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6.600000000000001">
      <c r="A113" s="1" t="s">
        <v>66</v>
      </c>
      <c r="B113" s="135" t="s">
        <v>272</v>
      </c>
      <c r="C113" s="136" t="s">
        <v>72</v>
      </c>
      <c r="D113" s="136"/>
      <c r="E113" s="136"/>
      <c r="F113" s="136"/>
      <c r="G113" s="136"/>
      <c r="H113" s="1"/>
      <c r="I113" s="1"/>
      <c r="J113" s="1"/>
      <c r="K113" s="1"/>
      <c r="L113" s="1"/>
      <c r="M113" s="1"/>
      <c r="N113" s="1"/>
      <c r="O113" s="1"/>
      <c r="P113" s="1"/>
    </row>
    <row r="114" spans="1:16" ht="16.600000000000001">
      <c r="A114" s="1" t="s">
        <v>66</v>
      </c>
      <c r="B114" s="135" t="s">
        <v>273</v>
      </c>
      <c r="C114" s="136" t="s">
        <v>73</v>
      </c>
      <c r="D114" s="137"/>
      <c r="E114" s="137"/>
      <c r="F114" s="137"/>
      <c r="G114" s="137"/>
      <c r="H114" s="1"/>
      <c r="I114" s="1"/>
      <c r="J114" s="1"/>
      <c r="K114" s="1"/>
      <c r="L114" s="1"/>
      <c r="M114" s="1"/>
      <c r="N114" s="1"/>
      <c r="O114" s="1"/>
      <c r="P114" s="1"/>
    </row>
    <row r="115" spans="1:16" ht="16.600000000000001">
      <c r="A115" s="1" t="s">
        <v>66</v>
      </c>
      <c r="B115" s="135" t="s">
        <v>274</v>
      </c>
      <c r="C115" s="136" t="s">
        <v>74</v>
      </c>
      <c r="D115" s="136"/>
      <c r="E115" s="136"/>
      <c r="F115" s="136"/>
      <c r="G115" s="136"/>
      <c r="H115" s="1"/>
      <c r="I115" s="1"/>
      <c r="J115" s="1"/>
      <c r="K115" s="1"/>
      <c r="L115" s="1"/>
      <c r="M115" s="1"/>
      <c r="N115" s="1"/>
      <c r="O115" s="1"/>
      <c r="P115" s="1"/>
    </row>
    <row r="116" spans="1:16" ht="16.600000000000001">
      <c r="A116" s="1" t="s">
        <v>583</v>
      </c>
      <c r="B116" s="135" t="s">
        <v>275</v>
      </c>
      <c r="C116" s="136" t="s">
        <v>75</v>
      </c>
      <c r="D116" s="137"/>
      <c r="E116" s="137"/>
      <c r="F116" s="137"/>
      <c r="G116" s="137"/>
      <c r="H116" s="1"/>
      <c r="I116" s="1"/>
      <c r="J116" s="1"/>
      <c r="K116" s="1"/>
      <c r="L116" s="1"/>
      <c r="M116" s="1"/>
      <c r="N116" s="1"/>
      <c r="O116" s="1"/>
      <c r="P116" s="1"/>
    </row>
    <row r="117" spans="1:16" ht="16.600000000000001">
      <c r="A117" s="1" t="s">
        <v>585</v>
      </c>
      <c r="B117" s="135" t="s">
        <v>276</v>
      </c>
      <c r="C117" s="136" t="s">
        <v>77</v>
      </c>
      <c r="D117" s="137"/>
      <c r="E117" s="137"/>
      <c r="F117" s="137"/>
      <c r="G117" s="137"/>
      <c r="H117" s="1"/>
      <c r="I117" s="1"/>
      <c r="J117" s="1"/>
      <c r="K117" s="1"/>
      <c r="L117" s="1"/>
      <c r="M117" s="1"/>
      <c r="N117" s="1"/>
      <c r="O117" s="1"/>
      <c r="P117" s="1"/>
    </row>
    <row r="118" spans="1:16" ht="16.600000000000001">
      <c r="A118" s="1" t="s">
        <v>585</v>
      </c>
      <c r="B118" s="135" t="s">
        <v>277</v>
      </c>
      <c r="C118" s="135" t="s">
        <v>78</v>
      </c>
      <c r="D118" s="136"/>
      <c r="E118" s="136"/>
      <c r="F118" s="136"/>
      <c r="G118" s="136"/>
      <c r="H118" s="1"/>
      <c r="I118" s="1"/>
      <c r="J118" s="1"/>
      <c r="K118" s="1"/>
      <c r="L118" s="1"/>
      <c r="M118" s="1"/>
      <c r="N118" s="1"/>
      <c r="O118" s="1"/>
      <c r="P118" s="1"/>
    </row>
    <row r="119" spans="1:16" ht="16.600000000000001">
      <c r="A119" s="1" t="s">
        <v>585</v>
      </c>
      <c r="B119" s="135" t="s">
        <v>278</v>
      </c>
      <c r="C119" s="136" t="s">
        <v>79</v>
      </c>
      <c r="D119" s="136"/>
      <c r="E119" s="136"/>
      <c r="F119" s="136"/>
      <c r="G119" s="136"/>
      <c r="H119" s="1"/>
      <c r="I119" s="1"/>
      <c r="J119" s="1"/>
      <c r="K119" s="1"/>
      <c r="L119" s="1"/>
      <c r="M119" s="1"/>
      <c r="N119" s="1"/>
      <c r="O119" s="1"/>
      <c r="P119" s="1"/>
    </row>
    <row r="120" spans="1:16" ht="16.600000000000001">
      <c r="A120" s="1" t="s">
        <v>585</v>
      </c>
      <c r="B120" s="135" t="s">
        <v>279</v>
      </c>
      <c r="C120" s="136" t="s">
        <v>80</v>
      </c>
      <c r="D120" s="137"/>
      <c r="E120" s="137"/>
      <c r="F120" s="137"/>
      <c r="G120" s="137"/>
      <c r="H120" s="1"/>
      <c r="I120" s="1"/>
      <c r="J120" s="1"/>
      <c r="K120" s="1"/>
      <c r="L120" s="1"/>
      <c r="M120" s="1"/>
      <c r="N120" s="1"/>
      <c r="O120" s="1"/>
      <c r="P120" s="1"/>
    </row>
    <row r="121" spans="1:16" ht="16.600000000000001">
      <c r="B121" s="135" t="s">
        <v>280</v>
      </c>
      <c r="C121" s="136" t="s">
        <v>81</v>
      </c>
      <c r="D121" s="137"/>
      <c r="E121" s="137"/>
      <c r="F121" s="137"/>
      <c r="G121" s="137"/>
      <c r="H121" s="1"/>
      <c r="I121" s="1"/>
      <c r="J121" s="1"/>
      <c r="K121" s="1"/>
      <c r="L121" s="1"/>
      <c r="M121" s="1"/>
      <c r="N121" s="1"/>
      <c r="O121" s="1"/>
      <c r="P121" s="1"/>
    </row>
    <row r="122" spans="1:16" ht="16.600000000000001">
      <c r="A122" s="1" t="s">
        <v>584</v>
      </c>
      <c r="B122" s="135" t="s">
        <v>281</v>
      </c>
      <c r="C122" s="136" t="s">
        <v>83</v>
      </c>
      <c r="D122" s="137"/>
      <c r="E122" s="137"/>
      <c r="F122" s="137"/>
      <c r="G122" s="137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6.600000000000001">
      <c r="A123" s="1" t="s">
        <v>82</v>
      </c>
      <c r="B123" s="135" t="s">
        <v>282</v>
      </c>
      <c r="C123" s="136" t="s">
        <v>84</v>
      </c>
      <c r="D123" s="136"/>
      <c r="E123" s="136"/>
      <c r="F123" s="136"/>
      <c r="G123" s="136"/>
      <c r="H123" s="1"/>
      <c r="I123" s="1"/>
      <c r="J123" s="1"/>
      <c r="K123" s="1"/>
      <c r="L123" s="1"/>
      <c r="M123" s="1"/>
      <c r="N123" s="1"/>
      <c r="O123" s="1"/>
      <c r="P123" s="1"/>
    </row>
    <row r="124" spans="1:16" ht="16.600000000000001">
      <c r="B124" s="135" t="s">
        <v>283</v>
      </c>
      <c r="C124" s="136" t="s">
        <v>85</v>
      </c>
      <c r="D124" s="137"/>
      <c r="E124" s="137"/>
      <c r="F124" s="137"/>
      <c r="G124" s="137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6.600000000000001">
      <c r="A125" s="1" t="s">
        <v>82</v>
      </c>
      <c r="B125" s="135" t="s">
        <v>284</v>
      </c>
      <c r="C125" s="136" t="s">
        <v>86</v>
      </c>
      <c r="D125" s="136"/>
      <c r="E125" s="136"/>
      <c r="F125" s="136"/>
      <c r="G125" s="136"/>
      <c r="H125" s="1"/>
      <c r="I125" s="1"/>
      <c r="J125" s="1"/>
      <c r="K125" s="1"/>
      <c r="L125" s="1"/>
      <c r="M125" s="1"/>
      <c r="N125" s="1"/>
      <c r="O125" s="1"/>
      <c r="P125" s="1"/>
    </row>
    <row r="126" spans="1:16" ht="16.600000000000001">
      <c r="A126" s="1" t="s">
        <v>82</v>
      </c>
      <c r="B126" s="135" t="s">
        <v>285</v>
      </c>
      <c r="C126" s="136" t="s">
        <v>87</v>
      </c>
      <c r="D126" s="136"/>
      <c r="E126" s="136"/>
      <c r="F126" s="136"/>
      <c r="G126" s="137"/>
      <c r="H126" s="1"/>
      <c r="I126" s="1"/>
      <c r="J126" s="1"/>
      <c r="K126" s="1"/>
      <c r="L126" s="1"/>
      <c r="M126" s="1"/>
      <c r="N126" s="1"/>
      <c r="O126" s="1"/>
      <c r="P126" s="1"/>
    </row>
    <row r="127" spans="1:16" ht="16.600000000000001">
      <c r="A127" s="1" t="s">
        <v>583</v>
      </c>
      <c r="B127" s="135" t="s">
        <v>286</v>
      </c>
      <c r="C127" s="136" t="s">
        <v>88</v>
      </c>
      <c r="D127" s="137"/>
      <c r="E127" s="137"/>
      <c r="F127" s="137"/>
      <c r="G127" s="137"/>
      <c r="H127" s="1"/>
      <c r="I127" s="1"/>
      <c r="J127" s="1"/>
      <c r="K127" s="1"/>
      <c r="L127" s="1"/>
      <c r="M127" s="1"/>
      <c r="N127" s="1"/>
      <c r="O127" s="1"/>
      <c r="P127" s="1"/>
    </row>
    <row r="128" spans="1:16" ht="16.600000000000001">
      <c r="A128" s="1" t="s">
        <v>82</v>
      </c>
      <c r="B128" s="135" t="s">
        <v>287</v>
      </c>
      <c r="C128" s="136" t="s">
        <v>158</v>
      </c>
      <c r="D128" s="137"/>
      <c r="E128" s="137"/>
      <c r="F128" s="137"/>
      <c r="G128" s="137"/>
      <c r="H128" s="1"/>
      <c r="I128" s="1"/>
      <c r="J128" s="1"/>
      <c r="K128" s="1"/>
      <c r="L128" s="1"/>
      <c r="M128" s="1"/>
      <c r="N128" s="1"/>
      <c r="O128" s="1"/>
      <c r="P128" s="1"/>
    </row>
    <row r="129" spans="1:16" ht="16.600000000000001">
      <c r="A129" s="1" t="s">
        <v>82</v>
      </c>
      <c r="B129" s="135" t="s">
        <v>288</v>
      </c>
      <c r="C129" s="136" t="s">
        <v>159</v>
      </c>
      <c r="D129" s="136"/>
      <c r="E129" s="136"/>
      <c r="F129" s="136"/>
      <c r="G129" s="136"/>
      <c r="H129" s="1"/>
      <c r="I129" s="1"/>
      <c r="J129" s="1"/>
      <c r="K129" s="1"/>
      <c r="L129" s="1"/>
      <c r="M129" s="1"/>
      <c r="N129" s="1"/>
      <c r="O129" s="1"/>
      <c r="P129" s="1"/>
    </row>
    <row r="130" spans="1:16" ht="16.600000000000001">
      <c r="A130" s="1" t="s">
        <v>82</v>
      </c>
      <c r="B130" s="135" t="s">
        <v>289</v>
      </c>
      <c r="C130" s="136" t="s">
        <v>157</v>
      </c>
      <c r="D130" s="137"/>
      <c r="E130" s="137"/>
      <c r="F130" s="137"/>
      <c r="G130" s="137"/>
      <c r="H130" s="1"/>
      <c r="I130" s="1"/>
      <c r="J130" s="1"/>
      <c r="K130" s="1"/>
      <c r="L130" s="1"/>
      <c r="M130" s="1"/>
      <c r="N130" s="1"/>
      <c r="O130" s="1"/>
      <c r="P130" s="1"/>
    </row>
    <row r="131" spans="1:16" ht="16.600000000000001">
      <c r="B131" s="135" t="s">
        <v>290</v>
      </c>
      <c r="C131" s="136" t="s">
        <v>89</v>
      </c>
      <c r="D131" s="137"/>
      <c r="E131" s="137"/>
      <c r="F131" s="137"/>
      <c r="G131" s="137"/>
      <c r="H131" s="1"/>
      <c r="I131" s="1"/>
      <c r="J131" s="1"/>
      <c r="K131" s="1"/>
      <c r="L131" s="1"/>
      <c r="M131" s="1"/>
      <c r="N131" s="1"/>
      <c r="O131" s="1"/>
      <c r="P131" s="1"/>
    </row>
    <row r="132" spans="1:16" ht="16.600000000000001">
      <c r="B132" s="135" t="s">
        <v>291</v>
      </c>
      <c r="C132" s="136" t="s">
        <v>90</v>
      </c>
      <c r="D132" s="137"/>
      <c r="E132" s="137"/>
      <c r="F132" s="137"/>
      <c r="G132" s="137"/>
      <c r="H132" s="1"/>
      <c r="I132" s="1"/>
      <c r="J132" s="1"/>
      <c r="K132" s="1"/>
      <c r="L132" s="1"/>
      <c r="M132" s="1"/>
      <c r="N132" s="1"/>
      <c r="O132" s="1"/>
      <c r="P132" s="1"/>
    </row>
    <row r="133" spans="1:16" ht="16.600000000000001">
      <c r="B133" s="135" t="s">
        <v>292</v>
      </c>
      <c r="C133" s="136" t="s">
        <v>91</v>
      </c>
      <c r="D133" s="137"/>
      <c r="E133" s="137"/>
      <c r="F133" s="137"/>
      <c r="G133" s="137"/>
      <c r="H133" s="1"/>
      <c r="I133" s="1"/>
      <c r="J133" s="1"/>
      <c r="K133" s="1"/>
      <c r="L133" s="1"/>
      <c r="M133" s="1"/>
      <c r="N133" s="1"/>
      <c r="O133" s="1"/>
      <c r="P133" s="1"/>
    </row>
    <row r="134" spans="1:16" ht="16.600000000000001">
      <c r="A134" s="1" t="s">
        <v>92</v>
      </c>
      <c r="B134" s="135" t="s">
        <v>293</v>
      </c>
      <c r="C134" s="136" t="s">
        <v>93</v>
      </c>
      <c r="D134" s="137"/>
      <c r="E134" s="137"/>
      <c r="F134" s="137"/>
      <c r="G134" s="137"/>
      <c r="H134" s="1"/>
      <c r="I134" s="1"/>
      <c r="J134" s="1"/>
      <c r="K134" s="1"/>
      <c r="L134" s="1"/>
      <c r="M134" s="1"/>
      <c r="N134" s="1"/>
      <c r="O134" s="1"/>
      <c r="P134" s="1"/>
    </row>
    <row r="135" spans="1:16" ht="16.600000000000001">
      <c r="A135" s="1" t="s">
        <v>100</v>
      </c>
      <c r="B135" s="135" t="s">
        <v>294</v>
      </c>
      <c r="C135" s="136" t="s">
        <v>94</v>
      </c>
      <c r="D135" s="136"/>
      <c r="E135" s="136"/>
      <c r="F135" s="136"/>
      <c r="G135" s="136"/>
      <c r="H135" s="1"/>
      <c r="I135" s="1"/>
      <c r="J135" s="1"/>
      <c r="K135" s="1"/>
      <c r="L135" s="1"/>
      <c r="M135" s="1"/>
      <c r="N135" s="1"/>
      <c r="O135" s="1"/>
      <c r="P135" s="1"/>
    </row>
    <row r="136" spans="1:16" ht="16.600000000000001">
      <c r="A136" s="1" t="s">
        <v>92</v>
      </c>
      <c r="B136" s="135" t="s">
        <v>295</v>
      </c>
      <c r="C136" s="136" t="s">
        <v>95</v>
      </c>
      <c r="D136" s="137"/>
      <c r="E136" s="137"/>
      <c r="F136" s="137"/>
      <c r="G136" s="137"/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6.600000000000001">
      <c r="A137" s="1" t="s">
        <v>96</v>
      </c>
      <c r="B137" s="135" t="s">
        <v>296</v>
      </c>
      <c r="C137" s="136" t="s">
        <v>97</v>
      </c>
      <c r="D137" s="136"/>
      <c r="E137" s="136"/>
      <c r="F137" s="137"/>
      <c r="G137" s="136"/>
      <c r="H137" s="1"/>
      <c r="I137" s="1"/>
      <c r="J137" s="1"/>
      <c r="K137" s="1"/>
      <c r="L137" s="1"/>
      <c r="M137" s="1"/>
      <c r="N137" s="1"/>
      <c r="O137" s="1"/>
      <c r="P137" s="1"/>
    </row>
    <row r="138" spans="1:16" ht="16.600000000000001">
      <c r="A138" s="1" t="s">
        <v>96</v>
      </c>
      <c r="B138" s="135" t="s">
        <v>297</v>
      </c>
      <c r="C138" s="136" t="s">
        <v>98</v>
      </c>
      <c r="D138" s="136"/>
      <c r="E138" s="136"/>
      <c r="F138" s="136"/>
      <c r="G138" s="136"/>
      <c r="H138" s="1"/>
      <c r="I138" s="1"/>
      <c r="J138" s="1"/>
      <c r="K138" s="1"/>
      <c r="L138" s="1"/>
      <c r="M138" s="1"/>
      <c r="N138" s="1"/>
      <c r="O138" s="1"/>
      <c r="P138" s="1"/>
    </row>
    <row r="139" spans="1:16" ht="16.600000000000001">
      <c r="A139" s="1" t="s">
        <v>100</v>
      </c>
      <c r="B139" s="135" t="s">
        <v>298</v>
      </c>
      <c r="C139" s="136" t="s">
        <v>99</v>
      </c>
      <c r="D139" s="137"/>
      <c r="E139" s="137"/>
      <c r="F139" s="137"/>
      <c r="G139" s="137"/>
      <c r="H139" s="1"/>
      <c r="I139" s="1"/>
      <c r="J139" s="1"/>
      <c r="K139" s="1"/>
      <c r="L139" s="1"/>
      <c r="M139" s="1"/>
      <c r="N139" s="1"/>
      <c r="O139" s="1"/>
      <c r="P139" s="1"/>
    </row>
    <row r="140" spans="1:16" ht="16.600000000000001">
      <c r="A140" s="1" t="s">
        <v>100</v>
      </c>
      <c r="B140" s="135" t="s">
        <v>299</v>
      </c>
      <c r="C140" s="136" t="s">
        <v>101</v>
      </c>
      <c r="D140" s="136"/>
      <c r="E140" s="136"/>
      <c r="F140" s="136"/>
      <c r="G140" s="136"/>
      <c r="H140" s="1"/>
      <c r="I140" s="1"/>
      <c r="J140" s="1"/>
      <c r="K140" s="1"/>
      <c r="L140" s="1"/>
      <c r="M140" s="1"/>
      <c r="N140" s="1"/>
      <c r="O140" s="1"/>
      <c r="P140" s="1"/>
    </row>
    <row r="141" spans="1:16" ht="16.600000000000001">
      <c r="A141" s="1" t="s">
        <v>96</v>
      </c>
      <c r="B141" s="135" t="s">
        <v>300</v>
      </c>
      <c r="C141" s="136" t="s">
        <v>102</v>
      </c>
      <c r="D141" s="137"/>
      <c r="E141" s="137"/>
      <c r="F141" s="137"/>
      <c r="G141" s="137"/>
      <c r="H141" s="1"/>
      <c r="I141" s="1"/>
      <c r="J141" s="1"/>
      <c r="K141" s="1"/>
      <c r="L141" s="1"/>
      <c r="M141" s="1"/>
      <c r="N141" s="1"/>
      <c r="O141" s="1"/>
      <c r="P141" s="1"/>
    </row>
    <row r="142" spans="1:16" ht="16.600000000000001">
      <c r="A142" s="1" t="s">
        <v>587</v>
      </c>
      <c r="B142" s="135" t="s">
        <v>301</v>
      </c>
      <c r="C142" s="136" t="s">
        <v>103</v>
      </c>
      <c r="D142" s="137"/>
      <c r="E142" s="137"/>
      <c r="F142" s="137"/>
      <c r="G142" s="137"/>
      <c r="H142" s="1"/>
      <c r="I142" s="1"/>
      <c r="J142" s="1"/>
      <c r="K142" s="1"/>
      <c r="L142" s="1"/>
      <c r="M142" s="1"/>
      <c r="N142" s="1"/>
      <c r="O142" s="1"/>
      <c r="P142" s="1"/>
    </row>
    <row r="143" spans="1:16" ht="16.600000000000001">
      <c r="A143" s="1" t="s">
        <v>586</v>
      </c>
      <c r="B143" s="135" t="s">
        <v>302</v>
      </c>
      <c r="C143" s="136" t="s">
        <v>104</v>
      </c>
      <c r="D143" s="137"/>
      <c r="E143" s="137"/>
      <c r="F143" s="137"/>
      <c r="G143" s="137"/>
      <c r="H143" s="1"/>
      <c r="I143" s="1"/>
      <c r="J143" s="1"/>
      <c r="K143" s="1"/>
      <c r="L143" s="1"/>
      <c r="M143" s="1"/>
      <c r="N143" s="1"/>
      <c r="O143" s="1"/>
      <c r="P143" s="1"/>
    </row>
    <row r="144" spans="1:16" ht="16.600000000000001">
      <c r="A144" s="1" t="s">
        <v>96</v>
      </c>
      <c r="B144" s="135" t="s">
        <v>303</v>
      </c>
      <c r="C144" s="136" t="s">
        <v>105</v>
      </c>
      <c r="D144" s="136"/>
      <c r="E144" s="136"/>
      <c r="F144" s="137"/>
      <c r="G144" s="136"/>
      <c r="H144" s="1"/>
      <c r="I144" s="1"/>
      <c r="J144" s="1"/>
      <c r="K144" s="1"/>
      <c r="L144" s="1"/>
      <c r="M144" s="1"/>
      <c r="N144" s="1"/>
      <c r="O144" s="1"/>
      <c r="P144" s="1"/>
    </row>
    <row r="145" spans="1:16" ht="16.600000000000001">
      <c r="A145" s="1" t="s">
        <v>96</v>
      </c>
      <c r="B145" s="135" t="s">
        <v>304</v>
      </c>
      <c r="C145" s="136" t="s">
        <v>106</v>
      </c>
      <c r="D145" s="136"/>
      <c r="E145" s="136"/>
      <c r="F145" s="136"/>
      <c r="G145" s="136"/>
      <c r="H145" s="1"/>
      <c r="I145" s="1"/>
      <c r="J145" s="1"/>
      <c r="K145" s="1"/>
      <c r="L145" s="1"/>
      <c r="M145" s="1"/>
      <c r="N145" s="1"/>
      <c r="O145" s="1"/>
      <c r="P145" s="1"/>
    </row>
    <row r="146" spans="1:16" ht="16.600000000000001">
      <c r="A146" s="1" t="s">
        <v>588</v>
      </c>
      <c r="B146" s="135" t="s">
        <v>305</v>
      </c>
      <c r="C146" s="136" t="s">
        <v>107</v>
      </c>
      <c r="D146" s="137"/>
      <c r="E146" s="137"/>
      <c r="F146" s="136"/>
      <c r="G146" s="136"/>
      <c r="H146" s="1"/>
      <c r="I146" s="1"/>
      <c r="J146" s="1"/>
      <c r="K146" s="1"/>
      <c r="L146" s="1"/>
      <c r="M146" s="1"/>
      <c r="N146" s="1"/>
      <c r="O146" s="1"/>
      <c r="P146" s="1"/>
    </row>
    <row r="147" spans="1:16" ht="16.600000000000001">
      <c r="A147" s="1" t="s">
        <v>590</v>
      </c>
      <c r="B147" s="135" t="s">
        <v>306</v>
      </c>
      <c r="C147" s="136" t="s">
        <v>108</v>
      </c>
      <c r="D147" s="137"/>
      <c r="E147" s="137"/>
      <c r="F147" s="137"/>
      <c r="G147" s="137"/>
      <c r="H147" s="1"/>
      <c r="I147" s="1"/>
      <c r="J147" s="1"/>
      <c r="K147" s="1"/>
      <c r="L147" s="1"/>
      <c r="M147" s="1"/>
      <c r="N147" s="1"/>
      <c r="O147" s="1"/>
      <c r="P147" s="1"/>
    </row>
    <row r="148" spans="1:16" ht="16.600000000000001">
      <c r="A148" s="1" t="s">
        <v>92</v>
      </c>
      <c r="B148" s="135" t="s">
        <v>307</v>
      </c>
      <c r="C148" s="136" t="s">
        <v>109</v>
      </c>
      <c r="D148" s="136"/>
      <c r="E148" s="136"/>
      <c r="F148" s="136"/>
      <c r="G148" s="136"/>
      <c r="H148" s="1"/>
      <c r="I148" s="1"/>
      <c r="J148" s="1"/>
      <c r="K148" s="1"/>
      <c r="L148" s="1"/>
      <c r="M148" s="1"/>
      <c r="N148" s="1"/>
      <c r="O148" s="1"/>
      <c r="P148" s="1"/>
    </row>
    <row r="149" spans="1:16" ht="16.600000000000001">
      <c r="A149" s="1" t="s">
        <v>100</v>
      </c>
      <c r="B149" s="135" t="s">
        <v>308</v>
      </c>
      <c r="C149" s="136" t="s">
        <v>110</v>
      </c>
      <c r="D149" s="136"/>
      <c r="E149" s="136"/>
      <c r="F149" s="136"/>
      <c r="G149" s="136"/>
      <c r="H149" s="1"/>
      <c r="I149" s="1"/>
      <c r="J149" s="1"/>
      <c r="K149" s="1"/>
      <c r="L149" s="1"/>
      <c r="M149" s="1"/>
      <c r="N149" s="1"/>
      <c r="O149" s="1"/>
      <c r="P149" s="1"/>
    </row>
    <row r="150" spans="1:16" ht="16.600000000000001">
      <c r="A150" s="1" t="s">
        <v>96</v>
      </c>
      <c r="B150" s="135" t="s">
        <v>309</v>
      </c>
      <c r="C150" s="136" t="s">
        <v>112</v>
      </c>
      <c r="D150" s="137"/>
      <c r="E150" s="137"/>
      <c r="F150" s="137"/>
      <c r="G150" s="137"/>
      <c r="H150" s="1"/>
      <c r="I150" s="1"/>
      <c r="J150" s="1"/>
      <c r="K150" s="1"/>
      <c r="L150" s="1"/>
      <c r="M150" s="1"/>
      <c r="N150" s="1"/>
      <c r="O150" s="1"/>
      <c r="P150" s="1"/>
    </row>
    <row r="151" spans="1:16" ht="16.600000000000001">
      <c r="B151" s="135" t="s">
        <v>310</v>
      </c>
      <c r="C151" s="136" t="s">
        <v>111</v>
      </c>
      <c r="D151" s="137"/>
      <c r="E151" s="137"/>
      <c r="F151" s="137"/>
      <c r="G151" s="137"/>
      <c r="H151" s="1"/>
      <c r="I151" s="1"/>
      <c r="J151" s="1"/>
      <c r="K151" s="1"/>
      <c r="L151" s="1"/>
      <c r="M151" s="1"/>
      <c r="N151" s="1"/>
      <c r="O151" s="1"/>
      <c r="P151" s="1"/>
    </row>
    <row r="152" spans="1:16" ht="16.600000000000001">
      <c r="A152" s="1" t="s">
        <v>114</v>
      </c>
      <c r="B152" s="135" t="s">
        <v>311</v>
      </c>
      <c r="C152" s="136" t="s">
        <v>113</v>
      </c>
      <c r="D152" s="137"/>
      <c r="E152" s="137"/>
      <c r="F152" s="136"/>
      <c r="G152" s="136"/>
      <c r="H152" s="1"/>
      <c r="I152" s="1"/>
      <c r="J152" s="1"/>
      <c r="K152" s="1"/>
      <c r="L152" s="1"/>
      <c r="M152" s="1"/>
      <c r="N152" s="1"/>
      <c r="O152" s="1"/>
      <c r="P152" s="1"/>
    </row>
    <row r="153" spans="1:16" ht="16.600000000000001">
      <c r="A153" s="1" t="s">
        <v>114</v>
      </c>
      <c r="B153" s="135" t="s">
        <v>312</v>
      </c>
      <c r="C153" s="136" t="s">
        <v>115</v>
      </c>
      <c r="D153" s="136"/>
      <c r="E153" s="137"/>
      <c r="F153" s="136"/>
      <c r="G153" s="136"/>
      <c r="H153" s="1"/>
      <c r="I153" s="1"/>
      <c r="J153" s="1"/>
      <c r="K153" s="1"/>
      <c r="L153" s="1"/>
      <c r="M153" s="1"/>
      <c r="N153" s="1"/>
      <c r="O153" s="1"/>
      <c r="P153" s="1"/>
    </row>
    <row r="154" spans="1:16" ht="16.600000000000001">
      <c r="A154" s="1" t="s">
        <v>114</v>
      </c>
      <c r="B154" s="135" t="s">
        <v>313</v>
      </c>
      <c r="C154" s="136" t="s">
        <v>116</v>
      </c>
      <c r="D154" s="136"/>
      <c r="E154" s="136"/>
      <c r="F154" s="136"/>
      <c r="G154" s="136"/>
      <c r="H154" s="1"/>
      <c r="I154" s="1"/>
      <c r="J154" s="1"/>
      <c r="K154" s="1"/>
      <c r="L154" s="1"/>
      <c r="M154" s="1"/>
      <c r="N154" s="1"/>
      <c r="O154" s="1"/>
      <c r="P154" s="1"/>
    </row>
    <row r="155" spans="1:16" ht="16.600000000000001">
      <c r="A155" s="1" t="s">
        <v>114</v>
      </c>
      <c r="B155" s="135" t="s">
        <v>314</v>
      </c>
      <c r="C155" s="136" t="s">
        <v>117</v>
      </c>
      <c r="D155" s="136"/>
      <c r="E155" s="136"/>
      <c r="F155" s="136"/>
      <c r="G155" s="136"/>
      <c r="H155" s="1"/>
      <c r="I155" s="1"/>
      <c r="J155" s="1"/>
      <c r="K155" s="1"/>
      <c r="L155" s="1"/>
      <c r="M155" s="1"/>
      <c r="N155" s="1"/>
      <c r="O155" s="1"/>
      <c r="P155" s="1"/>
    </row>
    <row r="156" spans="1:16" ht="16.600000000000001">
      <c r="A156" s="1" t="s">
        <v>118</v>
      </c>
      <c r="B156" s="135" t="s">
        <v>315</v>
      </c>
      <c r="C156" s="136" t="s">
        <v>119</v>
      </c>
      <c r="D156" s="137"/>
      <c r="E156" s="137"/>
      <c r="F156" s="137"/>
      <c r="G156" s="137"/>
      <c r="H156" s="1"/>
      <c r="I156" s="1"/>
      <c r="J156" s="1"/>
      <c r="K156" s="1"/>
      <c r="L156" s="1"/>
      <c r="M156" s="1"/>
      <c r="N156" s="1"/>
      <c r="O156" s="1"/>
      <c r="P156" s="1"/>
    </row>
    <row r="157" spans="1:16" ht="16.600000000000001">
      <c r="A157" s="1" t="s">
        <v>118</v>
      </c>
      <c r="B157" s="135" t="s">
        <v>316</v>
      </c>
      <c r="C157" s="136" t="s">
        <v>120</v>
      </c>
      <c r="D157" s="137"/>
      <c r="E157" s="137"/>
      <c r="F157" s="137"/>
      <c r="G157" s="137"/>
      <c r="H157" s="1"/>
      <c r="I157" s="1"/>
      <c r="J157" s="1"/>
      <c r="K157" s="1"/>
      <c r="L157" s="1"/>
      <c r="M157" s="1"/>
      <c r="N157" s="1"/>
      <c r="O157" s="1"/>
      <c r="P157" s="1"/>
    </row>
    <row r="158" spans="1:16" ht="16.600000000000001">
      <c r="A158" s="1" t="s">
        <v>118</v>
      </c>
      <c r="B158" s="135" t="s">
        <v>317</v>
      </c>
      <c r="C158" s="136" t="s">
        <v>121</v>
      </c>
      <c r="D158" s="137"/>
      <c r="E158" s="137"/>
      <c r="F158" s="137"/>
      <c r="G158" s="137"/>
      <c r="H158" s="1"/>
      <c r="I158" s="1"/>
      <c r="J158" s="1"/>
      <c r="K158" s="1"/>
      <c r="L158" s="1"/>
      <c r="M158" s="1"/>
      <c r="N158" s="1"/>
      <c r="O158" s="1"/>
      <c r="P158" s="1"/>
    </row>
    <row r="159" spans="1:16" ht="16.600000000000001">
      <c r="A159" s="1" t="s">
        <v>118</v>
      </c>
      <c r="B159" s="135" t="s">
        <v>318</v>
      </c>
      <c r="C159" s="136" t="s">
        <v>122</v>
      </c>
      <c r="D159" s="137"/>
      <c r="E159" s="137"/>
      <c r="F159" s="137"/>
      <c r="G159" s="137"/>
      <c r="H159" s="1"/>
      <c r="I159" s="1"/>
      <c r="J159" s="1"/>
      <c r="K159" s="1"/>
      <c r="L159" s="1"/>
      <c r="M159" s="1"/>
      <c r="N159" s="1"/>
      <c r="O159" s="1"/>
      <c r="P159" s="1"/>
    </row>
    <row r="160" spans="1:16" ht="16.600000000000001">
      <c r="A160" s="1" t="s">
        <v>118</v>
      </c>
      <c r="B160" s="135" t="s">
        <v>319</v>
      </c>
      <c r="C160" s="136" t="s">
        <v>123</v>
      </c>
      <c r="D160" s="136"/>
      <c r="E160" s="136"/>
      <c r="F160" s="136"/>
      <c r="G160" s="136"/>
      <c r="H160" s="1"/>
      <c r="I160" s="1"/>
      <c r="J160" s="1"/>
      <c r="K160" s="1"/>
      <c r="L160" s="1"/>
      <c r="M160" s="1"/>
      <c r="N160" s="1"/>
      <c r="O160" s="1"/>
      <c r="P160" s="1"/>
    </row>
    <row r="161" spans="1:16" ht="16.600000000000001">
      <c r="A161" s="1" t="s">
        <v>114</v>
      </c>
      <c r="B161" s="135" t="s">
        <v>320</v>
      </c>
      <c r="C161" s="136" t="s">
        <v>124</v>
      </c>
      <c r="D161" s="137"/>
      <c r="E161" s="137"/>
      <c r="F161" s="137"/>
      <c r="G161" s="137"/>
      <c r="H161" s="1"/>
      <c r="I161" s="1"/>
      <c r="J161" s="1"/>
      <c r="K161" s="1"/>
      <c r="L161" s="1"/>
      <c r="M161" s="1"/>
      <c r="N161" s="1"/>
      <c r="O161" s="1"/>
      <c r="P161" s="1"/>
    </row>
    <row r="162" spans="1:16" ht="16.600000000000001">
      <c r="A162" s="1" t="s">
        <v>591</v>
      </c>
      <c r="B162" s="135" t="s">
        <v>321</v>
      </c>
      <c r="C162" s="136" t="s">
        <v>125</v>
      </c>
      <c r="D162" s="137"/>
      <c r="E162" s="137"/>
      <c r="F162" s="137"/>
      <c r="G162" s="137"/>
      <c r="H162" s="1"/>
      <c r="I162" s="1"/>
      <c r="J162" s="1"/>
      <c r="K162" s="1"/>
      <c r="L162" s="1"/>
      <c r="M162" s="1"/>
      <c r="N162" s="1"/>
      <c r="O162" s="1"/>
      <c r="P162" s="1"/>
    </row>
    <row r="163" spans="1:16" ht="16.600000000000001">
      <c r="A163" s="1" t="s">
        <v>114</v>
      </c>
      <c r="B163" s="135" t="s">
        <v>322</v>
      </c>
      <c r="C163" s="136" t="s">
        <v>126</v>
      </c>
      <c r="D163" s="137"/>
      <c r="E163" s="137"/>
      <c r="F163" s="137"/>
      <c r="G163" s="137"/>
      <c r="H163" s="1"/>
      <c r="I163" s="1"/>
      <c r="J163" s="1"/>
      <c r="K163" s="1"/>
      <c r="L163" s="1"/>
      <c r="M163" s="1"/>
      <c r="N163" s="1"/>
      <c r="O163" s="1"/>
      <c r="P163" s="1"/>
    </row>
    <row r="164" spans="1:16" ht="16.600000000000001">
      <c r="B164" s="135" t="s">
        <v>323</v>
      </c>
      <c r="C164" s="136" t="s">
        <v>128</v>
      </c>
      <c r="D164" s="137"/>
      <c r="E164" s="137"/>
      <c r="F164" s="137"/>
      <c r="G164" s="137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6.600000000000001">
      <c r="B165" s="135" t="s">
        <v>324</v>
      </c>
      <c r="C165" s="136" t="s">
        <v>127</v>
      </c>
      <c r="D165" s="137"/>
      <c r="E165" s="137"/>
      <c r="F165" s="137"/>
      <c r="G165" s="137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6.600000000000001">
      <c r="A166" s="1" t="s">
        <v>129</v>
      </c>
      <c r="B166" s="135" t="s">
        <v>325</v>
      </c>
      <c r="C166" s="136" t="s">
        <v>130</v>
      </c>
      <c r="D166" s="137"/>
      <c r="E166" s="137"/>
      <c r="F166" s="137"/>
      <c r="G166" s="137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6.600000000000001">
      <c r="A167" s="1" t="s">
        <v>129</v>
      </c>
      <c r="B167" s="135" t="s">
        <v>326</v>
      </c>
      <c r="C167" s="136" t="s">
        <v>131</v>
      </c>
      <c r="D167" s="136"/>
      <c r="E167" s="136"/>
      <c r="F167" s="136"/>
      <c r="G167" s="136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6.600000000000001">
      <c r="A168" s="1" t="s">
        <v>129</v>
      </c>
      <c r="B168" s="135" t="s">
        <v>327</v>
      </c>
      <c r="C168" s="136" t="s">
        <v>132</v>
      </c>
      <c r="D168" s="136"/>
      <c r="E168" s="136"/>
      <c r="F168" s="136"/>
      <c r="G168" s="136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6.600000000000001">
      <c r="A169" s="1" t="s">
        <v>129</v>
      </c>
      <c r="B169" s="135" t="s">
        <v>328</v>
      </c>
      <c r="C169" s="136" t="s">
        <v>133</v>
      </c>
      <c r="D169" s="136"/>
      <c r="E169" s="136"/>
      <c r="F169" s="136"/>
      <c r="G169" s="136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6.600000000000001">
      <c r="A170" s="1" t="s">
        <v>129</v>
      </c>
      <c r="B170" s="135" t="s">
        <v>329</v>
      </c>
      <c r="C170" s="136" t="s">
        <v>134</v>
      </c>
      <c r="D170" s="136"/>
      <c r="E170" s="136"/>
      <c r="F170" s="136"/>
      <c r="G170" s="136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6.600000000000001">
      <c r="B171" s="135" t="s">
        <v>330</v>
      </c>
      <c r="C171" s="136" t="s">
        <v>135</v>
      </c>
      <c r="D171" s="137"/>
      <c r="E171" s="137"/>
      <c r="F171" s="137"/>
      <c r="G171" s="137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6.600000000000001">
      <c r="A172" s="1" t="s">
        <v>129</v>
      </c>
      <c r="B172" s="135" t="s">
        <v>331</v>
      </c>
      <c r="C172" s="135" t="s">
        <v>136</v>
      </c>
      <c r="D172" s="137"/>
      <c r="E172" s="137"/>
      <c r="F172" s="137"/>
      <c r="G172" s="137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6.600000000000001">
      <c r="A173" s="1" t="s">
        <v>129</v>
      </c>
      <c r="B173" s="135" t="s">
        <v>332</v>
      </c>
      <c r="C173" s="136" t="s">
        <v>137</v>
      </c>
      <c r="D173" s="136"/>
      <c r="E173" s="136"/>
      <c r="F173" s="136"/>
      <c r="G173" s="136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6.600000000000001">
      <c r="A174" s="1" t="s">
        <v>129</v>
      </c>
      <c r="B174" s="135" t="s">
        <v>333</v>
      </c>
      <c r="C174" s="136" t="s">
        <v>138</v>
      </c>
      <c r="D174" s="137"/>
      <c r="E174" s="137"/>
      <c r="F174" s="137"/>
      <c r="G174" s="137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6.600000000000001">
      <c r="A175" s="1" t="s">
        <v>129</v>
      </c>
      <c r="B175" s="135" t="s">
        <v>334</v>
      </c>
      <c r="C175" s="136" t="s">
        <v>139</v>
      </c>
      <c r="D175" s="137"/>
      <c r="E175" s="137"/>
      <c r="F175" s="137"/>
      <c r="G175" s="136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6.600000000000001">
      <c r="A176" s="1" t="s">
        <v>129</v>
      </c>
      <c r="B176" s="135" t="s">
        <v>335</v>
      </c>
      <c r="C176" s="135" t="s">
        <v>577</v>
      </c>
      <c r="D176" s="136"/>
      <c r="E176" s="136"/>
      <c r="F176" s="136"/>
      <c r="G176" s="136"/>
      <c r="H176" s="1"/>
      <c r="I176" s="1"/>
      <c r="J176" s="1"/>
      <c r="K176" s="1"/>
      <c r="L176" s="1"/>
      <c r="M176" s="1"/>
      <c r="N176" s="1"/>
      <c r="O176" s="1"/>
      <c r="P176" s="1"/>
    </row>
    <row r="177" spans="1:16" ht="16.600000000000001">
      <c r="A177" s="1" t="s">
        <v>129</v>
      </c>
      <c r="B177" s="135" t="s">
        <v>336</v>
      </c>
      <c r="C177" s="136" t="s">
        <v>140</v>
      </c>
      <c r="D177" s="137"/>
      <c r="E177" s="136"/>
      <c r="F177" s="136"/>
      <c r="G177" s="136"/>
      <c r="H177" s="1"/>
      <c r="I177" s="1"/>
      <c r="J177" s="1"/>
      <c r="K177" s="1"/>
      <c r="L177" s="1"/>
      <c r="M177" s="1"/>
      <c r="N177" s="1"/>
      <c r="O177" s="1"/>
      <c r="P177" s="1"/>
    </row>
    <row r="178" spans="1:16" ht="16.600000000000001">
      <c r="A178" s="1" t="s">
        <v>129</v>
      </c>
      <c r="B178" s="135" t="s">
        <v>337</v>
      </c>
      <c r="C178" s="135" t="s">
        <v>141</v>
      </c>
      <c r="D178" s="137"/>
      <c r="E178" s="137"/>
      <c r="F178" s="137"/>
      <c r="G178" s="137"/>
      <c r="H178" s="1"/>
      <c r="I178" s="1"/>
      <c r="J178" s="1"/>
      <c r="K178" s="1"/>
      <c r="L178" s="1"/>
      <c r="M178" s="1"/>
      <c r="N178" s="1"/>
      <c r="O178" s="1"/>
      <c r="P178" s="1"/>
    </row>
    <row r="179" spans="1:16" ht="16.600000000000001">
      <c r="A179" s="1" t="s">
        <v>129</v>
      </c>
      <c r="B179" s="135" t="s">
        <v>338</v>
      </c>
      <c r="C179" s="136" t="s">
        <v>142</v>
      </c>
      <c r="D179" s="137"/>
      <c r="E179" s="137"/>
      <c r="F179" s="137"/>
      <c r="G179" s="137"/>
      <c r="H179" s="1"/>
      <c r="I179" s="1"/>
      <c r="J179" s="1"/>
      <c r="K179" s="1"/>
      <c r="L179" s="1"/>
      <c r="M179" s="1"/>
      <c r="N179" s="1"/>
      <c r="O179" s="1"/>
      <c r="P179" s="1"/>
    </row>
    <row r="180" spans="1:16" ht="16.600000000000001">
      <c r="A180" s="1" t="s">
        <v>129</v>
      </c>
      <c r="B180" s="135" t="s">
        <v>339</v>
      </c>
      <c r="C180" s="136" t="s">
        <v>143</v>
      </c>
      <c r="D180" s="136"/>
      <c r="E180" s="136"/>
      <c r="F180" s="136"/>
      <c r="G180" s="136"/>
      <c r="H180" s="1"/>
      <c r="I180" s="1"/>
      <c r="J180" s="1"/>
      <c r="K180" s="1"/>
      <c r="L180" s="1"/>
      <c r="M180" s="1"/>
      <c r="N180" s="1"/>
      <c r="O180" s="1"/>
      <c r="P180" s="1"/>
    </row>
    <row r="181" spans="1:16" ht="16.600000000000001">
      <c r="A181" s="1" t="s">
        <v>129</v>
      </c>
      <c r="B181" s="135" t="s">
        <v>340</v>
      </c>
      <c r="C181" s="136" t="s">
        <v>144</v>
      </c>
      <c r="D181" s="136"/>
      <c r="E181" s="137"/>
      <c r="F181" s="137"/>
      <c r="G181" s="137"/>
      <c r="H181" s="1"/>
      <c r="I181" s="1"/>
      <c r="J181" s="1"/>
      <c r="K181" s="1"/>
      <c r="L181" s="1"/>
      <c r="M181" s="1"/>
      <c r="N181" s="1"/>
      <c r="O181" s="1"/>
      <c r="P181" s="1"/>
    </row>
    <row r="182" spans="1:16" ht="16.600000000000001">
      <c r="A182" s="1" t="s">
        <v>129</v>
      </c>
      <c r="B182" s="135" t="s">
        <v>341</v>
      </c>
      <c r="C182" s="136" t="s">
        <v>145</v>
      </c>
      <c r="D182" s="136"/>
      <c r="E182" s="137"/>
      <c r="F182" s="137"/>
      <c r="G182" s="137"/>
      <c r="H182" s="1"/>
      <c r="I182" s="1"/>
      <c r="J182" s="1"/>
      <c r="K182" s="1"/>
      <c r="L182" s="1"/>
      <c r="M182" s="1"/>
      <c r="N182" s="1"/>
      <c r="O182" s="1"/>
      <c r="P182" s="1"/>
    </row>
    <row r="183" spans="1:16" ht="16.600000000000001">
      <c r="B183" s="135" t="s">
        <v>342</v>
      </c>
      <c r="C183" s="136" t="s">
        <v>146</v>
      </c>
      <c r="D183" s="137"/>
      <c r="E183" s="137"/>
      <c r="F183" s="137"/>
      <c r="G183" s="137"/>
      <c r="H183" s="1"/>
      <c r="I183" s="1"/>
      <c r="J183" s="1"/>
      <c r="K183" s="1"/>
      <c r="L183" s="1"/>
      <c r="M183" s="1"/>
      <c r="N183" s="1"/>
      <c r="O183" s="1"/>
      <c r="P183" s="1"/>
    </row>
    <row r="184" spans="1:16" ht="16.600000000000001">
      <c r="A184" s="1" t="s">
        <v>129</v>
      </c>
      <c r="B184" s="135" t="s">
        <v>343</v>
      </c>
      <c r="C184" s="136" t="s">
        <v>147</v>
      </c>
      <c r="D184" s="137"/>
      <c r="E184" s="137"/>
      <c r="F184" s="137"/>
      <c r="G184" s="137"/>
      <c r="H184" s="1"/>
      <c r="I184" s="1"/>
      <c r="J184" s="1"/>
      <c r="K184" s="1"/>
      <c r="L184" s="1"/>
      <c r="M184" s="1"/>
      <c r="N184" s="1"/>
      <c r="O184" s="1"/>
      <c r="P184" s="1"/>
    </row>
    <row r="185" spans="1:16" ht="16.600000000000001">
      <c r="A185" s="1" t="s">
        <v>129</v>
      </c>
      <c r="B185" s="135" t="s">
        <v>344</v>
      </c>
      <c r="C185" s="135" t="s">
        <v>148</v>
      </c>
      <c r="D185" s="137"/>
      <c r="E185" s="137"/>
      <c r="F185" s="137"/>
      <c r="G185" s="137"/>
      <c r="H185" s="1"/>
      <c r="I185" s="1"/>
      <c r="J185" s="1"/>
      <c r="K185" s="1"/>
      <c r="L185" s="1"/>
      <c r="M185" s="1"/>
      <c r="N185" s="1"/>
      <c r="O185" s="1"/>
      <c r="P185" s="1"/>
    </row>
    <row r="186" spans="1:16" ht="16.600000000000001">
      <c r="A186" s="1" t="s">
        <v>129</v>
      </c>
      <c r="B186" s="135" t="s">
        <v>345</v>
      </c>
      <c r="C186" s="136" t="s">
        <v>149</v>
      </c>
      <c r="D186" s="137"/>
      <c r="E186" s="137"/>
      <c r="F186" s="137"/>
      <c r="G186" s="137"/>
      <c r="H186" s="1"/>
      <c r="I186" s="1"/>
      <c r="J186" s="1"/>
      <c r="K186" s="1"/>
      <c r="L186" s="1"/>
      <c r="M186" s="1"/>
      <c r="N186" s="1"/>
      <c r="O186" s="1"/>
      <c r="P186" s="1"/>
    </row>
    <row r="187" spans="1:16" ht="16.600000000000001">
      <c r="B187" s="135" t="s">
        <v>346</v>
      </c>
      <c r="C187" s="136" t="s">
        <v>150</v>
      </c>
      <c r="D187" s="137"/>
      <c r="E187" s="137"/>
      <c r="F187" s="137"/>
      <c r="G187" s="137"/>
      <c r="H187" s="1"/>
      <c r="I187" s="1"/>
      <c r="J187" s="1"/>
      <c r="K187" s="1"/>
      <c r="L187" s="1"/>
      <c r="M187" s="1"/>
      <c r="N187" s="1"/>
      <c r="O187" s="1"/>
      <c r="P187" s="1"/>
    </row>
    <row r="188" spans="1:16" ht="16.600000000000001">
      <c r="A188" s="1" t="s">
        <v>129</v>
      </c>
      <c r="B188" s="135" t="s">
        <v>347</v>
      </c>
      <c r="C188" s="136" t="s">
        <v>151</v>
      </c>
      <c r="D188" s="137"/>
      <c r="E188" s="137"/>
      <c r="F188" s="137"/>
      <c r="G188" s="137"/>
      <c r="H188" s="1"/>
      <c r="I188" s="1"/>
      <c r="J188" s="1"/>
      <c r="K188" s="1"/>
      <c r="L188" s="1"/>
      <c r="M188" s="1"/>
      <c r="N188" s="1"/>
      <c r="O188" s="1"/>
      <c r="P188" s="1"/>
    </row>
    <row r="189" spans="1:16" ht="16.600000000000001">
      <c r="A189" s="1" t="s">
        <v>129</v>
      </c>
      <c r="B189" s="135" t="s">
        <v>348</v>
      </c>
      <c r="C189" s="136" t="s">
        <v>152</v>
      </c>
      <c r="D189" s="137"/>
      <c r="E189" s="137"/>
      <c r="F189" s="137"/>
      <c r="G189" s="137"/>
      <c r="H189" s="1"/>
      <c r="I189" s="1"/>
      <c r="J189" s="1"/>
      <c r="K189" s="1"/>
      <c r="L189" s="1"/>
      <c r="M189" s="1"/>
      <c r="N189" s="1"/>
      <c r="O189" s="1"/>
      <c r="P189" s="1"/>
    </row>
    <row r="190" spans="1:16" ht="16.600000000000001">
      <c r="A190" s="1" t="s">
        <v>129</v>
      </c>
      <c r="B190" s="135" t="s">
        <v>349</v>
      </c>
      <c r="C190" s="136" t="s">
        <v>153</v>
      </c>
      <c r="D190" s="136"/>
      <c r="E190" s="136"/>
      <c r="F190" s="136"/>
      <c r="G190" s="136"/>
      <c r="H190" s="1"/>
      <c r="I190" s="1"/>
      <c r="J190" s="1"/>
      <c r="K190" s="1"/>
      <c r="L190" s="1"/>
      <c r="M190" s="1"/>
      <c r="N190" s="1"/>
      <c r="O190" s="1"/>
      <c r="P190" s="1"/>
    </row>
    <row r="191" spans="1:16" ht="16.600000000000001">
      <c r="A191" s="1" t="s">
        <v>129</v>
      </c>
      <c r="B191" s="135" t="s">
        <v>350</v>
      </c>
      <c r="C191" s="136" t="s">
        <v>154</v>
      </c>
      <c r="D191" s="136"/>
      <c r="E191" s="136"/>
      <c r="F191" s="136"/>
      <c r="G191" s="136"/>
      <c r="H191" s="1"/>
      <c r="I191" s="1"/>
      <c r="J191" s="1"/>
      <c r="K191" s="1"/>
      <c r="L191" s="1"/>
      <c r="M191" s="1"/>
      <c r="N191" s="1"/>
      <c r="O191" s="1"/>
      <c r="P191" s="1"/>
    </row>
    <row r="192" spans="1:16" ht="16.600000000000001">
      <c r="A192" s="1" t="s">
        <v>129</v>
      </c>
      <c r="B192" s="135" t="s">
        <v>351</v>
      </c>
      <c r="C192" s="136" t="s">
        <v>155</v>
      </c>
      <c r="D192" s="136"/>
      <c r="E192" s="136"/>
      <c r="F192" s="136"/>
      <c r="G192" s="136"/>
      <c r="H192" s="1"/>
      <c r="I192" s="1"/>
      <c r="J192" s="1"/>
      <c r="K192" s="1"/>
      <c r="L192" s="1"/>
      <c r="M192" s="1"/>
      <c r="N192" s="1"/>
      <c r="O192" s="1"/>
      <c r="P192" s="1"/>
    </row>
    <row r="193" spans="1:16" ht="16.600000000000001">
      <c r="A193" s="1" t="s">
        <v>129</v>
      </c>
      <c r="B193" s="135" t="s">
        <v>352</v>
      </c>
      <c r="C193" s="136" t="s">
        <v>156</v>
      </c>
      <c r="D193" s="136"/>
      <c r="E193" s="136"/>
      <c r="F193" s="136"/>
      <c r="G193" s="136"/>
      <c r="H193" s="1"/>
      <c r="I193" s="1"/>
      <c r="J193" s="1"/>
      <c r="K193" s="1"/>
      <c r="L193" s="1"/>
      <c r="M193" s="1"/>
      <c r="N193" s="1"/>
      <c r="O193" s="1"/>
      <c r="P193" s="1"/>
    </row>
    <row r="194" spans="1:16" ht="16.600000000000001">
      <c r="A194" s="1" t="s">
        <v>129</v>
      </c>
      <c r="B194" s="135" t="s">
        <v>353</v>
      </c>
      <c r="C194" s="136" t="s">
        <v>160</v>
      </c>
      <c r="D194" s="136"/>
      <c r="E194" s="137"/>
      <c r="F194" s="137"/>
      <c r="G194" s="137"/>
      <c r="H194" s="1"/>
      <c r="I194" s="1"/>
      <c r="J194" s="1"/>
      <c r="K194" s="1"/>
      <c r="L194" s="1"/>
      <c r="M194" s="1"/>
      <c r="N194" s="1"/>
      <c r="O194" s="1"/>
      <c r="P194" s="1"/>
    </row>
    <row r="195" spans="1:16" ht="16.600000000000001">
      <c r="A195" s="1" t="s">
        <v>129</v>
      </c>
      <c r="B195" s="135" t="s">
        <v>354</v>
      </c>
      <c r="C195" s="136" t="s">
        <v>161</v>
      </c>
      <c r="D195" s="136"/>
      <c r="E195" s="136"/>
      <c r="F195" s="136"/>
      <c r="G195" s="136"/>
      <c r="H195" s="1"/>
      <c r="I195" s="1"/>
      <c r="J195" s="1"/>
      <c r="K195" s="1"/>
      <c r="L195" s="1"/>
      <c r="M195" s="1"/>
      <c r="N195" s="1"/>
      <c r="O195" s="1"/>
      <c r="P195" s="1"/>
    </row>
    <row r="196" spans="1:16" ht="16.600000000000001">
      <c r="B196" s="135" t="s">
        <v>355</v>
      </c>
      <c r="C196" s="136" t="s">
        <v>162</v>
      </c>
      <c r="D196" s="137"/>
      <c r="E196" s="137"/>
      <c r="F196" s="137"/>
      <c r="G196" s="137"/>
      <c r="H196" s="1"/>
      <c r="I196" s="1"/>
      <c r="J196" s="1"/>
      <c r="K196" s="1"/>
      <c r="L196" s="1"/>
      <c r="M196" s="1"/>
      <c r="N196" s="1"/>
      <c r="O196" s="1"/>
      <c r="P196" s="1"/>
    </row>
    <row r="197" spans="1:16" ht="16.600000000000001">
      <c r="A197" s="1" t="s">
        <v>129</v>
      </c>
      <c r="B197" s="135" t="s">
        <v>356</v>
      </c>
      <c r="C197" s="136" t="s">
        <v>163</v>
      </c>
      <c r="D197" s="137"/>
      <c r="E197" s="136"/>
      <c r="F197" s="136"/>
      <c r="G197" s="137"/>
      <c r="H197" s="1"/>
      <c r="I197" s="1"/>
      <c r="J197" s="1"/>
      <c r="K197" s="1"/>
      <c r="L197" s="1"/>
      <c r="M197" s="1"/>
      <c r="N197" s="1"/>
      <c r="O197" s="1"/>
      <c r="P197" s="1"/>
    </row>
    <row r="198" spans="1:16" ht="16.600000000000001">
      <c r="B198" s="135" t="s">
        <v>357</v>
      </c>
      <c r="C198" s="135" t="s">
        <v>167</v>
      </c>
      <c r="D198" s="137"/>
      <c r="E198" s="137"/>
      <c r="F198" s="137"/>
      <c r="G198" s="137"/>
      <c r="H198" s="1"/>
      <c r="I198" s="1"/>
      <c r="J198" s="1"/>
      <c r="K198" s="1"/>
      <c r="L198" s="1"/>
      <c r="M198" s="1"/>
      <c r="N198" s="1"/>
      <c r="O198" s="1"/>
      <c r="P198" s="1"/>
    </row>
    <row r="199" spans="1:16" ht="16.600000000000001">
      <c r="A199" s="1" t="s">
        <v>165</v>
      </c>
      <c r="B199" s="135" t="s">
        <v>358</v>
      </c>
      <c r="C199" s="135" t="s">
        <v>578</v>
      </c>
      <c r="D199" s="136"/>
      <c r="E199" s="136"/>
      <c r="F199" s="136"/>
      <c r="G199" s="136"/>
      <c r="H199" s="1"/>
      <c r="I199" s="1"/>
      <c r="J199" s="1"/>
      <c r="K199" s="1"/>
      <c r="L199" s="1"/>
      <c r="M199" s="1"/>
      <c r="N199" s="1"/>
      <c r="O199" s="1"/>
      <c r="P199" s="1"/>
    </row>
    <row r="200" spans="1:16" ht="16.600000000000001">
      <c r="A200" s="1" t="s">
        <v>165</v>
      </c>
      <c r="B200" s="135" t="s">
        <v>359</v>
      </c>
      <c r="C200" s="135" t="s">
        <v>359</v>
      </c>
      <c r="D200" s="136"/>
      <c r="E200" s="136"/>
      <c r="F200" s="136"/>
      <c r="G200" s="136"/>
      <c r="H200" s="1"/>
      <c r="I200" s="1"/>
      <c r="J200" s="1"/>
      <c r="K200" s="1"/>
      <c r="L200" s="1"/>
      <c r="M200" s="1"/>
      <c r="N200" s="1"/>
      <c r="O200" s="1"/>
      <c r="P200" s="1"/>
    </row>
    <row r="201" spans="1:16" ht="16.600000000000001">
      <c r="A201" s="1" t="s">
        <v>165</v>
      </c>
      <c r="B201" s="135" t="s">
        <v>360</v>
      </c>
      <c r="C201" s="136" t="s">
        <v>166</v>
      </c>
      <c r="D201" s="137"/>
      <c r="E201" s="137"/>
      <c r="F201" s="137"/>
      <c r="G201" s="137"/>
      <c r="H201" s="1"/>
      <c r="I201" s="1"/>
      <c r="J201" s="1"/>
      <c r="K201" s="1"/>
      <c r="L201" s="1"/>
      <c r="M201" s="1"/>
      <c r="N201" s="1"/>
      <c r="O201" s="1"/>
      <c r="P201" s="1"/>
    </row>
    <row r="202" spans="1:16" ht="16.600000000000001">
      <c r="B202" s="135" t="s">
        <v>361</v>
      </c>
      <c r="C202" s="136" t="s">
        <v>164</v>
      </c>
      <c r="D202" s="137"/>
      <c r="E202" s="137"/>
      <c r="F202" s="137"/>
      <c r="G202" s="137"/>
      <c r="H202" s="1"/>
      <c r="I202" s="1"/>
      <c r="J202" s="1"/>
      <c r="K202" s="1"/>
      <c r="L202" s="1"/>
      <c r="M202" s="1"/>
      <c r="N202" s="1"/>
      <c r="O202" s="1"/>
      <c r="P202" s="1"/>
    </row>
    <row r="203" spans="1:16" ht="16.600000000000001">
      <c r="B203" s="135" t="s">
        <v>362</v>
      </c>
      <c r="C203" s="136" t="s">
        <v>168</v>
      </c>
      <c r="D203" s="137"/>
      <c r="E203" s="137"/>
      <c r="F203" s="137"/>
      <c r="G203" s="137"/>
      <c r="H203" s="1"/>
      <c r="I203" s="1"/>
      <c r="J203" s="1"/>
      <c r="K203" s="1"/>
      <c r="L203" s="1"/>
      <c r="M203" s="1"/>
      <c r="N203" s="1"/>
      <c r="O203" s="1"/>
      <c r="P203" s="1"/>
    </row>
    <row r="204" spans="1:16" ht="16.600000000000001">
      <c r="A204" s="1" t="s">
        <v>169</v>
      </c>
      <c r="B204" s="135" t="s">
        <v>363</v>
      </c>
      <c r="C204" s="136" t="s">
        <v>177</v>
      </c>
      <c r="D204" s="137"/>
      <c r="E204" s="137"/>
      <c r="F204" s="137"/>
      <c r="G204" s="137"/>
      <c r="H204" s="1"/>
      <c r="I204" s="1"/>
      <c r="J204" s="1"/>
      <c r="K204" s="1"/>
      <c r="L204" s="1"/>
      <c r="M204" s="1"/>
      <c r="N204" s="1"/>
      <c r="O204" s="1"/>
      <c r="P204" s="1"/>
    </row>
    <row r="205" spans="1:16" ht="16.600000000000001">
      <c r="A205" s="1" t="s">
        <v>171</v>
      </c>
      <c r="B205" s="135" t="s">
        <v>364</v>
      </c>
      <c r="C205" s="136" t="s">
        <v>172</v>
      </c>
      <c r="D205" s="137"/>
      <c r="E205" s="137"/>
      <c r="F205" s="137"/>
      <c r="G205" s="137"/>
      <c r="H205" s="1"/>
      <c r="I205" s="1"/>
      <c r="J205" s="1"/>
      <c r="K205" s="1"/>
      <c r="L205" s="1"/>
      <c r="M205" s="1"/>
      <c r="N205" s="1"/>
      <c r="O205" s="1"/>
      <c r="P205" s="1"/>
    </row>
    <row r="206" spans="1:16" ht="16.600000000000001">
      <c r="A206" s="1" t="s">
        <v>171</v>
      </c>
      <c r="B206" s="135" t="s">
        <v>365</v>
      </c>
      <c r="C206" s="136" t="s">
        <v>173</v>
      </c>
      <c r="D206" s="136"/>
      <c r="E206" s="136"/>
      <c r="F206" s="136"/>
      <c r="G206" s="136"/>
      <c r="H206" s="1"/>
      <c r="I206" s="1"/>
      <c r="J206" s="1"/>
      <c r="K206" s="1"/>
      <c r="L206" s="1"/>
      <c r="M206" s="1"/>
      <c r="N206" s="1"/>
      <c r="O206" s="1"/>
      <c r="P206" s="1"/>
    </row>
    <row r="207" spans="1:16" ht="16.600000000000001">
      <c r="A207" s="1" t="s">
        <v>171</v>
      </c>
      <c r="B207" s="135" t="s">
        <v>366</v>
      </c>
      <c r="C207" s="136" t="s">
        <v>174</v>
      </c>
      <c r="D207" s="136"/>
      <c r="E207" s="136"/>
      <c r="F207" s="136"/>
      <c r="G207" s="136"/>
      <c r="H207" s="1"/>
      <c r="I207" s="1"/>
      <c r="J207" s="1"/>
      <c r="K207" s="1"/>
      <c r="L207" s="1"/>
      <c r="M207" s="1"/>
      <c r="N207" s="1"/>
      <c r="O207" s="1"/>
      <c r="P207" s="1"/>
    </row>
    <row r="208" spans="1:16" ht="16.600000000000001">
      <c r="A208" s="1" t="s">
        <v>171</v>
      </c>
      <c r="B208" s="135" t="s">
        <v>367</v>
      </c>
      <c r="C208" s="136" t="s">
        <v>175</v>
      </c>
      <c r="D208" s="136"/>
      <c r="E208" s="136"/>
      <c r="F208" s="136"/>
      <c r="G208" s="136"/>
      <c r="H208" s="1"/>
      <c r="I208" s="1"/>
      <c r="J208" s="1"/>
      <c r="K208" s="1"/>
      <c r="L208" s="1"/>
      <c r="M208" s="1"/>
      <c r="N208" s="1"/>
      <c r="O208" s="1"/>
      <c r="P208" s="1"/>
    </row>
    <row r="209" spans="1:16" ht="16.600000000000001">
      <c r="A209" s="1" t="s">
        <v>171</v>
      </c>
      <c r="B209" s="135" t="s">
        <v>368</v>
      </c>
      <c r="C209" s="136" t="s">
        <v>176</v>
      </c>
      <c r="D209" s="136"/>
      <c r="E209" s="136"/>
      <c r="F209" s="136"/>
      <c r="G209" s="136"/>
      <c r="H209" s="1"/>
      <c r="I209" s="1"/>
      <c r="J209" s="1"/>
      <c r="K209" s="1"/>
      <c r="L209" s="1"/>
      <c r="M209" s="1"/>
      <c r="N209" s="1"/>
      <c r="O209" s="1"/>
      <c r="P209" s="1"/>
    </row>
    <row r="210" spans="1:16" ht="16.600000000000001">
      <c r="A210" s="1" t="s">
        <v>169</v>
      </c>
      <c r="B210" s="135" t="s">
        <v>369</v>
      </c>
      <c r="C210" s="136" t="s">
        <v>178</v>
      </c>
      <c r="D210" s="136"/>
      <c r="E210" s="136"/>
      <c r="F210" s="136"/>
      <c r="G210" s="136"/>
      <c r="H210" s="1"/>
      <c r="I210" s="1"/>
      <c r="J210" s="1"/>
      <c r="K210" s="1"/>
      <c r="L210" s="1"/>
      <c r="M210" s="1"/>
      <c r="N210" s="1"/>
      <c r="O210" s="1"/>
      <c r="P210" s="1"/>
    </row>
    <row r="211" spans="1:16" ht="16.600000000000001">
      <c r="B211" s="135" t="s">
        <v>370</v>
      </c>
      <c r="C211" s="136" t="s">
        <v>179</v>
      </c>
      <c r="D211" s="137"/>
      <c r="E211" s="137"/>
      <c r="F211" s="137"/>
      <c r="G211" s="137"/>
      <c r="H211" s="1"/>
      <c r="I211" s="1"/>
      <c r="J211" s="1"/>
      <c r="K211" s="1"/>
      <c r="L211" s="1"/>
      <c r="M211" s="1"/>
      <c r="N211" s="1"/>
      <c r="O211" s="1"/>
      <c r="P211" s="1"/>
    </row>
    <row r="212" spans="1:16" ht="16.600000000000001">
      <c r="A212" s="1" t="s">
        <v>180</v>
      </c>
      <c r="B212" s="135" t="s">
        <v>371</v>
      </c>
      <c r="C212" s="136" t="s">
        <v>181</v>
      </c>
      <c r="D212" s="137"/>
      <c r="E212" s="137"/>
      <c r="F212" s="137"/>
      <c r="G212" s="137"/>
      <c r="H212" s="1"/>
      <c r="I212" s="1"/>
      <c r="J212" s="1"/>
      <c r="K212" s="1"/>
      <c r="L212" s="1"/>
      <c r="M212" s="1"/>
      <c r="N212" s="1"/>
      <c r="O212" s="1"/>
      <c r="P212" s="1"/>
    </row>
    <row r="213" spans="1:16" ht="16.600000000000001">
      <c r="A213" s="1" t="s">
        <v>171</v>
      </c>
      <c r="B213" s="135" t="s">
        <v>372</v>
      </c>
      <c r="C213" s="136" t="s">
        <v>183</v>
      </c>
      <c r="D213" s="136"/>
      <c r="E213" s="136"/>
      <c r="F213" s="136"/>
      <c r="G213" s="136"/>
      <c r="H213" s="1"/>
      <c r="I213" s="1"/>
      <c r="J213" s="1"/>
      <c r="K213" s="1"/>
      <c r="L213" s="1"/>
      <c r="M213" s="1"/>
      <c r="N213" s="1"/>
      <c r="O213" s="1"/>
      <c r="P213" s="1"/>
    </row>
    <row r="214" spans="1:16" ht="16.600000000000001">
      <c r="A214" s="1" t="s">
        <v>171</v>
      </c>
      <c r="B214" s="135" t="s">
        <v>373</v>
      </c>
      <c r="C214" s="136" t="s">
        <v>184</v>
      </c>
      <c r="D214" s="136"/>
      <c r="E214" s="136"/>
      <c r="F214" s="136"/>
      <c r="G214" s="136"/>
      <c r="H214" s="1"/>
      <c r="I214" s="1"/>
      <c r="J214" s="1"/>
      <c r="K214" s="1"/>
      <c r="L214" s="1"/>
      <c r="M214" s="1"/>
      <c r="N214" s="1"/>
      <c r="O214" s="1"/>
      <c r="P214" s="1"/>
    </row>
    <row r="215" spans="1:16" ht="16.600000000000001">
      <c r="A215" s="1" t="s">
        <v>171</v>
      </c>
      <c r="B215" s="135" t="s">
        <v>374</v>
      </c>
      <c r="C215" s="136" t="s">
        <v>185</v>
      </c>
      <c r="D215" s="136"/>
      <c r="E215" s="136"/>
      <c r="F215" s="136"/>
      <c r="G215" s="136"/>
      <c r="H215" s="1"/>
      <c r="I215" s="1"/>
      <c r="J215" s="1"/>
      <c r="K215" s="1"/>
      <c r="L215" s="1"/>
      <c r="M215" s="1"/>
      <c r="N215" s="1"/>
      <c r="O215" s="1"/>
      <c r="P215" s="1"/>
    </row>
    <row r="216" spans="1:16" ht="16.600000000000001">
      <c r="A216" s="1" t="s">
        <v>171</v>
      </c>
      <c r="B216" s="135" t="s">
        <v>375</v>
      </c>
      <c r="C216" s="136" t="s">
        <v>186</v>
      </c>
      <c r="D216" s="136"/>
      <c r="E216" s="136"/>
      <c r="F216" s="136"/>
      <c r="G216" s="136"/>
      <c r="H216" s="1"/>
      <c r="I216" s="1"/>
      <c r="J216" s="1"/>
      <c r="K216" s="1"/>
      <c r="L216" s="1"/>
      <c r="M216" s="1"/>
      <c r="N216" s="1"/>
      <c r="O216" s="1"/>
      <c r="P216" s="1"/>
    </row>
    <row r="217" spans="1:16" ht="16.600000000000001">
      <c r="A217" s="1" t="s">
        <v>171</v>
      </c>
      <c r="B217" s="135" t="s">
        <v>376</v>
      </c>
      <c r="C217" s="136" t="s">
        <v>187</v>
      </c>
      <c r="D217" s="136"/>
      <c r="E217" s="136"/>
      <c r="F217" s="136"/>
      <c r="G217" s="136"/>
      <c r="H217" s="1"/>
      <c r="I217" s="1"/>
      <c r="J217" s="1"/>
      <c r="K217" s="1"/>
      <c r="L217" s="1"/>
      <c r="M217" s="1"/>
      <c r="N217" s="1"/>
      <c r="O217" s="1"/>
      <c r="P217" s="1"/>
    </row>
    <row r="218" spans="1:16" ht="16.600000000000001">
      <c r="B218" s="135" t="s">
        <v>377</v>
      </c>
      <c r="C218" s="136" t="s">
        <v>188</v>
      </c>
      <c r="D218" s="137"/>
      <c r="E218" s="137"/>
      <c r="F218" s="137"/>
      <c r="G218" s="137"/>
      <c r="H218" s="1"/>
      <c r="I218" s="1"/>
      <c r="J218" s="1"/>
      <c r="K218" s="1"/>
      <c r="L218" s="1"/>
      <c r="M218" s="1"/>
      <c r="N218" s="1"/>
      <c r="O218" s="1"/>
      <c r="P218" s="1"/>
    </row>
    <row r="219" spans="1:16" ht="16.600000000000001">
      <c r="B219" s="135" t="s">
        <v>378</v>
      </c>
      <c r="C219" s="136" t="s">
        <v>189</v>
      </c>
      <c r="D219" s="137"/>
      <c r="E219" s="137"/>
      <c r="F219" s="137"/>
      <c r="G219" s="137"/>
      <c r="H219" s="1"/>
      <c r="I219" s="1"/>
      <c r="J219" s="1"/>
      <c r="K219" s="1"/>
      <c r="L219" s="1"/>
      <c r="M219" s="1"/>
      <c r="N219" s="1"/>
      <c r="O219" s="1"/>
      <c r="P219" s="1"/>
    </row>
    <row r="220" spans="1:16" ht="16.600000000000001">
      <c r="A220" s="1" t="s">
        <v>171</v>
      </c>
      <c r="B220" s="135" t="s">
        <v>379</v>
      </c>
      <c r="C220" s="136" t="s">
        <v>190</v>
      </c>
      <c r="D220" s="137"/>
      <c r="E220" s="137"/>
      <c r="F220" s="137"/>
      <c r="G220" s="136"/>
      <c r="H220" s="1"/>
      <c r="I220" s="1"/>
      <c r="J220" s="1"/>
      <c r="K220" s="1"/>
      <c r="L220" s="1"/>
      <c r="M220" s="1"/>
      <c r="N220" s="1"/>
      <c r="O220" s="1"/>
      <c r="P220" s="1"/>
    </row>
    <row r="221" spans="1:16" ht="16.600000000000001">
      <c r="B221" s="135" t="s">
        <v>380</v>
      </c>
      <c r="C221" s="136" t="s">
        <v>191</v>
      </c>
      <c r="D221" s="137"/>
      <c r="E221" s="137"/>
      <c r="F221" s="137"/>
      <c r="G221" s="137"/>
      <c r="H221" s="1"/>
      <c r="I221" s="1"/>
      <c r="J221" s="1"/>
      <c r="K221" s="1"/>
      <c r="L221" s="1"/>
      <c r="M221" s="1"/>
      <c r="N221" s="1"/>
      <c r="O221" s="1"/>
      <c r="P221" s="1"/>
    </row>
    <row r="222" spans="1:16" ht="16.600000000000001">
      <c r="B222" s="135" t="s">
        <v>381</v>
      </c>
      <c r="C222" s="136" t="s">
        <v>607</v>
      </c>
      <c r="D222" s="137"/>
      <c r="E222" s="137"/>
      <c r="F222" s="137"/>
      <c r="G222" s="137"/>
      <c r="H222" s="1"/>
      <c r="I222" s="1"/>
      <c r="J222" s="1"/>
      <c r="K222" s="1"/>
      <c r="L222" s="1"/>
      <c r="M222" s="1"/>
      <c r="N222" s="1"/>
      <c r="O222" s="1"/>
      <c r="P222" s="1"/>
    </row>
    <row r="223" spans="1:16" ht="16.600000000000001">
      <c r="A223" s="1" t="s">
        <v>608</v>
      </c>
      <c r="B223" s="135" t="s">
        <v>382</v>
      </c>
      <c r="C223" s="136" t="s">
        <v>609</v>
      </c>
      <c r="D223" s="137"/>
      <c r="E223" s="137"/>
      <c r="F223" s="137"/>
      <c r="G223" s="137"/>
      <c r="H223" s="1"/>
      <c r="I223" s="1"/>
      <c r="J223" s="1"/>
      <c r="K223" s="1"/>
      <c r="L223" s="1"/>
      <c r="M223" s="1"/>
      <c r="N223" s="1"/>
      <c r="O223" s="1"/>
      <c r="P223" s="1"/>
    </row>
    <row r="224" spans="1:16" ht="16.600000000000001">
      <c r="A224" s="1" t="s">
        <v>182</v>
      </c>
      <c r="B224" s="135" t="s">
        <v>383</v>
      </c>
      <c r="C224" s="136" t="s">
        <v>610</v>
      </c>
      <c r="D224" s="137"/>
      <c r="E224" s="137"/>
      <c r="F224" s="137"/>
      <c r="G224" s="137"/>
      <c r="H224" s="1"/>
      <c r="I224" s="1"/>
      <c r="J224" s="1"/>
      <c r="K224" s="1"/>
      <c r="L224" s="1"/>
      <c r="M224" s="1"/>
      <c r="N224" s="1"/>
      <c r="O224" s="1"/>
      <c r="P224" s="1"/>
    </row>
    <row r="225" spans="1:16" ht="16.600000000000001">
      <c r="A225" s="1" t="s">
        <v>611</v>
      </c>
      <c r="B225" s="135" t="s">
        <v>384</v>
      </c>
      <c r="C225" s="136" t="s">
        <v>612</v>
      </c>
      <c r="D225" s="137"/>
      <c r="E225" s="137"/>
      <c r="F225" s="137"/>
      <c r="G225" s="137"/>
      <c r="H225" s="1"/>
      <c r="I225" s="1"/>
      <c r="J225" s="1"/>
      <c r="K225" s="1"/>
      <c r="L225" s="1"/>
      <c r="M225" s="1"/>
      <c r="N225" s="1"/>
      <c r="O225" s="1"/>
      <c r="P225" s="1"/>
    </row>
    <row r="226" spans="1:16" ht="16.600000000000001">
      <c r="A226" s="1" t="s">
        <v>182</v>
      </c>
      <c r="B226" s="135" t="s">
        <v>385</v>
      </c>
      <c r="C226" s="136" t="s">
        <v>613</v>
      </c>
      <c r="D226" s="136"/>
      <c r="E226" s="136"/>
      <c r="F226" s="136"/>
      <c r="G226" s="136"/>
      <c r="H226" s="1"/>
      <c r="I226" s="1"/>
      <c r="J226" s="1"/>
      <c r="K226" s="1"/>
      <c r="L226" s="1"/>
      <c r="M226" s="1"/>
      <c r="N226" s="1"/>
      <c r="O226" s="1"/>
      <c r="P226" s="1"/>
    </row>
    <row r="227" spans="1:16" ht="16.600000000000001">
      <c r="A227" s="1" t="s">
        <v>182</v>
      </c>
      <c r="B227" s="135" t="s">
        <v>386</v>
      </c>
      <c r="C227" s="136" t="s">
        <v>614</v>
      </c>
      <c r="D227" s="137"/>
      <c r="E227" s="137"/>
      <c r="F227" s="137"/>
      <c r="G227" s="137"/>
      <c r="H227" s="1"/>
      <c r="I227" s="1"/>
      <c r="J227" s="1"/>
      <c r="K227" s="1"/>
      <c r="L227" s="1"/>
      <c r="M227" s="1"/>
      <c r="N227" s="1"/>
      <c r="O227" s="1"/>
      <c r="P227" s="1"/>
    </row>
    <row r="228" spans="1:16" ht="16.600000000000001">
      <c r="B228" s="135" t="s">
        <v>387</v>
      </c>
      <c r="C228" s="136" t="s">
        <v>615</v>
      </c>
      <c r="D228" s="137"/>
      <c r="E228" s="137"/>
      <c r="F228" s="137"/>
      <c r="G228" s="137"/>
      <c r="H228" s="1"/>
      <c r="I228" s="1"/>
      <c r="J228" s="1"/>
      <c r="K228" s="1"/>
      <c r="L228" s="1"/>
      <c r="M228" s="1"/>
      <c r="N228" s="1"/>
      <c r="O228" s="1"/>
      <c r="P228" s="1"/>
    </row>
    <row r="229" spans="1:16" ht="16.600000000000001">
      <c r="A229" s="1" t="s">
        <v>616</v>
      </c>
      <c r="B229" s="135" t="s">
        <v>388</v>
      </c>
      <c r="C229" s="136" t="s">
        <v>617</v>
      </c>
      <c r="D229" s="137"/>
      <c r="E229" s="137"/>
      <c r="F229" s="137"/>
      <c r="G229" s="137"/>
      <c r="H229" s="1"/>
      <c r="I229" s="1"/>
      <c r="J229" s="1"/>
      <c r="K229" s="1"/>
      <c r="L229" s="1"/>
      <c r="M229" s="1"/>
      <c r="N229" s="1"/>
      <c r="O229" s="1"/>
      <c r="P229" s="1"/>
    </row>
    <row r="230" spans="1:16" ht="16.600000000000001">
      <c r="A230" s="1" t="s">
        <v>171</v>
      </c>
      <c r="B230" s="135" t="s">
        <v>389</v>
      </c>
      <c r="C230" s="136" t="s">
        <v>618</v>
      </c>
      <c r="D230" s="137"/>
      <c r="E230" s="137"/>
      <c r="F230" s="137"/>
      <c r="G230" s="137"/>
      <c r="H230" s="1"/>
      <c r="I230" s="1"/>
      <c r="J230" s="1"/>
      <c r="K230" s="1"/>
      <c r="L230" s="1"/>
      <c r="M230" s="1"/>
      <c r="N230" s="1"/>
      <c r="O230" s="1"/>
      <c r="P230" s="1"/>
    </row>
    <row r="231" spans="1:16" ht="16.600000000000001">
      <c r="A231" s="1" t="s">
        <v>171</v>
      </c>
      <c r="B231" s="135" t="s">
        <v>390</v>
      </c>
      <c r="C231" s="136" t="s">
        <v>619</v>
      </c>
      <c r="D231" s="136"/>
      <c r="E231" s="136"/>
      <c r="F231" s="136"/>
      <c r="G231" s="136"/>
      <c r="H231" s="1"/>
      <c r="I231" s="1"/>
      <c r="J231" s="1"/>
      <c r="K231" s="1"/>
      <c r="L231" s="1"/>
      <c r="M231" s="1"/>
      <c r="N231" s="1"/>
      <c r="O231" s="1"/>
      <c r="P231" s="1"/>
    </row>
    <row r="232" spans="1:16" ht="16.600000000000001">
      <c r="A232" s="1" t="s">
        <v>620</v>
      </c>
      <c r="B232" s="135" t="s">
        <v>391</v>
      </c>
      <c r="C232" s="136" t="s">
        <v>621</v>
      </c>
      <c r="D232" s="137"/>
      <c r="E232" s="137"/>
      <c r="F232" s="137"/>
      <c r="G232" s="137"/>
      <c r="H232" s="1"/>
      <c r="I232" s="1"/>
      <c r="J232" s="1"/>
      <c r="K232" s="1"/>
      <c r="L232" s="1"/>
      <c r="M232" s="1"/>
      <c r="N232" s="1"/>
      <c r="O232" s="1"/>
      <c r="P232" s="1"/>
    </row>
    <row r="233" spans="1:16" ht="16.600000000000001">
      <c r="A233" s="1" t="s">
        <v>171</v>
      </c>
      <c r="B233" s="135" t="s">
        <v>392</v>
      </c>
      <c r="C233" s="135" t="s">
        <v>579</v>
      </c>
      <c r="D233" s="136"/>
      <c r="E233" s="136"/>
      <c r="F233" s="136"/>
      <c r="G233" s="136"/>
      <c r="H233" s="1"/>
      <c r="I233" s="1"/>
      <c r="J233" s="1"/>
      <c r="K233" s="1"/>
      <c r="L233" s="1"/>
      <c r="M233" s="1"/>
      <c r="N233" s="1"/>
      <c r="O233" s="1"/>
      <c r="P233" s="1"/>
    </row>
    <row r="234" spans="1:16" ht="16.600000000000001">
      <c r="A234" s="1" t="s">
        <v>171</v>
      </c>
      <c r="B234" s="135" t="s">
        <v>393</v>
      </c>
      <c r="C234" s="135" t="s">
        <v>622</v>
      </c>
      <c r="D234" s="136"/>
      <c r="E234" s="136"/>
      <c r="F234" s="136"/>
      <c r="G234" s="136"/>
      <c r="H234" s="1"/>
      <c r="I234" s="1"/>
      <c r="J234" s="1"/>
      <c r="K234" s="1"/>
      <c r="L234" s="1"/>
      <c r="M234" s="1"/>
      <c r="N234" s="1"/>
      <c r="O234" s="1"/>
      <c r="P234" s="1"/>
    </row>
    <row r="235" spans="1:16" ht="16.600000000000001">
      <c r="A235" s="1" t="s">
        <v>171</v>
      </c>
      <c r="B235" s="135" t="s">
        <v>394</v>
      </c>
      <c r="C235" s="136" t="s">
        <v>623</v>
      </c>
      <c r="D235" s="137"/>
      <c r="E235" s="136"/>
      <c r="F235" s="136"/>
      <c r="G235" s="136"/>
      <c r="H235" s="1"/>
      <c r="I235" s="1"/>
      <c r="J235" s="1"/>
      <c r="K235" s="1"/>
      <c r="L235" s="1"/>
      <c r="M235" s="1"/>
      <c r="N235" s="1"/>
      <c r="O235" s="1"/>
      <c r="P235" s="1"/>
    </row>
    <row r="236" spans="1:16" ht="16.600000000000001">
      <c r="A236" s="1" t="s">
        <v>171</v>
      </c>
      <c r="B236" s="135" t="s">
        <v>395</v>
      </c>
      <c r="C236" s="136" t="s">
        <v>624</v>
      </c>
      <c r="D236" s="136"/>
      <c r="E236" s="136"/>
      <c r="F236" s="136"/>
      <c r="G236" s="136"/>
      <c r="H236" s="1"/>
      <c r="I236" s="1"/>
      <c r="J236" s="1"/>
      <c r="K236" s="1"/>
      <c r="L236" s="1"/>
      <c r="M236" s="1"/>
      <c r="N236" s="1"/>
      <c r="O236" s="1"/>
      <c r="P236" s="1"/>
    </row>
    <row r="237" spans="1:16" ht="16.600000000000001">
      <c r="A237" s="1" t="s">
        <v>171</v>
      </c>
      <c r="B237" s="135" t="s">
        <v>396</v>
      </c>
      <c r="C237" s="136" t="s">
        <v>625</v>
      </c>
      <c r="D237" s="136"/>
      <c r="E237" s="136"/>
      <c r="F237" s="136"/>
      <c r="G237" s="136"/>
      <c r="H237" s="1"/>
      <c r="I237" s="1"/>
      <c r="J237" s="1"/>
      <c r="K237" s="1"/>
      <c r="L237" s="1"/>
      <c r="M237" s="1"/>
      <c r="N237" s="1"/>
      <c r="O237" s="1"/>
      <c r="P237" s="1"/>
    </row>
    <row r="238" spans="1:16" ht="16.600000000000001">
      <c r="A238" s="1" t="s">
        <v>171</v>
      </c>
      <c r="B238" s="135" t="s">
        <v>397</v>
      </c>
      <c r="C238" s="136" t="s">
        <v>626</v>
      </c>
      <c r="D238" s="137"/>
      <c r="E238" s="137"/>
      <c r="F238" s="137"/>
      <c r="G238" s="137"/>
      <c r="H238" s="1"/>
      <c r="I238" s="1"/>
      <c r="J238" s="1"/>
      <c r="K238" s="1"/>
      <c r="L238" s="1"/>
      <c r="M238" s="1"/>
      <c r="N238" s="1"/>
      <c r="O238" s="1"/>
      <c r="P238" s="1"/>
    </row>
    <row r="239" spans="1:16" ht="16.600000000000001">
      <c r="B239" s="135" t="s">
        <v>398</v>
      </c>
      <c r="C239" s="136" t="s">
        <v>627</v>
      </c>
      <c r="D239" s="137"/>
      <c r="E239" s="137"/>
      <c r="F239" s="137"/>
      <c r="G239" s="137"/>
      <c r="H239" s="1"/>
      <c r="I239" s="1"/>
      <c r="J239" s="1"/>
      <c r="K239" s="1"/>
      <c r="L239" s="1"/>
      <c r="M239" s="1"/>
      <c r="N239" s="1"/>
      <c r="O239" s="1"/>
      <c r="P239" s="1"/>
    </row>
    <row r="240" spans="1:16" ht="16.600000000000001">
      <c r="A240" s="1" t="s">
        <v>628</v>
      </c>
      <c r="B240" s="135" t="s">
        <v>399</v>
      </c>
      <c r="C240" s="136" t="s">
        <v>629</v>
      </c>
      <c r="D240" s="136"/>
      <c r="E240" s="136"/>
      <c r="F240" s="136"/>
      <c r="G240" s="136"/>
      <c r="H240" s="1"/>
      <c r="I240" s="1"/>
      <c r="J240" s="1"/>
      <c r="K240" s="1"/>
      <c r="L240" s="1"/>
      <c r="M240" s="1"/>
      <c r="N240" s="1"/>
      <c r="O240" s="1"/>
      <c r="P240" s="1"/>
    </row>
    <row r="241" spans="1:16" ht="16.600000000000001">
      <c r="A241" s="1" t="s">
        <v>628</v>
      </c>
      <c r="B241" s="135" t="s">
        <v>400</v>
      </c>
      <c r="C241" s="136" t="s">
        <v>630</v>
      </c>
      <c r="D241" s="137"/>
      <c r="E241" s="137"/>
      <c r="F241" s="137"/>
      <c r="G241" s="137"/>
      <c r="H241" s="1"/>
      <c r="I241" s="1"/>
      <c r="J241" s="1"/>
      <c r="K241" s="1"/>
      <c r="L241" s="1"/>
      <c r="M241" s="1"/>
      <c r="N241" s="1"/>
      <c r="O241" s="1"/>
      <c r="P241" s="1"/>
    </row>
    <row r="242" spans="1:16" ht="16.600000000000001">
      <c r="A242" s="1" t="s">
        <v>628</v>
      </c>
      <c r="B242" s="135" t="s">
        <v>401</v>
      </c>
      <c r="C242" s="136" t="s">
        <v>631</v>
      </c>
      <c r="D242" s="137"/>
      <c r="E242" s="137"/>
      <c r="F242" s="137"/>
      <c r="G242" s="137"/>
      <c r="H242" s="1"/>
      <c r="I242" s="1"/>
      <c r="J242" s="1"/>
      <c r="K242" s="1"/>
      <c r="L242" s="1"/>
      <c r="M242" s="1"/>
      <c r="N242" s="1"/>
      <c r="O242" s="1"/>
      <c r="P242" s="1"/>
    </row>
    <row r="243" spans="1:16" ht="16.600000000000001">
      <c r="A243" s="1" t="s">
        <v>628</v>
      </c>
      <c r="B243" s="135" t="s">
        <v>402</v>
      </c>
      <c r="C243" s="136" t="s">
        <v>632</v>
      </c>
      <c r="D243" s="137"/>
      <c r="E243" s="137"/>
      <c r="F243" s="137"/>
      <c r="G243" s="137"/>
      <c r="H243" s="1"/>
      <c r="I243" s="1"/>
      <c r="J243" s="1"/>
      <c r="K243" s="1"/>
      <c r="L243" s="1"/>
      <c r="M243" s="1"/>
      <c r="N243" s="1"/>
      <c r="O243" s="1"/>
      <c r="P243" s="1"/>
    </row>
    <row r="244" spans="1:16" ht="16.600000000000001">
      <c r="A244" s="1" t="s">
        <v>628</v>
      </c>
      <c r="B244" s="135" t="s">
        <v>403</v>
      </c>
      <c r="C244" s="136" t="s">
        <v>633</v>
      </c>
      <c r="D244" s="136"/>
      <c r="E244" s="136"/>
      <c r="F244" s="136"/>
      <c r="G244" s="136"/>
      <c r="H244" s="1"/>
      <c r="I244" s="1"/>
      <c r="J244" s="1"/>
      <c r="K244" s="1"/>
      <c r="L244" s="1"/>
      <c r="M244" s="1"/>
      <c r="N244" s="1"/>
      <c r="O244" s="1"/>
      <c r="P244" s="1"/>
    </row>
    <row r="245" spans="1:16" ht="16.600000000000001">
      <c r="A245" s="1" t="s">
        <v>628</v>
      </c>
      <c r="B245" s="135" t="s">
        <v>404</v>
      </c>
      <c r="C245" s="136" t="s">
        <v>634</v>
      </c>
      <c r="D245" s="136"/>
      <c r="E245" s="137"/>
      <c r="F245" s="136"/>
      <c r="G245" s="136"/>
      <c r="H245" s="1"/>
      <c r="I245" s="1"/>
      <c r="J245" s="1"/>
      <c r="K245" s="1"/>
      <c r="L245" s="1"/>
      <c r="M245" s="1"/>
      <c r="N245" s="1"/>
      <c r="O245" s="1"/>
      <c r="P245" s="1"/>
    </row>
    <row r="246" spans="1:16" ht="16.600000000000001">
      <c r="A246" s="1" t="s">
        <v>628</v>
      </c>
      <c r="B246" s="135" t="s">
        <v>405</v>
      </c>
      <c r="C246" s="136" t="s">
        <v>635</v>
      </c>
      <c r="D246" s="136"/>
      <c r="E246" s="136"/>
      <c r="F246" s="136"/>
      <c r="G246" s="136"/>
      <c r="H246" s="1"/>
      <c r="I246" s="1"/>
      <c r="J246" s="1"/>
      <c r="K246" s="1"/>
      <c r="L246" s="1"/>
      <c r="M246" s="1"/>
      <c r="N246" s="1"/>
      <c r="O246" s="1"/>
      <c r="P246" s="1"/>
    </row>
    <row r="247" spans="1:16" ht="16.600000000000001">
      <c r="A247" s="1" t="s">
        <v>628</v>
      </c>
      <c r="B247" s="135" t="s">
        <v>406</v>
      </c>
      <c r="C247" s="136" t="s">
        <v>636</v>
      </c>
      <c r="D247" s="136"/>
      <c r="E247" s="136"/>
      <c r="F247" s="136"/>
      <c r="G247" s="136"/>
      <c r="H247" s="1"/>
      <c r="I247" s="1"/>
      <c r="J247" s="1"/>
      <c r="K247" s="1"/>
      <c r="L247" s="1"/>
      <c r="M247" s="1"/>
      <c r="N247" s="1"/>
      <c r="O247" s="1"/>
      <c r="P247" s="1"/>
    </row>
    <row r="248" spans="1:16" ht="16.600000000000001">
      <c r="A248" s="1" t="s">
        <v>628</v>
      </c>
      <c r="B248" s="135" t="s">
        <v>407</v>
      </c>
      <c r="C248" s="136" t="s">
        <v>637</v>
      </c>
      <c r="D248" s="136"/>
      <c r="E248" s="136"/>
      <c r="F248" s="136"/>
      <c r="G248" s="136"/>
      <c r="H248" s="1"/>
      <c r="I248" s="1"/>
      <c r="J248" s="1"/>
      <c r="K248" s="1"/>
      <c r="L248" s="1"/>
      <c r="M248" s="1"/>
      <c r="N248" s="1"/>
      <c r="O248" s="1"/>
      <c r="P248" s="1"/>
    </row>
    <row r="249" spans="1:16" ht="16.600000000000001">
      <c r="A249" s="1" t="s">
        <v>628</v>
      </c>
      <c r="B249" s="135" t="s">
        <v>408</v>
      </c>
      <c r="C249" s="136" t="s">
        <v>638</v>
      </c>
      <c r="D249" s="136"/>
      <c r="E249" s="136"/>
      <c r="F249" s="136"/>
      <c r="G249" s="136"/>
      <c r="H249" s="1"/>
      <c r="I249" s="1"/>
      <c r="J249" s="1"/>
      <c r="K249" s="1"/>
      <c r="L249" s="1"/>
      <c r="M249" s="1"/>
      <c r="N249" s="1"/>
      <c r="O249" s="1"/>
      <c r="P249" s="1"/>
    </row>
    <row r="250" spans="1:16" ht="16.600000000000001">
      <c r="A250" s="1" t="s">
        <v>628</v>
      </c>
      <c r="B250" s="135" t="s">
        <v>409</v>
      </c>
      <c r="C250" s="136" t="s">
        <v>639</v>
      </c>
      <c r="D250" s="137"/>
      <c r="E250" s="137"/>
      <c r="F250" s="136"/>
      <c r="G250" s="136"/>
      <c r="H250" s="1"/>
      <c r="I250" s="1"/>
      <c r="J250" s="1"/>
      <c r="K250" s="1"/>
      <c r="L250" s="1"/>
      <c r="M250" s="1"/>
      <c r="N250" s="1"/>
      <c r="O250" s="1"/>
      <c r="P250" s="1"/>
    </row>
    <row r="251" spans="1:16" ht="16.600000000000001">
      <c r="A251" s="1" t="s">
        <v>628</v>
      </c>
      <c r="B251" s="135" t="s">
        <v>410</v>
      </c>
      <c r="C251" s="136" t="s">
        <v>640</v>
      </c>
      <c r="D251" s="136"/>
      <c r="E251" s="136"/>
      <c r="F251" s="136"/>
      <c r="G251" s="136"/>
      <c r="H251" s="1"/>
      <c r="I251" s="1"/>
      <c r="J251" s="1"/>
      <c r="K251" s="1"/>
      <c r="L251" s="1"/>
      <c r="M251" s="1"/>
      <c r="N251" s="1"/>
      <c r="O251" s="1"/>
      <c r="P251" s="1"/>
    </row>
    <row r="252" spans="1:16" ht="16.600000000000001">
      <c r="A252" s="1" t="s">
        <v>641</v>
      </c>
      <c r="B252" s="135" t="s">
        <v>411</v>
      </c>
      <c r="C252" s="136" t="s">
        <v>642</v>
      </c>
      <c r="D252" s="136"/>
      <c r="E252" s="136"/>
      <c r="F252" s="136"/>
      <c r="G252" s="136"/>
      <c r="H252" s="1"/>
      <c r="I252" s="1"/>
      <c r="J252" s="1"/>
      <c r="K252" s="1"/>
      <c r="L252" s="1"/>
      <c r="M252" s="1"/>
      <c r="N252" s="1"/>
      <c r="O252" s="1"/>
      <c r="P252" s="1"/>
    </row>
    <row r="253" spans="1:16" ht="16.600000000000001">
      <c r="A253" s="1" t="s">
        <v>641</v>
      </c>
      <c r="B253" s="135" t="s">
        <v>412</v>
      </c>
      <c r="C253" s="136" t="s">
        <v>643</v>
      </c>
      <c r="D253" s="136"/>
      <c r="E253" s="136"/>
      <c r="F253" s="136"/>
      <c r="G253" s="136"/>
      <c r="H253" s="1"/>
      <c r="I253" s="1"/>
      <c r="J253" s="1"/>
      <c r="K253" s="1"/>
      <c r="L253" s="1"/>
      <c r="M253" s="1"/>
      <c r="N253" s="1"/>
      <c r="O253" s="1"/>
      <c r="P253" s="1"/>
    </row>
    <row r="254" spans="1:16" ht="16.600000000000001">
      <c r="A254" s="1" t="s">
        <v>641</v>
      </c>
      <c r="B254" s="135" t="s">
        <v>413</v>
      </c>
      <c r="C254" s="136" t="s">
        <v>644</v>
      </c>
      <c r="D254" s="136"/>
      <c r="E254" s="136"/>
      <c r="F254" s="136"/>
      <c r="G254" s="136"/>
      <c r="H254" s="1"/>
      <c r="I254" s="1"/>
      <c r="J254" s="1"/>
      <c r="K254" s="1"/>
      <c r="L254" s="1"/>
      <c r="M254" s="1"/>
      <c r="N254" s="1"/>
      <c r="O254" s="1"/>
      <c r="P254" s="1"/>
    </row>
    <row r="255" spans="1:16" ht="16.600000000000001">
      <c r="A255" s="1" t="s">
        <v>641</v>
      </c>
      <c r="B255" s="135" t="s">
        <v>414</v>
      </c>
      <c r="C255" s="136" t="s">
        <v>645</v>
      </c>
      <c r="D255" s="137"/>
      <c r="E255" s="137"/>
      <c r="F255" s="137"/>
      <c r="G255" s="137"/>
      <c r="H255" s="1"/>
      <c r="I255" s="1"/>
      <c r="J255" s="1"/>
      <c r="K255" s="1"/>
      <c r="L255" s="1"/>
      <c r="M255" s="1"/>
      <c r="N255" s="1"/>
      <c r="O255" s="1"/>
      <c r="P255" s="1"/>
    </row>
    <row r="256" spans="1:16" ht="16.600000000000001">
      <c r="A256" s="1" t="s">
        <v>641</v>
      </c>
      <c r="B256" s="135" t="s">
        <v>415</v>
      </c>
      <c r="C256" s="136" t="s">
        <v>646</v>
      </c>
      <c r="D256" s="136"/>
      <c r="E256" s="136"/>
      <c r="F256" s="136"/>
      <c r="G256" s="137"/>
      <c r="H256" s="1"/>
      <c r="I256" s="1"/>
      <c r="J256" s="1"/>
      <c r="K256" s="1"/>
      <c r="L256" s="1"/>
      <c r="M256" s="1"/>
      <c r="N256" s="1"/>
      <c r="O256" s="1"/>
      <c r="P256" s="1"/>
    </row>
    <row r="257" spans="1:16" ht="16.600000000000001">
      <c r="A257" s="1" t="s">
        <v>641</v>
      </c>
      <c r="B257" s="135" t="s">
        <v>416</v>
      </c>
      <c r="C257" s="136" t="s">
        <v>647</v>
      </c>
      <c r="D257" s="137"/>
      <c r="E257" s="137"/>
      <c r="F257" s="137"/>
      <c r="G257" s="137"/>
      <c r="H257" s="1"/>
      <c r="I257" s="1"/>
      <c r="J257" s="1"/>
      <c r="K257" s="1"/>
      <c r="L257" s="1"/>
      <c r="M257" s="1"/>
      <c r="N257" s="1"/>
      <c r="O257" s="1"/>
      <c r="P257" s="1"/>
    </row>
    <row r="258" spans="1:16" ht="16.600000000000001">
      <c r="A258" s="1" t="s">
        <v>641</v>
      </c>
      <c r="B258" s="135" t="s">
        <v>417</v>
      </c>
      <c r="C258" s="136" t="s">
        <v>648</v>
      </c>
      <c r="D258" s="137"/>
      <c r="E258" s="137"/>
      <c r="F258" s="137"/>
      <c r="G258" s="137"/>
      <c r="H258" s="1"/>
      <c r="I258" s="1"/>
      <c r="J258" s="1"/>
      <c r="K258" s="1"/>
      <c r="L258" s="1"/>
      <c r="M258" s="1"/>
      <c r="N258" s="1"/>
      <c r="O258" s="1"/>
      <c r="P258" s="1"/>
    </row>
    <row r="259" spans="1:16" ht="16.600000000000001">
      <c r="A259" s="1" t="s">
        <v>641</v>
      </c>
      <c r="B259" s="135" t="s">
        <v>418</v>
      </c>
      <c r="C259" s="136" t="s">
        <v>649</v>
      </c>
      <c r="D259" s="136"/>
      <c r="E259" s="136"/>
      <c r="F259" s="136"/>
      <c r="G259" s="136"/>
      <c r="H259" s="1"/>
      <c r="I259" s="1"/>
      <c r="J259" s="1"/>
      <c r="K259" s="1"/>
      <c r="L259" s="1"/>
      <c r="M259" s="1"/>
      <c r="N259" s="1"/>
      <c r="O259" s="1"/>
      <c r="P259" s="1"/>
    </row>
    <row r="260" spans="1:16" ht="16.600000000000001">
      <c r="A260" s="1" t="s">
        <v>641</v>
      </c>
      <c r="B260" s="135" t="s">
        <v>419</v>
      </c>
      <c r="C260" s="136" t="s">
        <v>650</v>
      </c>
      <c r="D260" s="137"/>
      <c r="E260" s="137"/>
      <c r="F260" s="137"/>
      <c r="G260" s="137"/>
      <c r="H260" s="1"/>
      <c r="I260" s="1"/>
      <c r="J260" s="1"/>
      <c r="K260" s="1"/>
      <c r="L260" s="1"/>
      <c r="M260" s="1"/>
      <c r="N260" s="1"/>
      <c r="O260" s="1"/>
      <c r="P260" s="1"/>
    </row>
    <row r="261" spans="1:16" ht="16.600000000000001">
      <c r="B261" s="135" t="s">
        <v>420</v>
      </c>
      <c r="C261" s="136" t="s">
        <v>651</v>
      </c>
      <c r="D261" s="136"/>
      <c r="E261" s="137"/>
      <c r="F261" s="136"/>
      <c r="G261" s="137"/>
      <c r="H261" s="1"/>
      <c r="I261" s="1"/>
      <c r="J261" s="1"/>
      <c r="K261" s="1"/>
      <c r="L261" s="1"/>
      <c r="M261" s="1"/>
      <c r="N261" s="1"/>
      <c r="O261" s="1"/>
      <c r="P261" s="1"/>
    </row>
    <row r="262" spans="1:16" ht="16.600000000000001">
      <c r="A262" s="1" t="s">
        <v>641</v>
      </c>
      <c r="B262" s="135" t="s">
        <v>421</v>
      </c>
      <c r="C262" s="136" t="s">
        <v>652</v>
      </c>
      <c r="D262" s="136"/>
      <c r="E262" s="137"/>
      <c r="F262" s="136"/>
      <c r="G262" s="136"/>
      <c r="H262" s="1"/>
      <c r="I262" s="1"/>
      <c r="J262" s="1"/>
      <c r="K262" s="1"/>
      <c r="L262" s="1"/>
      <c r="M262" s="1"/>
      <c r="N262" s="1"/>
      <c r="O262" s="1"/>
      <c r="P262" s="1"/>
    </row>
    <row r="263" spans="1:16" ht="16.600000000000001">
      <c r="A263" s="1" t="s">
        <v>641</v>
      </c>
      <c r="B263" s="135" t="s">
        <v>422</v>
      </c>
      <c r="C263" s="136" t="s">
        <v>653</v>
      </c>
      <c r="D263" s="136"/>
      <c r="E263" s="136"/>
      <c r="F263" s="136"/>
      <c r="G263" s="136"/>
      <c r="H263" s="1"/>
      <c r="I263" s="1"/>
      <c r="J263" s="1"/>
      <c r="K263" s="1"/>
      <c r="L263" s="1"/>
      <c r="M263" s="1"/>
      <c r="N263" s="1"/>
      <c r="O263" s="1"/>
      <c r="P263" s="1"/>
    </row>
    <row r="264" spans="1:16" ht="16.600000000000001">
      <c r="A264" s="1" t="s">
        <v>641</v>
      </c>
      <c r="B264" s="135" t="s">
        <v>423</v>
      </c>
      <c r="C264" s="136" t="s">
        <v>654</v>
      </c>
      <c r="D264" s="136"/>
      <c r="E264" s="136"/>
      <c r="F264" s="136"/>
      <c r="G264" s="137"/>
      <c r="H264" s="1"/>
      <c r="I264" s="1"/>
      <c r="J264" s="1"/>
      <c r="K264" s="1"/>
      <c r="L264" s="1"/>
      <c r="M264" s="1"/>
      <c r="N264" s="1"/>
      <c r="O264" s="1"/>
      <c r="P264" s="1"/>
    </row>
    <row r="265" spans="1:16" ht="16.600000000000001">
      <c r="A265" s="1" t="s">
        <v>641</v>
      </c>
      <c r="B265" s="135" t="s">
        <v>424</v>
      </c>
      <c r="C265" s="136" t="s">
        <v>655</v>
      </c>
      <c r="D265" s="136"/>
      <c r="E265" s="136"/>
      <c r="F265" s="136"/>
      <c r="G265" s="136"/>
      <c r="H265" s="1"/>
      <c r="I265" s="1"/>
      <c r="J265" s="1"/>
      <c r="K265" s="1"/>
      <c r="L265" s="1"/>
      <c r="M265" s="1"/>
      <c r="N265" s="1"/>
      <c r="O265" s="1"/>
      <c r="P265" s="1"/>
    </row>
    <row r="266" spans="1:16" ht="16.600000000000001">
      <c r="A266" s="1" t="s">
        <v>628</v>
      </c>
      <c r="B266" s="135" t="s">
        <v>425</v>
      </c>
      <c r="C266" s="136" t="s">
        <v>656</v>
      </c>
      <c r="D266" s="137"/>
      <c r="E266" s="137"/>
      <c r="F266" s="137"/>
      <c r="G266" s="137"/>
      <c r="H266" s="1"/>
      <c r="I266" s="1"/>
      <c r="J266" s="1"/>
      <c r="K266" s="1"/>
      <c r="L266" s="1"/>
      <c r="M266" s="1"/>
      <c r="N266" s="1"/>
      <c r="O266" s="1"/>
      <c r="P266" s="1"/>
    </row>
    <row r="267" spans="1:16" ht="16.600000000000001">
      <c r="B267" s="135" t="s">
        <v>426</v>
      </c>
      <c r="C267" s="136" t="s">
        <v>657</v>
      </c>
      <c r="D267" s="137"/>
      <c r="E267" s="137"/>
      <c r="F267" s="137"/>
      <c r="G267" s="137"/>
      <c r="H267" s="1"/>
      <c r="I267" s="1"/>
      <c r="J267" s="1"/>
      <c r="K267" s="1"/>
      <c r="L267" s="1"/>
      <c r="M267" s="1"/>
      <c r="N267" s="1"/>
      <c r="O267" s="1"/>
      <c r="P267" s="1"/>
    </row>
    <row r="268" spans="1:16" ht="16.600000000000001">
      <c r="A268" s="1" t="s">
        <v>76</v>
      </c>
      <c r="B268" s="135" t="s">
        <v>427</v>
      </c>
      <c r="C268" s="136" t="s">
        <v>658</v>
      </c>
      <c r="D268" s="137"/>
      <c r="E268" s="137"/>
      <c r="F268" s="137"/>
      <c r="G268" s="137"/>
      <c r="H268" s="1"/>
      <c r="I268" s="1"/>
      <c r="J268" s="1"/>
      <c r="K268" s="1"/>
      <c r="L268" s="1"/>
      <c r="M268" s="1"/>
      <c r="N268" s="1"/>
      <c r="O268" s="1"/>
      <c r="P268" s="1"/>
    </row>
    <row r="269" spans="1:16" ht="16.600000000000001">
      <c r="A269" s="1" t="s">
        <v>76</v>
      </c>
      <c r="B269" s="135" t="s">
        <v>428</v>
      </c>
      <c r="C269" s="136" t="s">
        <v>659</v>
      </c>
      <c r="D269" s="136"/>
      <c r="E269" s="136"/>
      <c r="F269" s="136"/>
      <c r="G269" s="136"/>
      <c r="H269" s="1"/>
      <c r="I269" s="1"/>
      <c r="J269" s="1"/>
      <c r="K269" s="1"/>
      <c r="L269" s="1"/>
      <c r="M269" s="1"/>
      <c r="N269" s="1"/>
      <c r="O269" s="1"/>
      <c r="P269" s="1"/>
    </row>
    <row r="270" spans="1:16" ht="16.600000000000001">
      <c r="A270" s="1" t="s">
        <v>76</v>
      </c>
      <c r="B270" s="135" t="s">
        <v>429</v>
      </c>
      <c r="C270" s="136" t="s">
        <v>660</v>
      </c>
      <c r="D270" s="137"/>
      <c r="E270" s="137"/>
      <c r="F270" s="137"/>
      <c r="G270" s="137"/>
      <c r="H270" s="1"/>
      <c r="I270" s="1"/>
      <c r="J270" s="1"/>
      <c r="K270" s="1"/>
      <c r="L270" s="1"/>
      <c r="M270" s="1"/>
      <c r="N270" s="1"/>
      <c r="O270" s="1"/>
      <c r="P270" s="1"/>
    </row>
    <row r="271" spans="1:16" ht="16.600000000000001">
      <c r="B271" s="135" t="s">
        <v>430</v>
      </c>
      <c r="C271" s="136" t="s">
        <v>661</v>
      </c>
      <c r="D271" s="137"/>
      <c r="E271" s="137"/>
      <c r="F271" s="137"/>
      <c r="G271" s="137"/>
      <c r="H271" s="1"/>
      <c r="I271" s="1"/>
      <c r="J271" s="1"/>
      <c r="K271" s="1"/>
      <c r="L271" s="1"/>
      <c r="M271" s="1"/>
      <c r="N271" s="1"/>
      <c r="O271" s="1"/>
      <c r="P271" s="1"/>
    </row>
    <row r="272" spans="1:16" ht="16.600000000000001">
      <c r="A272" s="1" t="s">
        <v>628</v>
      </c>
      <c r="B272" s="135" t="s">
        <v>431</v>
      </c>
      <c r="C272" s="136" t="s">
        <v>662</v>
      </c>
      <c r="D272" s="137"/>
      <c r="E272" s="137"/>
      <c r="F272" s="137"/>
      <c r="G272" s="137"/>
      <c r="H272" s="1"/>
      <c r="I272" s="1"/>
      <c r="J272" s="1"/>
      <c r="K272" s="1"/>
      <c r="L272" s="1"/>
      <c r="M272" s="1"/>
      <c r="N272" s="1"/>
      <c r="O272" s="1"/>
      <c r="P272" s="1"/>
    </row>
    <row r="273" spans="1:16" ht="16.600000000000001">
      <c r="A273" s="1" t="s">
        <v>641</v>
      </c>
      <c r="B273" s="135" t="s">
        <v>432</v>
      </c>
      <c r="C273" s="136" t="s">
        <v>663</v>
      </c>
      <c r="D273" s="136"/>
      <c r="E273" s="136"/>
      <c r="F273" s="137"/>
      <c r="G273" s="136"/>
      <c r="H273" s="1"/>
      <c r="I273" s="1"/>
      <c r="J273" s="1"/>
      <c r="K273" s="1"/>
      <c r="L273" s="1"/>
      <c r="M273" s="1"/>
      <c r="N273" s="1"/>
      <c r="O273" s="1"/>
      <c r="P273" s="1"/>
    </row>
    <row r="274" spans="1:16" ht="16.600000000000001">
      <c r="B274" s="135" t="s">
        <v>433</v>
      </c>
      <c r="C274" s="136" t="s">
        <v>664</v>
      </c>
      <c r="D274" s="137"/>
      <c r="E274" s="137"/>
      <c r="F274" s="137"/>
      <c r="G274" s="137"/>
      <c r="H274" s="1"/>
      <c r="I274" s="1"/>
      <c r="J274" s="1"/>
      <c r="K274" s="1"/>
      <c r="L274" s="1"/>
      <c r="M274" s="1"/>
      <c r="N274" s="1"/>
      <c r="O274" s="1"/>
      <c r="P274" s="1"/>
    </row>
    <row r="275" spans="1:16" ht="16.600000000000001">
      <c r="B275" s="135" t="s">
        <v>434</v>
      </c>
      <c r="C275" s="136" t="s">
        <v>665</v>
      </c>
      <c r="D275" s="136"/>
      <c r="E275" s="136"/>
      <c r="F275" s="136"/>
      <c r="G275" s="136"/>
      <c r="H275" s="1"/>
      <c r="I275" s="1"/>
      <c r="J275" s="1"/>
      <c r="K275" s="1"/>
      <c r="L275" s="1"/>
      <c r="M275" s="1"/>
      <c r="N275" s="1"/>
      <c r="O275" s="1"/>
      <c r="P275" s="1"/>
    </row>
    <row r="276" spans="1:16" ht="16.600000000000001">
      <c r="B276" s="135" t="s">
        <v>435</v>
      </c>
      <c r="C276" s="136" t="s">
        <v>666</v>
      </c>
      <c r="D276" s="137"/>
      <c r="E276" s="137"/>
      <c r="F276" s="137"/>
      <c r="G276" s="137"/>
      <c r="H276" s="1"/>
      <c r="I276" s="1"/>
      <c r="J276" s="1"/>
      <c r="K276" s="1"/>
      <c r="L276" s="1"/>
      <c r="M276" s="1"/>
      <c r="N276" s="1"/>
      <c r="O276" s="1"/>
      <c r="P276" s="1"/>
    </row>
    <row r="277" spans="1:16" ht="16.600000000000001">
      <c r="B277" s="135" t="s">
        <v>436</v>
      </c>
      <c r="C277" s="136" t="s">
        <v>667</v>
      </c>
      <c r="D277" s="137"/>
      <c r="E277" s="137"/>
      <c r="F277" s="137"/>
      <c r="G277" s="137"/>
      <c r="H277" s="1"/>
      <c r="I277" s="1"/>
      <c r="J277" s="1"/>
      <c r="K277" s="1"/>
      <c r="L277" s="1"/>
      <c r="M277" s="1"/>
      <c r="N277" s="1"/>
      <c r="O277" s="1"/>
      <c r="P277" s="1"/>
    </row>
    <row r="278" spans="1:16" ht="16.600000000000001">
      <c r="A278" s="1" t="s">
        <v>668</v>
      </c>
      <c r="B278" s="135" t="s">
        <v>437</v>
      </c>
      <c r="C278" s="136" t="s">
        <v>669</v>
      </c>
      <c r="D278" s="137"/>
      <c r="E278" s="137"/>
      <c r="F278" s="137"/>
      <c r="G278" s="137"/>
      <c r="H278" s="1"/>
      <c r="I278" s="1"/>
      <c r="J278" s="1"/>
      <c r="K278" s="1"/>
      <c r="L278" s="1"/>
      <c r="M278" s="1"/>
      <c r="N278" s="1"/>
      <c r="O278" s="1"/>
      <c r="P278" s="1"/>
    </row>
    <row r="279" spans="1:16" ht="16.600000000000001">
      <c r="B279" s="135" t="s">
        <v>438</v>
      </c>
      <c r="C279" s="136" t="s">
        <v>670</v>
      </c>
      <c r="D279" s="137"/>
      <c r="E279" s="137"/>
      <c r="F279" s="137"/>
      <c r="G279" s="137"/>
      <c r="H279" s="1"/>
      <c r="I279" s="1"/>
      <c r="J279" s="1"/>
      <c r="K279" s="1"/>
      <c r="L279" s="1"/>
      <c r="M279" s="1"/>
      <c r="N279" s="1"/>
      <c r="O279" s="1"/>
      <c r="P279" s="1"/>
    </row>
    <row r="280" spans="1:16" ht="16.600000000000001">
      <c r="A280" s="1" t="s">
        <v>628</v>
      </c>
      <c r="B280" s="135" t="s">
        <v>439</v>
      </c>
      <c r="C280" s="136" t="s">
        <v>671</v>
      </c>
      <c r="D280" s="136"/>
      <c r="E280" s="136"/>
      <c r="F280" s="136"/>
      <c r="G280" s="136"/>
      <c r="H280" s="1"/>
      <c r="I280" s="1"/>
      <c r="J280" s="1"/>
      <c r="K280" s="1"/>
      <c r="L280" s="1"/>
      <c r="M280" s="1"/>
      <c r="N280" s="1"/>
      <c r="O280" s="1"/>
      <c r="P280" s="1"/>
    </row>
    <row r="281" spans="1:16" ht="16.600000000000001">
      <c r="A281" s="1" t="s">
        <v>672</v>
      </c>
      <c r="B281" s="135" t="s">
        <v>440</v>
      </c>
      <c r="C281" s="136" t="s">
        <v>673</v>
      </c>
      <c r="D281" s="136"/>
      <c r="E281" s="136"/>
      <c r="F281" s="136"/>
      <c r="G281" s="136"/>
      <c r="H281" s="1"/>
      <c r="I281" s="1"/>
      <c r="J281" s="1"/>
      <c r="K281" s="1"/>
      <c r="L281" s="1"/>
      <c r="M281" s="1"/>
      <c r="N281" s="1"/>
      <c r="O281" s="1"/>
      <c r="P281" s="1"/>
    </row>
    <row r="282" spans="1:16" ht="16.600000000000001">
      <c r="B282" s="135" t="s">
        <v>441</v>
      </c>
      <c r="C282" s="136" t="s">
        <v>674</v>
      </c>
      <c r="D282" s="137"/>
      <c r="E282" s="137"/>
      <c r="F282" s="137"/>
      <c r="G282" s="137"/>
      <c r="H282" s="1"/>
      <c r="I282" s="1"/>
      <c r="J282" s="1"/>
      <c r="K282" s="1"/>
      <c r="L282" s="1"/>
      <c r="M282" s="1"/>
      <c r="N282" s="1"/>
      <c r="O282" s="1"/>
      <c r="P282" s="1"/>
    </row>
    <row r="283" spans="1:16" ht="16.600000000000001">
      <c r="B283" s="135" t="s">
        <v>442</v>
      </c>
      <c r="C283" s="135" t="s">
        <v>442</v>
      </c>
      <c r="D283" s="137"/>
      <c r="E283" s="137"/>
      <c r="F283" s="137"/>
      <c r="G283" s="137"/>
      <c r="H283" s="1"/>
      <c r="I283" s="1"/>
      <c r="J283" s="1"/>
      <c r="K283" s="1"/>
      <c r="L283" s="1"/>
      <c r="M283" s="1"/>
      <c r="N283" s="1"/>
      <c r="O283" s="1"/>
      <c r="P283" s="1"/>
    </row>
    <row r="284" spans="1:16" ht="16.600000000000001">
      <c r="B284" s="135" t="s">
        <v>443</v>
      </c>
      <c r="C284" s="135" t="s">
        <v>443</v>
      </c>
      <c r="D284" s="136"/>
      <c r="E284" s="136"/>
      <c r="F284" s="136"/>
      <c r="G284" s="136"/>
      <c r="H284" s="1"/>
      <c r="I284" s="1"/>
      <c r="J284" s="1"/>
      <c r="K284" s="1"/>
      <c r="L284" s="1"/>
      <c r="M284" s="1"/>
      <c r="N284" s="1"/>
      <c r="O284" s="1"/>
      <c r="P284" s="1"/>
    </row>
    <row r="285" spans="1:16" ht="16.600000000000001">
      <c r="B285" s="135" t="s">
        <v>444</v>
      </c>
      <c r="C285" s="135" t="s">
        <v>444</v>
      </c>
      <c r="D285" s="137"/>
      <c r="E285" s="137"/>
      <c r="F285" s="137"/>
      <c r="G285" s="137"/>
      <c r="H285" s="1"/>
      <c r="I285" s="1"/>
      <c r="J285" s="1"/>
      <c r="K285" s="1"/>
      <c r="L285" s="1"/>
      <c r="M285" s="1"/>
      <c r="N285" s="1"/>
      <c r="O285" s="1"/>
      <c r="P285" s="1"/>
    </row>
    <row r="286" spans="1:16" ht="16.600000000000001">
      <c r="B286" s="135" t="s">
        <v>445</v>
      </c>
      <c r="C286" s="135" t="s">
        <v>445</v>
      </c>
      <c r="D286" s="136"/>
      <c r="E286" s="136"/>
      <c r="F286" s="136"/>
      <c r="G286" s="136"/>
      <c r="H286" s="1"/>
      <c r="I286" s="1"/>
      <c r="J286" s="1"/>
      <c r="K286" s="1"/>
      <c r="L286" s="1"/>
      <c r="M286" s="1"/>
      <c r="N286" s="1"/>
      <c r="O286" s="1"/>
      <c r="P286" s="1"/>
    </row>
    <row r="287" spans="1:16" ht="16.600000000000001">
      <c r="B287" s="135" t="s">
        <v>446</v>
      </c>
      <c r="C287" s="135" t="s">
        <v>446</v>
      </c>
      <c r="D287" s="136"/>
      <c r="E287" s="136"/>
      <c r="F287" s="136"/>
      <c r="G287" s="136"/>
      <c r="H287" s="1"/>
      <c r="I287" s="1"/>
      <c r="J287" s="1"/>
      <c r="K287" s="1"/>
      <c r="L287" s="1"/>
      <c r="M287" s="1"/>
      <c r="N287" s="1"/>
      <c r="O287" s="1"/>
      <c r="P287" s="1"/>
    </row>
    <row r="288" spans="1:16" ht="16.600000000000001">
      <c r="B288" s="135" t="s">
        <v>447</v>
      </c>
      <c r="C288" s="135" t="s">
        <v>447</v>
      </c>
      <c r="D288" s="136"/>
      <c r="E288" s="136"/>
      <c r="F288" s="136"/>
      <c r="G288" s="136"/>
      <c r="H288" s="1"/>
      <c r="I288" s="1"/>
      <c r="J288" s="1"/>
      <c r="K288" s="1"/>
      <c r="L288" s="1"/>
      <c r="M288" s="1"/>
      <c r="N288" s="1"/>
      <c r="O288" s="1"/>
      <c r="P288" s="1"/>
    </row>
    <row r="289" spans="2:16" ht="16.600000000000001">
      <c r="B289" s="135" t="s">
        <v>448</v>
      </c>
      <c r="C289" s="135" t="s">
        <v>448</v>
      </c>
      <c r="D289" s="137"/>
      <c r="E289" s="137"/>
      <c r="F289" s="137"/>
      <c r="G289" s="136"/>
      <c r="H289" s="1"/>
      <c r="I289" s="1"/>
      <c r="J289" s="1"/>
      <c r="K289" s="1"/>
      <c r="L289" s="1"/>
      <c r="M289" s="1"/>
      <c r="N289" s="1"/>
      <c r="O289" s="1"/>
      <c r="P289" s="1"/>
    </row>
    <row r="290" spans="2:16" ht="16.600000000000001">
      <c r="B290" s="135" t="s">
        <v>449</v>
      </c>
      <c r="C290" s="135" t="s">
        <v>449</v>
      </c>
      <c r="D290" s="137"/>
      <c r="E290" s="137"/>
      <c r="F290" s="137"/>
      <c r="G290" s="137"/>
      <c r="H290" s="1"/>
      <c r="I290" s="1"/>
      <c r="J290" s="1"/>
      <c r="K290" s="1"/>
      <c r="L290" s="1"/>
      <c r="M290" s="1"/>
      <c r="N290" s="1"/>
      <c r="O290" s="1"/>
      <c r="P290" s="1"/>
    </row>
    <row r="291" spans="2:16" ht="16.600000000000001">
      <c r="B291" s="135" t="s">
        <v>450</v>
      </c>
      <c r="C291" s="135" t="s">
        <v>450</v>
      </c>
      <c r="D291" s="136"/>
      <c r="E291" s="136"/>
      <c r="F291" s="136"/>
      <c r="G291" s="136"/>
      <c r="H291" s="1"/>
      <c r="I291" s="1"/>
      <c r="J291" s="1"/>
      <c r="K291" s="1"/>
      <c r="L291" s="1"/>
      <c r="M291" s="1"/>
      <c r="N291" s="1"/>
      <c r="O291" s="1"/>
      <c r="P291" s="1"/>
    </row>
    <row r="292" spans="2:16" ht="16.600000000000001">
      <c r="B292" s="135" t="s">
        <v>451</v>
      </c>
      <c r="C292" s="135" t="s">
        <v>451</v>
      </c>
      <c r="D292" s="137"/>
      <c r="E292" s="137"/>
      <c r="F292" s="137"/>
      <c r="G292" s="137"/>
      <c r="H292" s="1"/>
      <c r="I292" s="1"/>
      <c r="J292" s="1"/>
      <c r="K292" s="1"/>
      <c r="L292" s="1"/>
      <c r="M292" s="1"/>
      <c r="N292" s="1"/>
      <c r="O292" s="1"/>
      <c r="P292" s="1"/>
    </row>
    <row r="293" spans="2:16" ht="16.600000000000001">
      <c r="B293" s="135" t="s">
        <v>452</v>
      </c>
      <c r="C293" s="135" t="s">
        <v>452</v>
      </c>
      <c r="D293" s="137"/>
      <c r="E293" s="137"/>
      <c r="F293" s="137"/>
      <c r="G293" s="137"/>
      <c r="H293" s="1"/>
      <c r="I293" s="1"/>
      <c r="J293" s="1"/>
      <c r="K293" s="1"/>
      <c r="L293" s="1"/>
      <c r="M293" s="1"/>
      <c r="N293" s="1"/>
      <c r="O293" s="1"/>
      <c r="P293" s="1"/>
    </row>
    <row r="294" spans="2:16" ht="16.600000000000001">
      <c r="B294" s="135" t="s">
        <v>453</v>
      </c>
      <c r="C294" s="135" t="s">
        <v>453</v>
      </c>
      <c r="D294" s="137"/>
      <c r="E294" s="137"/>
      <c r="F294" s="137"/>
      <c r="G294" s="137"/>
      <c r="H294" s="1"/>
      <c r="I294" s="1"/>
      <c r="J294" s="1"/>
      <c r="K294" s="1"/>
      <c r="L294" s="1"/>
      <c r="M294" s="1"/>
      <c r="N294" s="1"/>
      <c r="O294" s="1"/>
      <c r="P294" s="1"/>
    </row>
    <row r="295" spans="2:16" ht="16.600000000000001">
      <c r="B295" s="135" t="s">
        <v>454</v>
      </c>
      <c r="C295" s="135" t="s">
        <v>454</v>
      </c>
      <c r="D295" s="137"/>
      <c r="E295" s="137"/>
      <c r="F295" s="137"/>
      <c r="G295" s="137"/>
      <c r="H295" s="1"/>
      <c r="I295" s="1"/>
      <c r="J295" s="1"/>
      <c r="K295" s="1"/>
      <c r="L295" s="1"/>
      <c r="M295" s="1"/>
      <c r="N295" s="1"/>
      <c r="O295" s="1"/>
      <c r="P295" s="1"/>
    </row>
    <row r="296" spans="2:16" ht="16.600000000000001">
      <c r="B296" s="135" t="s">
        <v>455</v>
      </c>
      <c r="C296" s="135" t="s">
        <v>455</v>
      </c>
      <c r="D296" s="137"/>
      <c r="E296" s="137"/>
      <c r="F296" s="137"/>
      <c r="G296" s="137"/>
      <c r="H296" s="1"/>
      <c r="I296" s="1"/>
      <c r="J296" s="1"/>
      <c r="K296" s="1"/>
      <c r="L296" s="1"/>
      <c r="M296" s="1"/>
      <c r="N296" s="1"/>
      <c r="O296" s="1"/>
      <c r="P296" s="1"/>
    </row>
    <row r="297" spans="2:16" ht="16.600000000000001">
      <c r="B297" s="135" t="s">
        <v>456</v>
      </c>
      <c r="C297" s="135" t="s">
        <v>456</v>
      </c>
      <c r="D297" s="136"/>
      <c r="E297" s="136"/>
      <c r="F297" s="136"/>
      <c r="G297" s="136"/>
      <c r="H297" s="1"/>
      <c r="I297" s="1"/>
      <c r="J297" s="1"/>
      <c r="K297" s="1"/>
      <c r="L297" s="1"/>
      <c r="M297" s="1"/>
      <c r="N297" s="1"/>
      <c r="O297" s="1"/>
      <c r="P297" s="1"/>
    </row>
    <row r="298" spans="2:16" ht="16.600000000000001">
      <c r="B298" s="135" t="s">
        <v>457</v>
      </c>
      <c r="C298" s="135" t="s">
        <v>457</v>
      </c>
      <c r="D298" s="137"/>
      <c r="E298" s="137"/>
      <c r="F298" s="137"/>
      <c r="G298" s="137"/>
      <c r="H298" s="1"/>
      <c r="I298" s="1"/>
      <c r="J298" s="1"/>
      <c r="K298" s="1"/>
      <c r="L298" s="1"/>
      <c r="M298" s="1"/>
      <c r="N298" s="1"/>
      <c r="O298" s="1"/>
      <c r="P298" s="1"/>
    </row>
    <row r="299" spans="2:16" ht="16.600000000000001">
      <c r="B299" s="135" t="s">
        <v>458</v>
      </c>
      <c r="C299" s="135" t="s">
        <v>458</v>
      </c>
      <c r="D299" s="137"/>
      <c r="E299" s="137"/>
      <c r="F299" s="137"/>
      <c r="G299" s="137"/>
      <c r="H299" s="1"/>
      <c r="I299" s="1"/>
      <c r="J299" s="1"/>
      <c r="K299" s="1"/>
      <c r="L299" s="1"/>
      <c r="M299" s="1"/>
      <c r="N299" s="1"/>
      <c r="O299" s="1"/>
      <c r="P299" s="1"/>
    </row>
    <row r="300" spans="2:16" ht="16.600000000000001">
      <c r="B300" s="135" t="s">
        <v>459</v>
      </c>
      <c r="C300" s="135" t="s">
        <v>459</v>
      </c>
      <c r="D300" s="136"/>
      <c r="E300" s="136"/>
      <c r="F300" s="136"/>
      <c r="G300" s="136"/>
      <c r="H300" s="1"/>
      <c r="I300" s="1"/>
      <c r="J300" s="1"/>
      <c r="K300" s="1"/>
      <c r="L300" s="1"/>
      <c r="M300" s="1"/>
      <c r="N300" s="1"/>
      <c r="O300" s="1"/>
      <c r="P300" s="1"/>
    </row>
    <row r="301" spans="2:16" ht="16.600000000000001">
      <c r="B301" s="135" t="s">
        <v>460</v>
      </c>
      <c r="C301" s="135" t="s">
        <v>460</v>
      </c>
      <c r="D301" s="136"/>
      <c r="E301" s="136"/>
      <c r="F301" s="136"/>
      <c r="G301" s="136"/>
      <c r="H301" s="1"/>
      <c r="I301" s="1"/>
      <c r="J301" s="1"/>
      <c r="K301" s="1"/>
      <c r="L301" s="1"/>
      <c r="M301" s="1"/>
      <c r="N301" s="1"/>
      <c r="O301" s="1"/>
      <c r="P301" s="1"/>
    </row>
    <row r="302" spans="2:16" ht="16.600000000000001">
      <c r="B302" s="135" t="s">
        <v>461</v>
      </c>
      <c r="C302" s="135" t="s">
        <v>461</v>
      </c>
      <c r="D302" s="137"/>
      <c r="E302" s="137"/>
      <c r="F302" s="137"/>
      <c r="G302" s="137"/>
      <c r="H302" s="1"/>
      <c r="I302" s="1"/>
      <c r="J302" s="1"/>
      <c r="K302" s="1"/>
      <c r="L302" s="1"/>
      <c r="M302" s="1"/>
      <c r="N302" s="1"/>
      <c r="O302" s="1"/>
      <c r="P302" s="1"/>
    </row>
    <row r="303" spans="2:16" ht="16.600000000000001">
      <c r="B303" s="135" t="s">
        <v>462</v>
      </c>
      <c r="C303" s="135" t="s">
        <v>462</v>
      </c>
      <c r="D303" s="136"/>
      <c r="E303" s="136"/>
      <c r="F303" s="136"/>
      <c r="G303" s="136"/>
      <c r="H303" s="1"/>
      <c r="I303" s="1"/>
      <c r="J303" s="1"/>
      <c r="K303" s="1"/>
      <c r="L303" s="1"/>
      <c r="M303" s="1"/>
      <c r="N303" s="1"/>
      <c r="O303" s="1"/>
      <c r="P303" s="1"/>
    </row>
    <row r="304" spans="2:16" ht="16.600000000000001">
      <c r="B304" s="135" t="s">
        <v>463</v>
      </c>
      <c r="C304" s="135" t="s">
        <v>463</v>
      </c>
      <c r="D304" s="137"/>
      <c r="E304" s="137"/>
      <c r="F304" s="137"/>
      <c r="G304" s="137"/>
      <c r="H304" s="1"/>
      <c r="I304" s="1"/>
      <c r="J304" s="1"/>
      <c r="K304" s="1"/>
      <c r="L304" s="1"/>
      <c r="M304" s="1"/>
      <c r="N304" s="1"/>
      <c r="O304" s="1"/>
      <c r="P304" s="1"/>
    </row>
    <row r="305" spans="1:16" ht="16.600000000000001">
      <c r="B305" s="135" t="s">
        <v>464</v>
      </c>
      <c r="C305" s="135" t="s">
        <v>464</v>
      </c>
      <c r="D305" s="136"/>
      <c r="E305" s="136"/>
      <c r="F305" s="136"/>
      <c r="G305" s="136"/>
      <c r="H305" s="1"/>
      <c r="I305" s="1"/>
      <c r="J305" s="1"/>
      <c r="K305" s="1"/>
      <c r="L305" s="1"/>
      <c r="M305" s="1"/>
      <c r="N305" s="1"/>
      <c r="O305" s="1"/>
      <c r="P305" s="1"/>
    </row>
    <row r="306" spans="1:16" ht="16.600000000000001">
      <c r="B306" s="135" t="s">
        <v>465</v>
      </c>
      <c r="C306" s="135" t="s">
        <v>465</v>
      </c>
      <c r="D306" s="136"/>
      <c r="E306" s="137"/>
      <c r="F306" s="137"/>
      <c r="G306" s="137"/>
      <c r="H306" s="1"/>
      <c r="I306" s="1"/>
      <c r="J306" s="1"/>
      <c r="K306" s="1"/>
      <c r="L306" s="1"/>
      <c r="M306" s="1"/>
      <c r="N306" s="1"/>
      <c r="O306" s="1"/>
      <c r="P306" s="1"/>
    </row>
    <row r="307" spans="1:16" ht="16.600000000000001">
      <c r="B307" s="135" t="s">
        <v>466</v>
      </c>
      <c r="C307" s="135" t="s">
        <v>466</v>
      </c>
      <c r="D307" s="137"/>
      <c r="E307" s="137"/>
      <c r="F307" s="137"/>
      <c r="G307" s="137"/>
      <c r="H307" s="1"/>
      <c r="I307" s="1"/>
      <c r="J307" s="1"/>
      <c r="K307" s="1"/>
      <c r="L307" s="1"/>
      <c r="M307" s="1"/>
      <c r="N307" s="1"/>
      <c r="O307" s="1"/>
      <c r="P307" s="1"/>
    </row>
    <row r="308" spans="1:16" ht="16.600000000000001">
      <c r="B308" s="135" t="s">
        <v>467</v>
      </c>
      <c r="C308" s="135" t="s">
        <v>467</v>
      </c>
      <c r="D308" s="137"/>
      <c r="E308" s="137"/>
      <c r="F308" s="137"/>
      <c r="G308" s="137"/>
      <c r="H308" s="1"/>
      <c r="I308" s="1"/>
      <c r="J308" s="1"/>
      <c r="K308" s="1"/>
      <c r="L308" s="1"/>
      <c r="M308" s="1"/>
      <c r="N308" s="1"/>
      <c r="O308" s="1"/>
      <c r="P308" s="1"/>
    </row>
    <row r="309" spans="1:16" ht="16.600000000000001">
      <c r="B309" s="135" t="s">
        <v>468</v>
      </c>
      <c r="C309" s="135" t="s">
        <v>468</v>
      </c>
      <c r="D309" s="137"/>
      <c r="E309" s="137"/>
      <c r="F309" s="137"/>
      <c r="G309" s="137"/>
      <c r="H309" s="1"/>
      <c r="I309" s="1"/>
      <c r="J309" s="1"/>
      <c r="K309" s="1"/>
      <c r="L309" s="1"/>
      <c r="M309" s="1"/>
      <c r="N309" s="1"/>
      <c r="O309" s="1"/>
      <c r="P309" s="1"/>
    </row>
    <row r="310" spans="1:16" ht="16.600000000000001">
      <c r="B310" s="135" t="s">
        <v>469</v>
      </c>
      <c r="C310" s="135" t="s">
        <v>469</v>
      </c>
      <c r="D310" s="137"/>
      <c r="E310" s="136"/>
      <c r="F310" s="136"/>
      <c r="G310" s="137"/>
      <c r="H310" s="1"/>
      <c r="I310" s="1"/>
      <c r="J310" s="1"/>
      <c r="K310" s="1"/>
      <c r="L310" s="1"/>
      <c r="M310" s="1"/>
      <c r="N310" s="1"/>
      <c r="O310" s="1"/>
      <c r="P310" s="1"/>
    </row>
    <row r="311" spans="1:16" ht="16.600000000000001">
      <c r="B311" s="135" t="s">
        <v>470</v>
      </c>
      <c r="C311" s="135" t="s">
        <v>470</v>
      </c>
      <c r="D311" s="136"/>
      <c r="E311" s="136"/>
      <c r="F311" s="136"/>
      <c r="G311" s="136"/>
      <c r="H311" s="1"/>
      <c r="I311" s="1"/>
      <c r="J311" s="1"/>
      <c r="K311" s="1"/>
      <c r="L311" s="1"/>
      <c r="M311" s="1"/>
      <c r="N311" s="1"/>
      <c r="O311" s="1"/>
      <c r="P311" s="1"/>
    </row>
    <row r="312" spans="1:16" ht="16.600000000000001">
      <c r="B312" s="135" t="s">
        <v>471</v>
      </c>
      <c r="C312" s="135" t="s">
        <v>471</v>
      </c>
      <c r="D312" s="137"/>
      <c r="E312" s="136"/>
      <c r="F312" s="136"/>
      <c r="G312" s="137"/>
      <c r="H312" s="1"/>
      <c r="I312" s="1"/>
      <c r="J312" s="1"/>
      <c r="K312" s="1"/>
      <c r="L312" s="1"/>
      <c r="M312" s="1"/>
      <c r="N312" s="1"/>
      <c r="O312" s="1"/>
      <c r="P312" s="1"/>
    </row>
    <row r="313" spans="1:16" ht="16.600000000000001">
      <c r="B313" s="135" t="s">
        <v>472</v>
      </c>
      <c r="C313" s="135" t="s">
        <v>472</v>
      </c>
      <c r="D313" s="137"/>
      <c r="E313" s="137"/>
      <c r="F313" s="137"/>
      <c r="G313" s="137"/>
      <c r="H313" s="1"/>
      <c r="I313" s="1"/>
      <c r="J313" s="1"/>
      <c r="K313" s="1"/>
      <c r="L313" s="1"/>
      <c r="M313" s="1"/>
      <c r="N313" s="1"/>
      <c r="O313" s="1"/>
      <c r="P313" s="1"/>
    </row>
    <row r="314" spans="1:16" ht="16.600000000000001">
      <c r="A314" s="1" t="s">
        <v>675</v>
      </c>
      <c r="B314" s="135" t="s">
        <v>473</v>
      </c>
      <c r="C314" s="135" t="s">
        <v>473</v>
      </c>
      <c r="D314" s="137"/>
      <c r="E314" s="137"/>
      <c r="F314" s="137"/>
      <c r="G314" s="137"/>
      <c r="H314" s="1"/>
      <c r="I314" s="1"/>
      <c r="J314" s="1"/>
      <c r="K314" s="1"/>
      <c r="L314" s="1"/>
      <c r="M314" s="1"/>
      <c r="N314" s="1"/>
      <c r="O314" s="1"/>
      <c r="P314" s="1"/>
    </row>
    <row r="315" spans="1:16" ht="16.600000000000001">
      <c r="A315" s="1" t="s">
        <v>676</v>
      </c>
      <c r="B315" s="135" t="s">
        <v>474</v>
      </c>
      <c r="C315" s="135" t="s">
        <v>474</v>
      </c>
      <c r="D315" s="137"/>
      <c r="E315" s="137"/>
      <c r="F315" s="137"/>
      <c r="G315" s="137"/>
      <c r="H315" s="1"/>
      <c r="I315" s="1"/>
      <c r="J315" s="1"/>
      <c r="K315" s="1"/>
      <c r="L315" s="1"/>
      <c r="M315" s="1"/>
      <c r="N315" s="1"/>
      <c r="O315" s="1"/>
      <c r="P315" s="1"/>
    </row>
    <row r="316" spans="1:16" ht="16.600000000000001">
      <c r="B316" s="135" t="s">
        <v>475</v>
      </c>
      <c r="C316" s="135" t="s">
        <v>475</v>
      </c>
      <c r="D316" s="137"/>
      <c r="E316" s="136"/>
      <c r="F316" s="136"/>
      <c r="G316" s="136"/>
      <c r="H316" s="1"/>
      <c r="I316" s="1"/>
      <c r="J316" s="1"/>
      <c r="K316" s="1"/>
      <c r="L316" s="1"/>
      <c r="M316" s="1"/>
      <c r="N316" s="1"/>
      <c r="O316" s="1"/>
      <c r="P316" s="1"/>
    </row>
    <row r="317" spans="1:16" ht="16.600000000000001">
      <c r="B317" s="135" t="s">
        <v>476</v>
      </c>
      <c r="C317" s="135" t="s">
        <v>476</v>
      </c>
      <c r="D317" s="137"/>
      <c r="E317" s="137"/>
      <c r="F317" s="137"/>
      <c r="G317" s="137"/>
      <c r="H317" s="1"/>
      <c r="I317" s="1"/>
      <c r="J317" s="1"/>
      <c r="K317" s="1"/>
      <c r="L317" s="1"/>
      <c r="M317" s="1"/>
      <c r="N317" s="1"/>
      <c r="O317" s="1"/>
      <c r="P317" s="1"/>
    </row>
    <row r="318" spans="1:16" ht="16.600000000000001">
      <c r="B318" s="135" t="s">
        <v>477</v>
      </c>
      <c r="C318" s="135" t="s">
        <v>477</v>
      </c>
      <c r="D318" s="136"/>
      <c r="E318" s="136"/>
      <c r="F318" s="136"/>
      <c r="G318" s="136"/>
      <c r="H318" s="1"/>
      <c r="I318" s="1"/>
      <c r="J318" s="1"/>
      <c r="K318" s="1"/>
      <c r="L318" s="1"/>
      <c r="M318" s="1"/>
      <c r="N318" s="1"/>
      <c r="O318" s="1"/>
      <c r="P318" s="1"/>
    </row>
    <row r="319" spans="1:16" ht="16.600000000000001">
      <c r="B319" s="135" t="s">
        <v>478</v>
      </c>
      <c r="C319" s="135" t="s">
        <v>478</v>
      </c>
      <c r="D319" s="137"/>
      <c r="E319" s="137"/>
      <c r="F319" s="137"/>
      <c r="G319" s="137"/>
      <c r="H319" s="1"/>
      <c r="I319" s="1"/>
      <c r="J319" s="1"/>
      <c r="K319" s="1"/>
      <c r="L319" s="1"/>
      <c r="M319" s="1"/>
      <c r="N319" s="1"/>
      <c r="O319" s="1"/>
      <c r="P319" s="1"/>
    </row>
    <row r="320" spans="1:16" ht="16.600000000000001">
      <c r="B320" s="135" t="s">
        <v>479</v>
      </c>
      <c r="C320" s="135" t="s">
        <v>479</v>
      </c>
      <c r="D320" s="136"/>
      <c r="E320" s="136"/>
      <c r="F320" s="136"/>
      <c r="G320" s="136"/>
      <c r="H320" s="1"/>
      <c r="I320" s="1"/>
      <c r="J320" s="1"/>
      <c r="K320" s="1"/>
      <c r="L320" s="1"/>
      <c r="M320" s="1"/>
      <c r="N320" s="1"/>
      <c r="O320" s="1"/>
      <c r="P320" s="1"/>
    </row>
    <row r="321" spans="2:16" ht="16.600000000000001">
      <c r="B321" s="135" t="s">
        <v>480</v>
      </c>
      <c r="C321" s="135" t="s">
        <v>480</v>
      </c>
      <c r="D321" s="137"/>
      <c r="E321" s="137"/>
      <c r="F321" s="137"/>
      <c r="G321" s="137"/>
      <c r="H321" s="1"/>
      <c r="I321" s="1"/>
      <c r="J321" s="1"/>
      <c r="K321" s="1"/>
      <c r="L321" s="1"/>
      <c r="M321" s="1"/>
      <c r="N321" s="1"/>
      <c r="O321" s="1"/>
      <c r="P321" s="1"/>
    </row>
    <row r="322" spans="2:16" ht="16.600000000000001">
      <c r="B322" s="135" t="s">
        <v>481</v>
      </c>
      <c r="C322" s="135" t="s">
        <v>481</v>
      </c>
      <c r="D322" s="137"/>
      <c r="E322" s="137"/>
      <c r="F322" s="137"/>
      <c r="G322" s="137"/>
      <c r="H322" s="1"/>
      <c r="I322" s="1"/>
      <c r="J322" s="1"/>
      <c r="K322" s="1"/>
      <c r="L322" s="1"/>
      <c r="M322" s="1"/>
      <c r="N322" s="1"/>
      <c r="O322" s="1"/>
      <c r="P322" s="1"/>
    </row>
    <row r="323" spans="2:16" ht="16.600000000000001">
      <c r="B323" s="135" t="s">
        <v>482</v>
      </c>
      <c r="C323" s="135" t="s">
        <v>482</v>
      </c>
      <c r="D323" s="137"/>
      <c r="E323" s="137"/>
      <c r="F323" s="137"/>
      <c r="G323" s="137"/>
      <c r="H323" s="1"/>
      <c r="I323" s="1"/>
      <c r="J323" s="1"/>
      <c r="K323" s="1"/>
      <c r="L323" s="1"/>
      <c r="M323" s="1"/>
      <c r="N323" s="1"/>
      <c r="O323" s="1"/>
      <c r="P323" s="1"/>
    </row>
    <row r="324" spans="2:16" ht="16.600000000000001">
      <c r="B324" s="135" t="s">
        <v>483</v>
      </c>
      <c r="C324" s="135" t="s">
        <v>483</v>
      </c>
      <c r="D324" s="137"/>
      <c r="E324" s="137"/>
      <c r="F324" s="137"/>
      <c r="G324" s="137"/>
      <c r="H324" s="1"/>
      <c r="I324" s="1"/>
      <c r="J324" s="1"/>
      <c r="K324" s="1"/>
      <c r="L324" s="1"/>
      <c r="M324" s="1"/>
      <c r="N324" s="1"/>
      <c r="O324" s="1"/>
      <c r="P324" s="1"/>
    </row>
    <row r="325" spans="2:16" ht="16.600000000000001">
      <c r="B325" s="135" t="s">
        <v>484</v>
      </c>
      <c r="C325" s="135" t="s">
        <v>484</v>
      </c>
      <c r="D325" s="136"/>
      <c r="E325" s="136"/>
      <c r="F325" s="137"/>
      <c r="G325" s="136"/>
      <c r="H325" s="1"/>
      <c r="I325" s="1"/>
      <c r="J325" s="1"/>
      <c r="K325" s="1"/>
      <c r="L325" s="1"/>
      <c r="M325" s="1"/>
      <c r="N325" s="1"/>
      <c r="O325" s="1"/>
      <c r="P325" s="1"/>
    </row>
    <row r="326" spans="2:16" ht="16.600000000000001">
      <c r="B326" s="135" t="s">
        <v>485</v>
      </c>
      <c r="C326" s="135" t="s">
        <v>485</v>
      </c>
      <c r="D326" s="136"/>
      <c r="E326" s="137"/>
      <c r="F326" s="137"/>
      <c r="G326" s="136"/>
      <c r="H326" s="1"/>
      <c r="I326" s="1"/>
      <c r="J326" s="1"/>
      <c r="K326" s="1"/>
      <c r="L326" s="1"/>
      <c r="M326" s="1"/>
      <c r="N326" s="1"/>
      <c r="O326" s="1"/>
      <c r="P326" s="1"/>
    </row>
    <row r="327" spans="2:16" ht="16.600000000000001">
      <c r="B327" s="135" t="s">
        <v>486</v>
      </c>
      <c r="C327" s="135" t="s">
        <v>486</v>
      </c>
      <c r="D327" s="137"/>
      <c r="E327" s="137"/>
      <c r="F327" s="137"/>
      <c r="G327" s="137"/>
      <c r="H327" s="1"/>
      <c r="I327" s="1"/>
      <c r="J327" s="1"/>
      <c r="K327" s="1"/>
      <c r="L327" s="1"/>
      <c r="M327" s="1"/>
      <c r="N327" s="1"/>
      <c r="O327" s="1"/>
      <c r="P327" s="1"/>
    </row>
    <row r="328" spans="2:16" ht="16.600000000000001">
      <c r="B328" s="135" t="s">
        <v>487</v>
      </c>
      <c r="C328" s="135" t="s">
        <v>487</v>
      </c>
      <c r="D328" s="136"/>
      <c r="E328" s="136"/>
      <c r="F328" s="136"/>
      <c r="G328" s="136"/>
      <c r="H328" s="1"/>
      <c r="I328" s="1"/>
      <c r="J328" s="1"/>
      <c r="K328" s="1"/>
      <c r="L328" s="1"/>
      <c r="M328" s="1"/>
      <c r="N328" s="1"/>
      <c r="O328" s="1"/>
      <c r="P328" s="1"/>
    </row>
    <row r="329" spans="2:16" ht="16.600000000000001">
      <c r="B329" s="135" t="s">
        <v>488</v>
      </c>
      <c r="C329" s="135" t="s">
        <v>488</v>
      </c>
      <c r="D329" s="136"/>
      <c r="E329" s="136"/>
      <c r="F329" s="136"/>
      <c r="G329" s="136"/>
      <c r="H329" s="1"/>
      <c r="I329" s="1"/>
      <c r="J329" s="1"/>
      <c r="K329" s="1"/>
      <c r="L329" s="1"/>
      <c r="M329" s="1"/>
      <c r="N329" s="1"/>
      <c r="O329" s="1"/>
      <c r="P329" s="1"/>
    </row>
    <row r="330" spans="2:16" ht="16.600000000000001">
      <c r="B330" s="135" t="s">
        <v>489</v>
      </c>
      <c r="C330" s="135" t="s">
        <v>489</v>
      </c>
      <c r="D330" s="136"/>
      <c r="E330" s="136"/>
      <c r="F330" s="136"/>
      <c r="G330" s="136"/>
      <c r="H330" s="1"/>
      <c r="I330" s="1"/>
      <c r="J330" s="1"/>
      <c r="K330" s="1"/>
      <c r="L330" s="1"/>
      <c r="M330" s="1"/>
      <c r="N330" s="1"/>
      <c r="O330" s="1"/>
      <c r="P330" s="1"/>
    </row>
    <row r="331" spans="2:16" ht="16.600000000000001">
      <c r="B331" s="135" t="s">
        <v>490</v>
      </c>
      <c r="C331" s="135" t="s">
        <v>490</v>
      </c>
      <c r="D331" s="137"/>
      <c r="E331" s="137"/>
      <c r="F331" s="137"/>
      <c r="G331" s="137"/>
      <c r="H331" s="1"/>
      <c r="I331" s="1"/>
      <c r="J331" s="1"/>
      <c r="K331" s="1"/>
      <c r="L331" s="1"/>
      <c r="M331" s="1"/>
      <c r="N331" s="1"/>
      <c r="O331" s="1"/>
      <c r="P331" s="1"/>
    </row>
    <row r="332" spans="2:16" ht="16.600000000000001">
      <c r="B332" s="135" t="s">
        <v>491</v>
      </c>
      <c r="C332" s="135" t="s">
        <v>491</v>
      </c>
      <c r="D332" s="137"/>
      <c r="E332" s="137"/>
      <c r="F332" s="137"/>
      <c r="G332" s="137"/>
      <c r="H332" s="1"/>
      <c r="I332" s="1"/>
      <c r="J332" s="1"/>
      <c r="K332" s="1"/>
      <c r="L332" s="1"/>
      <c r="M332" s="1"/>
      <c r="N332" s="1"/>
      <c r="O332" s="1"/>
      <c r="P332" s="1"/>
    </row>
    <row r="333" spans="2:16" ht="16.600000000000001">
      <c r="B333" s="135" t="s">
        <v>492</v>
      </c>
      <c r="C333" s="135" t="s">
        <v>492</v>
      </c>
      <c r="D333" s="136"/>
      <c r="E333" s="137"/>
      <c r="F333" s="136"/>
      <c r="G333" s="136"/>
      <c r="H333" s="1"/>
      <c r="I333" s="1"/>
      <c r="J333" s="1"/>
      <c r="K333" s="1"/>
      <c r="L333" s="1"/>
      <c r="M333" s="1"/>
      <c r="N333" s="1"/>
      <c r="O333" s="1"/>
      <c r="P333" s="1"/>
    </row>
    <row r="334" spans="2:16" ht="16.600000000000001">
      <c r="B334" s="135" t="s">
        <v>493</v>
      </c>
      <c r="C334" s="135" t="s">
        <v>493</v>
      </c>
      <c r="D334" s="137"/>
      <c r="E334" s="137"/>
      <c r="F334" s="137"/>
      <c r="G334" s="137"/>
      <c r="H334" s="1"/>
      <c r="I334" s="1"/>
      <c r="J334" s="1"/>
      <c r="K334" s="1"/>
      <c r="L334" s="1"/>
      <c r="M334" s="1"/>
      <c r="N334" s="1"/>
      <c r="O334" s="1"/>
      <c r="P334" s="1"/>
    </row>
    <row r="335" spans="2:16" ht="16.600000000000001">
      <c r="B335" s="135" t="s">
        <v>494</v>
      </c>
      <c r="C335" s="135" t="s">
        <v>494</v>
      </c>
      <c r="D335" s="136"/>
      <c r="E335" s="136"/>
      <c r="F335" s="136"/>
      <c r="G335" s="136"/>
      <c r="H335" s="1"/>
      <c r="I335" s="1"/>
      <c r="J335" s="1"/>
      <c r="K335" s="1"/>
      <c r="L335" s="1"/>
      <c r="M335" s="1"/>
      <c r="N335" s="1"/>
      <c r="O335" s="1"/>
      <c r="P335" s="1"/>
    </row>
    <row r="336" spans="2:16" ht="16.600000000000001">
      <c r="B336" s="135" t="s">
        <v>495</v>
      </c>
      <c r="C336" s="135" t="s">
        <v>495</v>
      </c>
      <c r="D336" s="136"/>
      <c r="E336" s="136"/>
      <c r="F336" s="137"/>
      <c r="G336" s="137"/>
      <c r="H336" s="1"/>
      <c r="I336" s="1"/>
      <c r="J336" s="1"/>
      <c r="K336" s="1"/>
      <c r="L336" s="1"/>
      <c r="M336" s="1"/>
      <c r="N336" s="1"/>
      <c r="O336" s="1"/>
      <c r="P336" s="1"/>
    </row>
    <row r="337" spans="2:16" ht="16.600000000000001">
      <c r="B337" s="135" t="s">
        <v>496</v>
      </c>
      <c r="C337" s="135" t="s">
        <v>496</v>
      </c>
      <c r="D337" s="136"/>
      <c r="E337" s="136"/>
      <c r="F337" s="136"/>
      <c r="G337" s="136"/>
      <c r="H337" s="1"/>
      <c r="I337" s="1"/>
      <c r="J337" s="1"/>
      <c r="K337" s="1"/>
      <c r="L337" s="1"/>
      <c r="M337" s="1"/>
      <c r="N337" s="1"/>
      <c r="O337" s="1"/>
      <c r="P337" s="1"/>
    </row>
    <row r="338" spans="2:16" ht="16.600000000000001">
      <c r="B338" s="135" t="s">
        <v>497</v>
      </c>
      <c r="C338" s="135" t="s">
        <v>497</v>
      </c>
      <c r="D338" s="136"/>
      <c r="E338" s="136"/>
      <c r="F338" s="136"/>
      <c r="G338" s="136"/>
      <c r="H338" s="1"/>
      <c r="I338" s="1"/>
      <c r="J338" s="1"/>
      <c r="K338" s="1"/>
      <c r="L338" s="1"/>
      <c r="M338" s="1"/>
      <c r="N338" s="1"/>
      <c r="O338" s="1"/>
      <c r="P338" s="1"/>
    </row>
    <row r="339" spans="2:16" ht="16.600000000000001">
      <c r="B339" s="135" t="s">
        <v>498</v>
      </c>
      <c r="C339" s="135" t="s">
        <v>498</v>
      </c>
      <c r="D339" s="136"/>
      <c r="E339" s="136"/>
      <c r="F339" s="136"/>
      <c r="G339" s="137"/>
      <c r="H339" s="1"/>
      <c r="I339" s="1"/>
      <c r="J339" s="1"/>
      <c r="K339" s="1"/>
      <c r="L339" s="1"/>
      <c r="M339" s="1"/>
      <c r="N339" s="1"/>
      <c r="O339" s="1"/>
      <c r="P339" s="1"/>
    </row>
    <row r="340" spans="2:16" ht="16.600000000000001">
      <c r="B340" s="135" t="s">
        <v>499</v>
      </c>
      <c r="C340" s="135" t="s">
        <v>499</v>
      </c>
      <c r="D340" s="136"/>
      <c r="E340" s="136"/>
      <c r="F340" s="136"/>
      <c r="G340" s="136"/>
      <c r="H340" s="1"/>
      <c r="I340" s="1"/>
      <c r="J340" s="1"/>
      <c r="K340" s="1"/>
      <c r="L340" s="1"/>
      <c r="M340" s="1"/>
      <c r="N340" s="1"/>
      <c r="O340" s="1"/>
      <c r="P340" s="1"/>
    </row>
    <row r="341" spans="2:16" ht="16.600000000000001">
      <c r="B341" s="135" t="s">
        <v>500</v>
      </c>
      <c r="C341" s="135" t="s">
        <v>500</v>
      </c>
      <c r="D341" s="137"/>
      <c r="E341" s="137"/>
      <c r="F341" s="137"/>
      <c r="G341" s="136"/>
      <c r="H341" s="1"/>
      <c r="I341" s="1"/>
      <c r="J341" s="1"/>
      <c r="K341" s="1"/>
      <c r="L341" s="1"/>
      <c r="M341" s="1"/>
      <c r="N341" s="1"/>
      <c r="O341" s="1"/>
      <c r="P341" s="1"/>
    </row>
    <row r="342" spans="2:16" ht="16.600000000000001">
      <c r="B342" s="135" t="s">
        <v>501</v>
      </c>
      <c r="C342" s="135" t="s">
        <v>501</v>
      </c>
      <c r="D342" s="136"/>
      <c r="E342" s="136"/>
      <c r="F342" s="136"/>
      <c r="G342" s="136"/>
      <c r="H342" s="1"/>
      <c r="I342" s="1"/>
      <c r="J342" s="1"/>
      <c r="K342" s="1"/>
      <c r="L342" s="1"/>
      <c r="M342" s="1"/>
      <c r="N342" s="1"/>
      <c r="O342" s="1"/>
      <c r="P342" s="1"/>
    </row>
    <row r="343" spans="2:16" ht="16.600000000000001">
      <c r="B343" s="135" t="s">
        <v>502</v>
      </c>
      <c r="C343" s="135" t="s">
        <v>502</v>
      </c>
      <c r="D343" s="136"/>
      <c r="E343" s="136"/>
      <c r="F343" s="136"/>
      <c r="G343" s="136"/>
      <c r="H343" s="1"/>
      <c r="I343" s="1"/>
      <c r="J343" s="1"/>
      <c r="K343" s="1"/>
      <c r="L343" s="1"/>
      <c r="M343" s="1"/>
      <c r="N343" s="1"/>
      <c r="O343" s="1"/>
      <c r="P343" s="1"/>
    </row>
    <row r="344" spans="2:16" ht="16.600000000000001">
      <c r="B344" s="135" t="s">
        <v>503</v>
      </c>
      <c r="C344" s="135" t="s">
        <v>503</v>
      </c>
      <c r="D344" s="137"/>
      <c r="E344" s="137"/>
      <c r="F344" s="137"/>
      <c r="G344" s="137"/>
      <c r="H344" s="1"/>
      <c r="I344" s="1"/>
      <c r="J344" s="1"/>
      <c r="K344" s="1"/>
      <c r="L344" s="1"/>
      <c r="M344" s="1"/>
      <c r="N344" s="1"/>
      <c r="O344" s="1"/>
      <c r="P344" s="1"/>
    </row>
    <row r="345" spans="2:16" ht="16.600000000000001">
      <c r="B345" s="135" t="s">
        <v>504</v>
      </c>
      <c r="C345" s="135" t="s">
        <v>504</v>
      </c>
      <c r="D345" s="137"/>
      <c r="E345" s="137"/>
      <c r="F345" s="137"/>
      <c r="G345" s="137"/>
      <c r="H345" s="1"/>
      <c r="I345" s="1"/>
      <c r="J345" s="1"/>
      <c r="K345" s="1"/>
      <c r="L345" s="1"/>
      <c r="M345" s="1"/>
      <c r="N345" s="1"/>
      <c r="O345" s="1"/>
      <c r="P345" s="1"/>
    </row>
    <row r="346" spans="2:16" ht="16.600000000000001">
      <c r="B346" s="135" t="s">
        <v>505</v>
      </c>
      <c r="C346" s="135" t="s">
        <v>505</v>
      </c>
      <c r="D346" s="137"/>
      <c r="E346" s="137"/>
      <c r="F346" s="137"/>
      <c r="G346" s="137"/>
      <c r="H346" s="1"/>
      <c r="I346" s="1"/>
      <c r="J346" s="1"/>
      <c r="K346" s="1"/>
      <c r="L346" s="1"/>
      <c r="M346" s="1"/>
      <c r="N346" s="1"/>
      <c r="O346" s="1"/>
      <c r="P346" s="1"/>
    </row>
    <row r="347" spans="2:16" ht="16.600000000000001">
      <c r="B347" s="135" t="s">
        <v>506</v>
      </c>
      <c r="C347" s="135" t="s">
        <v>506</v>
      </c>
      <c r="D347" s="137"/>
      <c r="E347" s="137"/>
      <c r="F347" s="137"/>
      <c r="G347" s="137"/>
      <c r="H347" s="1"/>
      <c r="I347" s="1"/>
      <c r="J347" s="1"/>
      <c r="K347" s="1"/>
      <c r="L347" s="1"/>
      <c r="M347" s="1"/>
      <c r="N347" s="1"/>
      <c r="O347" s="1"/>
      <c r="P347" s="1"/>
    </row>
    <row r="348" spans="2:16" ht="16.600000000000001">
      <c r="B348" s="135" t="s">
        <v>507</v>
      </c>
      <c r="C348" s="135" t="s">
        <v>507</v>
      </c>
      <c r="D348" s="137"/>
      <c r="E348" s="137"/>
      <c r="F348" s="137"/>
      <c r="G348" s="137"/>
      <c r="H348" s="1"/>
      <c r="I348" s="1"/>
      <c r="J348" s="1"/>
      <c r="K348" s="1"/>
      <c r="L348" s="1"/>
      <c r="M348" s="1"/>
      <c r="N348" s="1"/>
      <c r="O348" s="1"/>
      <c r="P348" s="1"/>
    </row>
    <row r="349" spans="2:16" ht="16.600000000000001">
      <c r="B349" s="135" t="s">
        <v>508</v>
      </c>
      <c r="C349" s="135" t="s">
        <v>508</v>
      </c>
      <c r="D349" s="137"/>
      <c r="E349" s="137"/>
      <c r="F349" s="136"/>
      <c r="G349" s="136"/>
      <c r="H349" s="1"/>
      <c r="I349" s="1"/>
      <c r="J349" s="1"/>
      <c r="K349" s="1"/>
      <c r="L349" s="1"/>
      <c r="M349" s="1"/>
      <c r="N349" s="1"/>
      <c r="O349" s="1"/>
      <c r="P349" s="1"/>
    </row>
    <row r="350" spans="2:16" ht="16.600000000000001">
      <c r="B350" s="135" t="s">
        <v>509</v>
      </c>
      <c r="C350" s="135" t="s">
        <v>509</v>
      </c>
      <c r="D350" s="136"/>
      <c r="E350" s="136"/>
      <c r="F350" s="136"/>
      <c r="G350" s="136"/>
      <c r="H350" s="1"/>
      <c r="I350" s="1"/>
      <c r="J350" s="1"/>
      <c r="K350" s="1"/>
      <c r="L350" s="1"/>
      <c r="M350" s="1"/>
      <c r="N350" s="1"/>
      <c r="O350" s="1"/>
      <c r="P350" s="1"/>
    </row>
    <row r="351" spans="2:16" ht="16.600000000000001">
      <c r="B351" s="135" t="s">
        <v>510</v>
      </c>
      <c r="C351" s="135" t="s">
        <v>510</v>
      </c>
      <c r="D351" s="136"/>
      <c r="E351" s="136"/>
      <c r="F351" s="136"/>
      <c r="G351" s="136"/>
      <c r="H351" s="1"/>
      <c r="I351" s="1"/>
      <c r="J351" s="1"/>
      <c r="K351" s="1"/>
      <c r="L351" s="1"/>
      <c r="M351" s="1"/>
      <c r="N351" s="1"/>
      <c r="O351" s="1"/>
      <c r="P351" s="1"/>
    </row>
    <row r="352" spans="2:16" ht="16.600000000000001">
      <c r="B352" s="135" t="s">
        <v>511</v>
      </c>
      <c r="C352" s="135" t="s">
        <v>511</v>
      </c>
      <c r="D352" s="137"/>
      <c r="E352" s="137"/>
      <c r="F352" s="137"/>
      <c r="G352" s="137"/>
      <c r="H352" s="1"/>
      <c r="I352" s="1"/>
      <c r="J352" s="1"/>
      <c r="K352" s="1"/>
      <c r="L352" s="1"/>
      <c r="M352" s="1"/>
      <c r="N352" s="1"/>
      <c r="O352" s="1"/>
      <c r="P352" s="1"/>
    </row>
    <row r="353" spans="2:16" ht="16.600000000000001">
      <c r="B353" s="135" t="s">
        <v>512</v>
      </c>
      <c r="C353" s="135" t="s">
        <v>512</v>
      </c>
      <c r="D353" s="137"/>
      <c r="E353" s="137"/>
      <c r="F353" s="137"/>
      <c r="G353" s="137"/>
      <c r="H353" s="1"/>
      <c r="I353" s="1"/>
      <c r="J353" s="1"/>
      <c r="K353" s="1"/>
      <c r="L353" s="1"/>
      <c r="M353" s="1"/>
      <c r="N353" s="1"/>
      <c r="O353" s="1"/>
      <c r="P353" s="1"/>
    </row>
    <row r="354" spans="2:16" ht="16.600000000000001">
      <c r="B354" s="135" t="s">
        <v>513</v>
      </c>
      <c r="C354" s="135" t="s">
        <v>513</v>
      </c>
      <c r="D354" s="137"/>
      <c r="E354" s="137"/>
      <c r="F354" s="136"/>
      <c r="G354" s="136"/>
      <c r="H354" s="1"/>
      <c r="I354" s="1"/>
      <c r="J354" s="1"/>
      <c r="K354" s="1"/>
      <c r="L354" s="1"/>
      <c r="M354" s="1"/>
      <c r="N354" s="1"/>
      <c r="O354" s="1"/>
      <c r="P354" s="1"/>
    </row>
    <row r="355" spans="2:16" ht="16.600000000000001">
      <c r="B355" s="135" t="s">
        <v>514</v>
      </c>
      <c r="C355" s="135" t="s">
        <v>514</v>
      </c>
      <c r="D355" s="136"/>
      <c r="E355" s="136"/>
      <c r="F355" s="136"/>
      <c r="G355" s="136"/>
      <c r="H355" s="1"/>
      <c r="I355" s="1"/>
      <c r="J355" s="1"/>
      <c r="K355" s="1"/>
      <c r="L355" s="1"/>
      <c r="M355" s="1"/>
      <c r="N355" s="1"/>
      <c r="O355" s="1"/>
      <c r="P355" s="1"/>
    </row>
    <row r="356" spans="2:16" ht="16.600000000000001">
      <c r="B356" s="135" t="s">
        <v>515</v>
      </c>
      <c r="C356" s="135" t="s">
        <v>515</v>
      </c>
      <c r="D356" s="137"/>
      <c r="E356" s="137"/>
      <c r="F356" s="137"/>
      <c r="G356" s="137"/>
      <c r="H356" s="1"/>
      <c r="I356" s="1"/>
      <c r="J356" s="1"/>
      <c r="K356" s="1"/>
      <c r="L356" s="1"/>
      <c r="M356" s="1"/>
      <c r="N356" s="1"/>
      <c r="O356" s="1"/>
      <c r="P356" s="1"/>
    </row>
    <row r="357" spans="2:16" ht="16.600000000000001">
      <c r="B357" s="135" t="s">
        <v>516</v>
      </c>
      <c r="C357" s="135" t="s">
        <v>516</v>
      </c>
      <c r="D357" s="136"/>
      <c r="E357" s="137"/>
      <c r="F357" s="137"/>
      <c r="G357" s="137"/>
      <c r="H357" s="1"/>
      <c r="I357" s="1"/>
      <c r="J357" s="1"/>
      <c r="K357" s="1"/>
      <c r="L357" s="1"/>
      <c r="M357" s="1"/>
      <c r="N357" s="1"/>
      <c r="O357" s="1"/>
      <c r="P357" s="1"/>
    </row>
    <row r="358" spans="2:16" ht="16.600000000000001">
      <c r="B358" s="135" t="s">
        <v>517</v>
      </c>
      <c r="C358" s="135" t="s">
        <v>517</v>
      </c>
      <c r="D358" s="137"/>
      <c r="E358" s="136"/>
      <c r="F358" s="136"/>
      <c r="G358" s="136"/>
      <c r="H358" s="1"/>
      <c r="I358" s="1"/>
      <c r="J358" s="1"/>
      <c r="K358" s="1"/>
      <c r="L358" s="1"/>
      <c r="M358" s="1"/>
      <c r="N358" s="1"/>
      <c r="O358" s="1"/>
      <c r="P358" s="1"/>
    </row>
    <row r="359" spans="2:16" ht="16.600000000000001">
      <c r="B359" s="135" t="s">
        <v>518</v>
      </c>
      <c r="C359" s="135" t="s">
        <v>518</v>
      </c>
      <c r="D359" s="137"/>
      <c r="E359" s="137"/>
      <c r="F359" s="137"/>
      <c r="G359" s="137"/>
      <c r="H359" s="1"/>
      <c r="I359" s="1"/>
      <c r="J359" s="1"/>
      <c r="K359" s="1"/>
      <c r="L359" s="1"/>
      <c r="M359" s="1"/>
      <c r="N359" s="1"/>
      <c r="O359" s="1"/>
      <c r="P359" s="1"/>
    </row>
    <row r="360" spans="2:16" ht="16.600000000000001">
      <c r="B360" s="135" t="s">
        <v>519</v>
      </c>
      <c r="C360" s="135" t="s">
        <v>519</v>
      </c>
      <c r="D360" s="137"/>
      <c r="E360" s="137"/>
      <c r="F360" s="137"/>
      <c r="G360" s="137"/>
      <c r="H360" s="1"/>
      <c r="I360" s="1"/>
      <c r="J360" s="1"/>
      <c r="K360" s="1"/>
      <c r="L360" s="1"/>
      <c r="M360" s="1"/>
      <c r="N360" s="1"/>
      <c r="O360" s="1"/>
      <c r="P360" s="1"/>
    </row>
    <row r="361" spans="2:16" ht="16.600000000000001">
      <c r="B361" s="135" t="s">
        <v>520</v>
      </c>
      <c r="C361" s="135" t="s">
        <v>520</v>
      </c>
      <c r="D361" s="137"/>
      <c r="E361" s="137"/>
      <c r="F361" s="137"/>
      <c r="G361" s="137"/>
      <c r="H361" s="1"/>
      <c r="I361" s="1"/>
      <c r="J361" s="1"/>
      <c r="K361" s="1"/>
      <c r="L361" s="1"/>
      <c r="M361" s="1"/>
      <c r="N361" s="1"/>
      <c r="O361" s="1"/>
      <c r="P361" s="1"/>
    </row>
    <row r="362" spans="2:16" ht="16.600000000000001">
      <c r="B362" s="135" t="s">
        <v>521</v>
      </c>
      <c r="C362" s="135" t="s">
        <v>521</v>
      </c>
      <c r="D362" s="136"/>
      <c r="E362" s="136"/>
      <c r="F362" s="136"/>
      <c r="G362" s="136"/>
      <c r="H362" s="1"/>
      <c r="I362" s="1"/>
      <c r="J362" s="1"/>
      <c r="K362" s="1"/>
      <c r="L362" s="1"/>
      <c r="M362" s="1"/>
      <c r="N362" s="1"/>
      <c r="O362" s="1"/>
      <c r="P362" s="1"/>
    </row>
    <row r="363" spans="2:16" ht="16.600000000000001">
      <c r="B363" s="135" t="s">
        <v>522</v>
      </c>
      <c r="C363" s="135" t="s">
        <v>522</v>
      </c>
      <c r="D363" s="137"/>
      <c r="E363" s="137"/>
      <c r="F363" s="137"/>
      <c r="G363" s="137"/>
      <c r="H363" s="1"/>
      <c r="I363" s="1"/>
      <c r="J363" s="1"/>
      <c r="K363" s="1"/>
      <c r="L363" s="1"/>
      <c r="M363" s="1"/>
      <c r="N363" s="1"/>
      <c r="O363" s="1"/>
      <c r="P363" s="1"/>
    </row>
    <row r="364" spans="2:16" ht="16.600000000000001">
      <c r="B364" s="135" t="s">
        <v>523</v>
      </c>
      <c r="C364" s="135" t="s">
        <v>523</v>
      </c>
      <c r="D364" s="137"/>
      <c r="E364" s="137"/>
      <c r="F364" s="137"/>
      <c r="G364" s="137"/>
      <c r="H364" s="1"/>
      <c r="I364" s="1"/>
      <c r="J364" s="1"/>
      <c r="K364" s="1"/>
      <c r="L364" s="1"/>
      <c r="M364" s="1"/>
      <c r="N364" s="1"/>
      <c r="O364" s="1"/>
      <c r="P364" s="1"/>
    </row>
    <row r="365" spans="2:16" ht="16.600000000000001">
      <c r="B365" s="135" t="s">
        <v>524</v>
      </c>
      <c r="C365" s="135" t="s">
        <v>524</v>
      </c>
      <c r="D365" s="137"/>
      <c r="E365" s="137"/>
      <c r="F365" s="137"/>
      <c r="G365" s="137"/>
      <c r="H365" s="1"/>
      <c r="I365" s="1"/>
      <c r="J365" s="1"/>
      <c r="K365" s="1"/>
      <c r="L365" s="1"/>
      <c r="M365" s="1"/>
      <c r="N365" s="1"/>
      <c r="O365" s="1"/>
      <c r="P365" s="1"/>
    </row>
    <row r="366" spans="2:16" ht="16.600000000000001">
      <c r="B366" s="135" t="s">
        <v>525</v>
      </c>
      <c r="C366" s="135" t="s">
        <v>525</v>
      </c>
      <c r="D366" s="136"/>
      <c r="E366" s="136"/>
      <c r="F366" s="136"/>
      <c r="G366" s="136"/>
      <c r="H366" s="1"/>
      <c r="I366" s="1"/>
      <c r="J366" s="1"/>
      <c r="K366" s="1"/>
      <c r="L366" s="1"/>
      <c r="M366" s="1"/>
      <c r="N366" s="1"/>
      <c r="O366" s="1"/>
      <c r="P366" s="1"/>
    </row>
    <row r="367" spans="2:16" ht="16.600000000000001">
      <c r="B367" s="135" t="s">
        <v>526</v>
      </c>
      <c r="C367" s="135" t="s">
        <v>526</v>
      </c>
      <c r="D367" s="137"/>
      <c r="E367" s="137"/>
      <c r="F367" s="137"/>
      <c r="G367" s="137"/>
      <c r="H367" s="1"/>
      <c r="I367" s="1"/>
      <c r="J367" s="1"/>
      <c r="K367" s="1"/>
      <c r="L367" s="1"/>
      <c r="M367" s="1"/>
      <c r="N367" s="1"/>
      <c r="O367" s="1"/>
      <c r="P367" s="1"/>
    </row>
    <row r="368" spans="2:16" ht="16.600000000000001">
      <c r="B368" s="135" t="s">
        <v>527</v>
      </c>
      <c r="C368" s="135" t="s">
        <v>527</v>
      </c>
      <c r="D368" s="137"/>
      <c r="E368" s="137"/>
      <c r="F368" s="137"/>
      <c r="G368" s="137"/>
      <c r="H368" s="1"/>
      <c r="I368" s="1"/>
      <c r="J368" s="1"/>
      <c r="K368" s="1"/>
      <c r="L368" s="1"/>
      <c r="M368" s="1"/>
      <c r="N368" s="1"/>
      <c r="O368" s="1"/>
      <c r="P368" s="1"/>
    </row>
    <row r="369" spans="2:16" ht="16.600000000000001">
      <c r="B369" s="135" t="s">
        <v>528</v>
      </c>
      <c r="C369" s="135" t="s">
        <v>528</v>
      </c>
      <c r="D369" s="137"/>
      <c r="E369" s="137"/>
      <c r="F369" s="137"/>
      <c r="G369" s="137"/>
      <c r="H369" s="1"/>
      <c r="I369" s="1"/>
      <c r="J369" s="1"/>
      <c r="K369" s="1"/>
      <c r="L369" s="1"/>
      <c r="M369" s="1"/>
      <c r="N369" s="1"/>
      <c r="O369" s="1"/>
      <c r="P369" s="1"/>
    </row>
    <row r="370" spans="2:16" ht="16.600000000000001">
      <c r="B370" s="135" t="s">
        <v>529</v>
      </c>
      <c r="C370" s="135" t="s">
        <v>529</v>
      </c>
      <c r="D370" s="136"/>
      <c r="E370" s="136"/>
      <c r="F370" s="136"/>
      <c r="G370" s="136"/>
      <c r="H370" s="1"/>
      <c r="I370" s="1"/>
      <c r="J370" s="1"/>
      <c r="K370" s="1"/>
      <c r="L370" s="1"/>
      <c r="M370" s="1"/>
      <c r="N370" s="1"/>
      <c r="O370" s="1"/>
      <c r="P370" s="1"/>
    </row>
    <row r="371" spans="2:16" ht="16.600000000000001">
      <c r="B371" s="135" t="s">
        <v>530</v>
      </c>
      <c r="C371" s="135" t="s">
        <v>530</v>
      </c>
      <c r="D371" s="136"/>
      <c r="E371" s="137"/>
      <c r="F371" s="137"/>
      <c r="G371" s="136"/>
      <c r="H371" s="1"/>
      <c r="I371" s="1"/>
      <c r="J371" s="1"/>
      <c r="K371" s="1"/>
      <c r="L371" s="1"/>
      <c r="M371" s="1"/>
      <c r="N371" s="1"/>
      <c r="O371" s="1"/>
      <c r="P371" s="1"/>
    </row>
    <row r="372" spans="2:16" ht="16.600000000000001">
      <c r="B372" s="135" t="s">
        <v>531</v>
      </c>
      <c r="C372" s="135" t="s">
        <v>531</v>
      </c>
      <c r="D372" s="136"/>
      <c r="E372" s="136"/>
      <c r="F372" s="136"/>
      <c r="G372" s="136"/>
      <c r="H372" s="1"/>
      <c r="I372" s="1"/>
      <c r="J372" s="1"/>
      <c r="K372" s="1"/>
      <c r="L372" s="1"/>
      <c r="M372" s="1"/>
      <c r="N372" s="1"/>
      <c r="O372" s="1"/>
      <c r="P372" s="1"/>
    </row>
    <row r="373" spans="2:16" ht="16.600000000000001">
      <c r="B373" s="135" t="s">
        <v>532</v>
      </c>
      <c r="C373" s="135" t="s">
        <v>532</v>
      </c>
      <c r="D373" s="137"/>
      <c r="E373" s="137"/>
      <c r="F373" s="137"/>
      <c r="G373" s="137"/>
      <c r="H373" s="1"/>
      <c r="I373" s="1"/>
      <c r="J373" s="1"/>
      <c r="K373" s="1"/>
      <c r="L373" s="1"/>
      <c r="M373" s="1"/>
      <c r="N373" s="1"/>
      <c r="O373" s="1"/>
      <c r="P373" s="1"/>
    </row>
    <row r="374" spans="2:16" ht="16.600000000000001">
      <c r="B374" s="135" t="s">
        <v>533</v>
      </c>
      <c r="C374" s="135" t="s">
        <v>533</v>
      </c>
      <c r="D374" s="137"/>
      <c r="E374" s="137"/>
      <c r="F374" s="137"/>
      <c r="G374" s="137"/>
      <c r="H374" s="1"/>
      <c r="I374" s="1"/>
      <c r="J374" s="1"/>
      <c r="K374" s="1"/>
      <c r="L374" s="1"/>
      <c r="M374" s="1"/>
      <c r="N374" s="1"/>
      <c r="O374" s="1"/>
      <c r="P374" s="1"/>
    </row>
    <row r="375" spans="2:16" ht="16.600000000000001">
      <c r="B375" s="135" t="s">
        <v>534</v>
      </c>
      <c r="C375" s="135" t="s">
        <v>534</v>
      </c>
      <c r="D375" s="137"/>
      <c r="E375" s="136"/>
      <c r="F375" s="137"/>
      <c r="G375" s="137"/>
      <c r="H375" s="1"/>
      <c r="I375" s="1"/>
      <c r="J375" s="1"/>
      <c r="K375" s="1"/>
      <c r="L375" s="1"/>
      <c r="M375" s="1"/>
      <c r="N375" s="1"/>
      <c r="O375" s="1"/>
      <c r="P375" s="1"/>
    </row>
    <row r="376" spans="2:16" ht="16.600000000000001">
      <c r="B376" s="135" t="s">
        <v>535</v>
      </c>
      <c r="C376" s="135" t="s">
        <v>535</v>
      </c>
      <c r="D376" s="137"/>
      <c r="E376" s="137"/>
      <c r="F376" s="137"/>
      <c r="G376" s="137"/>
      <c r="H376" s="1"/>
      <c r="I376" s="1"/>
      <c r="J376" s="1"/>
      <c r="K376" s="1"/>
      <c r="L376" s="1"/>
      <c r="M376" s="1"/>
      <c r="N376" s="1"/>
      <c r="O376" s="1"/>
      <c r="P376" s="1"/>
    </row>
    <row r="377" spans="2:16" ht="16.600000000000001">
      <c r="B377" s="135" t="s">
        <v>536</v>
      </c>
      <c r="C377" s="135" t="s">
        <v>536</v>
      </c>
      <c r="D377" s="137"/>
      <c r="E377" s="137"/>
      <c r="F377" s="137"/>
      <c r="G377" s="137"/>
      <c r="H377" s="1"/>
      <c r="I377" s="1"/>
      <c r="J377" s="1"/>
      <c r="K377" s="1"/>
      <c r="L377" s="1"/>
      <c r="M377" s="1"/>
      <c r="N377" s="1"/>
      <c r="O377" s="1"/>
      <c r="P377" s="1"/>
    </row>
    <row r="378" spans="2:16" ht="16.600000000000001">
      <c r="B378" s="135" t="s">
        <v>537</v>
      </c>
      <c r="C378" s="135" t="s">
        <v>537</v>
      </c>
      <c r="D378" s="136"/>
      <c r="E378" s="136"/>
      <c r="F378" s="136"/>
      <c r="G378" s="136"/>
      <c r="H378" s="1"/>
      <c r="I378" s="1"/>
      <c r="J378" s="1"/>
      <c r="K378" s="1"/>
      <c r="L378" s="1"/>
      <c r="M378" s="1"/>
      <c r="N378" s="1"/>
      <c r="O378" s="1"/>
      <c r="P378" s="1"/>
    </row>
    <row r="379" spans="2:16" ht="16.600000000000001">
      <c r="B379" s="135" t="s">
        <v>538</v>
      </c>
      <c r="C379" s="135" t="s">
        <v>538</v>
      </c>
      <c r="D379" s="137"/>
      <c r="E379" s="137"/>
      <c r="F379" s="137"/>
      <c r="G379" s="137"/>
      <c r="H379" s="1"/>
      <c r="I379" s="1"/>
      <c r="J379" s="1"/>
      <c r="K379" s="1"/>
      <c r="L379" s="1"/>
      <c r="M379" s="1"/>
      <c r="N379" s="1"/>
      <c r="O379" s="1"/>
      <c r="P379" s="1"/>
    </row>
    <row r="380" spans="2:16" ht="16.600000000000001">
      <c r="B380" s="135" t="s">
        <v>539</v>
      </c>
      <c r="C380" s="135" t="s">
        <v>539</v>
      </c>
      <c r="D380" s="137"/>
      <c r="E380" s="137"/>
      <c r="F380" s="137"/>
      <c r="G380" s="137"/>
      <c r="H380" s="1"/>
      <c r="I380" s="1"/>
      <c r="J380" s="1"/>
      <c r="K380" s="1"/>
      <c r="L380" s="1"/>
      <c r="M380" s="1"/>
      <c r="N380" s="1"/>
      <c r="O380" s="1"/>
      <c r="P380" s="1"/>
    </row>
    <row r="381" spans="2:16" ht="16.600000000000001">
      <c r="B381" s="135" t="s">
        <v>540</v>
      </c>
      <c r="C381" s="135" t="s">
        <v>540</v>
      </c>
      <c r="D381" s="136"/>
      <c r="E381" s="136"/>
      <c r="F381" s="136"/>
      <c r="G381" s="137"/>
      <c r="H381" s="1"/>
      <c r="I381" s="1"/>
      <c r="J381" s="1"/>
      <c r="K381" s="1"/>
      <c r="L381" s="1"/>
      <c r="M381" s="1"/>
      <c r="N381" s="1"/>
      <c r="O381" s="1"/>
      <c r="P381" s="1"/>
    </row>
    <row r="382" spans="2:16" ht="16.600000000000001">
      <c r="B382" s="135" t="s">
        <v>541</v>
      </c>
      <c r="C382" s="135" t="s">
        <v>541</v>
      </c>
      <c r="D382" s="137"/>
      <c r="E382" s="137"/>
      <c r="F382" s="136"/>
      <c r="G382" s="137"/>
      <c r="H382" s="1"/>
      <c r="I382" s="1"/>
      <c r="J382" s="1"/>
      <c r="K382" s="1"/>
      <c r="L382" s="1"/>
      <c r="M382" s="1"/>
      <c r="N382" s="1"/>
      <c r="O382" s="1"/>
      <c r="P382" s="1"/>
    </row>
    <row r="383" spans="2:16" ht="16.600000000000001">
      <c r="B383" s="135" t="s">
        <v>542</v>
      </c>
      <c r="C383" s="135" t="s">
        <v>542</v>
      </c>
      <c r="D383" s="137"/>
      <c r="E383" s="137"/>
      <c r="F383" s="137"/>
      <c r="G383" s="137"/>
      <c r="H383" s="1"/>
      <c r="I383" s="1"/>
      <c r="J383" s="1"/>
      <c r="K383" s="1"/>
      <c r="L383" s="1"/>
      <c r="M383" s="1"/>
      <c r="N383" s="1"/>
      <c r="O383" s="1"/>
      <c r="P383" s="1"/>
    </row>
    <row r="384" spans="2:16" ht="16.600000000000001">
      <c r="B384" s="135" t="s">
        <v>543</v>
      </c>
      <c r="C384" s="135" t="s">
        <v>543</v>
      </c>
      <c r="D384" s="137"/>
      <c r="E384" s="137"/>
      <c r="F384" s="137"/>
      <c r="G384" s="137"/>
      <c r="H384" s="1"/>
      <c r="I384" s="1"/>
      <c r="J384" s="1"/>
      <c r="K384" s="1"/>
      <c r="L384" s="1"/>
      <c r="M384" s="1"/>
      <c r="N384" s="1"/>
      <c r="O384" s="1"/>
      <c r="P384" s="1"/>
    </row>
    <row r="385" spans="2:16" ht="16.600000000000001">
      <c r="B385" s="135" t="s">
        <v>544</v>
      </c>
      <c r="C385" s="135" t="s">
        <v>544</v>
      </c>
      <c r="D385" s="136"/>
      <c r="E385" s="136"/>
      <c r="F385" s="136"/>
      <c r="G385" s="136"/>
      <c r="H385" s="1"/>
      <c r="I385" s="1"/>
      <c r="J385" s="1"/>
      <c r="K385" s="1"/>
      <c r="L385" s="1"/>
      <c r="M385" s="1"/>
      <c r="N385" s="1"/>
      <c r="O385" s="1"/>
      <c r="P385" s="1"/>
    </row>
    <row r="386" spans="2:16" ht="16.600000000000001">
      <c r="B386" s="135" t="s">
        <v>545</v>
      </c>
      <c r="C386" s="135" t="s">
        <v>545</v>
      </c>
      <c r="D386" s="137"/>
      <c r="E386" s="137"/>
      <c r="F386" s="137"/>
      <c r="G386" s="137"/>
      <c r="H386" s="1"/>
      <c r="I386" s="1"/>
      <c r="J386" s="1"/>
      <c r="K386" s="1"/>
      <c r="L386" s="1"/>
      <c r="M386" s="1"/>
      <c r="N386" s="1"/>
      <c r="O386" s="1"/>
      <c r="P386" s="1"/>
    </row>
    <row r="387" spans="2:16" ht="16.600000000000001">
      <c r="B387" s="135" t="s">
        <v>546</v>
      </c>
      <c r="C387" s="135" t="s">
        <v>546</v>
      </c>
      <c r="D387" s="137"/>
      <c r="E387" s="137"/>
      <c r="F387" s="137"/>
      <c r="G387" s="137"/>
      <c r="H387" s="1"/>
      <c r="I387" s="1"/>
      <c r="J387" s="1"/>
      <c r="K387" s="1"/>
      <c r="L387" s="1"/>
      <c r="M387" s="1"/>
      <c r="N387" s="1"/>
      <c r="O387" s="1"/>
      <c r="P387" s="1"/>
    </row>
    <row r="388" spans="2:16" ht="16.600000000000001">
      <c r="B388" s="135" t="s">
        <v>547</v>
      </c>
      <c r="C388" s="135" t="s">
        <v>547</v>
      </c>
      <c r="D388" s="137"/>
      <c r="E388" s="137"/>
      <c r="F388" s="137"/>
      <c r="G388" s="137"/>
      <c r="H388" s="1"/>
      <c r="I388" s="1"/>
      <c r="J388" s="1"/>
      <c r="K388" s="1"/>
      <c r="L388" s="1"/>
      <c r="M388" s="1"/>
      <c r="N388" s="1"/>
      <c r="O388" s="1"/>
      <c r="P388" s="1"/>
    </row>
    <row r="389" spans="2:16" ht="16.600000000000001">
      <c r="B389" s="135" t="s">
        <v>548</v>
      </c>
      <c r="C389" s="135" t="s">
        <v>548</v>
      </c>
      <c r="D389" s="136"/>
      <c r="E389" s="136"/>
      <c r="F389" s="136"/>
      <c r="G389" s="136"/>
      <c r="H389" s="1"/>
      <c r="I389" s="1"/>
      <c r="J389" s="1"/>
      <c r="K389" s="1"/>
      <c r="L389" s="1"/>
      <c r="M389" s="1"/>
      <c r="N389" s="1"/>
      <c r="O389" s="1"/>
      <c r="P389" s="1"/>
    </row>
    <row r="390" spans="2:16" ht="16.600000000000001">
      <c r="B390" s="135" t="s">
        <v>549</v>
      </c>
      <c r="C390" s="135" t="s">
        <v>549</v>
      </c>
      <c r="D390" s="137"/>
      <c r="E390" s="137"/>
      <c r="F390" s="136"/>
      <c r="G390" s="136"/>
      <c r="H390" s="1"/>
      <c r="I390" s="1"/>
      <c r="J390" s="1"/>
      <c r="K390" s="1"/>
      <c r="L390" s="1"/>
      <c r="M390" s="1"/>
      <c r="N390" s="1"/>
      <c r="O390" s="1"/>
      <c r="P390" s="1"/>
    </row>
    <row r="391" spans="2:16" ht="16.600000000000001">
      <c r="B391" s="135" t="s">
        <v>550</v>
      </c>
      <c r="C391" s="135" t="s">
        <v>550</v>
      </c>
      <c r="D391" s="137"/>
      <c r="E391" s="136"/>
      <c r="F391" s="137"/>
      <c r="G391" s="137"/>
      <c r="H391" s="1"/>
      <c r="I391" s="1"/>
      <c r="J391" s="1"/>
      <c r="K391" s="1"/>
      <c r="L391" s="1"/>
      <c r="M391" s="1"/>
      <c r="N391" s="1"/>
      <c r="O391" s="1"/>
      <c r="P391" s="1"/>
    </row>
    <row r="392" spans="2:16" ht="16.600000000000001">
      <c r="B392" s="135" t="s">
        <v>551</v>
      </c>
      <c r="C392" s="135" t="s">
        <v>551</v>
      </c>
      <c r="D392" s="137"/>
      <c r="E392" s="137"/>
      <c r="F392" s="137"/>
      <c r="G392" s="137"/>
      <c r="H392" s="1"/>
      <c r="I392" s="1"/>
      <c r="J392" s="1"/>
      <c r="K392" s="1"/>
      <c r="L392" s="1"/>
      <c r="M392" s="1"/>
      <c r="N392" s="1"/>
      <c r="O392" s="1"/>
      <c r="P392" s="1"/>
    </row>
    <row r="393" spans="2:16" ht="16.600000000000001">
      <c r="B393" s="135" t="s">
        <v>552</v>
      </c>
      <c r="C393" s="135" t="s">
        <v>552</v>
      </c>
      <c r="D393" s="137"/>
      <c r="E393" s="137"/>
      <c r="F393" s="137"/>
      <c r="G393" s="137"/>
      <c r="H393" s="1"/>
      <c r="I393" s="1"/>
      <c r="J393" s="1"/>
      <c r="K393" s="1"/>
      <c r="L393" s="1"/>
      <c r="M393" s="1"/>
      <c r="N393" s="1"/>
      <c r="O393" s="1"/>
      <c r="P393" s="1"/>
    </row>
    <row r="394" spans="2:16" ht="16.600000000000001">
      <c r="B394" s="135" t="s">
        <v>553</v>
      </c>
      <c r="C394" s="135" t="s">
        <v>553</v>
      </c>
      <c r="D394" s="136"/>
      <c r="E394" s="136"/>
      <c r="F394" s="136"/>
      <c r="G394" s="136"/>
      <c r="H394" s="1"/>
      <c r="I394" s="1"/>
      <c r="J394" s="1"/>
      <c r="K394" s="1"/>
      <c r="L394" s="1"/>
      <c r="M394" s="1"/>
      <c r="N394" s="1"/>
      <c r="O394" s="1"/>
      <c r="P394" s="1"/>
    </row>
    <row r="395" spans="2:16" ht="16.600000000000001">
      <c r="B395" s="135" t="s">
        <v>554</v>
      </c>
      <c r="C395" s="135" t="s">
        <v>554</v>
      </c>
      <c r="D395" s="136"/>
      <c r="E395" s="136"/>
      <c r="F395" s="136"/>
      <c r="G395" s="136"/>
      <c r="H395" s="1"/>
      <c r="I395" s="1"/>
      <c r="J395" s="1"/>
      <c r="K395" s="1"/>
      <c r="L395" s="1"/>
      <c r="M395" s="1"/>
      <c r="N395" s="1"/>
      <c r="O395" s="1"/>
      <c r="P395" s="1"/>
    </row>
    <row r="396" spans="2:16" ht="16.600000000000001">
      <c r="B396" s="135" t="s">
        <v>555</v>
      </c>
      <c r="C396" s="135" t="s">
        <v>555</v>
      </c>
      <c r="D396" s="137"/>
      <c r="E396" s="136"/>
      <c r="F396" s="136"/>
      <c r="G396" s="137"/>
      <c r="H396" s="1"/>
      <c r="I396" s="1"/>
      <c r="J396" s="1"/>
      <c r="K396" s="1"/>
      <c r="L396" s="1"/>
      <c r="M396" s="1"/>
      <c r="N396" s="1"/>
      <c r="O396" s="1"/>
      <c r="P396" s="1"/>
    </row>
    <row r="397" spans="2:16" ht="16.600000000000001">
      <c r="B397" s="135" t="s">
        <v>556</v>
      </c>
      <c r="C397" s="135" t="s">
        <v>556</v>
      </c>
      <c r="D397" s="137"/>
      <c r="E397" s="137"/>
      <c r="F397" s="136"/>
      <c r="G397" s="136"/>
      <c r="H397" s="1"/>
      <c r="I397" s="1"/>
      <c r="J397" s="1"/>
      <c r="K397" s="1"/>
      <c r="L397" s="1"/>
      <c r="M397" s="1"/>
      <c r="N397" s="1"/>
      <c r="O397" s="1"/>
      <c r="P397" s="1"/>
    </row>
    <row r="398" spans="2:16" ht="16.600000000000001">
      <c r="B398" s="135" t="s">
        <v>557</v>
      </c>
      <c r="C398" s="135" t="s">
        <v>557</v>
      </c>
      <c r="D398" s="137"/>
      <c r="E398" s="137"/>
      <c r="F398" s="137"/>
      <c r="G398" s="137"/>
      <c r="H398" s="1"/>
      <c r="I398" s="1"/>
      <c r="J398" s="1"/>
      <c r="K398" s="1"/>
      <c r="L398" s="1"/>
      <c r="M398" s="1"/>
      <c r="N398" s="1"/>
      <c r="O398" s="1"/>
      <c r="P398" s="1"/>
    </row>
    <row r="399" spans="2:16" ht="16.600000000000001">
      <c r="B399" s="135" t="s">
        <v>558</v>
      </c>
      <c r="C399" s="135" t="s">
        <v>558</v>
      </c>
      <c r="D399" s="137"/>
      <c r="E399" s="137"/>
      <c r="F399" s="137"/>
      <c r="G399" s="137"/>
      <c r="H399" s="1"/>
      <c r="I399" s="1"/>
      <c r="J399" s="1"/>
      <c r="K399" s="1"/>
      <c r="L399" s="1"/>
      <c r="M399" s="1"/>
      <c r="N399" s="1"/>
      <c r="O399" s="1"/>
      <c r="P399" s="1"/>
    </row>
    <row r="400" spans="2:16" ht="16.600000000000001">
      <c r="B400" s="135" t="s">
        <v>559</v>
      </c>
      <c r="C400" s="135" t="s">
        <v>559</v>
      </c>
      <c r="D400" s="136"/>
      <c r="E400" s="136"/>
      <c r="F400" s="136"/>
      <c r="G400" s="136"/>
      <c r="H400" s="1"/>
      <c r="I400" s="1"/>
      <c r="J400" s="1"/>
      <c r="K400" s="1"/>
      <c r="L400" s="1"/>
      <c r="M400" s="1"/>
      <c r="N400" s="1"/>
      <c r="O400" s="1"/>
      <c r="P400" s="1"/>
    </row>
    <row r="401" spans="2:16" ht="16.600000000000001">
      <c r="B401" s="135" t="s">
        <v>560</v>
      </c>
      <c r="C401" s="135" t="s">
        <v>560</v>
      </c>
      <c r="D401" s="136"/>
      <c r="E401" s="136"/>
      <c r="F401" s="136"/>
      <c r="G401" s="136"/>
      <c r="H401" s="1"/>
      <c r="I401" s="1"/>
      <c r="J401" s="1"/>
      <c r="K401" s="1"/>
      <c r="L401" s="1"/>
      <c r="M401" s="1"/>
      <c r="N401" s="1"/>
      <c r="O401" s="1"/>
      <c r="P401" s="1"/>
    </row>
    <row r="402" spans="2:16" ht="16.600000000000001">
      <c r="B402" s="135" t="s">
        <v>561</v>
      </c>
      <c r="C402" s="135" t="s">
        <v>561</v>
      </c>
      <c r="D402" s="136"/>
      <c r="E402" s="136"/>
      <c r="F402" s="136"/>
      <c r="G402" s="136"/>
      <c r="H402" s="1"/>
      <c r="I402" s="1"/>
      <c r="J402" s="1"/>
      <c r="K402" s="1"/>
      <c r="L402" s="1"/>
      <c r="M402" s="1"/>
      <c r="N402" s="1"/>
      <c r="O402" s="1"/>
      <c r="P402" s="1"/>
    </row>
    <row r="403" spans="2:16" ht="16.600000000000001">
      <c r="B403" s="135" t="s">
        <v>562</v>
      </c>
      <c r="C403" s="135" t="s">
        <v>562</v>
      </c>
      <c r="D403" s="137"/>
      <c r="E403" s="137"/>
      <c r="F403" s="137"/>
      <c r="G403" s="137"/>
      <c r="H403" s="1"/>
      <c r="I403" s="1"/>
      <c r="J403" s="1"/>
      <c r="K403" s="1"/>
      <c r="L403" s="1"/>
      <c r="M403" s="1"/>
      <c r="N403" s="1"/>
      <c r="O403" s="1"/>
      <c r="P403" s="1"/>
    </row>
    <row r="404" spans="2:16" ht="16.600000000000001">
      <c r="B404" s="135" t="s">
        <v>563</v>
      </c>
      <c r="C404" s="135" t="s">
        <v>563</v>
      </c>
      <c r="D404" s="136"/>
      <c r="E404" s="136"/>
      <c r="F404" s="136"/>
      <c r="G404" s="136"/>
      <c r="H404" s="1"/>
      <c r="I404" s="1"/>
      <c r="J404" s="1"/>
      <c r="K404" s="1"/>
      <c r="L404" s="1"/>
      <c r="M404" s="1"/>
      <c r="N404" s="1"/>
      <c r="O404" s="1"/>
      <c r="P404" s="1"/>
    </row>
    <row r="405" spans="2:16" ht="16.600000000000001">
      <c r="B405" s="135" t="s">
        <v>564</v>
      </c>
      <c r="C405" s="135" t="s">
        <v>564</v>
      </c>
      <c r="D405" s="136"/>
      <c r="E405" s="137"/>
      <c r="F405" s="136"/>
      <c r="G405" s="136"/>
      <c r="H405" s="1"/>
      <c r="I405" s="1"/>
      <c r="J405" s="1"/>
      <c r="K405" s="1"/>
      <c r="L405" s="1"/>
      <c r="M405" s="1"/>
      <c r="N405" s="1"/>
      <c r="O405" s="1"/>
      <c r="P405" s="1"/>
    </row>
    <row r="406" spans="2:16" ht="16.600000000000001">
      <c r="B406" s="135" t="s">
        <v>565</v>
      </c>
      <c r="C406" s="135" t="s">
        <v>565</v>
      </c>
      <c r="D406" s="136"/>
      <c r="E406" s="136"/>
      <c r="F406" s="136"/>
      <c r="G406" s="136"/>
      <c r="H406" s="1"/>
      <c r="I406" s="1"/>
      <c r="J406" s="1"/>
      <c r="K406" s="1"/>
      <c r="L406" s="1"/>
      <c r="M406" s="1"/>
      <c r="N406" s="1"/>
      <c r="O406" s="1"/>
      <c r="P406" s="1"/>
    </row>
    <row r="407" spans="2:16" ht="16.600000000000001">
      <c r="B407" s="135" t="s">
        <v>566</v>
      </c>
      <c r="C407" s="135" t="s">
        <v>566</v>
      </c>
      <c r="D407" s="137"/>
      <c r="E407" s="137"/>
      <c r="F407" s="137"/>
      <c r="G407" s="137"/>
      <c r="H407" s="1"/>
      <c r="I407" s="1"/>
      <c r="J407" s="1"/>
      <c r="K407" s="1"/>
      <c r="L407" s="1"/>
      <c r="M407" s="1"/>
      <c r="N407" s="1"/>
      <c r="O407" s="1"/>
      <c r="P407" s="1"/>
    </row>
    <row r="408" spans="2:16" ht="16.600000000000001">
      <c r="B408" s="135" t="s">
        <v>567</v>
      </c>
      <c r="C408" s="135" t="s">
        <v>567</v>
      </c>
      <c r="D408" s="136"/>
      <c r="E408" s="136"/>
      <c r="F408" s="136"/>
      <c r="G408" s="136"/>
      <c r="H408" s="1"/>
      <c r="I408" s="1"/>
      <c r="J408" s="1"/>
      <c r="K408" s="1"/>
      <c r="L408" s="1"/>
      <c r="M408" s="1"/>
      <c r="N408" s="1"/>
      <c r="O408" s="1"/>
      <c r="P408" s="1"/>
    </row>
    <row r="409" spans="2:16" ht="16.600000000000001">
      <c r="B409" s="135" t="s">
        <v>568</v>
      </c>
      <c r="C409" s="135" t="s">
        <v>568</v>
      </c>
      <c r="D409" s="137"/>
      <c r="E409" s="137"/>
      <c r="F409" s="137"/>
      <c r="G409" s="137"/>
      <c r="H409" s="1"/>
      <c r="I409" s="1"/>
      <c r="J409" s="1"/>
      <c r="K409" s="1"/>
      <c r="L409" s="1"/>
      <c r="M409" s="1"/>
      <c r="N409" s="1"/>
      <c r="O409" s="1"/>
      <c r="P409" s="1"/>
    </row>
    <row r="410" spans="2:16" ht="16.600000000000001">
      <c r="B410" s="135" t="s">
        <v>569</v>
      </c>
      <c r="C410" s="135" t="s">
        <v>569</v>
      </c>
      <c r="D410" s="137"/>
      <c r="E410" s="137"/>
      <c r="F410" s="137"/>
      <c r="G410" s="137"/>
      <c r="H410" s="1"/>
      <c r="I410" s="1"/>
      <c r="J410" s="1"/>
      <c r="K410" s="1"/>
      <c r="L410" s="1"/>
      <c r="M410" s="1"/>
      <c r="N410" s="1"/>
      <c r="O410" s="1"/>
      <c r="P410" s="1"/>
    </row>
    <row r="411" spans="2:16" ht="16.600000000000001">
      <c r="B411" s="135" t="s">
        <v>570</v>
      </c>
      <c r="C411" s="135" t="s">
        <v>570</v>
      </c>
      <c r="D411" s="137"/>
      <c r="E411" s="137"/>
      <c r="F411" s="137"/>
      <c r="G411" s="137"/>
      <c r="H411" s="1"/>
      <c r="I411" s="1"/>
      <c r="J411" s="1"/>
      <c r="K411" s="1"/>
      <c r="L411" s="1"/>
      <c r="M411" s="1"/>
      <c r="N411" s="1"/>
      <c r="O411" s="1"/>
      <c r="P411" s="1"/>
    </row>
    <row r="412" spans="2:16" ht="16.600000000000001">
      <c r="B412" s="135" t="s">
        <v>571</v>
      </c>
      <c r="C412" s="135" t="s">
        <v>571</v>
      </c>
      <c r="D412" s="137"/>
      <c r="E412" s="137"/>
      <c r="F412" s="137"/>
      <c r="G412" s="137"/>
      <c r="H412" s="1"/>
      <c r="I412" s="1"/>
      <c r="J412" s="1"/>
      <c r="K412" s="1"/>
      <c r="L412" s="1"/>
      <c r="M412" s="1"/>
      <c r="N412" s="1"/>
      <c r="O412" s="1"/>
      <c r="P412" s="1"/>
    </row>
    <row r="413" spans="2:16" ht="16.600000000000001">
      <c r="B413" s="135" t="s">
        <v>572</v>
      </c>
      <c r="C413" s="135" t="s">
        <v>572</v>
      </c>
      <c r="D413" s="137"/>
      <c r="E413" s="137"/>
      <c r="F413" s="137"/>
      <c r="G413" s="137"/>
      <c r="H413" s="1"/>
      <c r="I413" s="1"/>
      <c r="J413" s="1"/>
      <c r="K413" s="1"/>
      <c r="L413" s="1"/>
      <c r="M413" s="1"/>
      <c r="N413" s="1"/>
      <c r="O413" s="1"/>
      <c r="P413" s="1"/>
    </row>
    <row r="414" spans="2:16" ht="16.600000000000001">
      <c r="B414" s="135" t="s">
        <v>573</v>
      </c>
      <c r="C414" s="135" t="s">
        <v>573</v>
      </c>
      <c r="D414" s="137"/>
      <c r="E414" s="137"/>
      <c r="F414" s="137"/>
      <c r="G414" s="137"/>
      <c r="H414" s="1"/>
      <c r="I414" s="1"/>
      <c r="J414" s="1"/>
      <c r="K414" s="1"/>
      <c r="L414" s="1"/>
      <c r="M414" s="1"/>
      <c r="N414" s="1"/>
      <c r="O414" s="1"/>
      <c r="P414" s="1"/>
    </row>
    <row r="415" spans="2:16" ht="16.600000000000001">
      <c r="B415" s="135" t="s">
        <v>574</v>
      </c>
      <c r="C415" s="135" t="s">
        <v>574</v>
      </c>
      <c r="D415" s="137"/>
      <c r="E415" s="137"/>
      <c r="F415" s="137"/>
      <c r="G415" s="137"/>
      <c r="H415" s="1"/>
      <c r="I415" s="1"/>
      <c r="J415" s="1"/>
      <c r="K415" s="1"/>
      <c r="L415" s="1"/>
      <c r="M415" s="1"/>
      <c r="N415" s="1"/>
      <c r="O415" s="1"/>
      <c r="P415" s="1"/>
    </row>
    <row r="416" spans="2:16" ht="17.3" thickBot="1">
      <c r="B416" s="138" t="s">
        <v>575</v>
      </c>
      <c r="C416" s="138" t="s">
        <v>575</v>
      </c>
      <c r="D416" s="139"/>
      <c r="E416" s="139"/>
      <c r="F416" s="140"/>
      <c r="G416" s="140"/>
      <c r="H416" s="1"/>
      <c r="I416" s="1"/>
      <c r="J416" s="1"/>
      <c r="K416" s="1"/>
      <c r="L416" s="1"/>
      <c r="M416" s="1"/>
      <c r="N416" s="1"/>
      <c r="O416" s="1"/>
      <c r="P416" s="1"/>
    </row>
  </sheetData>
  <autoFilter ref="A82:I416"/>
  <phoneticPr fontId="2" type="noConversion"/>
  <conditionalFormatting sqref="D6:T7">
    <cfRule type="cellIs" dxfId="3" priority="1" operator="equal">
      <formula>TRUE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73" r:id="rId3" name="Drop Down 5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356616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tabColor theme="6"/>
  </sheetPr>
  <dimension ref="A1:AJ417"/>
  <sheetViews>
    <sheetView zoomScale="85" zoomScaleNormal="85" workbookViewId="0">
      <selection activeCell="E19" sqref="E19"/>
    </sheetView>
  </sheetViews>
  <sheetFormatPr defaultColWidth="9.140625" defaultRowHeight="14.4" outlineLevelCol="1"/>
  <cols>
    <col min="1" max="1" width="12" style="1" customWidth="1"/>
    <col min="2" max="2" width="53.5703125" style="1" customWidth="1" outlineLevel="1"/>
    <col min="3" max="3" width="77.140625" style="1" customWidth="1"/>
    <col min="4" max="4" width="19" style="1" customWidth="1"/>
    <col min="5" max="5" width="19" style="125" customWidth="1"/>
    <col min="6" max="6" width="17.42578125" style="125" customWidth="1"/>
    <col min="7" max="7" width="15.140625" style="125" customWidth="1"/>
    <col min="8" max="16" width="12.28515625" style="52" customWidth="1"/>
    <col min="17" max="24" width="12.28515625" style="1" customWidth="1"/>
    <col min="25" max="16384" width="9.140625" style="1"/>
  </cols>
  <sheetData>
    <row r="1" spans="1:36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Panel'!B11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1:36" s="209" customFormat="1" ht="14.6" customHeight="1">
      <c r="C2" s="209" t="s">
        <v>871</v>
      </c>
      <c r="D2" s="209">
        <f>'Financial summary'!E5</f>
        <v>1</v>
      </c>
      <c r="E2" s="209">
        <f>INDEX(D18:D21,D2)</f>
        <v>0</v>
      </c>
      <c r="I2" s="209" t="s">
        <v>693</v>
      </c>
      <c r="J2" s="209">
        <f>'Control Panel'!B5</f>
        <v>5</v>
      </c>
    </row>
    <row r="3" spans="1:36">
      <c r="B3" s="28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36">
      <c r="B4" s="28"/>
      <c r="C4" s="180" t="s">
        <v>692</v>
      </c>
      <c r="D4" s="180">
        <v>1</v>
      </c>
      <c r="E4" s="180">
        <f>D4+1</f>
        <v>2</v>
      </c>
      <c r="F4" s="180">
        <f t="shared" ref="F4:T4" si="0">E4+1</f>
        <v>3</v>
      </c>
      <c r="G4" s="180">
        <f t="shared" si="0"/>
        <v>4</v>
      </c>
      <c r="H4" s="180">
        <f t="shared" si="0"/>
        <v>5</v>
      </c>
      <c r="I4" s="180">
        <f t="shared" si="0"/>
        <v>6</v>
      </c>
      <c r="J4" s="180">
        <f t="shared" si="0"/>
        <v>7</v>
      </c>
      <c r="K4" s="180">
        <f t="shared" si="0"/>
        <v>8</v>
      </c>
      <c r="L4" s="180">
        <f t="shared" si="0"/>
        <v>9</v>
      </c>
      <c r="M4" s="180">
        <f t="shared" si="0"/>
        <v>10</v>
      </c>
      <c r="N4" s="180">
        <f t="shared" si="0"/>
        <v>11</v>
      </c>
      <c r="O4" s="180">
        <f t="shared" si="0"/>
        <v>12</v>
      </c>
      <c r="P4" s="180">
        <f t="shared" si="0"/>
        <v>13</v>
      </c>
      <c r="Q4" s="180">
        <f t="shared" si="0"/>
        <v>14</v>
      </c>
      <c r="R4" s="180">
        <f t="shared" si="0"/>
        <v>15</v>
      </c>
      <c r="S4" s="180">
        <f t="shared" si="0"/>
        <v>16</v>
      </c>
      <c r="T4" s="180">
        <f t="shared" si="0"/>
        <v>17</v>
      </c>
    </row>
    <row r="5" spans="1:36" s="34" customFormat="1" ht="14.6" customHeight="1">
      <c r="B5" s="28"/>
      <c r="C5" s="307" t="s">
        <v>719</v>
      </c>
      <c r="D5" s="307">
        <f>DATE('Control Panel'!B4,'Control Panel'!B6,'Control Panel'!B7)</f>
        <v>42004</v>
      </c>
      <c r="E5" s="307">
        <f>E6*EOMONTH(D5,12)+E7*$J$1</f>
        <v>42369</v>
      </c>
      <c r="F5" s="307">
        <f t="shared" ref="F5:T5" si="1">F6*EOMONTH(E5,12)+F7*$J$1</f>
        <v>42735</v>
      </c>
      <c r="G5" s="307">
        <f t="shared" si="1"/>
        <v>43100</v>
      </c>
      <c r="H5" s="307">
        <f t="shared" si="1"/>
        <v>43465</v>
      </c>
      <c r="I5" s="307">
        <f t="shared" si="1"/>
        <v>0</v>
      </c>
      <c r="J5" s="307">
        <f t="shared" si="1"/>
        <v>0</v>
      </c>
      <c r="K5" s="307">
        <f t="shared" si="1"/>
        <v>0</v>
      </c>
      <c r="L5" s="307">
        <f t="shared" si="1"/>
        <v>0</v>
      </c>
      <c r="M5" s="307">
        <f t="shared" si="1"/>
        <v>0</v>
      </c>
      <c r="N5" s="307">
        <f t="shared" si="1"/>
        <v>0</v>
      </c>
      <c r="O5" s="307">
        <f t="shared" si="1"/>
        <v>0</v>
      </c>
      <c r="P5" s="307">
        <f t="shared" si="1"/>
        <v>0</v>
      </c>
      <c r="Q5" s="307">
        <f t="shared" si="1"/>
        <v>0</v>
      </c>
      <c r="R5" s="307">
        <f t="shared" si="1"/>
        <v>0</v>
      </c>
      <c r="S5" s="307">
        <f t="shared" si="1"/>
        <v>0</v>
      </c>
      <c r="T5" s="307">
        <f t="shared" si="1"/>
        <v>0</v>
      </c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</row>
    <row r="6" spans="1:36">
      <c r="B6" s="28"/>
      <c r="C6" s="28" t="s">
        <v>686</v>
      </c>
      <c r="D6" s="28" t="b">
        <f>D4&lt;=$J$2</f>
        <v>1</v>
      </c>
      <c r="E6" s="28" t="b">
        <f t="shared" ref="E6" si="2">E4&lt;=$J$2</f>
        <v>1</v>
      </c>
      <c r="F6" s="28" t="b">
        <f t="shared" ref="F6:T6" si="3">F4&lt;=$J$2</f>
        <v>1</v>
      </c>
      <c r="G6" s="28" t="b">
        <f t="shared" si="3"/>
        <v>1</v>
      </c>
      <c r="H6" s="28" t="b">
        <f t="shared" si="3"/>
        <v>1</v>
      </c>
      <c r="I6" s="28" t="b">
        <f t="shared" si="3"/>
        <v>0</v>
      </c>
      <c r="J6" s="28" t="b">
        <f t="shared" si="3"/>
        <v>0</v>
      </c>
      <c r="K6" s="28" t="b">
        <f t="shared" si="3"/>
        <v>0</v>
      </c>
      <c r="L6" s="28" t="b">
        <f t="shared" si="3"/>
        <v>0</v>
      </c>
      <c r="M6" s="28" t="b">
        <f t="shared" si="3"/>
        <v>0</v>
      </c>
      <c r="N6" s="28" t="b">
        <f t="shared" si="3"/>
        <v>0</v>
      </c>
      <c r="O6" s="28" t="b">
        <f t="shared" si="3"/>
        <v>0</v>
      </c>
      <c r="P6" s="28" t="b">
        <f t="shared" si="3"/>
        <v>0</v>
      </c>
      <c r="Q6" s="28" t="b">
        <f t="shared" si="3"/>
        <v>0</v>
      </c>
      <c r="R6" s="28" t="b">
        <f t="shared" si="3"/>
        <v>0</v>
      </c>
      <c r="S6" s="28" t="b">
        <f t="shared" si="3"/>
        <v>0</v>
      </c>
      <c r="T6" s="28" t="b">
        <f t="shared" si="3"/>
        <v>0</v>
      </c>
    </row>
    <row r="7" spans="1:36">
      <c r="B7" s="28"/>
      <c r="C7" s="28" t="s">
        <v>687</v>
      </c>
      <c r="D7" s="28" t="b">
        <f t="shared" ref="D7:E7" si="4">(D4=$J$2+1)*stub_switch=1</f>
        <v>0</v>
      </c>
      <c r="E7" s="28" t="b">
        <f t="shared" si="4"/>
        <v>0</v>
      </c>
      <c r="F7" s="28" t="b">
        <f t="shared" ref="F7:T7" si="5">(F4=$J$2+1)*stub_switch=1</f>
        <v>0</v>
      </c>
      <c r="G7" s="28" t="b">
        <f t="shared" si="5"/>
        <v>0</v>
      </c>
      <c r="H7" s="28" t="b">
        <f t="shared" si="5"/>
        <v>0</v>
      </c>
      <c r="I7" s="28" t="b">
        <f t="shared" si="5"/>
        <v>0</v>
      </c>
      <c r="J7" s="28" t="b">
        <f t="shared" si="5"/>
        <v>0</v>
      </c>
      <c r="K7" s="28" t="b">
        <f t="shared" si="5"/>
        <v>0</v>
      </c>
      <c r="L7" s="28" t="b">
        <f t="shared" si="5"/>
        <v>0</v>
      </c>
      <c r="M7" s="28" t="b">
        <f t="shared" si="5"/>
        <v>0</v>
      </c>
      <c r="N7" s="28" t="b">
        <f t="shared" si="5"/>
        <v>0</v>
      </c>
      <c r="O7" s="28" t="b">
        <f t="shared" si="5"/>
        <v>0</v>
      </c>
      <c r="P7" s="28" t="b">
        <f t="shared" si="5"/>
        <v>0</v>
      </c>
      <c r="Q7" s="28" t="b">
        <f t="shared" si="5"/>
        <v>0</v>
      </c>
      <c r="R7" s="28" t="b">
        <f t="shared" si="5"/>
        <v>0</v>
      </c>
      <c r="S7" s="28" t="b">
        <f t="shared" si="5"/>
        <v>0</v>
      </c>
      <c r="T7" s="28" t="b">
        <f t="shared" si="5"/>
        <v>0</v>
      </c>
    </row>
    <row r="8" spans="1:36">
      <c r="A8" s="113"/>
      <c r="B8" s="113"/>
      <c r="C8" s="114"/>
      <c r="D8" s="113"/>
      <c r="E8" s="113"/>
      <c r="F8" s="113"/>
      <c r="G8" s="113"/>
      <c r="H8" s="1"/>
      <c r="I8" s="1"/>
      <c r="J8" s="1"/>
      <c r="K8" s="1"/>
      <c r="L8" s="1"/>
      <c r="M8" s="1"/>
      <c r="N8" s="1"/>
      <c r="O8" s="1"/>
      <c r="P8" s="1"/>
    </row>
    <row r="9" spans="1:36">
      <c r="A9" s="113" t="s">
        <v>193</v>
      </c>
      <c r="B9" s="113"/>
      <c r="C9" s="113" t="s">
        <v>194</v>
      </c>
      <c r="D9" s="115">
        <f>D11</f>
        <v>42004</v>
      </c>
      <c r="E9" s="115">
        <f>E11</f>
        <v>42369</v>
      </c>
      <c r="F9" s="115">
        <f>F11</f>
        <v>42735</v>
      </c>
      <c r="G9" s="115">
        <f>G11</f>
        <v>43100</v>
      </c>
      <c r="H9" s="115">
        <f t="shared" ref="H9:T9" si="6">H11</f>
        <v>43465</v>
      </c>
      <c r="I9" s="115">
        <f t="shared" si="6"/>
        <v>0</v>
      </c>
      <c r="J9" s="115">
        <f t="shared" si="6"/>
        <v>0</v>
      </c>
      <c r="K9" s="115">
        <f t="shared" si="6"/>
        <v>0</v>
      </c>
      <c r="L9" s="115">
        <f t="shared" si="6"/>
        <v>0</v>
      </c>
      <c r="M9" s="115">
        <f t="shared" si="6"/>
        <v>0</v>
      </c>
      <c r="N9" s="115">
        <f t="shared" si="6"/>
        <v>0</v>
      </c>
      <c r="O9" s="115">
        <f t="shared" si="6"/>
        <v>0</v>
      </c>
      <c r="P9" s="115">
        <f t="shared" si="6"/>
        <v>0</v>
      </c>
      <c r="Q9" s="115">
        <f t="shared" si="6"/>
        <v>0</v>
      </c>
      <c r="R9" s="115">
        <f t="shared" si="6"/>
        <v>0</v>
      </c>
      <c r="S9" s="115">
        <f t="shared" si="6"/>
        <v>0</v>
      </c>
      <c r="T9" s="115">
        <f t="shared" si="6"/>
        <v>0</v>
      </c>
    </row>
    <row r="10" spans="1:36">
      <c r="A10" s="113" t="s">
        <v>195</v>
      </c>
      <c r="B10" s="113"/>
      <c r="C10" s="113" t="s">
        <v>196</v>
      </c>
      <c r="D10" s="113">
        <v>365</v>
      </c>
      <c r="E10" s="116">
        <f>E11-D11</f>
        <v>365</v>
      </c>
      <c r="F10" s="116">
        <f>F11-E11</f>
        <v>366</v>
      </c>
      <c r="G10" s="116">
        <f>G11-F11</f>
        <v>365</v>
      </c>
      <c r="H10" s="116">
        <f t="shared" ref="H10:T10" si="7">H11-G11</f>
        <v>365</v>
      </c>
      <c r="I10" s="116">
        <f t="shared" si="7"/>
        <v>-43465</v>
      </c>
      <c r="J10" s="116">
        <f t="shared" si="7"/>
        <v>0</v>
      </c>
      <c r="K10" s="116">
        <f t="shared" si="7"/>
        <v>0</v>
      </c>
      <c r="L10" s="116">
        <f t="shared" si="7"/>
        <v>0</v>
      </c>
      <c r="M10" s="116">
        <f t="shared" si="7"/>
        <v>0</v>
      </c>
      <c r="N10" s="116">
        <f t="shared" si="7"/>
        <v>0</v>
      </c>
      <c r="O10" s="116">
        <f t="shared" si="7"/>
        <v>0</v>
      </c>
      <c r="P10" s="116">
        <f t="shared" si="7"/>
        <v>0</v>
      </c>
      <c r="Q10" s="116">
        <f t="shared" si="7"/>
        <v>0</v>
      </c>
      <c r="R10" s="116">
        <f t="shared" si="7"/>
        <v>0</v>
      </c>
      <c r="S10" s="116">
        <f t="shared" si="7"/>
        <v>0</v>
      </c>
      <c r="T10" s="116">
        <f t="shared" si="7"/>
        <v>0</v>
      </c>
    </row>
    <row r="11" spans="1:36">
      <c r="A11" s="113" t="s">
        <v>197</v>
      </c>
      <c r="B11" s="113"/>
      <c r="C11" s="113" t="s">
        <v>198</v>
      </c>
      <c r="D11" s="117">
        <f>D5</f>
        <v>42004</v>
      </c>
      <c r="E11" s="117">
        <f t="shared" ref="E11:T11" si="8">E5</f>
        <v>42369</v>
      </c>
      <c r="F11" s="117">
        <f t="shared" si="8"/>
        <v>42735</v>
      </c>
      <c r="G11" s="117">
        <f t="shared" si="8"/>
        <v>43100</v>
      </c>
      <c r="H11" s="117">
        <f t="shared" si="8"/>
        <v>43465</v>
      </c>
      <c r="I11" s="117">
        <f t="shared" si="8"/>
        <v>0</v>
      </c>
      <c r="J11" s="117">
        <f t="shared" si="8"/>
        <v>0</v>
      </c>
      <c r="K11" s="117">
        <f t="shared" si="8"/>
        <v>0</v>
      </c>
      <c r="L11" s="117">
        <f t="shared" si="8"/>
        <v>0</v>
      </c>
      <c r="M11" s="117">
        <f t="shared" si="8"/>
        <v>0</v>
      </c>
      <c r="N11" s="117">
        <f t="shared" si="8"/>
        <v>0</v>
      </c>
      <c r="O11" s="117">
        <f t="shared" si="8"/>
        <v>0</v>
      </c>
      <c r="P11" s="117">
        <f t="shared" si="8"/>
        <v>0</v>
      </c>
      <c r="Q11" s="117">
        <f t="shared" si="8"/>
        <v>0</v>
      </c>
      <c r="R11" s="117">
        <f t="shared" si="8"/>
        <v>0</v>
      </c>
      <c r="S11" s="117">
        <f t="shared" si="8"/>
        <v>0</v>
      </c>
      <c r="T11" s="117">
        <f t="shared" si="8"/>
        <v>0</v>
      </c>
    </row>
    <row r="12" spans="1:36">
      <c r="A12" s="113" t="s">
        <v>199</v>
      </c>
      <c r="B12" s="113"/>
      <c r="C12" s="113" t="s">
        <v>977</v>
      </c>
      <c r="D12" s="118" t="s">
        <v>978</v>
      </c>
      <c r="E12" s="118" t="s">
        <v>978</v>
      </c>
      <c r="F12" s="118" t="s">
        <v>978</v>
      </c>
      <c r="G12" s="118" t="s">
        <v>978</v>
      </c>
      <c r="H12" s="118" t="s">
        <v>978</v>
      </c>
      <c r="I12" s="118" t="s">
        <v>978</v>
      </c>
      <c r="J12" s="118" t="s">
        <v>978</v>
      </c>
      <c r="K12" s="118" t="s">
        <v>978</v>
      </c>
      <c r="L12" s="118" t="s">
        <v>978</v>
      </c>
      <c r="M12" s="118" t="s">
        <v>978</v>
      </c>
      <c r="N12" s="118" t="s">
        <v>978</v>
      </c>
      <c r="O12" s="118" t="s">
        <v>978</v>
      </c>
      <c r="P12" s="118" t="s">
        <v>978</v>
      </c>
      <c r="Q12" s="118" t="s">
        <v>978</v>
      </c>
      <c r="R12" s="118" t="s">
        <v>978</v>
      </c>
      <c r="S12" s="118" t="s">
        <v>978</v>
      </c>
      <c r="T12" s="118" t="s">
        <v>978</v>
      </c>
    </row>
    <row r="13" spans="1:36" ht="15.15" thickBot="1">
      <c r="A13" s="119" t="s">
        <v>200</v>
      </c>
      <c r="B13" s="119"/>
      <c r="C13" s="119" t="s">
        <v>979</v>
      </c>
      <c r="D13" s="120">
        <f>D9</f>
        <v>42004</v>
      </c>
      <c r="E13" s="120">
        <f>E9</f>
        <v>42369</v>
      </c>
      <c r="F13" s="120">
        <f>F9</f>
        <v>42735</v>
      </c>
      <c r="G13" s="120">
        <f>G9</f>
        <v>43100</v>
      </c>
      <c r="H13" s="120">
        <f t="shared" ref="H13:T13" si="9">H9</f>
        <v>43465</v>
      </c>
      <c r="I13" s="120">
        <f t="shared" si="9"/>
        <v>0</v>
      </c>
      <c r="J13" s="120">
        <f t="shared" si="9"/>
        <v>0</v>
      </c>
      <c r="K13" s="120">
        <f t="shared" si="9"/>
        <v>0</v>
      </c>
      <c r="L13" s="120">
        <f t="shared" si="9"/>
        <v>0</v>
      </c>
      <c r="M13" s="120">
        <f t="shared" si="9"/>
        <v>0</v>
      </c>
      <c r="N13" s="120">
        <f t="shared" si="9"/>
        <v>0</v>
      </c>
      <c r="O13" s="120">
        <f t="shared" si="9"/>
        <v>0</v>
      </c>
      <c r="P13" s="120">
        <f t="shared" si="9"/>
        <v>0</v>
      </c>
      <c r="Q13" s="120">
        <f t="shared" si="9"/>
        <v>0</v>
      </c>
      <c r="R13" s="120">
        <f t="shared" si="9"/>
        <v>0</v>
      </c>
      <c r="S13" s="120">
        <f t="shared" si="9"/>
        <v>0</v>
      </c>
      <c r="T13" s="120">
        <f t="shared" si="9"/>
        <v>0</v>
      </c>
    </row>
    <row r="14" spans="1:36">
      <c r="A14" s="111" t="s">
        <v>169</v>
      </c>
      <c r="B14" s="111"/>
      <c r="C14" s="111" t="s">
        <v>170</v>
      </c>
      <c r="D14" s="399">
        <f t="shared" ref="D14:T14" si="10">IFERROR(SUMIF($A$88:$A$416,$A14,INDEX($D$88:$EE$416,0,MATCH(D$11,$D$84:$EF$84,0))),0)*Input_unit</f>
        <v>0</v>
      </c>
      <c r="E14" s="399">
        <f t="shared" si="10"/>
        <v>0</v>
      </c>
      <c r="F14" s="399">
        <f t="shared" si="10"/>
        <v>0</v>
      </c>
      <c r="G14" s="399">
        <f t="shared" si="10"/>
        <v>0</v>
      </c>
      <c r="H14" s="399">
        <f t="shared" si="10"/>
        <v>0</v>
      </c>
      <c r="I14" s="399">
        <f t="shared" si="10"/>
        <v>0</v>
      </c>
      <c r="J14" s="399">
        <f t="shared" si="10"/>
        <v>0</v>
      </c>
      <c r="K14" s="399">
        <f t="shared" si="10"/>
        <v>0</v>
      </c>
      <c r="L14" s="399">
        <f t="shared" si="10"/>
        <v>0</v>
      </c>
      <c r="M14" s="399">
        <f t="shared" si="10"/>
        <v>0</v>
      </c>
      <c r="N14" s="399">
        <f t="shared" si="10"/>
        <v>0</v>
      </c>
      <c r="O14" s="399">
        <f t="shared" si="10"/>
        <v>0</v>
      </c>
      <c r="P14" s="399">
        <f t="shared" si="10"/>
        <v>0</v>
      </c>
      <c r="Q14" s="399">
        <f t="shared" si="10"/>
        <v>0</v>
      </c>
      <c r="R14" s="399">
        <f t="shared" si="10"/>
        <v>0</v>
      </c>
      <c r="S14" s="399">
        <f t="shared" si="10"/>
        <v>0</v>
      </c>
      <c r="T14" s="399">
        <f t="shared" si="10"/>
        <v>0</v>
      </c>
    </row>
    <row r="15" spans="1:36">
      <c r="A15" s="56" t="s">
        <v>180</v>
      </c>
      <c r="B15" s="56"/>
      <c r="C15" s="56" t="s">
        <v>968</v>
      </c>
      <c r="D15" s="400">
        <f t="shared" ref="D15:T15" si="11">-IFERROR(SUMIF($A$88:$A$416,$A15,INDEX($D$88:$EE$416,0,MATCH(D$11,$D$84:$EF$84,0))),0)*Input_unit</f>
        <v>0</v>
      </c>
      <c r="E15" s="400">
        <f t="shared" si="11"/>
        <v>0</v>
      </c>
      <c r="F15" s="400">
        <f t="shared" si="11"/>
        <v>0</v>
      </c>
      <c r="G15" s="400">
        <f t="shared" si="11"/>
        <v>0</v>
      </c>
      <c r="H15" s="400">
        <f t="shared" si="11"/>
        <v>0</v>
      </c>
      <c r="I15" s="400">
        <f t="shared" si="11"/>
        <v>0</v>
      </c>
      <c r="J15" s="400">
        <f t="shared" si="11"/>
        <v>0</v>
      </c>
      <c r="K15" s="400">
        <f t="shared" si="11"/>
        <v>0</v>
      </c>
      <c r="L15" s="400">
        <f t="shared" si="11"/>
        <v>0</v>
      </c>
      <c r="M15" s="400">
        <f t="shared" si="11"/>
        <v>0</v>
      </c>
      <c r="N15" s="400">
        <f t="shared" si="11"/>
        <v>0</v>
      </c>
      <c r="O15" s="400">
        <f t="shared" si="11"/>
        <v>0</v>
      </c>
      <c r="P15" s="400">
        <f t="shared" si="11"/>
        <v>0</v>
      </c>
      <c r="Q15" s="400">
        <f t="shared" si="11"/>
        <v>0</v>
      </c>
      <c r="R15" s="400">
        <f t="shared" si="11"/>
        <v>0</v>
      </c>
      <c r="S15" s="400">
        <f t="shared" si="11"/>
        <v>0</v>
      </c>
      <c r="T15" s="400">
        <f t="shared" si="11"/>
        <v>0</v>
      </c>
    </row>
    <row r="16" spans="1:36">
      <c r="A16" s="98"/>
      <c r="B16" s="98"/>
      <c r="C16" s="98" t="s">
        <v>969</v>
      </c>
      <c r="D16" s="400">
        <f>SUM(D14:D15)</f>
        <v>0</v>
      </c>
      <c r="E16" s="400">
        <f t="shared" ref="E16:T16" si="12">SUM(E14:E15)</f>
        <v>0</v>
      </c>
      <c r="F16" s="400">
        <f t="shared" si="12"/>
        <v>0</v>
      </c>
      <c r="G16" s="400">
        <f t="shared" si="12"/>
        <v>0</v>
      </c>
      <c r="H16" s="400">
        <f t="shared" si="12"/>
        <v>0</v>
      </c>
      <c r="I16" s="400">
        <f t="shared" si="12"/>
        <v>0</v>
      </c>
      <c r="J16" s="400">
        <f t="shared" si="12"/>
        <v>0</v>
      </c>
      <c r="K16" s="400">
        <f t="shared" si="12"/>
        <v>0</v>
      </c>
      <c r="L16" s="400">
        <f t="shared" si="12"/>
        <v>0</v>
      </c>
      <c r="M16" s="400">
        <f t="shared" si="12"/>
        <v>0</v>
      </c>
      <c r="N16" s="400">
        <f t="shared" si="12"/>
        <v>0</v>
      </c>
      <c r="O16" s="400">
        <f t="shared" si="12"/>
        <v>0</v>
      </c>
      <c r="P16" s="400">
        <f t="shared" si="12"/>
        <v>0</v>
      </c>
      <c r="Q16" s="400">
        <f t="shared" si="12"/>
        <v>0</v>
      </c>
      <c r="R16" s="400">
        <f t="shared" si="12"/>
        <v>0</v>
      </c>
      <c r="S16" s="400">
        <f t="shared" si="12"/>
        <v>0</v>
      </c>
      <c r="T16" s="400">
        <f t="shared" si="12"/>
        <v>0</v>
      </c>
    </row>
    <row r="17" spans="1:20">
      <c r="A17" s="56" t="s">
        <v>182</v>
      </c>
      <c r="B17" s="56"/>
      <c r="C17" s="56" t="s">
        <v>201</v>
      </c>
      <c r="D17" s="400">
        <f t="shared" ref="D17:M19" si="13">-IFERROR(SUMIF($A$88:$A$416,$A17,INDEX($D$88:$EE$416,0,MATCH(D$11,$D$84:$EF$84,0))),0)*Input_unit</f>
        <v>0</v>
      </c>
      <c r="E17" s="400">
        <f t="shared" si="13"/>
        <v>0</v>
      </c>
      <c r="F17" s="400">
        <f t="shared" si="13"/>
        <v>0</v>
      </c>
      <c r="G17" s="400">
        <f t="shared" si="13"/>
        <v>0</v>
      </c>
      <c r="H17" s="400">
        <f t="shared" si="13"/>
        <v>0</v>
      </c>
      <c r="I17" s="400">
        <f t="shared" si="13"/>
        <v>0</v>
      </c>
      <c r="J17" s="400">
        <f t="shared" si="13"/>
        <v>0</v>
      </c>
      <c r="K17" s="400">
        <f t="shared" si="13"/>
        <v>0</v>
      </c>
      <c r="L17" s="400">
        <f t="shared" si="13"/>
        <v>0</v>
      </c>
      <c r="M17" s="400">
        <f t="shared" si="13"/>
        <v>0</v>
      </c>
      <c r="N17" s="400">
        <f t="shared" ref="N17:T19" si="14">-IFERROR(SUMIF($A$88:$A$416,$A17,INDEX($D$88:$EE$416,0,MATCH(N$11,$D$84:$EF$84,0))),0)*Input_unit</f>
        <v>0</v>
      </c>
      <c r="O17" s="400">
        <f t="shared" si="14"/>
        <v>0</v>
      </c>
      <c r="P17" s="400">
        <f t="shared" si="14"/>
        <v>0</v>
      </c>
      <c r="Q17" s="400">
        <f t="shared" si="14"/>
        <v>0</v>
      </c>
      <c r="R17" s="400">
        <f t="shared" si="14"/>
        <v>0</v>
      </c>
      <c r="S17" s="400">
        <f t="shared" si="14"/>
        <v>0</v>
      </c>
      <c r="T17" s="400">
        <f t="shared" si="14"/>
        <v>0</v>
      </c>
    </row>
    <row r="18" spans="1:20">
      <c r="A18" s="56" t="s">
        <v>608</v>
      </c>
      <c r="B18" s="56"/>
      <c r="C18" s="56" t="s">
        <v>970</v>
      </c>
      <c r="D18" s="400">
        <f t="shared" si="13"/>
        <v>0</v>
      </c>
      <c r="E18" s="400">
        <f t="shared" si="13"/>
        <v>0</v>
      </c>
      <c r="F18" s="400">
        <f t="shared" si="13"/>
        <v>0</v>
      </c>
      <c r="G18" s="400">
        <f t="shared" si="13"/>
        <v>0</v>
      </c>
      <c r="H18" s="400">
        <f t="shared" si="13"/>
        <v>0</v>
      </c>
      <c r="I18" s="400">
        <f t="shared" si="13"/>
        <v>0</v>
      </c>
      <c r="J18" s="400">
        <f t="shared" si="13"/>
        <v>0</v>
      </c>
      <c r="K18" s="400">
        <f t="shared" si="13"/>
        <v>0</v>
      </c>
      <c r="L18" s="400">
        <f t="shared" si="13"/>
        <v>0</v>
      </c>
      <c r="M18" s="400">
        <f t="shared" si="13"/>
        <v>0</v>
      </c>
      <c r="N18" s="400">
        <f t="shared" si="14"/>
        <v>0</v>
      </c>
      <c r="O18" s="400">
        <f t="shared" si="14"/>
        <v>0</v>
      </c>
      <c r="P18" s="400">
        <f t="shared" si="14"/>
        <v>0</v>
      </c>
      <c r="Q18" s="400">
        <f t="shared" si="14"/>
        <v>0</v>
      </c>
      <c r="R18" s="400">
        <f t="shared" si="14"/>
        <v>0</v>
      </c>
      <c r="S18" s="400">
        <f t="shared" si="14"/>
        <v>0</v>
      </c>
      <c r="T18" s="400">
        <f t="shared" si="14"/>
        <v>0</v>
      </c>
    </row>
    <row r="19" spans="1:20">
      <c r="A19" s="56" t="s">
        <v>611</v>
      </c>
      <c r="B19" s="56"/>
      <c r="C19" s="56" t="s">
        <v>971</v>
      </c>
      <c r="D19" s="400">
        <f t="shared" si="13"/>
        <v>0</v>
      </c>
      <c r="E19" s="400">
        <f t="shared" si="13"/>
        <v>0</v>
      </c>
      <c r="F19" s="400">
        <f t="shared" si="13"/>
        <v>0</v>
      </c>
      <c r="G19" s="400">
        <f t="shared" si="13"/>
        <v>0</v>
      </c>
      <c r="H19" s="400">
        <f t="shared" si="13"/>
        <v>0</v>
      </c>
      <c r="I19" s="400">
        <f t="shared" si="13"/>
        <v>0</v>
      </c>
      <c r="J19" s="400">
        <f t="shared" si="13"/>
        <v>0</v>
      </c>
      <c r="K19" s="400">
        <f t="shared" si="13"/>
        <v>0</v>
      </c>
      <c r="L19" s="400">
        <f t="shared" si="13"/>
        <v>0</v>
      </c>
      <c r="M19" s="400">
        <f t="shared" si="13"/>
        <v>0</v>
      </c>
      <c r="N19" s="400">
        <f t="shared" si="14"/>
        <v>0</v>
      </c>
      <c r="O19" s="400">
        <f t="shared" si="14"/>
        <v>0</v>
      </c>
      <c r="P19" s="400">
        <f t="shared" si="14"/>
        <v>0</v>
      </c>
      <c r="Q19" s="400">
        <f t="shared" si="14"/>
        <v>0</v>
      </c>
      <c r="R19" s="400">
        <f t="shared" si="14"/>
        <v>0</v>
      </c>
      <c r="S19" s="400">
        <f t="shared" si="14"/>
        <v>0</v>
      </c>
      <c r="T19" s="400">
        <f t="shared" si="14"/>
        <v>0</v>
      </c>
    </row>
    <row r="20" spans="1:20">
      <c r="A20" s="56" t="s">
        <v>171</v>
      </c>
      <c r="B20" s="56"/>
      <c r="C20" s="56" t="s">
        <v>972</v>
      </c>
      <c r="D20" s="400">
        <f t="shared" ref="D20:T20" si="15">IFERROR(SUMIF($A$88:$A$416,$A20,INDEX($D$88:$EE$416,0,MATCH(D$11,$D$84:$EF$84,0))),0)*Input_unit</f>
        <v>0</v>
      </c>
      <c r="E20" s="400">
        <f t="shared" si="15"/>
        <v>0</v>
      </c>
      <c r="F20" s="400">
        <f t="shared" si="15"/>
        <v>0</v>
      </c>
      <c r="G20" s="400">
        <f t="shared" si="15"/>
        <v>0</v>
      </c>
      <c r="H20" s="400">
        <f t="shared" si="15"/>
        <v>0</v>
      </c>
      <c r="I20" s="400">
        <f t="shared" si="15"/>
        <v>0</v>
      </c>
      <c r="J20" s="400">
        <f t="shared" si="15"/>
        <v>0</v>
      </c>
      <c r="K20" s="400">
        <f t="shared" si="15"/>
        <v>0</v>
      </c>
      <c r="L20" s="400">
        <f t="shared" si="15"/>
        <v>0</v>
      </c>
      <c r="M20" s="400">
        <f t="shared" si="15"/>
        <v>0</v>
      </c>
      <c r="N20" s="400">
        <f t="shared" si="15"/>
        <v>0</v>
      </c>
      <c r="O20" s="400">
        <f t="shared" si="15"/>
        <v>0</v>
      </c>
      <c r="P20" s="400">
        <f t="shared" si="15"/>
        <v>0</v>
      </c>
      <c r="Q20" s="400">
        <f t="shared" si="15"/>
        <v>0</v>
      </c>
      <c r="R20" s="400">
        <f t="shared" si="15"/>
        <v>0</v>
      </c>
      <c r="S20" s="400">
        <f t="shared" si="15"/>
        <v>0</v>
      </c>
      <c r="T20" s="400">
        <f t="shared" si="15"/>
        <v>0</v>
      </c>
    </row>
    <row r="21" spans="1:20">
      <c r="A21" s="56"/>
      <c r="B21" s="56"/>
      <c r="C21" s="390" t="s">
        <v>973</v>
      </c>
      <c r="D21" s="400">
        <f t="shared" ref="D21:T21" si="16">depr_inc*(-D23-D24)</f>
        <v>0</v>
      </c>
      <c r="E21" s="400">
        <f t="shared" si="16"/>
        <v>0</v>
      </c>
      <c r="F21" s="400">
        <f t="shared" si="16"/>
        <v>0</v>
      </c>
      <c r="G21" s="400">
        <f t="shared" si="16"/>
        <v>0</v>
      </c>
      <c r="H21" s="400">
        <f t="shared" si="16"/>
        <v>0</v>
      </c>
      <c r="I21" s="400">
        <f t="shared" si="16"/>
        <v>0</v>
      </c>
      <c r="J21" s="400">
        <f t="shared" si="16"/>
        <v>0</v>
      </c>
      <c r="K21" s="400">
        <f t="shared" si="16"/>
        <v>0</v>
      </c>
      <c r="L21" s="400">
        <f t="shared" si="16"/>
        <v>0</v>
      </c>
      <c r="M21" s="400">
        <f t="shared" si="16"/>
        <v>0</v>
      </c>
      <c r="N21" s="400">
        <f t="shared" si="16"/>
        <v>0</v>
      </c>
      <c r="O21" s="400">
        <f t="shared" si="16"/>
        <v>0</v>
      </c>
      <c r="P21" s="400">
        <f t="shared" si="16"/>
        <v>0</v>
      </c>
      <c r="Q21" s="400">
        <f t="shared" si="16"/>
        <v>0</v>
      </c>
      <c r="R21" s="400">
        <f t="shared" si="16"/>
        <v>0</v>
      </c>
      <c r="S21" s="400">
        <f t="shared" si="16"/>
        <v>0</v>
      </c>
      <c r="T21" s="400">
        <f t="shared" si="16"/>
        <v>0</v>
      </c>
    </row>
    <row r="22" spans="1:20">
      <c r="A22" s="56"/>
      <c r="B22" s="56"/>
      <c r="C22" s="98" t="s">
        <v>684</v>
      </c>
      <c r="D22" s="400">
        <f>SUM(D16:D21)</f>
        <v>0</v>
      </c>
      <c r="E22" s="400">
        <f t="shared" ref="E22:T22" si="17">SUM(E16:E21)</f>
        <v>0</v>
      </c>
      <c r="F22" s="400">
        <f t="shared" si="17"/>
        <v>0</v>
      </c>
      <c r="G22" s="400">
        <f t="shared" si="17"/>
        <v>0</v>
      </c>
      <c r="H22" s="400">
        <f t="shared" si="17"/>
        <v>0</v>
      </c>
      <c r="I22" s="400">
        <f t="shared" si="17"/>
        <v>0</v>
      </c>
      <c r="J22" s="400">
        <f t="shared" si="17"/>
        <v>0</v>
      </c>
      <c r="K22" s="400">
        <f t="shared" si="17"/>
        <v>0</v>
      </c>
      <c r="L22" s="400">
        <f t="shared" si="17"/>
        <v>0</v>
      </c>
      <c r="M22" s="400">
        <f t="shared" si="17"/>
        <v>0</v>
      </c>
      <c r="N22" s="400">
        <f t="shared" si="17"/>
        <v>0</v>
      </c>
      <c r="O22" s="400">
        <f t="shared" si="17"/>
        <v>0</v>
      </c>
      <c r="P22" s="400">
        <f t="shared" si="17"/>
        <v>0</v>
      </c>
      <c r="Q22" s="400">
        <f t="shared" si="17"/>
        <v>0</v>
      </c>
      <c r="R22" s="400">
        <f t="shared" si="17"/>
        <v>0</v>
      </c>
      <c r="S22" s="400">
        <f t="shared" si="17"/>
        <v>0</v>
      </c>
      <c r="T22" s="400">
        <f t="shared" si="17"/>
        <v>0</v>
      </c>
    </row>
    <row r="23" spans="1:20">
      <c r="A23" s="56" t="s">
        <v>675</v>
      </c>
      <c r="B23" s="56"/>
      <c r="C23" s="390" t="s">
        <v>202</v>
      </c>
      <c r="D23" s="400">
        <f t="shared" ref="D23:M24" si="18">-IFERROR(SUMIF($A$88:$A$416,$A23,INDEX($D$88:$EE$416,0,MATCH(D$11,$D$84:$EF$84,0))),0)*Input_unit</f>
        <v>0</v>
      </c>
      <c r="E23" s="400">
        <f t="shared" si="18"/>
        <v>0</v>
      </c>
      <c r="F23" s="400">
        <f t="shared" si="18"/>
        <v>0</v>
      </c>
      <c r="G23" s="400">
        <f t="shared" si="18"/>
        <v>0</v>
      </c>
      <c r="H23" s="400">
        <f t="shared" si="18"/>
        <v>0</v>
      </c>
      <c r="I23" s="400">
        <f t="shared" si="18"/>
        <v>0</v>
      </c>
      <c r="J23" s="400">
        <f t="shared" si="18"/>
        <v>0</v>
      </c>
      <c r="K23" s="400">
        <f t="shared" si="18"/>
        <v>0</v>
      </c>
      <c r="L23" s="400">
        <f t="shared" si="18"/>
        <v>0</v>
      </c>
      <c r="M23" s="400">
        <f t="shared" si="18"/>
        <v>0</v>
      </c>
      <c r="N23" s="400">
        <f t="shared" ref="N23:T24" si="19">-IFERROR(SUMIF($A$88:$A$416,$A23,INDEX($D$88:$EE$416,0,MATCH(N$11,$D$84:$EF$84,0))),0)*Input_unit</f>
        <v>0</v>
      </c>
      <c r="O23" s="400">
        <f t="shared" si="19"/>
        <v>0</v>
      </c>
      <c r="P23" s="400">
        <f t="shared" si="19"/>
        <v>0</v>
      </c>
      <c r="Q23" s="400">
        <f t="shared" si="19"/>
        <v>0</v>
      </c>
      <c r="R23" s="400">
        <f t="shared" si="19"/>
        <v>0</v>
      </c>
      <c r="S23" s="400">
        <f t="shared" si="19"/>
        <v>0</v>
      </c>
      <c r="T23" s="400">
        <f t="shared" si="19"/>
        <v>0</v>
      </c>
    </row>
    <row r="24" spans="1:20">
      <c r="A24" s="56" t="s">
        <v>676</v>
      </c>
      <c r="B24" s="56"/>
      <c r="C24" s="390" t="s">
        <v>203</v>
      </c>
      <c r="D24" s="400">
        <f t="shared" si="18"/>
        <v>0</v>
      </c>
      <c r="E24" s="400">
        <f t="shared" si="18"/>
        <v>0</v>
      </c>
      <c r="F24" s="400">
        <f t="shared" si="18"/>
        <v>0</v>
      </c>
      <c r="G24" s="400">
        <f t="shared" si="18"/>
        <v>0</v>
      </c>
      <c r="H24" s="400">
        <f t="shared" si="18"/>
        <v>0</v>
      </c>
      <c r="I24" s="400">
        <f t="shared" si="18"/>
        <v>0</v>
      </c>
      <c r="J24" s="400">
        <f t="shared" si="18"/>
        <v>0</v>
      </c>
      <c r="K24" s="400">
        <f t="shared" si="18"/>
        <v>0</v>
      </c>
      <c r="L24" s="400">
        <f t="shared" si="18"/>
        <v>0</v>
      </c>
      <c r="M24" s="400">
        <f t="shared" si="18"/>
        <v>0</v>
      </c>
      <c r="N24" s="400">
        <f t="shared" si="19"/>
        <v>0</v>
      </c>
      <c r="O24" s="400">
        <f t="shared" si="19"/>
        <v>0</v>
      </c>
      <c r="P24" s="400">
        <f t="shared" si="19"/>
        <v>0</v>
      </c>
      <c r="Q24" s="400">
        <f t="shared" si="19"/>
        <v>0</v>
      </c>
      <c r="R24" s="400">
        <f t="shared" si="19"/>
        <v>0</v>
      </c>
      <c r="S24" s="400">
        <f t="shared" si="19"/>
        <v>0</v>
      </c>
      <c r="T24" s="400">
        <f t="shared" si="19"/>
        <v>0</v>
      </c>
    </row>
    <row r="25" spans="1:20">
      <c r="A25" s="98"/>
      <c r="B25" s="98"/>
      <c r="C25" s="98" t="s">
        <v>204</v>
      </c>
      <c r="D25" s="400">
        <f>SUM(D22:D24)</f>
        <v>0</v>
      </c>
      <c r="E25" s="400">
        <f t="shared" ref="E25:T25" si="20">SUM(E22:E24)</f>
        <v>0</v>
      </c>
      <c r="F25" s="400">
        <f t="shared" si="20"/>
        <v>0</v>
      </c>
      <c r="G25" s="400">
        <f t="shared" si="20"/>
        <v>0</v>
      </c>
      <c r="H25" s="400">
        <f t="shared" si="20"/>
        <v>0</v>
      </c>
      <c r="I25" s="400">
        <f t="shared" si="20"/>
        <v>0</v>
      </c>
      <c r="J25" s="400">
        <f t="shared" si="20"/>
        <v>0</v>
      </c>
      <c r="K25" s="400">
        <f t="shared" si="20"/>
        <v>0</v>
      </c>
      <c r="L25" s="400">
        <f t="shared" si="20"/>
        <v>0</v>
      </c>
      <c r="M25" s="400">
        <f t="shared" si="20"/>
        <v>0</v>
      </c>
      <c r="N25" s="400">
        <f t="shared" si="20"/>
        <v>0</v>
      </c>
      <c r="O25" s="400">
        <f t="shared" si="20"/>
        <v>0</v>
      </c>
      <c r="P25" s="400">
        <f t="shared" si="20"/>
        <v>0</v>
      </c>
      <c r="Q25" s="400">
        <f t="shared" si="20"/>
        <v>0</v>
      </c>
      <c r="R25" s="400">
        <f t="shared" si="20"/>
        <v>0</v>
      </c>
      <c r="S25" s="400">
        <f t="shared" si="20"/>
        <v>0</v>
      </c>
      <c r="T25" s="400">
        <f t="shared" si="20"/>
        <v>0</v>
      </c>
    </row>
    <row r="26" spans="1:20">
      <c r="A26" s="56" t="s">
        <v>628</v>
      </c>
      <c r="B26" s="56"/>
      <c r="C26" s="56" t="s">
        <v>974</v>
      </c>
      <c r="D26" s="400">
        <f t="shared" ref="D26:T26" si="21">IFERROR(SUMIF($A$88:$A$416,$A26,INDEX($D$88:$EE$416,0,MATCH(D$11,$D$84:$EF$84,0))),0)*Input_unit</f>
        <v>0</v>
      </c>
      <c r="E26" s="400">
        <f t="shared" si="21"/>
        <v>0</v>
      </c>
      <c r="F26" s="400">
        <f t="shared" si="21"/>
        <v>0</v>
      </c>
      <c r="G26" s="400">
        <f t="shared" si="21"/>
        <v>0</v>
      </c>
      <c r="H26" s="400">
        <f t="shared" si="21"/>
        <v>0</v>
      </c>
      <c r="I26" s="400">
        <f t="shared" si="21"/>
        <v>0</v>
      </c>
      <c r="J26" s="400">
        <f t="shared" si="21"/>
        <v>0</v>
      </c>
      <c r="K26" s="400">
        <f t="shared" si="21"/>
        <v>0</v>
      </c>
      <c r="L26" s="400">
        <f t="shared" si="21"/>
        <v>0</v>
      </c>
      <c r="M26" s="400">
        <f t="shared" si="21"/>
        <v>0</v>
      </c>
      <c r="N26" s="400">
        <f t="shared" si="21"/>
        <v>0</v>
      </c>
      <c r="O26" s="400">
        <f t="shared" si="21"/>
        <v>0</v>
      </c>
      <c r="P26" s="400">
        <f t="shared" si="21"/>
        <v>0</v>
      </c>
      <c r="Q26" s="400">
        <f t="shared" si="21"/>
        <v>0</v>
      </c>
      <c r="R26" s="400">
        <f t="shared" si="21"/>
        <v>0</v>
      </c>
      <c r="S26" s="400">
        <f t="shared" si="21"/>
        <v>0</v>
      </c>
      <c r="T26" s="400">
        <f t="shared" si="21"/>
        <v>0</v>
      </c>
    </row>
    <row r="27" spans="1:20">
      <c r="A27" s="56" t="s">
        <v>641</v>
      </c>
      <c r="B27" s="56"/>
      <c r="C27" s="97" t="s">
        <v>975</v>
      </c>
      <c r="D27" s="400">
        <f t="shared" ref="D27:M28" si="22">-IFERROR(SUMIF($A$88:$A$416,$A27,INDEX($D$88:$EE$416,0,MATCH(D$11,$D$84:$EF$84,0))),0)*Input_unit</f>
        <v>0</v>
      </c>
      <c r="E27" s="400">
        <f t="shared" si="22"/>
        <v>0</v>
      </c>
      <c r="F27" s="400">
        <f t="shared" si="22"/>
        <v>0</v>
      </c>
      <c r="G27" s="400">
        <f t="shared" si="22"/>
        <v>0</v>
      </c>
      <c r="H27" s="400">
        <f t="shared" si="22"/>
        <v>0</v>
      </c>
      <c r="I27" s="400">
        <f t="shared" si="22"/>
        <v>0</v>
      </c>
      <c r="J27" s="400">
        <f t="shared" si="22"/>
        <v>0</v>
      </c>
      <c r="K27" s="400">
        <f t="shared" si="22"/>
        <v>0</v>
      </c>
      <c r="L27" s="400">
        <f t="shared" si="22"/>
        <v>0</v>
      </c>
      <c r="M27" s="400">
        <f t="shared" si="22"/>
        <v>0</v>
      </c>
      <c r="N27" s="400">
        <f t="shared" ref="N27:T28" si="23">-IFERROR(SUMIF($A$88:$A$416,$A27,INDEX($D$88:$EE$416,0,MATCH(N$11,$D$84:$EF$84,0))),0)*Input_unit</f>
        <v>0</v>
      </c>
      <c r="O27" s="400">
        <f t="shared" si="23"/>
        <v>0</v>
      </c>
      <c r="P27" s="400">
        <f t="shared" si="23"/>
        <v>0</v>
      </c>
      <c r="Q27" s="400">
        <f t="shared" si="23"/>
        <v>0</v>
      </c>
      <c r="R27" s="400">
        <f t="shared" si="23"/>
        <v>0</v>
      </c>
      <c r="S27" s="400">
        <f t="shared" si="23"/>
        <v>0</v>
      </c>
      <c r="T27" s="400">
        <f t="shared" si="23"/>
        <v>0</v>
      </c>
    </row>
    <row r="28" spans="1:20">
      <c r="A28" s="56" t="s">
        <v>76</v>
      </c>
      <c r="B28" s="56"/>
      <c r="C28" s="97" t="s">
        <v>205</v>
      </c>
      <c r="D28" s="400">
        <f t="shared" si="22"/>
        <v>0</v>
      </c>
      <c r="E28" s="400">
        <f t="shared" si="22"/>
        <v>0</v>
      </c>
      <c r="F28" s="400">
        <f t="shared" si="22"/>
        <v>0</v>
      </c>
      <c r="G28" s="400">
        <f t="shared" si="22"/>
        <v>0</v>
      </c>
      <c r="H28" s="400">
        <f t="shared" si="22"/>
        <v>0</v>
      </c>
      <c r="I28" s="400">
        <f t="shared" si="22"/>
        <v>0</v>
      </c>
      <c r="J28" s="400">
        <f t="shared" si="22"/>
        <v>0</v>
      </c>
      <c r="K28" s="400">
        <f t="shared" si="22"/>
        <v>0</v>
      </c>
      <c r="L28" s="400">
        <f t="shared" si="22"/>
        <v>0</v>
      </c>
      <c r="M28" s="400">
        <f t="shared" si="22"/>
        <v>0</v>
      </c>
      <c r="N28" s="400">
        <f t="shared" si="23"/>
        <v>0</v>
      </c>
      <c r="O28" s="400">
        <f t="shared" si="23"/>
        <v>0</v>
      </c>
      <c r="P28" s="400">
        <f t="shared" si="23"/>
        <v>0</v>
      </c>
      <c r="Q28" s="400">
        <f t="shared" si="23"/>
        <v>0</v>
      </c>
      <c r="R28" s="400">
        <f t="shared" si="23"/>
        <v>0</v>
      </c>
      <c r="S28" s="400">
        <f t="shared" si="23"/>
        <v>0</v>
      </c>
      <c r="T28" s="400">
        <f t="shared" si="23"/>
        <v>0</v>
      </c>
    </row>
    <row r="29" spans="1:20">
      <c r="A29" s="56" t="s">
        <v>616</v>
      </c>
      <c r="B29" s="56"/>
      <c r="C29" s="97" t="s">
        <v>206</v>
      </c>
      <c r="D29" s="400">
        <f t="shared" ref="D29:M30" si="24">IFERROR(SUMIF($A$88:$A$416,$A29,INDEX($D$88:$EE$416,0,MATCH(D$11,$D$84:$EF$84,0))),0)*Input_unit</f>
        <v>0</v>
      </c>
      <c r="E29" s="400">
        <f t="shared" si="24"/>
        <v>0</v>
      </c>
      <c r="F29" s="400">
        <f t="shared" si="24"/>
        <v>0</v>
      </c>
      <c r="G29" s="400">
        <f t="shared" si="24"/>
        <v>0</v>
      </c>
      <c r="H29" s="400">
        <f t="shared" si="24"/>
        <v>0</v>
      </c>
      <c r="I29" s="400">
        <f t="shared" si="24"/>
        <v>0</v>
      </c>
      <c r="J29" s="400">
        <f t="shared" si="24"/>
        <v>0</v>
      </c>
      <c r="K29" s="400">
        <f t="shared" si="24"/>
        <v>0</v>
      </c>
      <c r="L29" s="400">
        <f t="shared" si="24"/>
        <v>0</v>
      </c>
      <c r="M29" s="400">
        <f t="shared" si="24"/>
        <v>0</v>
      </c>
      <c r="N29" s="400">
        <f t="shared" ref="N29:T30" si="25">IFERROR(SUMIF($A$88:$A$416,$A29,INDEX($D$88:$EE$416,0,MATCH(N$11,$D$84:$EF$84,0))),0)*Input_unit</f>
        <v>0</v>
      </c>
      <c r="O29" s="400">
        <f t="shared" si="25"/>
        <v>0</v>
      </c>
      <c r="P29" s="400">
        <f t="shared" si="25"/>
        <v>0</v>
      </c>
      <c r="Q29" s="400">
        <f t="shared" si="25"/>
        <v>0</v>
      </c>
      <c r="R29" s="400">
        <f t="shared" si="25"/>
        <v>0</v>
      </c>
      <c r="S29" s="400">
        <f t="shared" si="25"/>
        <v>0</v>
      </c>
      <c r="T29" s="400">
        <f t="shared" si="25"/>
        <v>0</v>
      </c>
    </row>
    <row r="30" spans="1:20">
      <c r="A30" s="56" t="s">
        <v>620</v>
      </c>
      <c r="B30" s="56"/>
      <c r="C30" s="97" t="s">
        <v>976</v>
      </c>
      <c r="D30" s="400">
        <f t="shared" si="24"/>
        <v>0</v>
      </c>
      <c r="E30" s="400">
        <f t="shared" si="24"/>
        <v>0</v>
      </c>
      <c r="F30" s="400">
        <f t="shared" si="24"/>
        <v>0</v>
      </c>
      <c r="G30" s="400">
        <f t="shared" si="24"/>
        <v>0</v>
      </c>
      <c r="H30" s="400">
        <f t="shared" si="24"/>
        <v>0</v>
      </c>
      <c r="I30" s="400">
        <f t="shared" si="24"/>
        <v>0</v>
      </c>
      <c r="J30" s="400">
        <f t="shared" si="24"/>
        <v>0</v>
      </c>
      <c r="K30" s="400">
        <f t="shared" si="24"/>
        <v>0</v>
      </c>
      <c r="L30" s="400">
        <f t="shared" si="24"/>
        <v>0</v>
      </c>
      <c r="M30" s="400">
        <f t="shared" si="24"/>
        <v>0</v>
      </c>
      <c r="N30" s="400">
        <f t="shared" si="25"/>
        <v>0</v>
      </c>
      <c r="O30" s="400">
        <f t="shared" si="25"/>
        <v>0</v>
      </c>
      <c r="P30" s="400">
        <f t="shared" si="25"/>
        <v>0</v>
      </c>
      <c r="Q30" s="400">
        <f t="shared" si="25"/>
        <v>0</v>
      </c>
      <c r="R30" s="400">
        <f t="shared" si="25"/>
        <v>0</v>
      </c>
      <c r="S30" s="400">
        <f t="shared" si="25"/>
        <v>0</v>
      </c>
      <c r="T30" s="400">
        <f t="shared" si="25"/>
        <v>0</v>
      </c>
    </row>
    <row r="31" spans="1:20">
      <c r="A31" s="98"/>
      <c r="B31" s="98"/>
      <c r="C31" s="99" t="s">
        <v>207</v>
      </c>
      <c r="D31" s="400">
        <f>SUM(D25:D30)</f>
        <v>0</v>
      </c>
      <c r="E31" s="400">
        <f t="shared" ref="E31:T31" si="26">SUM(E25:E30)</f>
        <v>0</v>
      </c>
      <c r="F31" s="400">
        <f t="shared" si="26"/>
        <v>0</v>
      </c>
      <c r="G31" s="400">
        <f t="shared" si="26"/>
        <v>0</v>
      </c>
      <c r="H31" s="400">
        <f t="shared" si="26"/>
        <v>0</v>
      </c>
      <c r="I31" s="400">
        <f t="shared" si="26"/>
        <v>0</v>
      </c>
      <c r="J31" s="400">
        <f t="shared" si="26"/>
        <v>0</v>
      </c>
      <c r="K31" s="400">
        <f t="shared" si="26"/>
        <v>0</v>
      </c>
      <c r="L31" s="400">
        <f t="shared" si="26"/>
        <v>0</v>
      </c>
      <c r="M31" s="400">
        <f t="shared" si="26"/>
        <v>0</v>
      </c>
      <c r="N31" s="400">
        <f t="shared" si="26"/>
        <v>0</v>
      </c>
      <c r="O31" s="400">
        <f t="shared" si="26"/>
        <v>0</v>
      </c>
      <c r="P31" s="400">
        <f t="shared" si="26"/>
        <v>0</v>
      </c>
      <c r="Q31" s="400">
        <f t="shared" si="26"/>
        <v>0</v>
      </c>
      <c r="R31" s="400">
        <f t="shared" si="26"/>
        <v>0</v>
      </c>
      <c r="S31" s="400">
        <f t="shared" si="26"/>
        <v>0</v>
      </c>
      <c r="T31" s="400">
        <f t="shared" si="26"/>
        <v>0</v>
      </c>
    </row>
    <row r="32" spans="1:20">
      <c r="A32" s="56" t="s">
        <v>668</v>
      </c>
      <c r="B32" s="56"/>
      <c r="C32" s="56" t="s">
        <v>980</v>
      </c>
      <c r="D32" s="400">
        <f t="shared" ref="D32:T32" si="27">-IFERROR(SUMIF($A$88:$A$416,$A32,INDEX($D$88:$EE$416,0,MATCH(D$11,$D$84:$EF$84,0))),0)*Input_unit</f>
        <v>0</v>
      </c>
      <c r="E32" s="400">
        <f t="shared" si="27"/>
        <v>0</v>
      </c>
      <c r="F32" s="400">
        <f t="shared" si="27"/>
        <v>0</v>
      </c>
      <c r="G32" s="400">
        <f t="shared" si="27"/>
        <v>0</v>
      </c>
      <c r="H32" s="400">
        <f t="shared" si="27"/>
        <v>0</v>
      </c>
      <c r="I32" s="400">
        <f t="shared" si="27"/>
        <v>0</v>
      </c>
      <c r="J32" s="400">
        <f t="shared" si="27"/>
        <v>0</v>
      </c>
      <c r="K32" s="400">
        <f t="shared" si="27"/>
        <v>0</v>
      </c>
      <c r="L32" s="400">
        <f t="shared" si="27"/>
        <v>0</v>
      </c>
      <c r="M32" s="400">
        <f t="shared" si="27"/>
        <v>0</v>
      </c>
      <c r="N32" s="400">
        <f t="shared" si="27"/>
        <v>0</v>
      </c>
      <c r="O32" s="400">
        <f t="shared" si="27"/>
        <v>0</v>
      </c>
      <c r="P32" s="400">
        <f t="shared" si="27"/>
        <v>0</v>
      </c>
      <c r="Q32" s="400">
        <f t="shared" si="27"/>
        <v>0</v>
      </c>
      <c r="R32" s="400">
        <f t="shared" si="27"/>
        <v>0</v>
      </c>
      <c r="S32" s="400">
        <f t="shared" si="27"/>
        <v>0</v>
      </c>
      <c r="T32" s="400">
        <f t="shared" si="27"/>
        <v>0</v>
      </c>
    </row>
    <row r="33" spans="1:20">
      <c r="A33" s="98"/>
      <c r="B33" s="98"/>
      <c r="C33" s="98" t="s">
        <v>208</v>
      </c>
      <c r="D33" s="400">
        <f>SUM(D31:D32)</f>
        <v>0</v>
      </c>
      <c r="E33" s="400">
        <f t="shared" ref="E33:T33" si="28">SUM(E31:E32)</f>
        <v>0</v>
      </c>
      <c r="F33" s="400">
        <f t="shared" si="28"/>
        <v>0</v>
      </c>
      <c r="G33" s="400">
        <f t="shared" si="28"/>
        <v>0</v>
      </c>
      <c r="H33" s="400">
        <f t="shared" si="28"/>
        <v>0</v>
      </c>
      <c r="I33" s="400">
        <f t="shared" si="28"/>
        <v>0</v>
      </c>
      <c r="J33" s="400">
        <f t="shared" si="28"/>
        <v>0</v>
      </c>
      <c r="K33" s="400">
        <f t="shared" si="28"/>
        <v>0</v>
      </c>
      <c r="L33" s="400">
        <f t="shared" si="28"/>
        <v>0</v>
      </c>
      <c r="M33" s="400">
        <f t="shared" si="28"/>
        <v>0</v>
      </c>
      <c r="N33" s="400">
        <f t="shared" si="28"/>
        <v>0</v>
      </c>
      <c r="O33" s="400">
        <f t="shared" si="28"/>
        <v>0</v>
      </c>
      <c r="P33" s="400">
        <f t="shared" si="28"/>
        <v>0</v>
      </c>
      <c r="Q33" s="400">
        <f t="shared" si="28"/>
        <v>0</v>
      </c>
      <c r="R33" s="400">
        <f t="shared" si="28"/>
        <v>0</v>
      </c>
      <c r="S33" s="400">
        <f t="shared" si="28"/>
        <v>0</v>
      </c>
      <c r="T33" s="400">
        <f t="shared" si="28"/>
        <v>0</v>
      </c>
    </row>
    <row r="34" spans="1:20">
      <c r="A34" s="56" t="s">
        <v>672</v>
      </c>
      <c r="B34" s="56"/>
      <c r="C34" s="56" t="s">
        <v>209</v>
      </c>
      <c r="D34" s="400">
        <f t="shared" ref="D34:T34" si="29">-IFERROR(SUMIF($A$88:$A$416,$A34,INDEX($D$88:$EE$416,0,MATCH(D$11,$D$84:$EF$84,0))),0)*Input_unit</f>
        <v>0</v>
      </c>
      <c r="E34" s="400">
        <f t="shared" si="29"/>
        <v>0</v>
      </c>
      <c r="F34" s="400">
        <f t="shared" si="29"/>
        <v>0</v>
      </c>
      <c r="G34" s="400">
        <f t="shared" si="29"/>
        <v>0</v>
      </c>
      <c r="H34" s="400">
        <f t="shared" si="29"/>
        <v>0</v>
      </c>
      <c r="I34" s="400">
        <f t="shared" si="29"/>
        <v>0</v>
      </c>
      <c r="J34" s="400">
        <f t="shared" si="29"/>
        <v>0</v>
      </c>
      <c r="K34" s="400">
        <f t="shared" si="29"/>
        <v>0</v>
      </c>
      <c r="L34" s="400">
        <f t="shared" si="29"/>
        <v>0</v>
      </c>
      <c r="M34" s="400">
        <f t="shared" si="29"/>
        <v>0</v>
      </c>
      <c r="N34" s="400">
        <f t="shared" si="29"/>
        <v>0</v>
      </c>
      <c r="O34" s="400">
        <f t="shared" si="29"/>
        <v>0</v>
      </c>
      <c r="P34" s="400">
        <f t="shared" si="29"/>
        <v>0</v>
      </c>
      <c r="Q34" s="400">
        <f t="shared" si="29"/>
        <v>0</v>
      </c>
      <c r="R34" s="400">
        <f t="shared" si="29"/>
        <v>0</v>
      </c>
      <c r="S34" s="400">
        <f t="shared" si="29"/>
        <v>0</v>
      </c>
      <c r="T34" s="400">
        <f t="shared" si="29"/>
        <v>0</v>
      </c>
    </row>
    <row r="35" spans="1:20">
      <c r="A35" s="98"/>
      <c r="B35" s="98"/>
      <c r="C35" s="98" t="s">
        <v>192</v>
      </c>
      <c r="D35" s="400">
        <f>SUM(D33:D34)</f>
        <v>0</v>
      </c>
      <c r="E35" s="400">
        <f t="shared" ref="E35:T35" si="30">SUM(E33:E34)</f>
        <v>0</v>
      </c>
      <c r="F35" s="400">
        <f t="shared" si="30"/>
        <v>0</v>
      </c>
      <c r="G35" s="400">
        <f t="shared" si="30"/>
        <v>0</v>
      </c>
      <c r="H35" s="400">
        <f t="shared" si="30"/>
        <v>0</v>
      </c>
      <c r="I35" s="400">
        <f t="shared" si="30"/>
        <v>0</v>
      </c>
      <c r="J35" s="400">
        <f t="shared" si="30"/>
        <v>0</v>
      </c>
      <c r="K35" s="400">
        <f t="shared" si="30"/>
        <v>0</v>
      </c>
      <c r="L35" s="400">
        <f t="shared" si="30"/>
        <v>0</v>
      </c>
      <c r="M35" s="400">
        <f t="shared" si="30"/>
        <v>0</v>
      </c>
      <c r="N35" s="400">
        <f t="shared" si="30"/>
        <v>0</v>
      </c>
      <c r="O35" s="400">
        <f t="shared" si="30"/>
        <v>0</v>
      </c>
      <c r="P35" s="400">
        <f t="shared" si="30"/>
        <v>0</v>
      </c>
      <c r="Q35" s="400">
        <f t="shared" si="30"/>
        <v>0</v>
      </c>
      <c r="R35" s="400">
        <f t="shared" si="30"/>
        <v>0</v>
      </c>
      <c r="S35" s="400">
        <f t="shared" si="30"/>
        <v>0</v>
      </c>
      <c r="T35" s="400">
        <f t="shared" si="30"/>
        <v>0</v>
      </c>
    </row>
    <row r="36" spans="1:20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</row>
    <row r="37" spans="1:20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</row>
    <row r="38" spans="1:20">
      <c r="A38" s="121" t="s">
        <v>210</v>
      </c>
      <c r="B38" s="121"/>
      <c r="C38" s="122" t="s">
        <v>581</v>
      </c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</row>
    <row r="39" spans="1:20" ht="15.15" thickBot="1">
      <c r="A39" s="123" t="s">
        <v>580</v>
      </c>
      <c r="B39" s="123"/>
      <c r="C39" s="123"/>
      <c r="D39" s="124">
        <f>D9</f>
        <v>42004</v>
      </c>
      <c r="E39" s="124">
        <f t="shared" ref="E39:T39" si="31">E9</f>
        <v>42369</v>
      </c>
      <c r="F39" s="124">
        <f t="shared" si="31"/>
        <v>42735</v>
      </c>
      <c r="G39" s="124">
        <f t="shared" si="31"/>
        <v>43100</v>
      </c>
      <c r="H39" s="124">
        <f t="shared" si="31"/>
        <v>43465</v>
      </c>
      <c r="I39" s="124">
        <f t="shared" si="31"/>
        <v>0</v>
      </c>
      <c r="J39" s="124">
        <f t="shared" si="31"/>
        <v>0</v>
      </c>
      <c r="K39" s="124">
        <f t="shared" si="31"/>
        <v>0</v>
      </c>
      <c r="L39" s="124">
        <f t="shared" si="31"/>
        <v>0</v>
      </c>
      <c r="M39" s="124">
        <f t="shared" si="31"/>
        <v>0</v>
      </c>
      <c r="N39" s="124">
        <f t="shared" si="31"/>
        <v>0</v>
      </c>
      <c r="O39" s="124">
        <f t="shared" si="31"/>
        <v>0</v>
      </c>
      <c r="P39" s="124">
        <f t="shared" si="31"/>
        <v>0</v>
      </c>
      <c r="Q39" s="124">
        <f t="shared" si="31"/>
        <v>0</v>
      </c>
      <c r="R39" s="124">
        <f t="shared" si="31"/>
        <v>0</v>
      </c>
      <c r="S39" s="124">
        <f t="shared" si="31"/>
        <v>0</v>
      </c>
      <c r="T39" s="124">
        <f t="shared" si="31"/>
        <v>0</v>
      </c>
    </row>
    <row r="40" spans="1:20">
      <c r="A40" s="113"/>
      <c r="B40" s="113"/>
      <c r="C40" s="113" t="s">
        <v>211</v>
      </c>
      <c r="D40" s="113">
        <f>D55-D80</f>
        <v>0</v>
      </c>
      <c r="E40" s="113">
        <f t="shared" ref="E40:T40" si="32">E55-E80</f>
        <v>0</v>
      </c>
      <c r="F40" s="113">
        <f t="shared" si="32"/>
        <v>0</v>
      </c>
      <c r="G40" s="113">
        <f t="shared" si="32"/>
        <v>0</v>
      </c>
      <c r="H40" s="113">
        <f t="shared" si="32"/>
        <v>0</v>
      </c>
      <c r="I40" s="113">
        <f t="shared" si="32"/>
        <v>0</v>
      </c>
      <c r="J40" s="113">
        <f t="shared" si="32"/>
        <v>0</v>
      </c>
      <c r="K40" s="113">
        <f t="shared" si="32"/>
        <v>0</v>
      </c>
      <c r="L40" s="113">
        <f t="shared" si="32"/>
        <v>0</v>
      </c>
      <c r="M40" s="113">
        <f t="shared" si="32"/>
        <v>0</v>
      </c>
      <c r="N40" s="113">
        <f t="shared" si="32"/>
        <v>0</v>
      </c>
      <c r="O40" s="113">
        <f t="shared" si="32"/>
        <v>0</v>
      </c>
      <c r="P40" s="113">
        <f t="shared" si="32"/>
        <v>0</v>
      </c>
      <c r="Q40" s="113">
        <f t="shared" si="32"/>
        <v>0</v>
      </c>
      <c r="R40" s="113">
        <f t="shared" si="32"/>
        <v>0</v>
      </c>
      <c r="S40" s="113">
        <f t="shared" si="32"/>
        <v>0</v>
      </c>
      <c r="T40" s="113">
        <f t="shared" si="32"/>
        <v>0</v>
      </c>
    </row>
    <row r="41" spans="1:20">
      <c r="A41" s="98" t="s">
        <v>212</v>
      </c>
      <c r="B41" s="98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</row>
    <row r="42" spans="1:20">
      <c r="A42" s="56" t="s">
        <v>55</v>
      </c>
      <c r="B42" s="56"/>
      <c r="C42" s="56" t="s">
        <v>213</v>
      </c>
      <c r="D42" s="56">
        <f t="shared" ref="D42:S47" si="33">IFERROR(SUMIF($A$88:$A$416,$A42,INDEX($D$88:$EE$416,0,MATCH(D$11,$D$84:$EF$84,0))),0)*Input_unit</f>
        <v>0</v>
      </c>
      <c r="E42" s="56">
        <f t="shared" si="33"/>
        <v>0</v>
      </c>
      <c r="F42" s="56">
        <f t="shared" si="33"/>
        <v>0</v>
      </c>
      <c r="G42" s="56">
        <f t="shared" si="33"/>
        <v>0</v>
      </c>
      <c r="H42" s="56">
        <f t="shared" si="33"/>
        <v>0</v>
      </c>
      <c r="I42" s="56">
        <f t="shared" si="33"/>
        <v>0</v>
      </c>
      <c r="J42" s="56">
        <f t="shared" si="33"/>
        <v>0</v>
      </c>
      <c r="K42" s="56">
        <f t="shared" si="33"/>
        <v>0</v>
      </c>
      <c r="L42" s="56">
        <f t="shared" si="33"/>
        <v>0</v>
      </c>
      <c r="M42" s="56">
        <f t="shared" si="33"/>
        <v>0</v>
      </c>
      <c r="N42" s="56">
        <f t="shared" si="33"/>
        <v>0</v>
      </c>
      <c r="O42" s="56">
        <f t="shared" si="33"/>
        <v>0</v>
      </c>
      <c r="P42" s="56">
        <f t="shared" si="33"/>
        <v>0</v>
      </c>
      <c r="Q42" s="56">
        <f t="shared" si="33"/>
        <v>0</v>
      </c>
      <c r="R42" s="56">
        <f t="shared" si="33"/>
        <v>0</v>
      </c>
      <c r="S42" s="56">
        <f t="shared" si="33"/>
        <v>0</v>
      </c>
      <c r="T42" s="56">
        <f t="shared" ref="T42" si="34">IFERROR(SUMIF($A$88:$A$416,$A42,INDEX($D$88:$EE$416,0,MATCH(T$11,$D$84:$EF$84,0))),0)*Input_unit</f>
        <v>0</v>
      </c>
    </row>
    <row r="43" spans="1:20">
      <c r="A43" s="56" t="s">
        <v>56</v>
      </c>
      <c r="B43" s="56"/>
      <c r="C43" s="56" t="s">
        <v>214</v>
      </c>
      <c r="D43" s="56">
        <f t="shared" si="33"/>
        <v>0</v>
      </c>
      <c r="E43" s="56">
        <f t="shared" si="33"/>
        <v>0</v>
      </c>
      <c r="F43" s="56">
        <f t="shared" si="33"/>
        <v>0</v>
      </c>
      <c r="G43" s="56">
        <f t="shared" si="33"/>
        <v>0</v>
      </c>
      <c r="H43" s="56">
        <f t="shared" si="33"/>
        <v>0</v>
      </c>
      <c r="I43" s="56">
        <f t="shared" si="33"/>
        <v>0</v>
      </c>
      <c r="J43" s="56">
        <f t="shared" si="33"/>
        <v>0</v>
      </c>
      <c r="K43" s="56">
        <f t="shared" si="33"/>
        <v>0</v>
      </c>
      <c r="L43" s="56">
        <f t="shared" si="33"/>
        <v>0</v>
      </c>
      <c r="M43" s="56">
        <f t="shared" si="33"/>
        <v>0</v>
      </c>
      <c r="N43" s="56">
        <f t="shared" ref="N43:T47" si="35">IFERROR(SUMIF($A$88:$A$416,$A43,INDEX($D$88:$EE$416,0,MATCH(N$11,$D$84:$EF$84,0))),0)*Input_unit</f>
        <v>0</v>
      </c>
      <c r="O43" s="56">
        <f t="shared" si="35"/>
        <v>0</v>
      </c>
      <c r="P43" s="56">
        <f t="shared" si="35"/>
        <v>0</v>
      </c>
      <c r="Q43" s="56">
        <f t="shared" si="35"/>
        <v>0</v>
      </c>
      <c r="R43" s="56">
        <f t="shared" si="35"/>
        <v>0</v>
      </c>
      <c r="S43" s="56">
        <f t="shared" si="35"/>
        <v>0</v>
      </c>
      <c r="T43" s="56">
        <f t="shared" si="35"/>
        <v>0</v>
      </c>
    </row>
    <row r="44" spans="1:20">
      <c r="A44" s="56" t="s">
        <v>63</v>
      </c>
      <c r="B44" s="56"/>
      <c r="C44" s="97" t="s">
        <v>215</v>
      </c>
      <c r="D44" s="56">
        <f t="shared" si="33"/>
        <v>0</v>
      </c>
      <c r="E44" s="56">
        <f t="shared" si="33"/>
        <v>0</v>
      </c>
      <c r="F44" s="56">
        <f t="shared" si="33"/>
        <v>0</v>
      </c>
      <c r="G44" s="56">
        <f t="shared" si="33"/>
        <v>0</v>
      </c>
      <c r="H44" s="56">
        <f t="shared" si="33"/>
        <v>0</v>
      </c>
      <c r="I44" s="56">
        <f t="shared" si="33"/>
        <v>0</v>
      </c>
      <c r="J44" s="56">
        <f t="shared" si="33"/>
        <v>0</v>
      </c>
      <c r="K44" s="56">
        <f t="shared" si="33"/>
        <v>0</v>
      </c>
      <c r="L44" s="56">
        <f t="shared" si="33"/>
        <v>0</v>
      </c>
      <c r="M44" s="56">
        <f t="shared" si="33"/>
        <v>0</v>
      </c>
      <c r="N44" s="56">
        <f t="shared" si="35"/>
        <v>0</v>
      </c>
      <c r="O44" s="56">
        <f t="shared" si="35"/>
        <v>0</v>
      </c>
      <c r="P44" s="56">
        <f t="shared" si="35"/>
        <v>0</v>
      </c>
      <c r="Q44" s="56">
        <f t="shared" si="35"/>
        <v>0</v>
      </c>
      <c r="R44" s="56">
        <f t="shared" si="35"/>
        <v>0</v>
      </c>
      <c r="S44" s="56">
        <f t="shared" si="35"/>
        <v>0</v>
      </c>
      <c r="T44" s="56">
        <f t="shared" si="35"/>
        <v>0</v>
      </c>
    </row>
    <row r="45" spans="1:20">
      <c r="A45" s="56" t="s">
        <v>58</v>
      </c>
      <c r="B45" s="56"/>
      <c r="C45" s="97" t="s">
        <v>6</v>
      </c>
      <c r="D45" s="56">
        <f t="shared" si="33"/>
        <v>0</v>
      </c>
      <c r="E45" s="56">
        <f t="shared" si="33"/>
        <v>0</v>
      </c>
      <c r="F45" s="56">
        <f t="shared" si="33"/>
        <v>0</v>
      </c>
      <c r="G45" s="56">
        <f t="shared" si="33"/>
        <v>0</v>
      </c>
      <c r="H45" s="56">
        <f t="shared" si="33"/>
        <v>0</v>
      </c>
      <c r="I45" s="56">
        <f t="shared" si="33"/>
        <v>0</v>
      </c>
      <c r="J45" s="56">
        <f t="shared" si="33"/>
        <v>0</v>
      </c>
      <c r="K45" s="56">
        <f t="shared" si="33"/>
        <v>0</v>
      </c>
      <c r="L45" s="56">
        <f t="shared" si="33"/>
        <v>0</v>
      </c>
      <c r="M45" s="56">
        <f t="shared" si="33"/>
        <v>0</v>
      </c>
      <c r="N45" s="56">
        <f t="shared" si="35"/>
        <v>0</v>
      </c>
      <c r="O45" s="56">
        <f t="shared" si="35"/>
        <v>0</v>
      </c>
      <c r="P45" s="56">
        <f t="shared" si="35"/>
        <v>0</v>
      </c>
      <c r="Q45" s="56">
        <f t="shared" si="35"/>
        <v>0</v>
      </c>
      <c r="R45" s="56">
        <f t="shared" si="35"/>
        <v>0</v>
      </c>
      <c r="S45" s="56">
        <f t="shared" si="35"/>
        <v>0</v>
      </c>
      <c r="T45" s="56">
        <f t="shared" si="35"/>
        <v>0</v>
      </c>
    </row>
    <row r="46" spans="1:20">
      <c r="A46" s="56" t="s">
        <v>57</v>
      </c>
      <c r="B46" s="56"/>
      <c r="C46" s="97" t="s">
        <v>582</v>
      </c>
      <c r="D46" s="56">
        <f t="shared" si="33"/>
        <v>0</v>
      </c>
      <c r="E46" s="56">
        <f t="shared" si="33"/>
        <v>0</v>
      </c>
      <c r="F46" s="56">
        <f t="shared" si="33"/>
        <v>0</v>
      </c>
      <c r="G46" s="56">
        <f t="shared" si="33"/>
        <v>0</v>
      </c>
      <c r="H46" s="56">
        <f t="shared" si="33"/>
        <v>0</v>
      </c>
      <c r="I46" s="56">
        <f t="shared" si="33"/>
        <v>0</v>
      </c>
      <c r="J46" s="56">
        <f t="shared" si="33"/>
        <v>0</v>
      </c>
      <c r="K46" s="56">
        <f t="shared" si="33"/>
        <v>0</v>
      </c>
      <c r="L46" s="56">
        <f t="shared" si="33"/>
        <v>0</v>
      </c>
      <c r="M46" s="56">
        <f t="shared" si="33"/>
        <v>0</v>
      </c>
      <c r="N46" s="56">
        <f t="shared" si="35"/>
        <v>0</v>
      </c>
      <c r="O46" s="56">
        <f t="shared" si="35"/>
        <v>0</v>
      </c>
      <c r="P46" s="56">
        <f t="shared" si="35"/>
        <v>0</v>
      </c>
      <c r="Q46" s="56">
        <f t="shared" si="35"/>
        <v>0</v>
      </c>
      <c r="R46" s="56">
        <f t="shared" si="35"/>
        <v>0</v>
      </c>
      <c r="S46" s="56">
        <f t="shared" si="35"/>
        <v>0</v>
      </c>
      <c r="T46" s="56">
        <f t="shared" si="35"/>
        <v>0</v>
      </c>
    </row>
    <row r="47" spans="1:20">
      <c r="A47" s="56" t="s">
        <v>60</v>
      </c>
      <c r="B47" s="56"/>
      <c r="C47" s="97" t="s">
        <v>216</v>
      </c>
      <c r="D47" s="56">
        <f t="shared" si="33"/>
        <v>0</v>
      </c>
      <c r="E47" s="56">
        <f t="shared" si="33"/>
        <v>0</v>
      </c>
      <c r="F47" s="56">
        <f t="shared" si="33"/>
        <v>0</v>
      </c>
      <c r="G47" s="56">
        <f t="shared" si="33"/>
        <v>0</v>
      </c>
      <c r="H47" s="56">
        <f t="shared" si="33"/>
        <v>0</v>
      </c>
      <c r="I47" s="56">
        <f t="shared" si="33"/>
        <v>0</v>
      </c>
      <c r="J47" s="56">
        <f t="shared" si="33"/>
        <v>0</v>
      </c>
      <c r="K47" s="56">
        <f t="shared" si="33"/>
        <v>0</v>
      </c>
      <c r="L47" s="56">
        <f t="shared" si="33"/>
        <v>0</v>
      </c>
      <c r="M47" s="56">
        <f t="shared" si="33"/>
        <v>0</v>
      </c>
      <c r="N47" s="56">
        <f t="shared" si="35"/>
        <v>0</v>
      </c>
      <c r="O47" s="56">
        <f t="shared" si="35"/>
        <v>0</v>
      </c>
      <c r="P47" s="56">
        <f t="shared" si="35"/>
        <v>0</v>
      </c>
      <c r="Q47" s="56">
        <f t="shared" si="35"/>
        <v>0</v>
      </c>
      <c r="R47" s="56">
        <f t="shared" si="35"/>
        <v>0</v>
      </c>
      <c r="S47" s="56">
        <f t="shared" si="35"/>
        <v>0</v>
      </c>
      <c r="T47" s="56">
        <f t="shared" si="35"/>
        <v>0</v>
      </c>
    </row>
    <row r="48" spans="1:20">
      <c r="A48" s="98"/>
      <c r="B48" s="98"/>
      <c r="C48" s="99" t="s">
        <v>217</v>
      </c>
      <c r="D48" s="98">
        <f>SUM(D42:D47)</f>
        <v>0</v>
      </c>
      <c r="E48" s="98">
        <f t="shared" ref="E48:T48" si="36">SUM(E42:E47)</f>
        <v>0</v>
      </c>
      <c r="F48" s="98">
        <f t="shared" si="36"/>
        <v>0</v>
      </c>
      <c r="G48" s="98">
        <f t="shared" si="36"/>
        <v>0</v>
      </c>
      <c r="H48" s="98">
        <f t="shared" si="36"/>
        <v>0</v>
      </c>
      <c r="I48" s="98">
        <f t="shared" si="36"/>
        <v>0</v>
      </c>
      <c r="J48" s="98">
        <f t="shared" si="36"/>
        <v>0</v>
      </c>
      <c r="K48" s="98">
        <f t="shared" si="36"/>
        <v>0</v>
      </c>
      <c r="L48" s="98">
        <f t="shared" si="36"/>
        <v>0</v>
      </c>
      <c r="M48" s="98">
        <f t="shared" si="36"/>
        <v>0</v>
      </c>
      <c r="N48" s="98">
        <f t="shared" si="36"/>
        <v>0</v>
      </c>
      <c r="O48" s="98">
        <f t="shared" si="36"/>
        <v>0</v>
      </c>
      <c r="P48" s="98">
        <f t="shared" si="36"/>
        <v>0</v>
      </c>
      <c r="Q48" s="98">
        <f t="shared" si="36"/>
        <v>0</v>
      </c>
      <c r="R48" s="98">
        <f t="shared" si="36"/>
        <v>0</v>
      </c>
      <c r="S48" s="98">
        <f t="shared" si="36"/>
        <v>0</v>
      </c>
      <c r="T48" s="98">
        <f t="shared" si="36"/>
        <v>0</v>
      </c>
    </row>
    <row r="49" spans="1:20">
      <c r="A49" s="56" t="s">
        <v>583</v>
      </c>
      <c r="B49" s="56"/>
      <c r="C49" s="97" t="s">
        <v>218</v>
      </c>
      <c r="D49" s="56">
        <f t="shared" ref="D49:M53" si="37">IFERROR(SUMIF($A$88:$A$416,$A49,INDEX($D$88:$EE$416,0,MATCH(D$11,$D$84:$EF$84,0))),0)*Input_unit</f>
        <v>0</v>
      </c>
      <c r="E49" s="56">
        <f t="shared" si="37"/>
        <v>0</v>
      </c>
      <c r="F49" s="56">
        <f t="shared" si="37"/>
        <v>0</v>
      </c>
      <c r="G49" s="56">
        <f t="shared" si="37"/>
        <v>0</v>
      </c>
      <c r="H49" s="56">
        <f t="shared" si="37"/>
        <v>0</v>
      </c>
      <c r="I49" s="56">
        <f t="shared" si="37"/>
        <v>0</v>
      </c>
      <c r="J49" s="56">
        <f t="shared" si="37"/>
        <v>0</v>
      </c>
      <c r="K49" s="56">
        <f t="shared" si="37"/>
        <v>0</v>
      </c>
      <c r="L49" s="56">
        <f t="shared" si="37"/>
        <v>0</v>
      </c>
      <c r="M49" s="56">
        <f t="shared" si="37"/>
        <v>0</v>
      </c>
      <c r="N49" s="56">
        <f t="shared" ref="N49:T53" si="38">IFERROR(SUMIF($A$88:$A$416,$A49,INDEX($D$88:$EE$416,0,MATCH(N$11,$D$84:$EF$84,0))),0)*Input_unit</f>
        <v>0</v>
      </c>
      <c r="O49" s="56">
        <f t="shared" si="38"/>
        <v>0</v>
      </c>
      <c r="P49" s="56">
        <f t="shared" si="38"/>
        <v>0</v>
      </c>
      <c r="Q49" s="56">
        <f t="shared" si="38"/>
        <v>0</v>
      </c>
      <c r="R49" s="56">
        <f t="shared" si="38"/>
        <v>0</v>
      </c>
      <c r="S49" s="56">
        <f t="shared" si="38"/>
        <v>0</v>
      </c>
      <c r="T49" s="56">
        <f t="shared" si="38"/>
        <v>0</v>
      </c>
    </row>
    <row r="50" spans="1:20">
      <c r="A50" s="56" t="s">
        <v>584</v>
      </c>
      <c r="B50" s="56"/>
      <c r="C50" s="97" t="s">
        <v>219</v>
      </c>
      <c r="D50" s="56">
        <f t="shared" si="37"/>
        <v>0</v>
      </c>
      <c r="E50" s="56">
        <f t="shared" si="37"/>
        <v>0</v>
      </c>
      <c r="F50" s="56">
        <f t="shared" si="37"/>
        <v>0</v>
      </c>
      <c r="G50" s="56">
        <f t="shared" si="37"/>
        <v>0</v>
      </c>
      <c r="H50" s="56">
        <f t="shared" si="37"/>
        <v>0</v>
      </c>
      <c r="I50" s="56">
        <f t="shared" si="37"/>
        <v>0</v>
      </c>
      <c r="J50" s="56">
        <f t="shared" si="37"/>
        <v>0</v>
      </c>
      <c r="K50" s="56">
        <f t="shared" si="37"/>
        <v>0</v>
      </c>
      <c r="L50" s="56">
        <f t="shared" si="37"/>
        <v>0</v>
      </c>
      <c r="M50" s="56">
        <f t="shared" si="37"/>
        <v>0</v>
      </c>
      <c r="N50" s="56">
        <f t="shared" si="38"/>
        <v>0</v>
      </c>
      <c r="O50" s="56">
        <f t="shared" si="38"/>
        <v>0</v>
      </c>
      <c r="P50" s="56">
        <f t="shared" si="38"/>
        <v>0</v>
      </c>
      <c r="Q50" s="56">
        <f t="shared" si="38"/>
        <v>0</v>
      </c>
      <c r="R50" s="56">
        <f t="shared" si="38"/>
        <v>0</v>
      </c>
      <c r="S50" s="56">
        <f t="shared" si="38"/>
        <v>0</v>
      </c>
      <c r="T50" s="56">
        <f t="shared" si="38"/>
        <v>0</v>
      </c>
    </row>
    <row r="51" spans="1:20">
      <c r="A51" s="56" t="s">
        <v>66</v>
      </c>
      <c r="B51" s="56"/>
      <c r="C51" s="97" t="s">
        <v>220</v>
      </c>
      <c r="D51" s="56">
        <f t="shared" si="37"/>
        <v>0</v>
      </c>
      <c r="E51" s="56">
        <f t="shared" si="37"/>
        <v>0</v>
      </c>
      <c r="F51" s="56">
        <f t="shared" si="37"/>
        <v>0</v>
      </c>
      <c r="G51" s="56">
        <f t="shared" si="37"/>
        <v>0</v>
      </c>
      <c r="H51" s="56">
        <f t="shared" si="37"/>
        <v>0</v>
      </c>
      <c r="I51" s="56">
        <f t="shared" si="37"/>
        <v>0</v>
      </c>
      <c r="J51" s="56">
        <f t="shared" si="37"/>
        <v>0</v>
      </c>
      <c r="K51" s="56">
        <f t="shared" si="37"/>
        <v>0</v>
      </c>
      <c r="L51" s="56">
        <f t="shared" si="37"/>
        <v>0</v>
      </c>
      <c r="M51" s="56">
        <f t="shared" si="37"/>
        <v>0</v>
      </c>
      <c r="N51" s="56">
        <f t="shared" si="38"/>
        <v>0</v>
      </c>
      <c r="O51" s="56">
        <f t="shared" si="38"/>
        <v>0</v>
      </c>
      <c r="P51" s="56">
        <f t="shared" si="38"/>
        <v>0</v>
      </c>
      <c r="Q51" s="56">
        <f t="shared" si="38"/>
        <v>0</v>
      </c>
      <c r="R51" s="56">
        <f t="shared" si="38"/>
        <v>0</v>
      </c>
      <c r="S51" s="56">
        <f t="shared" si="38"/>
        <v>0</v>
      </c>
      <c r="T51" s="56">
        <f t="shared" si="38"/>
        <v>0</v>
      </c>
    </row>
    <row r="52" spans="1:20">
      <c r="A52" s="56" t="s">
        <v>585</v>
      </c>
      <c r="B52" s="56"/>
      <c r="C52" s="56" t="s">
        <v>221</v>
      </c>
      <c r="D52" s="56">
        <f t="shared" si="37"/>
        <v>0</v>
      </c>
      <c r="E52" s="56">
        <f t="shared" si="37"/>
        <v>0</v>
      </c>
      <c r="F52" s="56">
        <f t="shared" si="37"/>
        <v>0</v>
      </c>
      <c r="G52" s="56">
        <f t="shared" si="37"/>
        <v>0</v>
      </c>
      <c r="H52" s="56">
        <f t="shared" si="37"/>
        <v>0</v>
      </c>
      <c r="I52" s="56">
        <f t="shared" si="37"/>
        <v>0</v>
      </c>
      <c r="J52" s="56">
        <f t="shared" si="37"/>
        <v>0</v>
      </c>
      <c r="K52" s="56">
        <f t="shared" si="37"/>
        <v>0</v>
      </c>
      <c r="L52" s="56">
        <f t="shared" si="37"/>
        <v>0</v>
      </c>
      <c r="M52" s="56">
        <f t="shared" si="37"/>
        <v>0</v>
      </c>
      <c r="N52" s="56">
        <f t="shared" si="38"/>
        <v>0</v>
      </c>
      <c r="O52" s="56">
        <f t="shared" si="38"/>
        <v>0</v>
      </c>
      <c r="P52" s="56">
        <f t="shared" si="38"/>
        <v>0</v>
      </c>
      <c r="Q52" s="56">
        <f t="shared" si="38"/>
        <v>0</v>
      </c>
      <c r="R52" s="56">
        <f t="shared" si="38"/>
        <v>0</v>
      </c>
      <c r="S52" s="56">
        <f t="shared" si="38"/>
        <v>0</v>
      </c>
      <c r="T52" s="56">
        <f t="shared" si="38"/>
        <v>0</v>
      </c>
    </row>
    <row r="53" spans="1:20">
      <c r="A53" s="56" t="s">
        <v>82</v>
      </c>
      <c r="B53" s="56"/>
      <c r="C53" s="56" t="s">
        <v>222</v>
      </c>
      <c r="D53" s="56">
        <f t="shared" si="37"/>
        <v>0</v>
      </c>
      <c r="E53" s="56">
        <f t="shared" si="37"/>
        <v>0</v>
      </c>
      <c r="F53" s="56">
        <f t="shared" si="37"/>
        <v>0</v>
      </c>
      <c r="G53" s="56">
        <f t="shared" si="37"/>
        <v>0</v>
      </c>
      <c r="H53" s="56">
        <f t="shared" si="37"/>
        <v>0</v>
      </c>
      <c r="I53" s="56">
        <f t="shared" si="37"/>
        <v>0</v>
      </c>
      <c r="J53" s="56">
        <f t="shared" si="37"/>
        <v>0</v>
      </c>
      <c r="K53" s="56">
        <f t="shared" si="37"/>
        <v>0</v>
      </c>
      <c r="L53" s="56">
        <f t="shared" si="37"/>
        <v>0</v>
      </c>
      <c r="M53" s="56">
        <f t="shared" si="37"/>
        <v>0</v>
      </c>
      <c r="N53" s="56">
        <f t="shared" si="38"/>
        <v>0</v>
      </c>
      <c r="O53" s="56">
        <f t="shared" si="38"/>
        <v>0</v>
      </c>
      <c r="P53" s="56">
        <f t="shared" si="38"/>
        <v>0</v>
      </c>
      <c r="Q53" s="56">
        <f t="shared" si="38"/>
        <v>0</v>
      </c>
      <c r="R53" s="56">
        <f t="shared" si="38"/>
        <v>0</v>
      </c>
      <c r="S53" s="56">
        <f t="shared" si="38"/>
        <v>0</v>
      </c>
      <c r="T53" s="56">
        <f t="shared" si="38"/>
        <v>0</v>
      </c>
    </row>
    <row r="54" spans="1:20">
      <c r="A54" s="98"/>
      <c r="B54" s="98"/>
      <c r="C54" s="98" t="s">
        <v>223</v>
      </c>
      <c r="D54" s="98">
        <f>SUM(D49:D53)</f>
        <v>0</v>
      </c>
      <c r="E54" s="98">
        <f t="shared" ref="E54:T54" si="39">SUM(E49:E53)</f>
        <v>0</v>
      </c>
      <c r="F54" s="98">
        <f t="shared" si="39"/>
        <v>0</v>
      </c>
      <c r="G54" s="98">
        <f t="shared" si="39"/>
        <v>0</v>
      </c>
      <c r="H54" s="98">
        <f t="shared" si="39"/>
        <v>0</v>
      </c>
      <c r="I54" s="98">
        <f t="shared" si="39"/>
        <v>0</v>
      </c>
      <c r="J54" s="98">
        <f t="shared" si="39"/>
        <v>0</v>
      </c>
      <c r="K54" s="98">
        <f t="shared" si="39"/>
        <v>0</v>
      </c>
      <c r="L54" s="98">
        <f t="shared" si="39"/>
        <v>0</v>
      </c>
      <c r="M54" s="98">
        <f t="shared" si="39"/>
        <v>0</v>
      </c>
      <c r="N54" s="98">
        <f t="shared" si="39"/>
        <v>0</v>
      </c>
      <c r="O54" s="98">
        <f t="shared" si="39"/>
        <v>0</v>
      </c>
      <c r="P54" s="98">
        <f t="shared" si="39"/>
        <v>0</v>
      </c>
      <c r="Q54" s="98">
        <f t="shared" si="39"/>
        <v>0</v>
      </c>
      <c r="R54" s="98">
        <f t="shared" si="39"/>
        <v>0</v>
      </c>
      <c r="S54" s="98">
        <f t="shared" si="39"/>
        <v>0</v>
      </c>
      <c r="T54" s="98">
        <f t="shared" si="39"/>
        <v>0</v>
      </c>
    </row>
    <row r="55" spans="1:20">
      <c r="A55" s="98"/>
      <c r="B55" s="98"/>
      <c r="C55" s="98" t="s">
        <v>10</v>
      </c>
      <c r="D55" s="98">
        <f>D48+D54</f>
        <v>0</v>
      </c>
      <c r="E55" s="98">
        <f t="shared" ref="E55:T55" si="40">E48+E54</f>
        <v>0</v>
      </c>
      <c r="F55" s="98">
        <f t="shared" si="40"/>
        <v>0</v>
      </c>
      <c r="G55" s="98">
        <f t="shared" si="40"/>
        <v>0</v>
      </c>
      <c r="H55" s="98">
        <f t="shared" si="40"/>
        <v>0</v>
      </c>
      <c r="I55" s="98">
        <f t="shared" si="40"/>
        <v>0</v>
      </c>
      <c r="J55" s="98">
        <f t="shared" si="40"/>
        <v>0</v>
      </c>
      <c r="K55" s="98">
        <f t="shared" si="40"/>
        <v>0</v>
      </c>
      <c r="L55" s="98">
        <f t="shared" si="40"/>
        <v>0</v>
      </c>
      <c r="M55" s="98">
        <f t="shared" si="40"/>
        <v>0</v>
      </c>
      <c r="N55" s="98">
        <f t="shared" si="40"/>
        <v>0</v>
      </c>
      <c r="O55" s="98">
        <f t="shared" si="40"/>
        <v>0</v>
      </c>
      <c r="P55" s="98">
        <f t="shared" si="40"/>
        <v>0</v>
      </c>
      <c r="Q55" s="98">
        <f t="shared" si="40"/>
        <v>0</v>
      </c>
      <c r="R55" s="98">
        <f t="shared" si="40"/>
        <v>0</v>
      </c>
      <c r="S55" s="98">
        <f t="shared" si="40"/>
        <v>0</v>
      </c>
      <c r="T55" s="98">
        <f t="shared" si="40"/>
        <v>0</v>
      </c>
    </row>
    <row r="56" spans="1:20">
      <c r="A56" s="98" t="s">
        <v>224</v>
      </c>
      <c r="B56" s="98"/>
      <c r="C56" s="56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</row>
    <row r="57" spans="1:20">
      <c r="A57" s="56" t="s">
        <v>100</v>
      </c>
      <c r="B57" s="56"/>
      <c r="C57" s="56" t="s">
        <v>225</v>
      </c>
      <c r="D57" s="56">
        <f t="shared" ref="D57:S64" si="41">IFERROR(SUMIF($A$88:$A$416,$A57,INDEX($D$88:$EE$416,0,MATCH(D$11,$D$84:$EF$84,0))),0)*Input_unit</f>
        <v>0</v>
      </c>
      <c r="E57" s="56">
        <f t="shared" si="41"/>
        <v>0</v>
      </c>
      <c r="F57" s="56">
        <f t="shared" si="41"/>
        <v>0</v>
      </c>
      <c r="G57" s="56">
        <f t="shared" si="41"/>
        <v>0</v>
      </c>
      <c r="H57" s="56">
        <f t="shared" si="41"/>
        <v>0</v>
      </c>
      <c r="I57" s="56">
        <f t="shared" si="41"/>
        <v>0</v>
      </c>
      <c r="J57" s="56">
        <f t="shared" si="41"/>
        <v>0</v>
      </c>
      <c r="K57" s="56">
        <f t="shared" si="41"/>
        <v>0</v>
      </c>
      <c r="L57" s="56">
        <f t="shared" si="41"/>
        <v>0</v>
      </c>
      <c r="M57" s="56">
        <f t="shared" si="41"/>
        <v>0</v>
      </c>
      <c r="N57" s="56">
        <f t="shared" ref="N57:T64" si="42">IFERROR(SUMIF($A$88:$A$416,$A57,INDEX($D$88:$EE$416,0,MATCH(N$11,$D$84:$EF$84,0))),0)*Input_unit</f>
        <v>0</v>
      </c>
      <c r="O57" s="56">
        <f t="shared" si="42"/>
        <v>0</v>
      </c>
      <c r="P57" s="56">
        <f t="shared" si="42"/>
        <v>0</v>
      </c>
      <c r="Q57" s="56">
        <f t="shared" si="42"/>
        <v>0</v>
      </c>
      <c r="R57" s="56">
        <f t="shared" si="42"/>
        <v>0</v>
      </c>
      <c r="S57" s="56">
        <f t="shared" si="42"/>
        <v>0</v>
      </c>
      <c r="T57" s="56">
        <f t="shared" si="42"/>
        <v>0</v>
      </c>
    </row>
    <row r="58" spans="1:20">
      <c r="A58" s="56" t="s">
        <v>586</v>
      </c>
      <c r="B58" s="56"/>
      <c r="C58" s="56" t="s">
        <v>226</v>
      </c>
      <c r="D58" s="56">
        <f t="shared" si="41"/>
        <v>0</v>
      </c>
      <c r="E58" s="56">
        <f t="shared" si="41"/>
        <v>0</v>
      </c>
      <c r="F58" s="56">
        <f t="shared" si="41"/>
        <v>0</v>
      </c>
      <c r="G58" s="56">
        <f t="shared" si="41"/>
        <v>0</v>
      </c>
      <c r="H58" s="56">
        <f t="shared" si="41"/>
        <v>0</v>
      </c>
      <c r="I58" s="56">
        <f t="shared" si="41"/>
        <v>0</v>
      </c>
      <c r="J58" s="56">
        <f t="shared" si="41"/>
        <v>0</v>
      </c>
      <c r="K58" s="56">
        <f t="shared" si="41"/>
        <v>0</v>
      </c>
      <c r="L58" s="56">
        <f t="shared" si="41"/>
        <v>0</v>
      </c>
      <c r="M58" s="56">
        <f t="shared" si="41"/>
        <v>0</v>
      </c>
      <c r="N58" s="56">
        <f t="shared" si="41"/>
        <v>0</v>
      </c>
      <c r="O58" s="56">
        <f t="shared" si="41"/>
        <v>0</v>
      </c>
      <c r="P58" s="56">
        <f t="shared" si="41"/>
        <v>0</v>
      </c>
      <c r="Q58" s="56">
        <f t="shared" si="41"/>
        <v>0</v>
      </c>
      <c r="R58" s="56">
        <f t="shared" si="41"/>
        <v>0</v>
      </c>
      <c r="S58" s="56">
        <f t="shared" si="41"/>
        <v>0</v>
      </c>
      <c r="T58" s="56">
        <f t="shared" si="42"/>
        <v>0</v>
      </c>
    </row>
    <row r="59" spans="1:20">
      <c r="A59" s="56" t="s">
        <v>587</v>
      </c>
      <c r="B59" s="56"/>
      <c r="C59" s="56" t="s">
        <v>227</v>
      </c>
      <c r="D59" s="56">
        <f t="shared" si="41"/>
        <v>0</v>
      </c>
      <c r="E59" s="56">
        <f t="shared" si="41"/>
        <v>0</v>
      </c>
      <c r="F59" s="56">
        <f t="shared" si="41"/>
        <v>0</v>
      </c>
      <c r="G59" s="56">
        <f t="shared" si="41"/>
        <v>0</v>
      </c>
      <c r="H59" s="56">
        <f t="shared" si="41"/>
        <v>0</v>
      </c>
      <c r="I59" s="56">
        <f t="shared" si="41"/>
        <v>0</v>
      </c>
      <c r="J59" s="56">
        <f t="shared" si="41"/>
        <v>0</v>
      </c>
      <c r="K59" s="56">
        <f t="shared" si="41"/>
        <v>0</v>
      </c>
      <c r="L59" s="56">
        <f t="shared" si="41"/>
        <v>0</v>
      </c>
      <c r="M59" s="56">
        <f t="shared" si="41"/>
        <v>0</v>
      </c>
      <c r="N59" s="56">
        <f t="shared" si="42"/>
        <v>0</v>
      </c>
      <c r="O59" s="56">
        <f t="shared" si="42"/>
        <v>0</v>
      </c>
      <c r="P59" s="56">
        <f t="shared" si="42"/>
        <v>0</v>
      </c>
      <c r="Q59" s="56">
        <f t="shared" si="42"/>
        <v>0</v>
      </c>
      <c r="R59" s="56">
        <f t="shared" si="42"/>
        <v>0</v>
      </c>
      <c r="S59" s="56">
        <f t="shared" si="42"/>
        <v>0</v>
      </c>
      <c r="T59" s="56">
        <f t="shared" si="42"/>
        <v>0</v>
      </c>
    </row>
    <row r="60" spans="1:20">
      <c r="A60" s="56" t="s">
        <v>588</v>
      </c>
      <c r="B60" s="56"/>
      <c r="C60" s="97" t="s">
        <v>228</v>
      </c>
      <c r="D60" s="56">
        <f t="shared" si="41"/>
        <v>0</v>
      </c>
      <c r="E60" s="56">
        <f t="shared" si="41"/>
        <v>0</v>
      </c>
      <c r="F60" s="56">
        <f t="shared" si="41"/>
        <v>0</v>
      </c>
      <c r="G60" s="56">
        <f t="shared" si="41"/>
        <v>0</v>
      </c>
      <c r="H60" s="56">
        <f t="shared" si="41"/>
        <v>0</v>
      </c>
      <c r="I60" s="56">
        <f t="shared" si="41"/>
        <v>0</v>
      </c>
      <c r="J60" s="56">
        <f t="shared" si="41"/>
        <v>0</v>
      </c>
      <c r="K60" s="56">
        <f t="shared" si="41"/>
        <v>0</v>
      </c>
      <c r="L60" s="56">
        <f t="shared" si="41"/>
        <v>0</v>
      </c>
      <c r="M60" s="56">
        <f t="shared" si="41"/>
        <v>0</v>
      </c>
      <c r="N60" s="56">
        <f t="shared" si="42"/>
        <v>0</v>
      </c>
      <c r="O60" s="56">
        <f t="shared" si="42"/>
        <v>0</v>
      </c>
      <c r="P60" s="56">
        <f t="shared" si="42"/>
        <v>0</v>
      </c>
      <c r="Q60" s="56">
        <f t="shared" si="42"/>
        <v>0</v>
      </c>
      <c r="R60" s="56">
        <f t="shared" si="42"/>
        <v>0</v>
      </c>
      <c r="S60" s="56">
        <f t="shared" si="42"/>
        <v>0</v>
      </c>
      <c r="T60" s="56">
        <f t="shared" si="42"/>
        <v>0</v>
      </c>
    </row>
    <row r="61" spans="1:20">
      <c r="A61" s="56" t="s">
        <v>96</v>
      </c>
      <c r="B61" s="56"/>
      <c r="C61" s="97" t="s">
        <v>229</v>
      </c>
      <c r="D61" s="56">
        <f t="shared" si="41"/>
        <v>0</v>
      </c>
      <c r="E61" s="56">
        <f t="shared" si="41"/>
        <v>0</v>
      </c>
      <c r="F61" s="56">
        <f t="shared" si="41"/>
        <v>0</v>
      </c>
      <c r="G61" s="56">
        <f t="shared" si="41"/>
        <v>0</v>
      </c>
      <c r="H61" s="56">
        <f t="shared" si="41"/>
        <v>0</v>
      </c>
      <c r="I61" s="56">
        <f t="shared" si="41"/>
        <v>0</v>
      </c>
      <c r="J61" s="56">
        <f t="shared" si="41"/>
        <v>0</v>
      </c>
      <c r="K61" s="56">
        <f t="shared" si="41"/>
        <v>0</v>
      </c>
      <c r="L61" s="56">
        <f t="shared" si="41"/>
        <v>0</v>
      </c>
      <c r="M61" s="56">
        <f t="shared" si="41"/>
        <v>0</v>
      </c>
      <c r="N61" s="56">
        <f t="shared" si="42"/>
        <v>0</v>
      </c>
      <c r="O61" s="56">
        <f t="shared" si="42"/>
        <v>0</v>
      </c>
      <c r="P61" s="56">
        <f t="shared" si="42"/>
        <v>0</v>
      </c>
      <c r="Q61" s="56">
        <f t="shared" si="42"/>
        <v>0</v>
      </c>
      <c r="R61" s="56">
        <f t="shared" si="42"/>
        <v>0</v>
      </c>
      <c r="S61" s="56">
        <f t="shared" si="42"/>
        <v>0</v>
      </c>
      <c r="T61" s="56">
        <f t="shared" si="42"/>
        <v>0</v>
      </c>
    </row>
    <row r="62" spans="1:20">
      <c r="A62" s="56" t="s">
        <v>589</v>
      </c>
      <c r="B62" s="56"/>
      <c r="C62" s="97" t="s">
        <v>230</v>
      </c>
      <c r="D62" s="56">
        <f t="shared" si="41"/>
        <v>0</v>
      </c>
      <c r="E62" s="56">
        <f t="shared" si="41"/>
        <v>0</v>
      </c>
      <c r="F62" s="56">
        <f t="shared" si="41"/>
        <v>0</v>
      </c>
      <c r="G62" s="56">
        <f t="shared" si="41"/>
        <v>0</v>
      </c>
      <c r="H62" s="56">
        <f t="shared" si="41"/>
        <v>0</v>
      </c>
      <c r="I62" s="56">
        <f t="shared" si="41"/>
        <v>0</v>
      </c>
      <c r="J62" s="56">
        <f t="shared" si="41"/>
        <v>0</v>
      </c>
      <c r="K62" s="56">
        <f t="shared" si="41"/>
        <v>0</v>
      </c>
      <c r="L62" s="56">
        <f t="shared" si="41"/>
        <v>0</v>
      </c>
      <c r="M62" s="56">
        <f t="shared" si="41"/>
        <v>0</v>
      </c>
      <c r="N62" s="56">
        <f t="shared" si="42"/>
        <v>0</v>
      </c>
      <c r="O62" s="56">
        <f t="shared" si="42"/>
        <v>0</v>
      </c>
      <c r="P62" s="56">
        <f t="shared" si="42"/>
        <v>0</v>
      </c>
      <c r="Q62" s="56">
        <f t="shared" si="42"/>
        <v>0</v>
      </c>
      <c r="R62" s="56">
        <f t="shared" si="42"/>
        <v>0</v>
      </c>
      <c r="S62" s="56">
        <f t="shared" si="42"/>
        <v>0</v>
      </c>
      <c r="T62" s="56">
        <f t="shared" si="42"/>
        <v>0</v>
      </c>
    </row>
    <row r="63" spans="1:20">
      <c r="A63" s="100" t="s">
        <v>92</v>
      </c>
      <c r="B63" s="100"/>
      <c r="C63" s="101" t="s">
        <v>231</v>
      </c>
      <c r="D63" s="56">
        <f t="shared" si="41"/>
        <v>0</v>
      </c>
      <c r="E63" s="56">
        <f t="shared" si="41"/>
        <v>0</v>
      </c>
      <c r="F63" s="56">
        <f t="shared" si="41"/>
        <v>0</v>
      </c>
      <c r="G63" s="56">
        <f t="shared" si="41"/>
        <v>0</v>
      </c>
      <c r="H63" s="56">
        <f t="shared" si="41"/>
        <v>0</v>
      </c>
      <c r="I63" s="56">
        <f t="shared" si="41"/>
        <v>0</v>
      </c>
      <c r="J63" s="56">
        <f t="shared" si="41"/>
        <v>0</v>
      </c>
      <c r="K63" s="56">
        <f t="shared" si="41"/>
        <v>0</v>
      </c>
      <c r="L63" s="56">
        <f t="shared" si="41"/>
        <v>0</v>
      </c>
      <c r="M63" s="56">
        <f t="shared" si="41"/>
        <v>0</v>
      </c>
      <c r="N63" s="56">
        <f t="shared" si="42"/>
        <v>0</v>
      </c>
      <c r="O63" s="56">
        <f t="shared" si="42"/>
        <v>0</v>
      </c>
      <c r="P63" s="56">
        <f t="shared" si="42"/>
        <v>0</v>
      </c>
      <c r="Q63" s="56">
        <f t="shared" si="42"/>
        <v>0</v>
      </c>
      <c r="R63" s="56">
        <f t="shared" si="42"/>
        <v>0</v>
      </c>
      <c r="S63" s="56">
        <f t="shared" si="42"/>
        <v>0</v>
      </c>
      <c r="T63" s="56">
        <f t="shared" si="42"/>
        <v>0</v>
      </c>
    </row>
    <row r="64" spans="1:20">
      <c r="A64" s="56" t="s">
        <v>590</v>
      </c>
      <c r="B64" s="56"/>
      <c r="C64" s="97" t="s">
        <v>232</v>
      </c>
      <c r="D64" s="56">
        <f t="shared" si="41"/>
        <v>0</v>
      </c>
      <c r="E64" s="56">
        <f t="shared" si="41"/>
        <v>0</v>
      </c>
      <c r="F64" s="56">
        <f t="shared" si="41"/>
        <v>0</v>
      </c>
      <c r="G64" s="56">
        <f t="shared" si="41"/>
        <v>0</v>
      </c>
      <c r="H64" s="56">
        <f t="shared" si="41"/>
        <v>0</v>
      </c>
      <c r="I64" s="56">
        <f t="shared" si="41"/>
        <v>0</v>
      </c>
      <c r="J64" s="56">
        <f t="shared" si="41"/>
        <v>0</v>
      </c>
      <c r="K64" s="56">
        <f t="shared" si="41"/>
        <v>0</v>
      </c>
      <c r="L64" s="56">
        <f t="shared" si="41"/>
        <v>0</v>
      </c>
      <c r="M64" s="56">
        <f t="shared" si="41"/>
        <v>0</v>
      </c>
      <c r="N64" s="56">
        <f t="shared" si="42"/>
        <v>0</v>
      </c>
      <c r="O64" s="56">
        <f t="shared" si="42"/>
        <v>0</v>
      </c>
      <c r="P64" s="56">
        <f t="shared" si="42"/>
        <v>0</v>
      </c>
      <c r="Q64" s="56">
        <f t="shared" si="42"/>
        <v>0</v>
      </c>
      <c r="R64" s="56">
        <f t="shared" si="42"/>
        <v>0</v>
      </c>
      <c r="S64" s="56">
        <f t="shared" si="42"/>
        <v>0</v>
      </c>
      <c r="T64" s="56">
        <f t="shared" si="42"/>
        <v>0</v>
      </c>
    </row>
    <row r="65" spans="1:20">
      <c r="A65" s="98"/>
      <c r="B65" s="98"/>
      <c r="C65" s="99" t="s">
        <v>233</v>
      </c>
      <c r="D65" s="98">
        <f>SUM(D57:D64)</f>
        <v>0</v>
      </c>
      <c r="E65" s="98">
        <f t="shared" ref="E65:T65" si="43">SUM(E57:E64)</f>
        <v>0</v>
      </c>
      <c r="F65" s="98">
        <f t="shared" si="43"/>
        <v>0</v>
      </c>
      <c r="G65" s="98">
        <f t="shared" si="43"/>
        <v>0</v>
      </c>
      <c r="H65" s="98">
        <f t="shared" si="43"/>
        <v>0</v>
      </c>
      <c r="I65" s="98">
        <f t="shared" si="43"/>
        <v>0</v>
      </c>
      <c r="J65" s="98">
        <f t="shared" si="43"/>
        <v>0</v>
      </c>
      <c r="K65" s="98">
        <f t="shared" si="43"/>
        <v>0</v>
      </c>
      <c r="L65" s="98">
        <f t="shared" si="43"/>
        <v>0</v>
      </c>
      <c r="M65" s="98">
        <f t="shared" si="43"/>
        <v>0</v>
      </c>
      <c r="N65" s="98">
        <f t="shared" si="43"/>
        <v>0</v>
      </c>
      <c r="O65" s="98">
        <f t="shared" si="43"/>
        <v>0</v>
      </c>
      <c r="P65" s="98">
        <f t="shared" si="43"/>
        <v>0</v>
      </c>
      <c r="Q65" s="98">
        <f t="shared" si="43"/>
        <v>0</v>
      </c>
      <c r="R65" s="98">
        <f t="shared" si="43"/>
        <v>0</v>
      </c>
      <c r="S65" s="98">
        <f t="shared" si="43"/>
        <v>0</v>
      </c>
      <c r="T65" s="98">
        <f t="shared" si="43"/>
        <v>0</v>
      </c>
    </row>
    <row r="66" spans="1:20">
      <c r="A66" s="56"/>
      <c r="B66" s="56"/>
      <c r="C66" s="97" t="s">
        <v>234</v>
      </c>
      <c r="D66" s="56">
        <f t="shared" ref="D66:M67" si="44">IFERROR(SUMIF($A$88:$A$416,$A66,INDEX($D$88:$EE$416,0,MATCH(D$11,$D$84:$EF$84,0))),0)*Input_unit</f>
        <v>0</v>
      </c>
      <c r="E66" s="56">
        <f t="shared" si="44"/>
        <v>0</v>
      </c>
      <c r="F66" s="56">
        <f t="shared" si="44"/>
        <v>0</v>
      </c>
      <c r="G66" s="56">
        <f t="shared" si="44"/>
        <v>0</v>
      </c>
      <c r="H66" s="56">
        <f t="shared" si="44"/>
        <v>0</v>
      </c>
      <c r="I66" s="56">
        <f t="shared" si="44"/>
        <v>0</v>
      </c>
      <c r="J66" s="56">
        <f t="shared" si="44"/>
        <v>0</v>
      </c>
      <c r="K66" s="56">
        <f t="shared" si="44"/>
        <v>0</v>
      </c>
      <c r="L66" s="56">
        <f t="shared" si="44"/>
        <v>0</v>
      </c>
      <c r="M66" s="56">
        <f t="shared" si="44"/>
        <v>0</v>
      </c>
      <c r="N66" s="56">
        <f t="shared" ref="N66:T67" si="45">IFERROR(SUMIF($A$88:$A$416,$A66,INDEX($D$88:$EE$416,0,MATCH(N$11,$D$84:$EF$84,0))),0)*Input_unit</f>
        <v>0</v>
      </c>
      <c r="O66" s="56">
        <f t="shared" si="45"/>
        <v>0</v>
      </c>
      <c r="P66" s="56">
        <f t="shared" si="45"/>
        <v>0</v>
      </c>
      <c r="Q66" s="56">
        <f t="shared" si="45"/>
        <v>0</v>
      </c>
      <c r="R66" s="56">
        <f t="shared" si="45"/>
        <v>0</v>
      </c>
      <c r="S66" s="56">
        <f t="shared" si="45"/>
        <v>0</v>
      </c>
      <c r="T66" s="56">
        <f t="shared" si="45"/>
        <v>0</v>
      </c>
    </row>
    <row r="67" spans="1:20">
      <c r="A67" s="56" t="s">
        <v>118</v>
      </c>
      <c r="B67" s="56"/>
      <c r="C67" s="97" t="s">
        <v>235</v>
      </c>
      <c r="D67" s="56">
        <f t="shared" si="44"/>
        <v>0</v>
      </c>
      <c r="E67" s="56">
        <f t="shared" si="44"/>
        <v>0</v>
      </c>
      <c r="F67" s="56">
        <f t="shared" si="44"/>
        <v>0</v>
      </c>
      <c r="G67" s="56">
        <f t="shared" si="44"/>
        <v>0</v>
      </c>
      <c r="H67" s="56">
        <f t="shared" si="44"/>
        <v>0</v>
      </c>
      <c r="I67" s="56">
        <f t="shared" si="44"/>
        <v>0</v>
      </c>
      <c r="J67" s="56">
        <f t="shared" si="44"/>
        <v>0</v>
      </c>
      <c r="K67" s="56">
        <f t="shared" si="44"/>
        <v>0</v>
      </c>
      <c r="L67" s="56">
        <f t="shared" si="44"/>
        <v>0</v>
      </c>
      <c r="M67" s="56">
        <f t="shared" si="44"/>
        <v>0</v>
      </c>
      <c r="N67" s="56">
        <f t="shared" si="45"/>
        <v>0</v>
      </c>
      <c r="O67" s="56">
        <f t="shared" si="45"/>
        <v>0</v>
      </c>
      <c r="P67" s="56">
        <f t="shared" si="45"/>
        <v>0</v>
      </c>
      <c r="Q67" s="56">
        <f t="shared" si="45"/>
        <v>0</v>
      </c>
      <c r="R67" s="56">
        <f t="shared" si="45"/>
        <v>0</v>
      </c>
      <c r="S67" s="56">
        <f t="shared" si="45"/>
        <v>0</v>
      </c>
      <c r="T67" s="56">
        <f t="shared" si="45"/>
        <v>0</v>
      </c>
    </row>
    <row r="68" spans="1:20">
      <c r="A68" s="98"/>
      <c r="B68" s="98"/>
      <c r="C68" s="99" t="s">
        <v>236</v>
      </c>
      <c r="D68" s="98">
        <f>D66+D67</f>
        <v>0</v>
      </c>
      <c r="E68" s="98">
        <f t="shared" ref="E68:T68" si="46">E66+E67</f>
        <v>0</v>
      </c>
      <c r="F68" s="98">
        <f t="shared" si="46"/>
        <v>0</v>
      </c>
      <c r="G68" s="98">
        <f t="shared" si="46"/>
        <v>0</v>
      </c>
      <c r="H68" s="98">
        <f t="shared" si="46"/>
        <v>0</v>
      </c>
      <c r="I68" s="98">
        <f t="shared" si="46"/>
        <v>0</v>
      </c>
      <c r="J68" s="98">
        <f t="shared" si="46"/>
        <v>0</v>
      </c>
      <c r="K68" s="98">
        <f t="shared" si="46"/>
        <v>0</v>
      </c>
      <c r="L68" s="98">
        <f t="shared" si="46"/>
        <v>0</v>
      </c>
      <c r="M68" s="98">
        <f t="shared" si="46"/>
        <v>0</v>
      </c>
      <c r="N68" s="98">
        <f t="shared" si="46"/>
        <v>0</v>
      </c>
      <c r="O68" s="98">
        <f t="shared" si="46"/>
        <v>0</v>
      </c>
      <c r="P68" s="98">
        <f t="shared" si="46"/>
        <v>0</v>
      </c>
      <c r="Q68" s="98">
        <f t="shared" si="46"/>
        <v>0</v>
      </c>
      <c r="R68" s="98">
        <f t="shared" si="46"/>
        <v>0</v>
      </c>
      <c r="S68" s="98">
        <f t="shared" si="46"/>
        <v>0</v>
      </c>
      <c r="T68" s="98">
        <f t="shared" si="46"/>
        <v>0</v>
      </c>
    </row>
    <row r="69" spans="1:20">
      <c r="A69" s="56" t="s">
        <v>591</v>
      </c>
      <c r="B69" s="56"/>
      <c r="C69" s="56" t="s">
        <v>237</v>
      </c>
      <c r="D69" s="56">
        <f t="shared" ref="D69:M70" si="47">IFERROR(SUMIF($A$88:$A$416,$A69,INDEX($D$88:$EE$416,0,MATCH(D$11,$D$84:$EF$84,0))),0)*Input_unit</f>
        <v>0</v>
      </c>
      <c r="E69" s="56">
        <f t="shared" si="47"/>
        <v>0</v>
      </c>
      <c r="F69" s="56">
        <f t="shared" si="47"/>
        <v>0</v>
      </c>
      <c r="G69" s="56">
        <f t="shared" si="47"/>
        <v>0</v>
      </c>
      <c r="H69" s="56">
        <f t="shared" si="47"/>
        <v>0</v>
      </c>
      <c r="I69" s="56">
        <f t="shared" si="47"/>
        <v>0</v>
      </c>
      <c r="J69" s="56">
        <f t="shared" si="47"/>
        <v>0</v>
      </c>
      <c r="K69" s="56">
        <f t="shared" si="47"/>
        <v>0</v>
      </c>
      <c r="L69" s="56">
        <f t="shared" si="47"/>
        <v>0</v>
      </c>
      <c r="M69" s="56">
        <f t="shared" si="47"/>
        <v>0</v>
      </c>
      <c r="N69" s="56">
        <f t="shared" ref="N69:T70" si="48">IFERROR(SUMIF($A$88:$A$416,$A69,INDEX($D$88:$EE$416,0,MATCH(N$11,$D$84:$EF$84,0))),0)*Input_unit</f>
        <v>0</v>
      </c>
      <c r="O69" s="56">
        <f t="shared" si="48"/>
        <v>0</v>
      </c>
      <c r="P69" s="56">
        <f t="shared" si="48"/>
        <v>0</v>
      </c>
      <c r="Q69" s="56">
        <f t="shared" si="48"/>
        <v>0</v>
      </c>
      <c r="R69" s="56">
        <f t="shared" si="48"/>
        <v>0</v>
      </c>
      <c r="S69" s="56">
        <f t="shared" si="48"/>
        <v>0</v>
      </c>
      <c r="T69" s="56">
        <f t="shared" si="48"/>
        <v>0</v>
      </c>
    </row>
    <row r="70" spans="1:20">
      <c r="A70" s="56" t="s">
        <v>114</v>
      </c>
      <c r="B70" s="56"/>
      <c r="C70" s="56" t="s">
        <v>238</v>
      </c>
      <c r="D70" s="56">
        <f t="shared" si="47"/>
        <v>0</v>
      </c>
      <c r="E70" s="56">
        <f t="shared" si="47"/>
        <v>0</v>
      </c>
      <c r="F70" s="56">
        <f t="shared" si="47"/>
        <v>0</v>
      </c>
      <c r="G70" s="56">
        <f t="shared" si="47"/>
        <v>0</v>
      </c>
      <c r="H70" s="56">
        <f t="shared" si="47"/>
        <v>0</v>
      </c>
      <c r="I70" s="56">
        <f t="shared" si="47"/>
        <v>0</v>
      </c>
      <c r="J70" s="56">
        <f t="shared" si="47"/>
        <v>0</v>
      </c>
      <c r="K70" s="56">
        <f t="shared" si="47"/>
        <v>0</v>
      </c>
      <c r="L70" s="56">
        <f t="shared" si="47"/>
        <v>0</v>
      </c>
      <c r="M70" s="56">
        <f t="shared" si="47"/>
        <v>0</v>
      </c>
      <c r="N70" s="56">
        <f t="shared" si="48"/>
        <v>0</v>
      </c>
      <c r="O70" s="56">
        <f t="shared" si="48"/>
        <v>0</v>
      </c>
      <c r="P70" s="56">
        <f t="shared" si="48"/>
        <v>0</v>
      </c>
      <c r="Q70" s="56">
        <f t="shared" si="48"/>
        <v>0</v>
      </c>
      <c r="R70" s="56">
        <f t="shared" si="48"/>
        <v>0</v>
      </c>
      <c r="S70" s="56">
        <f t="shared" si="48"/>
        <v>0</v>
      </c>
      <c r="T70" s="56">
        <f t="shared" si="48"/>
        <v>0</v>
      </c>
    </row>
    <row r="71" spans="1:20">
      <c r="A71" s="98"/>
      <c r="B71" s="98"/>
      <c r="C71" s="98" t="s">
        <v>17</v>
      </c>
      <c r="D71" s="98">
        <f>D65+D68+D69+D70</f>
        <v>0</v>
      </c>
      <c r="E71" s="98">
        <f t="shared" ref="E71:T71" si="49">E65+E68+E69+E70</f>
        <v>0</v>
      </c>
      <c r="F71" s="98">
        <f t="shared" si="49"/>
        <v>0</v>
      </c>
      <c r="G71" s="98">
        <f t="shared" si="49"/>
        <v>0</v>
      </c>
      <c r="H71" s="98">
        <f t="shared" si="49"/>
        <v>0</v>
      </c>
      <c r="I71" s="98">
        <f t="shared" si="49"/>
        <v>0</v>
      </c>
      <c r="J71" s="98">
        <f t="shared" si="49"/>
        <v>0</v>
      </c>
      <c r="K71" s="98">
        <f t="shared" si="49"/>
        <v>0</v>
      </c>
      <c r="L71" s="98">
        <f t="shared" si="49"/>
        <v>0</v>
      </c>
      <c r="M71" s="98">
        <f t="shared" si="49"/>
        <v>0</v>
      </c>
      <c r="N71" s="98">
        <f t="shared" si="49"/>
        <v>0</v>
      </c>
      <c r="O71" s="98">
        <f t="shared" si="49"/>
        <v>0</v>
      </c>
      <c r="P71" s="98">
        <f t="shared" si="49"/>
        <v>0</v>
      </c>
      <c r="Q71" s="98">
        <f t="shared" si="49"/>
        <v>0</v>
      </c>
      <c r="R71" s="98">
        <f t="shared" si="49"/>
        <v>0</v>
      </c>
      <c r="S71" s="98">
        <f t="shared" si="49"/>
        <v>0</v>
      </c>
      <c r="T71" s="98">
        <f t="shared" si="49"/>
        <v>0</v>
      </c>
    </row>
    <row r="72" spans="1:20">
      <c r="A72" s="56" t="s">
        <v>165</v>
      </c>
      <c r="B72" s="56"/>
      <c r="C72" s="56" t="s">
        <v>209</v>
      </c>
      <c r="D72" s="56">
        <f t="shared" ref="D72:M78" si="50">IFERROR(SUMIF($A$88:$A$416,$A72,INDEX($D$88:$EE$416,0,MATCH(D$11,$D$84:$EF$84,0))),0)*Input_unit</f>
        <v>0</v>
      </c>
      <c r="E72" s="56">
        <f t="shared" si="50"/>
        <v>0</v>
      </c>
      <c r="F72" s="56">
        <f t="shared" si="50"/>
        <v>0</v>
      </c>
      <c r="G72" s="56">
        <f t="shared" si="50"/>
        <v>0</v>
      </c>
      <c r="H72" s="56">
        <f t="shared" si="50"/>
        <v>0</v>
      </c>
      <c r="I72" s="56">
        <f t="shared" si="50"/>
        <v>0</v>
      </c>
      <c r="J72" s="56">
        <f t="shared" si="50"/>
        <v>0</v>
      </c>
      <c r="K72" s="56">
        <f t="shared" si="50"/>
        <v>0</v>
      </c>
      <c r="L72" s="56">
        <f t="shared" si="50"/>
        <v>0</v>
      </c>
      <c r="M72" s="56">
        <f t="shared" si="50"/>
        <v>0</v>
      </c>
      <c r="N72" s="56">
        <f t="shared" ref="N72:T78" si="51">IFERROR(SUMIF($A$88:$A$416,$A72,INDEX($D$88:$EE$416,0,MATCH(N$11,$D$84:$EF$84,0))),0)*Input_unit</f>
        <v>0</v>
      </c>
      <c r="O72" s="56">
        <f t="shared" si="51"/>
        <v>0</v>
      </c>
      <c r="P72" s="56">
        <f t="shared" si="51"/>
        <v>0</v>
      </c>
      <c r="Q72" s="56">
        <f t="shared" si="51"/>
        <v>0</v>
      </c>
      <c r="R72" s="56">
        <f t="shared" si="51"/>
        <v>0</v>
      </c>
      <c r="S72" s="56">
        <f t="shared" si="51"/>
        <v>0</v>
      </c>
      <c r="T72" s="56">
        <f t="shared" si="51"/>
        <v>0</v>
      </c>
    </row>
    <row r="73" spans="1:20">
      <c r="A73" s="102" t="s">
        <v>592</v>
      </c>
      <c r="B73" s="102"/>
      <c r="C73" s="56" t="s">
        <v>239</v>
      </c>
      <c r="D73" s="56">
        <f t="shared" si="50"/>
        <v>0</v>
      </c>
      <c r="E73" s="56">
        <f t="shared" si="50"/>
        <v>0</v>
      </c>
      <c r="F73" s="56">
        <f t="shared" si="50"/>
        <v>0</v>
      </c>
      <c r="G73" s="56">
        <f t="shared" si="50"/>
        <v>0</v>
      </c>
      <c r="H73" s="56">
        <f t="shared" si="50"/>
        <v>0</v>
      </c>
      <c r="I73" s="56">
        <f t="shared" si="50"/>
        <v>0</v>
      </c>
      <c r="J73" s="56">
        <f t="shared" si="50"/>
        <v>0</v>
      </c>
      <c r="K73" s="56">
        <f t="shared" si="50"/>
        <v>0</v>
      </c>
      <c r="L73" s="56">
        <f t="shared" si="50"/>
        <v>0</v>
      </c>
      <c r="M73" s="56">
        <f t="shared" si="50"/>
        <v>0</v>
      </c>
      <c r="N73" s="56">
        <f t="shared" si="51"/>
        <v>0</v>
      </c>
      <c r="O73" s="56">
        <f t="shared" si="51"/>
        <v>0</v>
      </c>
      <c r="P73" s="56">
        <f t="shared" si="51"/>
        <v>0</v>
      </c>
      <c r="Q73" s="56">
        <f t="shared" si="51"/>
        <v>0</v>
      </c>
      <c r="R73" s="56">
        <f t="shared" si="51"/>
        <v>0</v>
      </c>
      <c r="S73" s="56">
        <f t="shared" si="51"/>
        <v>0</v>
      </c>
      <c r="T73" s="56">
        <f t="shared" si="51"/>
        <v>0</v>
      </c>
    </row>
    <row r="74" spans="1:20">
      <c r="A74" s="102" t="s">
        <v>593</v>
      </c>
      <c r="B74" s="102"/>
      <c r="C74" s="56" t="s">
        <v>240</v>
      </c>
      <c r="D74" s="56">
        <f t="shared" si="50"/>
        <v>0</v>
      </c>
      <c r="E74" s="56">
        <f t="shared" si="50"/>
        <v>0</v>
      </c>
      <c r="F74" s="56">
        <f t="shared" si="50"/>
        <v>0</v>
      </c>
      <c r="G74" s="56">
        <f t="shared" si="50"/>
        <v>0</v>
      </c>
      <c r="H74" s="56">
        <f t="shared" si="50"/>
        <v>0</v>
      </c>
      <c r="I74" s="56">
        <f t="shared" si="50"/>
        <v>0</v>
      </c>
      <c r="J74" s="56">
        <f t="shared" si="50"/>
        <v>0</v>
      </c>
      <c r="K74" s="56">
        <f t="shared" si="50"/>
        <v>0</v>
      </c>
      <c r="L74" s="56">
        <f t="shared" si="50"/>
        <v>0</v>
      </c>
      <c r="M74" s="56">
        <f t="shared" si="50"/>
        <v>0</v>
      </c>
      <c r="N74" s="56">
        <f t="shared" si="51"/>
        <v>0</v>
      </c>
      <c r="O74" s="56">
        <f t="shared" si="51"/>
        <v>0</v>
      </c>
      <c r="P74" s="56">
        <f t="shared" si="51"/>
        <v>0</v>
      </c>
      <c r="Q74" s="56">
        <f t="shared" si="51"/>
        <v>0</v>
      </c>
      <c r="R74" s="56">
        <f t="shared" si="51"/>
        <v>0</v>
      </c>
      <c r="S74" s="56">
        <f t="shared" si="51"/>
        <v>0</v>
      </c>
      <c r="T74" s="56">
        <f t="shared" si="51"/>
        <v>0</v>
      </c>
    </row>
    <row r="75" spans="1:20">
      <c r="A75" s="102" t="s">
        <v>594</v>
      </c>
      <c r="B75" s="102"/>
      <c r="C75" s="56" t="s">
        <v>241</v>
      </c>
      <c r="D75" s="56">
        <f t="shared" si="50"/>
        <v>0</v>
      </c>
      <c r="E75" s="56">
        <f t="shared" si="50"/>
        <v>0</v>
      </c>
      <c r="F75" s="56">
        <f t="shared" si="50"/>
        <v>0</v>
      </c>
      <c r="G75" s="56">
        <f t="shared" si="50"/>
        <v>0</v>
      </c>
      <c r="H75" s="56">
        <f t="shared" si="50"/>
        <v>0</v>
      </c>
      <c r="I75" s="56">
        <f t="shared" si="50"/>
        <v>0</v>
      </c>
      <c r="J75" s="56">
        <f t="shared" si="50"/>
        <v>0</v>
      </c>
      <c r="K75" s="56">
        <f t="shared" si="50"/>
        <v>0</v>
      </c>
      <c r="L75" s="56">
        <f t="shared" si="50"/>
        <v>0</v>
      </c>
      <c r="M75" s="56">
        <f t="shared" si="50"/>
        <v>0</v>
      </c>
      <c r="N75" s="56">
        <f t="shared" si="51"/>
        <v>0</v>
      </c>
      <c r="O75" s="56">
        <f t="shared" si="51"/>
        <v>0</v>
      </c>
      <c r="P75" s="56">
        <f t="shared" si="51"/>
        <v>0</v>
      </c>
      <c r="Q75" s="56">
        <f t="shared" si="51"/>
        <v>0</v>
      </c>
      <c r="R75" s="56">
        <f t="shared" si="51"/>
        <v>0</v>
      </c>
      <c r="S75" s="56">
        <f t="shared" si="51"/>
        <v>0</v>
      </c>
      <c r="T75" s="56">
        <f t="shared" si="51"/>
        <v>0</v>
      </c>
    </row>
    <row r="76" spans="1:20">
      <c r="A76" s="102" t="s">
        <v>595</v>
      </c>
      <c r="B76" s="102"/>
      <c r="C76" s="56" t="s">
        <v>596</v>
      </c>
      <c r="D76" s="56">
        <f t="shared" si="50"/>
        <v>0</v>
      </c>
      <c r="E76" s="56">
        <f t="shared" si="50"/>
        <v>0</v>
      </c>
      <c r="F76" s="56">
        <f t="shared" si="50"/>
        <v>0</v>
      </c>
      <c r="G76" s="56">
        <f t="shared" si="50"/>
        <v>0</v>
      </c>
      <c r="H76" s="56">
        <f t="shared" si="50"/>
        <v>0</v>
      </c>
      <c r="I76" s="56">
        <f t="shared" si="50"/>
        <v>0</v>
      </c>
      <c r="J76" s="56">
        <f t="shared" si="50"/>
        <v>0</v>
      </c>
      <c r="K76" s="56">
        <f t="shared" si="50"/>
        <v>0</v>
      </c>
      <c r="L76" s="56">
        <f t="shared" si="50"/>
        <v>0</v>
      </c>
      <c r="M76" s="56">
        <f t="shared" si="50"/>
        <v>0</v>
      </c>
      <c r="N76" s="56">
        <f t="shared" si="51"/>
        <v>0</v>
      </c>
      <c r="O76" s="56">
        <f t="shared" si="51"/>
        <v>0</v>
      </c>
      <c r="P76" s="56">
        <f t="shared" si="51"/>
        <v>0</v>
      </c>
      <c r="Q76" s="56">
        <f t="shared" si="51"/>
        <v>0</v>
      </c>
      <c r="R76" s="56">
        <f t="shared" si="51"/>
        <v>0</v>
      </c>
      <c r="S76" s="56">
        <f t="shared" si="51"/>
        <v>0</v>
      </c>
      <c r="T76" s="56">
        <f t="shared" si="51"/>
        <v>0</v>
      </c>
    </row>
    <row r="77" spans="1:20">
      <c r="A77" s="102" t="s">
        <v>597</v>
      </c>
      <c r="B77" s="102"/>
      <c r="C77" s="56" t="s">
        <v>242</v>
      </c>
      <c r="D77" s="56">
        <f t="shared" si="50"/>
        <v>0</v>
      </c>
      <c r="E77" s="56">
        <f t="shared" si="50"/>
        <v>0</v>
      </c>
      <c r="F77" s="56">
        <f t="shared" si="50"/>
        <v>0</v>
      </c>
      <c r="G77" s="56">
        <f t="shared" si="50"/>
        <v>0</v>
      </c>
      <c r="H77" s="56">
        <f t="shared" si="50"/>
        <v>0</v>
      </c>
      <c r="I77" s="56">
        <f t="shared" si="50"/>
        <v>0</v>
      </c>
      <c r="J77" s="56">
        <f t="shared" si="50"/>
        <v>0</v>
      </c>
      <c r="K77" s="56">
        <f t="shared" si="50"/>
        <v>0</v>
      </c>
      <c r="L77" s="56">
        <f t="shared" si="50"/>
        <v>0</v>
      </c>
      <c r="M77" s="56">
        <f t="shared" si="50"/>
        <v>0</v>
      </c>
      <c r="N77" s="56">
        <f t="shared" si="51"/>
        <v>0</v>
      </c>
      <c r="O77" s="56">
        <f t="shared" si="51"/>
        <v>0</v>
      </c>
      <c r="P77" s="56">
        <f t="shared" si="51"/>
        <v>0</v>
      </c>
      <c r="Q77" s="56">
        <f t="shared" si="51"/>
        <v>0</v>
      </c>
      <c r="R77" s="56">
        <f t="shared" si="51"/>
        <v>0</v>
      </c>
      <c r="S77" s="56">
        <f t="shared" si="51"/>
        <v>0</v>
      </c>
      <c r="T77" s="56">
        <f t="shared" si="51"/>
        <v>0</v>
      </c>
    </row>
    <row r="78" spans="1:20">
      <c r="A78" s="102" t="s">
        <v>129</v>
      </c>
      <c r="B78" s="102"/>
      <c r="C78" s="56" t="s">
        <v>598</v>
      </c>
      <c r="D78" s="56">
        <f t="shared" si="50"/>
        <v>0</v>
      </c>
      <c r="E78" s="56">
        <f t="shared" si="50"/>
        <v>0</v>
      </c>
      <c r="F78" s="56">
        <f t="shared" si="50"/>
        <v>0</v>
      </c>
      <c r="G78" s="56">
        <f t="shared" si="50"/>
        <v>0</v>
      </c>
      <c r="H78" s="56">
        <f t="shared" si="50"/>
        <v>0</v>
      </c>
      <c r="I78" s="56">
        <f t="shared" si="50"/>
        <v>0</v>
      </c>
      <c r="J78" s="56">
        <f t="shared" si="50"/>
        <v>0</v>
      </c>
      <c r="K78" s="56">
        <f t="shared" si="50"/>
        <v>0</v>
      </c>
      <c r="L78" s="56">
        <f t="shared" si="50"/>
        <v>0</v>
      </c>
      <c r="M78" s="56">
        <f t="shared" si="50"/>
        <v>0</v>
      </c>
      <c r="N78" s="56">
        <f t="shared" si="51"/>
        <v>0</v>
      </c>
      <c r="O78" s="56">
        <f t="shared" si="51"/>
        <v>0</v>
      </c>
      <c r="P78" s="56">
        <f t="shared" si="51"/>
        <v>0</v>
      </c>
      <c r="Q78" s="56">
        <f t="shared" si="51"/>
        <v>0</v>
      </c>
      <c r="R78" s="56">
        <f t="shared" si="51"/>
        <v>0</v>
      </c>
      <c r="S78" s="56">
        <f t="shared" si="51"/>
        <v>0</v>
      </c>
      <c r="T78" s="56">
        <f t="shared" si="51"/>
        <v>0</v>
      </c>
    </row>
    <row r="79" spans="1:20">
      <c r="A79" s="98"/>
      <c r="B79" s="98"/>
      <c r="C79" s="98" t="s">
        <v>243</v>
      </c>
      <c r="D79" s="98">
        <f>SUM(D72:D78)</f>
        <v>0</v>
      </c>
      <c r="E79" s="98">
        <f t="shared" ref="E79:T79" si="52">SUM(E72:E78)</f>
        <v>0</v>
      </c>
      <c r="F79" s="98">
        <f t="shared" si="52"/>
        <v>0</v>
      </c>
      <c r="G79" s="98">
        <f t="shared" si="52"/>
        <v>0</v>
      </c>
      <c r="H79" s="98">
        <f t="shared" si="52"/>
        <v>0</v>
      </c>
      <c r="I79" s="98">
        <f t="shared" si="52"/>
        <v>0</v>
      </c>
      <c r="J79" s="98">
        <f t="shared" si="52"/>
        <v>0</v>
      </c>
      <c r="K79" s="98">
        <f t="shared" si="52"/>
        <v>0</v>
      </c>
      <c r="L79" s="98">
        <f t="shared" si="52"/>
        <v>0</v>
      </c>
      <c r="M79" s="98">
        <f t="shared" si="52"/>
        <v>0</v>
      </c>
      <c r="N79" s="98">
        <f t="shared" si="52"/>
        <v>0</v>
      </c>
      <c r="O79" s="98">
        <f t="shared" si="52"/>
        <v>0</v>
      </c>
      <c r="P79" s="98">
        <f t="shared" si="52"/>
        <v>0</v>
      </c>
      <c r="Q79" s="98">
        <f t="shared" si="52"/>
        <v>0</v>
      </c>
      <c r="R79" s="98">
        <f t="shared" si="52"/>
        <v>0</v>
      </c>
      <c r="S79" s="98">
        <f t="shared" si="52"/>
        <v>0</v>
      </c>
      <c r="T79" s="98">
        <f t="shared" si="52"/>
        <v>0</v>
      </c>
    </row>
    <row r="80" spans="1:20">
      <c r="A80" s="98"/>
      <c r="B80" s="98"/>
      <c r="C80" s="98" t="s">
        <v>244</v>
      </c>
      <c r="D80" s="98">
        <f>D71+D79</f>
        <v>0</v>
      </c>
      <c r="E80" s="98">
        <f t="shared" ref="E80:T80" si="53">E71+E79</f>
        <v>0</v>
      </c>
      <c r="F80" s="98">
        <f t="shared" si="53"/>
        <v>0</v>
      </c>
      <c r="G80" s="98">
        <f t="shared" si="53"/>
        <v>0</v>
      </c>
      <c r="H80" s="98">
        <f t="shared" si="53"/>
        <v>0</v>
      </c>
      <c r="I80" s="98">
        <f t="shared" si="53"/>
        <v>0</v>
      </c>
      <c r="J80" s="98">
        <f t="shared" si="53"/>
        <v>0</v>
      </c>
      <c r="K80" s="98">
        <f t="shared" si="53"/>
        <v>0</v>
      </c>
      <c r="L80" s="98">
        <f t="shared" si="53"/>
        <v>0</v>
      </c>
      <c r="M80" s="98">
        <f t="shared" si="53"/>
        <v>0</v>
      </c>
      <c r="N80" s="98">
        <f t="shared" si="53"/>
        <v>0</v>
      </c>
      <c r="O80" s="98">
        <f t="shared" si="53"/>
        <v>0</v>
      </c>
      <c r="P80" s="98">
        <f t="shared" si="53"/>
        <v>0</v>
      </c>
      <c r="Q80" s="98">
        <f t="shared" si="53"/>
        <v>0</v>
      </c>
      <c r="R80" s="98">
        <f t="shared" si="53"/>
        <v>0</v>
      </c>
      <c r="S80" s="98">
        <f t="shared" si="53"/>
        <v>0</v>
      </c>
      <c r="T80" s="98">
        <f t="shared" si="53"/>
        <v>0</v>
      </c>
    </row>
    <row r="81" spans="1:24" ht="15.15" thickBot="1"/>
    <row r="82" spans="1:24" ht="16.600000000000001">
      <c r="C82" s="126" t="s">
        <v>40</v>
      </c>
      <c r="D82" s="128" t="s">
        <v>1547</v>
      </c>
      <c r="E82" s="128" t="str">
        <f>D82</f>
        <v>Shamrock</v>
      </c>
      <c r="F82" s="128" t="str">
        <f>E82</f>
        <v>Shamrock</v>
      </c>
      <c r="G82" s="128" t="str">
        <f>F82</f>
        <v>Shamrock</v>
      </c>
      <c r="H82" s="128" t="str">
        <f t="shared" ref="H82:X82" si="54">G82</f>
        <v>Shamrock</v>
      </c>
      <c r="I82" s="128" t="str">
        <f t="shared" si="54"/>
        <v>Shamrock</v>
      </c>
      <c r="J82" s="128" t="str">
        <f t="shared" si="54"/>
        <v>Shamrock</v>
      </c>
      <c r="K82" s="128" t="str">
        <f t="shared" si="54"/>
        <v>Shamrock</v>
      </c>
      <c r="L82" s="128" t="str">
        <f t="shared" si="54"/>
        <v>Shamrock</v>
      </c>
      <c r="M82" s="128" t="str">
        <f t="shared" si="54"/>
        <v>Shamrock</v>
      </c>
      <c r="N82" s="128" t="str">
        <f t="shared" si="54"/>
        <v>Shamrock</v>
      </c>
      <c r="O82" s="128" t="str">
        <f t="shared" si="54"/>
        <v>Shamrock</v>
      </c>
      <c r="P82" s="128" t="str">
        <f t="shared" si="54"/>
        <v>Shamrock</v>
      </c>
      <c r="Q82" s="128" t="str">
        <f t="shared" si="54"/>
        <v>Shamrock</v>
      </c>
      <c r="R82" s="128" t="str">
        <f t="shared" si="54"/>
        <v>Shamrock</v>
      </c>
      <c r="S82" s="128" t="str">
        <f t="shared" si="54"/>
        <v>Shamrock</v>
      </c>
      <c r="T82" s="128" t="str">
        <f t="shared" si="54"/>
        <v>Shamrock</v>
      </c>
      <c r="U82" s="128" t="str">
        <f t="shared" si="54"/>
        <v>Shamrock</v>
      </c>
      <c r="V82" s="128" t="str">
        <f t="shared" si="54"/>
        <v>Shamrock</v>
      </c>
      <c r="W82" s="128" t="str">
        <f t="shared" si="54"/>
        <v>Shamrock</v>
      </c>
      <c r="X82" s="128" t="str">
        <f t="shared" si="54"/>
        <v>Shamrock</v>
      </c>
    </row>
    <row r="83" spans="1:24" ht="16.600000000000001">
      <c r="C83" s="129" t="s">
        <v>981</v>
      </c>
      <c r="D83" s="336">
        <f>DATE(YEAR(D84),1,1)</f>
        <v>41640</v>
      </c>
      <c r="E83" s="130">
        <f>DATE(YEAR(E84),1,1)</f>
        <v>42005</v>
      </c>
      <c r="F83" s="130">
        <f t="shared" ref="F83:X83" si="55">DATE(YEAR(F84),1,1)</f>
        <v>42370</v>
      </c>
      <c r="G83" s="130">
        <f t="shared" si="55"/>
        <v>42736</v>
      </c>
      <c r="H83" s="130">
        <f t="shared" si="55"/>
        <v>1</v>
      </c>
      <c r="I83" s="130">
        <f t="shared" si="55"/>
        <v>1</v>
      </c>
      <c r="J83" s="130">
        <f t="shared" si="55"/>
        <v>1</v>
      </c>
      <c r="K83" s="130">
        <f t="shared" si="55"/>
        <v>1</v>
      </c>
      <c r="L83" s="130">
        <f t="shared" si="55"/>
        <v>1</v>
      </c>
      <c r="M83" s="130">
        <f t="shared" si="55"/>
        <v>1</v>
      </c>
      <c r="N83" s="130">
        <f t="shared" si="55"/>
        <v>1</v>
      </c>
      <c r="O83" s="130">
        <f t="shared" si="55"/>
        <v>1</v>
      </c>
      <c r="P83" s="130">
        <f t="shared" si="55"/>
        <v>1</v>
      </c>
      <c r="Q83" s="130">
        <f t="shared" si="55"/>
        <v>1</v>
      </c>
      <c r="R83" s="130">
        <f t="shared" si="55"/>
        <v>1</v>
      </c>
      <c r="S83" s="130">
        <f t="shared" si="55"/>
        <v>1</v>
      </c>
      <c r="T83" s="130">
        <f t="shared" si="55"/>
        <v>1</v>
      </c>
      <c r="U83" s="130">
        <f t="shared" si="55"/>
        <v>1</v>
      </c>
      <c r="V83" s="130">
        <f t="shared" si="55"/>
        <v>1</v>
      </c>
      <c r="W83" s="130">
        <f t="shared" si="55"/>
        <v>1</v>
      </c>
      <c r="X83" s="130">
        <f t="shared" si="55"/>
        <v>1</v>
      </c>
    </row>
    <row r="84" spans="1:24" ht="16.600000000000001">
      <c r="C84" s="131" t="s">
        <v>982</v>
      </c>
      <c r="D84" s="351">
        <v>42004</v>
      </c>
      <c r="E84" s="351">
        <v>42369</v>
      </c>
      <c r="F84" s="351">
        <v>42735</v>
      </c>
      <c r="G84" s="351">
        <v>43008</v>
      </c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1"/>
      <c r="T84" s="351"/>
      <c r="U84" s="351"/>
      <c r="V84" s="351"/>
      <c r="W84" s="351"/>
      <c r="X84" s="351"/>
    </row>
    <row r="85" spans="1:24" ht="16.600000000000001">
      <c r="C85" s="131" t="s">
        <v>983</v>
      </c>
      <c r="D85" s="133">
        <f>MONTH(D84-D83)</f>
        <v>12</v>
      </c>
      <c r="E85" s="133">
        <f>MONTH(E84-E83)</f>
        <v>12</v>
      </c>
      <c r="F85" s="133">
        <f>MONTH(F84-F83)</f>
        <v>12</v>
      </c>
      <c r="G85" s="133">
        <f t="shared" ref="G85:X85" si="56">MONTH(G84-G83)</f>
        <v>9</v>
      </c>
      <c r="H85" s="133" t="e">
        <f t="shared" si="56"/>
        <v>#NUM!</v>
      </c>
      <c r="I85" s="133" t="e">
        <f t="shared" si="56"/>
        <v>#NUM!</v>
      </c>
      <c r="J85" s="133" t="e">
        <f t="shared" si="56"/>
        <v>#NUM!</v>
      </c>
      <c r="K85" s="133" t="e">
        <f t="shared" si="56"/>
        <v>#NUM!</v>
      </c>
      <c r="L85" s="133" t="e">
        <f t="shared" si="56"/>
        <v>#NUM!</v>
      </c>
      <c r="M85" s="133" t="e">
        <f t="shared" si="56"/>
        <v>#NUM!</v>
      </c>
      <c r="N85" s="133" t="e">
        <f t="shared" si="56"/>
        <v>#NUM!</v>
      </c>
      <c r="O85" s="133" t="e">
        <f t="shared" si="56"/>
        <v>#NUM!</v>
      </c>
      <c r="P85" s="133" t="e">
        <f t="shared" si="56"/>
        <v>#NUM!</v>
      </c>
      <c r="Q85" s="133" t="e">
        <f t="shared" si="56"/>
        <v>#NUM!</v>
      </c>
      <c r="R85" s="133" t="e">
        <f t="shared" si="56"/>
        <v>#NUM!</v>
      </c>
      <c r="S85" s="133" t="e">
        <f t="shared" si="56"/>
        <v>#NUM!</v>
      </c>
      <c r="T85" s="133" t="e">
        <f t="shared" si="56"/>
        <v>#NUM!</v>
      </c>
      <c r="U85" s="133" t="e">
        <f t="shared" si="56"/>
        <v>#NUM!</v>
      </c>
      <c r="V85" s="133" t="e">
        <f t="shared" si="56"/>
        <v>#NUM!</v>
      </c>
      <c r="W85" s="133" t="e">
        <f t="shared" si="56"/>
        <v>#NUM!</v>
      </c>
      <c r="X85" s="133" t="e">
        <f t="shared" si="56"/>
        <v>#NUM!</v>
      </c>
    </row>
    <row r="86" spans="1:24" ht="16.600000000000001">
      <c r="C86" s="131" t="s">
        <v>690</v>
      </c>
      <c r="D86" s="134">
        <f>YEAR(D84)</f>
        <v>2014</v>
      </c>
      <c r="E86" s="134">
        <f>YEAR(E84)</f>
        <v>2015</v>
      </c>
      <c r="F86" s="134">
        <f>YEAR(F84)</f>
        <v>2016</v>
      </c>
      <c r="G86" s="134">
        <f t="shared" ref="G86:X86" si="57">YEAR(G84)</f>
        <v>2017</v>
      </c>
      <c r="H86" s="134">
        <f t="shared" si="57"/>
        <v>1900</v>
      </c>
      <c r="I86" s="134">
        <f t="shared" si="57"/>
        <v>1900</v>
      </c>
      <c r="J86" s="134">
        <f t="shared" si="57"/>
        <v>1900</v>
      </c>
      <c r="K86" s="134">
        <f t="shared" si="57"/>
        <v>1900</v>
      </c>
      <c r="L86" s="134">
        <f t="shared" si="57"/>
        <v>1900</v>
      </c>
      <c r="M86" s="134">
        <f t="shared" si="57"/>
        <v>1900</v>
      </c>
      <c r="N86" s="134">
        <f t="shared" si="57"/>
        <v>1900</v>
      </c>
      <c r="O86" s="134">
        <f t="shared" si="57"/>
        <v>1900</v>
      </c>
      <c r="P86" s="134">
        <f t="shared" si="57"/>
        <v>1900</v>
      </c>
      <c r="Q86" s="134">
        <f t="shared" si="57"/>
        <v>1900</v>
      </c>
      <c r="R86" s="134">
        <f t="shared" si="57"/>
        <v>1900</v>
      </c>
      <c r="S86" s="134">
        <f t="shared" si="57"/>
        <v>1900</v>
      </c>
      <c r="T86" s="134">
        <f t="shared" si="57"/>
        <v>1900</v>
      </c>
      <c r="U86" s="134">
        <f t="shared" si="57"/>
        <v>1900</v>
      </c>
      <c r="V86" s="134">
        <f t="shared" si="57"/>
        <v>1900</v>
      </c>
      <c r="W86" s="134">
        <f t="shared" si="57"/>
        <v>1900</v>
      </c>
      <c r="X86" s="134">
        <f t="shared" si="57"/>
        <v>1900</v>
      </c>
    </row>
    <row r="87" spans="1:24" ht="16.600000000000001">
      <c r="C87" s="131" t="s">
        <v>984</v>
      </c>
      <c r="D87" s="133">
        <f>ROUNDUP(MONTH(D84)/3,0)</f>
        <v>4</v>
      </c>
      <c r="E87" s="133">
        <f>ROUNDUP(MONTH(E84)/3,0)</f>
        <v>4</v>
      </c>
      <c r="F87" s="133">
        <f>ROUNDUP(MONTH(F84)/3,0)</f>
        <v>4</v>
      </c>
      <c r="G87" s="133">
        <f t="shared" ref="G87:X87" si="58">ROUNDUP(MONTH(G84)/3,0)</f>
        <v>3</v>
      </c>
      <c r="H87" s="133">
        <f t="shared" si="58"/>
        <v>1</v>
      </c>
      <c r="I87" s="133">
        <f t="shared" si="58"/>
        <v>1</v>
      </c>
      <c r="J87" s="133">
        <f t="shared" si="58"/>
        <v>1</v>
      </c>
      <c r="K87" s="133">
        <f t="shared" si="58"/>
        <v>1</v>
      </c>
      <c r="L87" s="133">
        <f t="shared" si="58"/>
        <v>1</v>
      </c>
      <c r="M87" s="133">
        <f t="shared" si="58"/>
        <v>1</v>
      </c>
      <c r="N87" s="133">
        <f t="shared" si="58"/>
        <v>1</v>
      </c>
      <c r="O87" s="133">
        <f t="shared" si="58"/>
        <v>1</v>
      </c>
      <c r="P87" s="133">
        <f t="shared" si="58"/>
        <v>1</v>
      </c>
      <c r="Q87" s="133">
        <f t="shared" si="58"/>
        <v>1</v>
      </c>
      <c r="R87" s="133">
        <f t="shared" si="58"/>
        <v>1</v>
      </c>
      <c r="S87" s="133">
        <f t="shared" si="58"/>
        <v>1</v>
      </c>
      <c r="T87" s="133">
        <f t="shared" si="58"/>
        <v>1</v>
      </c>
      <c r="U87" s="133">
        <f t="shared" si="58"/>
        <v>1</v>
      </c>
      <c r="V87" s="133">
        <f t="shared" si="58"/>
        <v>1</v>
      </c>
      <c r="W87" s="133">
        <f t="shared" si="58"/>
        <v>1</v>
      </c>
      <c r="X87" s="133">
        <f t="shared" si="58"/>
        <v>1</v>
      </c>
    </row>
    <row r="88" spans="1:24" ht="16.600000000000001">
      <c r="A88" s="1" t="s">
        <v>55</v>
      </c>
      <c r="B88" s="349" t="s">
        <v>1112</v>
      </c>
      <c r="C88" s="136" t="s">
        <v>891</v>
      </c>
      <c r="D88" s="352"/>
      <c r="E88" s="352"/>
      <c r="F88" s="352"/>
      <c r="G88" s="352"/>
      <c r="H88" s="352"/>
      <c r="I88" s="352"/>
      <c r="J88" s="352"/>
      <c r="K88" s="352"/>
      <c r="L88" s="352"/>
      <c r="M88" s="352"/>
      <c r="N88" s="352"/>
      <c r="O88" s="352"/>
      <c r="P88" s="352"/>
      <c r="Q88" s="352"/>
      <c r="R88" s="352"/>
      <c r="S88" s="352"/>
      <c r="T88" s="352"/>
      <c r="U88" s="352"/>
      <c r="V88" s="352"/>
      <c r="W88" s="352"/>
      <c r="X88" s="352"/>
    </row>
    <row r="89" spans="1:24" ht="16.600000000000001">
      <c r="A89" s="1" t="s">
        <v>56</v>
      </c>
      <c r="B89" s="349" t="s">
        <v>1113</v>
      </c>
      <c r="C89" s="135" t="s">
        <v>41</v>
      </c>
      <c r="D89" s="352"/>
      <c r="E89" s="352"/>
      <c r="F89" s="352"/>
      <c r="G89" s="352"/>
      <c r="H89" s="352"/>
      <c r="I89" s="352"/>
      <c r="J89" s="352"/>
      <c r="K89" s="352"/>
      <c r="L89" s="352"/>
      <c r="M89" s="352"/>
      <c r="N89" s="352"/>
      <c r="O89" s="352"/>
      <c r="P89" s="352"/>
      <c r="Q89" s="352"/>
      <c r="R89" s="352"/>
      <c r="S89" s="352"/>
      <c r="T89" s="352"/>
      <c r="U89" s="352"/>
      <c r="V89" s="352"/>
      <c r="W89" s="352"/>
      <c r="X89" s="352"/>
    </row>
    <row r="90" spans="1:24" ht="16.600000000000001">
      <c r="A90" s="1" t="s">
        <v>56</v>
      </c>
      <c r="B90" s="349" t="s">
        <v>1114</v>
      </c>
      <c r="C90" s="136" t="s">
        <v>42</v>
      </c>
      <c r="D90" s="352"/>
      <c r="E90" s="352"/>
      <c r="F90" s="352"/>
      <c r="G90" s="352"/>
      <c r="H90" s="352"/>
      <c r="I90" s="352"/>
      <c r="J90" s="352"/>
      <c r="K90" s="352"/>
      <c r="L90" s="352"/>
      <c r="M90" s="352"/>
      <c r="N90" s="352"/>
      <c r="O90" s="352"/>
      <c r="P90" s="352"/>
      <c r="Q90" s="352"/>
      <c r="R90" s="352"/>
      <c r="S90" s="352"/>
      <c r="T90" s="352"/>
      <c r="U90" s="352"/>
      <c r="V90" s="352"/>
      <c r="W90" s="352"/>
      <c r="X90" s="352"/>
    </row>
    <row r="91" spans="1:24" ht="16.600000000000001">
      <c r="A91" s="1" t="s">
        <v>56</v>
      </c>
      <c r="B91" s="349" t="s">
        <v>1115</v>
      </c>
      <c r="C91" s="136" t="s">
        <v>43</v>
      </c>
      <c r="D91" s="352"/>
      <c r="E91" s="352"/>
      <c r="F91" s="352"/>
      <c r="G91" s="352"/>
      <c r="H91" s="352"/>
      <c r="I91" s="352"/>
      <c r="J91" s="352"/>
      <c r="K91" s="352"/>
      <c r="L91" s="352"/>
      <c r="M91" s="352"/>
      <c r="N91" s="352"/>
      <c r="O91" s="352"/>
      <c r="P91" s="352"/>
      <c r="Q91" s="352"/>
      <c r="R91" s="352"/>
      <c r="S91" s="352"/>
      <c r="T91" s="352"/>
      <c r="U91" s="352"/>
      <c r="V91" s="352"/>
      <c r="W91" s="352"/>
      <c r="X91" s="352"/>
    </row>
    <row r="92" spans="1:24" ht="16.600000000000001">
      <c r="A92" s="1" t="s">
        <v>56</v>
      </c>
      <c r="B92" s="349" t="s">
        <v>1116</v>
      </c>
      <c r="C92" s="136" t="s">
        <v>44</v>
      </c>
      <c r="D92" s="352"/>
      <c r="E92" s="352"/>
      <c r="F92" s="352"/>
      <c r="G92" s="352"/>
      <c r="H92" s="352"/>
      <c r="I92" s="352"/>
      <c r="J92" s="352"/>
      <c r="K92" s="352"/>
      <c r="L92" s="352"/>
      <c r="M92" s="352"/>
      <c r="N92" s="352"/>
      <c r="O92" s="352"/>
      <c r="P92" s="352"/>
      <c r="Q92" s="352"/>
      <c r="R92" s="352"/>
      <c r="S92" s="352"/>
      <c r="T92" s="352"/>
      <c r="U92" s="352"/>
      <c r="V92" s="352"/>
      <c r="W92" s="352"/>
      <c r="X92" s="352"/>
    </row>
    <row r="93" spans="1:24" ht="16.600000000000001">
      <c r="A93" s="1" t="s">
        <v>56</v>
      </c>
      <c r="B93" s="349" t="s">
        <v>1117</v>
      </c>
      <c r="C93" s="136" t="s">
        <v>45</v>
      </c>
      <c r="D93" s="356"/>
      <c r="E93" s="356"/>
      <c r="F93" s="356"/>
      <c r="G93" s="356"/>
      <c r="H93" s="356"/>
      <c r="I93" s="356"/>
      <c r="J93" s="356"/>
      <c r="K93" s="356"/>
      <c r="L93" s="356"/>
      <c r="M93" s="356"/>
      <c r="N93" s="356"/>
      <c r="O93" s="356"/>
      <c r="P93" s="356"/>
      <c r="Q93" s="356"/>
      <c r="R93" s="356"/>
      <c r="S93" s="356"/>
      <c r="T93" s="356"/>
      <c r="U93" s="356"/>
      <c r="V93" s="356"/>
      <c r="W93" s="356"/>
      <c r="X93" s="356"/>
    </row>
    <row r="94" spans="1:24" ht="16.600000000000001">
      <c r="A94" s="1" t="s">
        <v>56</v>
      </c>
      <c r="B94" s="349" t="s">
        <v>1118</v>
      </c>
      <c r="C94" s="136" t="s">
        <v>46</v>
      </c>
      <c r="D94" s="352"/>
      <c r="E94" s="352"/>
      <c r="F94" s="352"/>
      <c r="G94" s="352"/>
      <c r="H94" s="352"/>
      <c r="I94" s="352"/>
      <c r="J94" s="352"/>
      <c r="K94" s="352"/>
      <c r="L94" s="352"/>
      <c r="M94" s="352"/>
      <c r="N94" s="352"/>
      <c r="O94" s="352"/>
      <c r="P94" s="352"/>
      <c r="Q94" s="352"/>
      <c r="R94" s="352"/>
      <c r="S94" s="352"/>
      <c r="T94" s="352"/>
      <c r="U94" s="352"/>
      <c r="V94" s="352"/>
      <c r="W94" s="352"/>
      <c r="X94" s="352"/>
    </row>
    <row r="95" spans="1:24" ht="16.600000000000001">
      <c r="A95" s="1" t="s">
        <v>63</v>
      </c>
      <c r="B95" s="349" t="s">
        <v>1119</v>
      </c>
      <c r="C95" s="136" t="s">
        <v>47</v>
      </c>
      <c r="D95" s="352"/>
      <c r="E95" s="352"/>
      <c r="F95" s="352"/>
      <c r="G95" s="352"/>
      <c r="H95" s="352"/>
      <c r="I95" s="352"/>
      <c r="J95" s="352"/>
      <c r="K95" s="352"/>
      <c r="L95" s="352"/>
      <c r="M95" s="352"/>
      <c r="N95" s="352"/>
      <c r="O95" s="352"/>
      <c r="P95" s="352"/>
      <c r="Q95" s="352"/>
      <c r="R95" s="352"/>
      <c r="S95" s="352"/>
      <c r="T95" s="352"/>
      <c r="U95" s="352"/>
      <c r="V95" s="352"/>
      <c r="W95" s="352"/>
      <c r="X95" s="352"/>
    </row>
    <row r="96" spans="1:24" ht="16.600000000000001">
      <c r="A96" s="1" t="s">
        <v>63</v>
      </c>
      <c r="B96" s="349" t="s">
        <v>1120</v>
      </c>
      <c r="C96" s="136" t="s">
        <v>48</v>
      </c>
      <c r="D96" s="352"/>
      <c r="E96" s="352"/>
      <c r="F96" s="352"/>
      <c r="G96" s="352"/>
      <c r="H96" s="352"/>
      <c r="I96" s="352"/>
      <c r="J96" s="352"/>
      <c r="K96" s="352"/>
      <c r="L96" s="352"/>
      <c r="M96" s="352"/>
      <c r="N96" s="352"/>
      <c r="O96" s="352"/>
      <c r="P96" s="352"/>
      <c r="Q96" s="352"/>
      <c r="R96" s="352"/>
      <c r="S96" s="352"/>
      <c r="T96" s="352"/>
      <c r="U96" s="352"/>
      <c r="V96" s="352"/>
      <c r="W96" s="352"/>
      <c r="X96" s="352"/>
    </row>
    <row r="97" spans="1:24" ht="16.600000000000001">
      <c r="A97" s="1" t="s">
        <v>57</v>
      </c>
      <c r="B97" s="349" t="s">
        <v>1121</v>
      </c>
      <c r="C97" s="136" t="s">
        <v>49</v>
      </c>
      <c r="D97" s="352"/>
      <c r="E97" s="352"/>
      <c r="F97" s="352"/>
      <c r="G97" s="352"/>
      <c r="H97" s="352"/>
      <c r="I97" s="352"/>
      <c r="J97" s="352"/>
      <c r="K97" s="352"/>
      <c r="L97" s="352"/>
      <c r="M97" s="352"/>
      <c r="N97" s="352"/>
      <c r="O97" s="352"/>
      <c r="P97" s="352"/>
      <c r="Q97" s="352"/>
      <c r="R97" s="352"/>
      <c r="S97" s="352"/>
      <c r="T97" s="352"/>
      <c r="U97" s="352"/>
      <c r="V97" s="352"/>
      <c r="W97" s="352"/>
      <c r="X97" s="352"/>
    </row>
    <row r="98" spans="1:24" ht="16.600000000000001">
      <c r="A98" s="1" t="s">
        <v>57</v>
      </c>
      <c r="B98" s="349" t="s">
        <v>1122</v>
      </c>
      <c r="C98" s="136" t="s">
        <v>51</v>
      </c>
      <c r="D98" s="352"/>
      <c r="E98" s="352"/>
      <c r="F98" s="352"/>
      <c r="G98" s="352"/>
      <c r="H98" s="352"/>
      <c r="I98" s="352"/>
      <c r="J98" s="352"/>
      <c r="K98" s="352"/>
      <c r="L98" s="352"/>
      <c r="M98" s="352"/>
      <c r="N98" s="352"/>
      <c r="O98" s="352"/>
      <c r="P98" s="352"/>
      <c r="Q98" s="352"/>
      <c r="R98" s="352"/>
      <c r="S98" s="352"/>
      <c r="T98" s="352"/>
      <c r="U98" s="352"/>
      <c r="V98" s="352"/>
      <c r="W98" s="352"/>
      <c r="X98" s="352"/>
    </row>
    <row r="99" spans="1:24" ht="16.600000000000001">
      <c r="A99" s="1" t="s">
        <v>58</v>
      </c>
      <c r="B99" s="349" t="s">
        <v>1123</v>
      </c>
      <c r="C99" s="136" t="s">
        <v>50</v>
      </c>
      <c r="D99" s="352"/>
      <c r="E99" s="352"/>
      <c r="F99" s="352"/>
      <c r="G99" s="352"/>
      <c r="H99" s="352"/>
      <c r="I99" s="352"/>
      <c r="J99" s="352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</row>
    <row r="100" spans="1:24" ht="16.600000000000001">
      <c r="A100" s="1" t="s">
        <v>58</v>
      </c>
      <c r="B100" s="349" t="s">
        <v>1124</v>
      </c>
      <c r="C100" s="136" t="s">
        <v>52</v>
      </c>
      <c r="D100" s="352"/>
      <c r="E100" s="352"/>
      <c r="F100" s="352"/>
      <c r="G100" s="352"/>
      <c r="H100" s="352"/>
      <c r="I100" s="352"/>
      <c r="J100" s="352"/>
      <c r="K100" s="352"/>
      <c r="L100" s="352"/>
      <c r="M100" s="352"/>
      <c r="N100" s="352"/>
      <c r="O100" s="352"/>
      <c r="P100" s="352"/>
      <c r="Q100" s="352"/>
      <c r="R100" s="352"/>
      <c r="S100" s="352"/>
      <c r="T100" s="352"/>
      <c r="U100" s="352"/>
      <c r="V100" s="352"/>
      <c r="W100" s="352"/>
      <c r="X100" s="352"/>
    </row>
    <row r="101" spans="1:24" ht="16.600000000000001">
      <c r="A101" s="1" t="s">
        <v>60</v>
      </c>
      <c r="B101" s="349" t="s">
        <v>1125</v>
      </c>
      <c r="C101" s="136" t="s">
        <v>53</v>
      </c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2"/>
      <c r="W101" s="352"/>
      <c r="X101" s="352"/>
    </row>
    <row r="102" spans="1:24" ht="16.600000000000001">
      <c r="A102" s="1" t="s">
        <v>60</v>
      </c>
      <c r="B102" s="349" t="s">
        <v>1126</v>
      </c>
      <c r="C102" s="136" t="s">
        <v>54</v>
      </c>
      <c r="D102" s="356"/>
      <c r="E102" s="356"/>
      <c r="F102" s="356"/>
      <c r="G102" s="356"/>
      <c r="H102" s="356"/>
      <c r="I102" s="356"/>
      <c r="J102" s="356"/>
      <c r="K102" s="356"/>
      <c r="L102" s="356"/>
      <c r="M102" s="356"/>
      <c r="N102" s="356"/>
      <c r="O102" s="356"/>
      <c r="P102" s="356"/>
      <c r="Q102" s="356"/>
      <c r="R102" s="356"/>
      <c r="S102" s="356"/>
      <c r="T102" s="356"/>
      <c r="U102" s="356"/>
      <c r="V102" s="356"/>
      <c r="W102" s="356"/>
      <c r="X102" s="356"/>
    </row>
    <row r="103" spans="1:24" ht="16.600000000000001">
      <c r="A103" s="1" t="s">
        <v>60</v>
      </c>
      <c r="B103" s="349" t="s">
        <v>1127</v>
      </c>
      <c r="C103" s="136" t="s">
        <v>59</v>
      </c>
      <c r="D103" s="352"/>
      <c r="E103" s="352"/>
      <c r="F103" s="352"/>
      <c r="G103" s="352"/>
      <c r="H103" s="352"/>
      <c r="I103" s="352"/>
      <c r="J103" s="352"/>
      <c r="K103" s="352"/>
      <c r="L103" s="352"/>
      <c r="M103" s="352"/>
      <c r="N103" s="352"/>
      <c r="O103" s="352"/>
      <c r="P103" s="352"/>
      <c r="Q103" s="352"/>
      <c r="R103" s="352"/>
      <c r="S103" s="352"/>
      <c r="T103" s="352"/>
      <c r="U103" s="352"/>
      <c r="V103" s="352"/>
      <c r="W103" s="352"/>
      <c r="X103" s="352"/>
    </row>
    <row r="104" spans="1:24" ht="16.600000000000001">
      <c r="A104" s="1" t="s">
        <v>57</v>
      </c>
      <c r="B104" s="349" t="s">
        <v>1128</v>
      </c>
      <c r="C104" s="136" t="s">
        <v>61</v>
      </c>
      <c r="D104" s="352"/>
      <c r="E104" s="352"/>
      <c r="F104" s="352"/>
      <c r="G104" s="352"/>
      <c r="H104" s="352"/>
      <c r="I104" s="352"/>
      <c r="J104" s="352"/>
      <c r="K104" s="352"/>
      <c r="L104" s="352"/>
      <c r="M104" s="352"/>
      <c r="N104" s="352"/>
      <c r="O104" s="352"/>
      <c r="P104" s="352"/>
      <c r="Q104" s="352"/>
      <c r="R104" s="352"/>
      <c r="S104" s="352"/>
      <c r="T104" s="352"/>
      <c r="U104" s="352"/>
      <c r="V104" s="352"/>
      <c r="W104" s="352"/>
      <c r="X104" s="352"/>
    </row>
    <row r="105" spans="1:24" ht="16.600000000000001">
      <c r="A105" s="1" t="s">
        <v>56</v>
      </c>
      <c r="B105" s="349" t="s">
        <v>1129</v>
      </c>
      <c r="C105" s="136" t="s">
        <v>62</v>
      </c>
      <c r="D105" s="352"/>
      <c r="E105" s="352"/>
      <c r="F105" s="352"/>
      <c r="G105" s="352"/>
      <c r="H105" s="352"/>
      <c r="I105" s="352"/>
      <c r="J105" s="352"/>
      <c r="K105" s="352"/>
      <c r="L105" s="352"/>
      <c r="M105" s="352"/>
      <c r="N105" s="352"/>
      <c r="O105" s="352"/>
      <c r="P105" s="352"/>
      <c r="Q105" s="352"/>
      <c r="R105" s="352"/>
      <c r="S105" s="352"/>
      <c r="T105" s="352"/>
      <c r="U105" s="352"/>
      <c r="V105" s="352"/>
      <c r="W105" s="352"/>
      <c r="X105" s="352"/>
    </row>
    <row r="106" spans="1:24" ht="16.600000000000001">
      <c r="A106" s="1" t="s">
        <v>60</v>
      </c>
      <c r="B106" s="349" t="s">
        <v>1130</v>
      </c>
      <c r="C106" s="136" t="s">
        <v>64</v>
      </c>
      <c r="D106" s="352"/>
      <c r="E106" s="352"/>
      <c r="F106" s="352"/>
      <c r="G106" s="352"/>
      <c r="H106" s="352"/>
      <c r="I106" s="352"/>
      <c r="J106" s="352"/>
      <c r="K106" s="352"/>
      <c r="L106" s="352"/>
      <c r="M106" s="352"/>
      <c r="N106" s="352"/>
      <c r="O106" s="352"/>
      <c r="P106" s="352"/>
      <c r="Q106" s="352"/>
      <c r="R106" s="352"/>
      <c r="S106" s="352"/>
      <c r="T106" s="352"/>
      <c r="U106" s="352"/>
      <c r="V106" s="352"/>
      <c r="W106" s="352"/>
      <c r="X106" s="352"/>
    </row>
    <row r="107" spans="1:24" ht="16.600000000000001">
      <c r="B107" s="349" t="s">
        <v>1131</v>
      </c>
      <c r="C107" s="136" t="s">
        <v>65</v>
      </c>
      <c r="D107" s="352"/>
      <c r="E107" s="352"/>
      <c r="F107" s="352"/>
      <c r="G107" s="352"/>
      <c r="H107" s="352"/>
      <c r="I107" s="352"/>
      <c r="J107" s="352"/>
      <c r="K107" s="352"/>
      <c r="L107" s="352"/>
      <c r="M107" s="352"/>
      <c r="N107" s="352"/>
      <c r="O107" s="352"/>
      <c r="P107" s="352"/>
      <c r="Q107" s="352"/>
      <c r="R107" s="352"/>
      <c r="S107" s="352"/>
      <c r="T107" s="352"/>
      <c r="U107" s="352"/>
      <c r="V107" s="352"/>
      <c r="W107" s="352"/>
      <c r="X107" s="352"/>
    </row>
    <row r="108" spans="1:24" ht="16.600000000000001">
      <c r="A108" s="1" t="s">
        <v>66</v>
      </c>
      <c r="B108" s="349" t="s">
        <v>1132</v>
      </c>
      <c r="C108" s="136" t="s">
        <v>67</v>
      </c>
      <c r="D108" s="352"/>
      <c r="E108" s="352"/>
      <c r="F108" s="352"/>
      <c r="G108" s="352"/>
      <c r="H108" s="352"/>
      <c r="I108" s="352"/>
      <c r="J108" s="352"/>
      <c r="K108" s="352"/>
      <c r="L108" s="352"/>
      <c r="M108" s="352"/>
      <c r="N108" s="352"/>
      <c r="O108" s="352"/>
      <c r="P108" s="352"/>
      <c r="Q108" s="352"/>
      <c r="R108" s="352"/>
      <c r="S108" s="352"/>
      <c r="T108" s="352"/>
      <c r="U108" s="352"/>
      <c r="V108" s="352"/>
      <c r="W108" s="352"/>
      <c r="X108" s="352"/>
    </row>
    <row r="109" spans="1:24" ht="16.600000000000001">
      <c r="A109" s="1" t="s">
        <v>66</v>
      </c>
      <c r="B109" s="349" t="s">
        <v>1133</v>
      </c>
      <c r="C109" s="136" t="s">
        <v>68</v>
      </c>
      <c r="D109" s="352"/>
      <c r="E109" s="352"/>
      <c r="F109" s="352"/>
      <c r="G109" s="352"/>
      <c r="H109" s="352"/>
      <c r="I109" s="352"/>
      <c r="J109" s="352"/>
      <c r="K109" s="352"/>
      <c r="L109" s="352"/>
      <c r="M109" s="352"/>
      <c r="N109" s="352"/>
      <c r="O109" s="352"/>
      <c r="P109" s="352"/>
      <c r="Q109" s="352"/>
      <c r="R109" s="352"/>
      <c r="S109" s="352"/>
      <c r="T109" s="352"/>
      <c r="U109" s="352"/>
      <c r="V109" s="352"/>
      <c r="W109" s="352"/>
      <c r="X109" s="352"/>
    </row>
    <row r="110" spans="1:24" ht="16.600000000000001">
      <c r="A110" s="1" t="s">
        <v>66</v>
      </c>
      <c r="B110" s="349" t="s">
        <v>1134</v>
      </c>
      <c r="C110" s="136" t="s">
        <v>69</v>
      </c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52"/>
      <c r="P110" s="352"/>
      <c r="Q110" s="352"/>
      <c r="R110" s="352"/>
      <c r="S110" s="352"/>
      <c r="T110" s="352"/>
      <c r="U110" s="352"/>
      <c r="V110" s="352"/>
      <c r="W110" s="352"/>
      <c r="X110" s="352"/>
    </row>
    <row r="111" spans="1:24" ht="16.600000000000001">
      <c r="A111" s="1" t="s">
        <v>66</v>
      </c>
      <c r="B111" s="349" t="s">
        <v>1135</v>
      </c>
      <c r="C111" s="136" t="s">
        <v>70</v>
      </c>
      <c r="D111" s="356"/>
      <c r="E111" s="356"/>
      <c r="F111" s="356"/>
      <c r="G111" s="356"/>
      <c r="H111" s="356"/>
      <c r="I111" s="356"/>
      <c r="J111" s="356"/>
      <c r="K111" s="356"/>
      <c r="L111" s="356"/>
      <c r="M111" s="356"/>
      <c r="N111" s="356"/>
      <c r="O111" s="356"/>
      <c r="P111" s="356"/>
      <c r="Q111" s="356"/>
      <c r="R111" s="356"/>
      <c r="S111" s="356"/>
      <c r="T111" s="356"/>
      <c r="U111" s="356"/>
      <c r="V111" s="356"/>
      <c r="W111" s="356"/>
      <c r="X111" s="356"/>
    </row>
    <row r="112" spans="1:24" ht="16.600000000000001">
      <c r="A112" s="1" t="s">
        <v>66</v>
      </c>
      <c r="B112" s="349" t="s">
        <v>1136</v>
      </c>
      <c r="C112" s="136" t="s">
        <v>71</v>
      </c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52"/>
      <c r="P112" s="352"/>
      <c r="Q112" s="352"/>
      <c r="R112" s="352"/>
      <c r="S112" s="352"/>
      <c r="T112" s="352"/>
      <c r="U112" s="352"/>
      <c r="V112" s="352"/>
      <c r="W112" s="352"/>
      <c r="X112" s="352"/>
    </row>
    <row r="113" spans="1:24" ht="16.600000000000001">
      <c r="A113" s="1" t="s">
        <v>66</v>
      </c>
      <c r="B113" s="349" t="s">
        <v>1137</v>
      </c>
      <c r="C113" s="136" t="s">
        <v>72</v>
      </c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52"/>
      <c r="P113" s="352"/>
      <c r="Q113" s="352"/>
      <c r="R113" s="352"/>
      <c r="S113" s="352"/>
      <c r="T113" s="352"/>
      <c r="U113" s="352"/>
      <c r="V113" s="352"/>
      <c r="W113" s="352"/>
      <c r="X113" s="352"/>
    </row>
    <row r="114" spans="1:24" ht="16.600000000000001">
      <c r="A114" s="1" t="s">
        <v>66</v>
      </c>
      <c r="B114" s="349" t="s">
        <v>1138</v>
      </c>
      <c r="C114" s="136" t="s">
        <v>73</v>
      </c>
      <c r="D114" s="352"/>
      <c r="E114" s="352"/>
      <c r="F114" s="352"/>
      <c r="G114" s="352"/>
      <c r="H114" s="352"/>
      <c r="I114" s="352"/>
      <c r="J114" s="352"/>
      <c r="K114" s="352"/>
      <c r="L114" s="352"/>
      <c r="M114" s="352"/>
      <c r="N114" s="352"/>
      <c r="O114" s="352"/>
      <c r="P114" s="352"/>
      <c r="Q114" s="352"/>
      <c r="R114" s="352"/>
      <c r="S114" s="352"/>
      <c r="T114" s="352"/>
      <c r="U114" s="352"/>
      <c r="V114" s="352"/>
      <c r="W114" s="352"/>
      <c r="X114" s="352"/>
    </row>
    <row r="115" spans="1:24" ht="16.600000000000001">
      <c r="A115" s="1" t="s">
        <v>66</v>
      </c>
      <c r="B115" s="349" t="s">
        <v>1139</v>
      </c>
      <c r="C115" s="136" t="s">
        <v>74</v>
      </c>
      <c r="D115" s="356"/>
      <c r="E115" s="352"/>
      <c r="F115" s="352"/>
      <c r="G115" s="352"/>
      <c r="H115" s="352"/>
      <c r="I115" s="352"/>
      <c r="J115" s="352"/>
      <c r="K115" s="352"/>
      <c r="L115" s="352"/>
      <c r="M115" s="352"/>
      <c r="N115" s="352"/>
      <c r="O115" s="352"/>
      <c r="P115" s="352"/>
      <c r="Q115" s="352"/>
      <c r="R115" s="352"/>
      <c r="S115" s="352"/>
      <c r="T115" s="352"/>
      <c r="U115" s="352"/>
      <c r="V115" s="352"/>
      <c r="W115" s="352"/>
      <c r="X115" s="352"/>
    </row>
    <row r="116" spans="1:24" ht="16.600000000000001">
      <c r="A116" s="1" t="s">
        <v>583</v>
      </c>
      <c r="B116" s="349" t="s">
        <v>1140</v>
      </c>
      <c r="C116" s="136" t="s">
        <v>75</v>
      </c>
      <c r="D116" s="352"/>
      <c r="E116" s="352"/>
      <c r="F116" s="352"/>
      <c r="G116" s="352"/>
      <c r="H116" s="352"/>
      <c r="I116" s="352"/>
      <c r="J116" s="352"/>
      <c r="K116" s="352"/>
      <c r="L116" s="352"/>
      <c r="M116" s="352"/>
      <c r="N116" s="352"/>
      <c r="O116" s="352"/>
      <c r="P116" s="352"/>
      <c r="Q116" s="352"/>
      <c r="R116" s="352"/>
      <c r="S116" s="352"/>
      <c r="T116" s="352"/>
      <c r="U116" s="352"/>
      <c r="V116" s="352"/>
      <c r="W116" s="352"/>
      <c r="X116" s="352"/>
    </row>
    <row r="117" spans="1:24" ht="16.600000000000001">
      <c r="A117" s="1" t="s">
        <v>585</v>
      </c>
      <c r="B117" s="349" t="s">
        <v>1141</v>
      </c>
      <c r="C117" s="136" t="s">
        <v>77</v>
      </c>
      <c r="D117" s="352"/>
      <c r="E117" s="352"/>
      <c r="F117" s="352"/>
      <c r="G117" s="352"/>
      <c r="H117" s="352"/>
      <c r="I117" s="352"/>
      <c r="J117" s="352"/>
      <c r="K117" s="352"/>
      <c r="L117" s="352"/>
      <c r="M117" s="352"/>
      <c r="N117" s="352"/>
      <c r="O117" s="352"/>
      <c r="P117" s="352"/>
      <c r="Q117" s="352"/>
      <c r="R117" s="352"/>
      <c r="S117" s="352"/>
      <c r="T117" s="352"/>
      <c r="U117" s="352"/>
      <c r="V117" s="352"/>
      <c r="W117" s="352"/>
      <c r="X117" s="352"/>
    </row>
    <row r="118" spans="1:24" ht="16.600000000000001">
      <c r="A118" s="1" t="s">
        <v>585</v>
      </c>
      <c r="B118" s="349" t="s">
        <v>1142</v>
      </c>
      <c r="C118" s="135" t="s">
        <v>78</v>
      </c>
      <c r="D118" s="356"/>
      <c r="E118" s="356"/>
      <c r="F118" s="356"/>
      <c r="G118" s="356"/>
      <c r="H118" s="356"/>
      <c r="I118" s="356"/>
      <c r="J118" s="356"/>
      <c r="K118" s="356"/>
      <c r="L118" s="356"/>
      <c r="M118" s="356"/>
      <c r="N118" s="356"/>
      <c r="O118" s="356"/>
      <c r="P118" s="356"/>
      <c r="Q118" s="356"/>
      <c r="R118" s="356"/>
      <c r="S118" s="356"/>
      <c r="T118" s="356"/>
      <c r="U118" s="356"/>
      <c r="V118" s="356"/>
      <c r="W118" s="356"/>
      <c r="X118" s="356"/>
    </row>
    <row r="119" spans="1:24" ht="16.600000000000001">
      <c r="A119" s="1" t="s">
        <v>585</v>
      </c>
      <c r="B119" s="349" t="s">
        <v>1143</v>
      </c>
      <c r="C119" s="136" t="s">
        <v>79</v>
      </c>
      <c r="D119" s="356"/>
      <c r="E119" s="356"/>
      <c r="F119" s="356"/>
      <c r="G119" s="356"/>
      <c r="H119" s="356"/>
      <c r="I119" s="356"/>
      <c r="J119" s="356"/>
      <c r="K119" s="356"/>
      <c r="L119" s="356"/>
      <c r="M119" s="356"/>
      <c r="N119" s="356"/>
      <c r="O119" s="356"/>
      <c r="P119" s="356"/>
      <c r="Q119" s="356"/>
      <c r="R119" s="356"/>
      <c r="S119" s="356"/>
      <c r="T119" s="356"/>
      <c r="U119" s="356"/>
      <c r="V119" s="356"/>
      <c r="W119" s="356"/>
      <c r="X119" s="356"/>
    </row>
    <row r="120" spans="1:24" ht="16.600000000000001">
      <c r="A120" s="1" t="s">
        <v>585</v>
      </c>
      <c r="B120" s="349" t="s">
        <v>1144</v>
      </c>
      <c r="C120" s="136" t="s">
        <v>80</v>
      </c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52"/>
      <c r="P120" s="352"/>
      <c r="Q120" s="352"/>
      <c r="R120" s="352"/>
      <c r="S120" s="352"/>
      <c r="T120" s="352"/>
      <c r="U120" s="352"/>
      <c r="V120" s="352"/>
      <c r="W120" s="352"/>
      <c r="X120" s="352"/>
    </row>
    <row r="121" spans="1:24" ht="16.600000000000001">
      <c r="B121" s="349" t="s">
        <v>1145</v>
      </c>
      <c r="C121" s="136" t="s">
        <v>81</v>
      </c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52"/>
      <c r="P121" s="352"/>
      <c r="Q121" s="352"/>
      <c r="R121" s="352"/>
      <c r="S121" s="352"/>
      <c r="T121" s="352"/>
      <c r="U121" s="352"/>
      <c r="V121" s="352"/>
      <c r="W121" s="352"/>
      <c r="X121" s="352"/>
    </row>
    <row r="122" spans="1:24" ht="16.600000000000001">
      <c r="A122" s="1" t="s">
        <v>584</v>
      </c>
      <c r="B122" s="349" t="s">
        <v>1146</v>
      </c>
      <c r="C122" s="136" t="s">
        <v>83</v>
      </c>
      <c r="D122" s="352"/>
      <c r="E122" s="352"/>
      <c r="F122" s="352"/>
      <c r="G122" s="352"/>
      <c r="H122" s="352"/>
      <c r="I122" s="352"/>
      <c r="J122" s="352"/>
      <c r="K122" s="352"/>
      <c r="L122" s="352"/>
      <c r="M122" s="352"/>
      <c r="N122" s="352"/>
      <c r="O122" s="352"/>
      <c r="P122" s="352"/>
      <c r="Q122" s="352"/>
      <c r="R122" s="352"/>
      <c r="S122" s="352"/>
      <c r="T122" s="352"/>
      <c r="U122" s="352"/>
      <c r="V122" s="352"/>
      <c r="W122" s="352"/>
      <c r="X122" s="352"/>
    </row>
    <row r="123" spans="1:24" ht="16.600000000000001">
      <c r="A123" s="1" t="s">
        <v>82</v>
      </c>
      <c r="B123" s="349" t="s">
        <v>1147</v>
      </c>
      <c r="C123" s="136" t="s">
        <v>84</v>
      </c>
      <c r="D123" s="352"/>
      <c r="E123" s="352"/>
      <c r="F123" s="352"/>
      <c r="G123" s="352"/>
      <c r="H123" s="352"/>
      <c r="I123" s="352"/>
      <c r="J123" s="352"/>
      <c r="K123" s="352"/>
      <c r="L123" s="352"/>
      <c r="M123" s="352"/>
      <c r="N123" s="352"/>
      <c r="O123" s="352"/>
      <c r="P123" s="352"/>
      <c r="Q123" s="352"/>
      <c r="R123" s="352"/>
      <c r="S123" s="352"/>
      <c r="T123" s="352"/>
      <c r="U123" s="352"/>
      <c r="V123" s="352"/>
      <c r="W123" s="352"/>
      <c r="X123" s="352"/>
    </row>
    <row r="124" spans="1:24" ht="16.600000000000001">
      <c r="B124" s="349" t="s">
        <v>1148</v>
      </c>
      <c r="C124" s="136" t="s">
        <v>85</v>
      </c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52"/>
      <c r="Q124" s="352"/>
      <c r="R124" s="352"/>
      <c r="S124" s="352"/>
      <c r="T124" s="352"/>
      <c r="U124" s="352"/>
      <c r="V124" s="352"/>
      <c r="W124" s="352"/>
      <c r="X124" s="352"/>
    </row>
    <row r="125" spans="1:24" ht="16.600000000000001">
      <c r="A125" s="1" t="s">
        <v>82</v>
      </c>
      <c r="B125" s="349" t="s">
        <v>1149</v>
      </c>
      <c r="C125" s="136" t="s">
        <v>86</v>
      </c>
      <c r="D125" s="356"/>
      <c r="E125" s="356"/>
      <c r="F125" s="356"/>
      <c r="G125" s="356"/>
      <c r="H125" s="356"/>
      <c r="I125" s="356"/>
      <c r="J125" s="356"/>
      <c r="K125" s="356"/>
      <c r="L125" s="356"/>
      <c r="M125" s="356"/>
      <c r="N125" s="356"/>
      <c r="O125" s="356"/>
      <c r="P125" s="356"/>
      <c r="Q125" s="356"/>
      <c r="R125" s="356"/>
      <c r="S125" s="356"/>
      <c r="T125" s="356"/>
      <c r="U125" s="356"/>
      <c r="V125" s="356"/>
      <c r="W125" s="356"/>
      <c r="X125" s="356"/>
    </row>
    <row r="126" spans="1:24" ht="16.600000000000001">
      <c r="A126" s="1" t="s">
        <v>82</v>
      </c>
      <c r="B126" s="349" t="s">
        <v>1150</v>
      </c>
      <c r="C126" s="136" t="s">
        <v>87</v>
      </c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52"/>
      <c r="Q126" s="352"/>
      <c r="R126" s="352"/>
      <c r="S126" s="352"/>
      <c r="T126" s="352"/>
      <c r="U126" s="352"/>
      <c r="V126" s="352"/>
      <c r="W126" s="352"/>
      <c r="X126" s="352"/>
    </row>
    <row r="127" spans="1:24" ht="16.600000000000001">
      <c r="A127" s="1" t="s">
        <v>583</v>
      </c>
      <c r="B127" s="349" t="s">
        <v>1151</v>
      </c>
      <c r="C127" s="136" t="s">
        <v>88</v>
      </c>
      <c r="D127" s="352"/>
      <c r="E127" s="352"/>
      <c r="F127" s="352"/>
      <c r="G127" s="352"/>
      <c r="H127" s="352"/>
      <c r="I127" s="352"/>
      <c r="J127" s="352"/>
      <c r="K127" s="352"/>
      <c r="L127" s="352"/>
      <c r="M127" s="352"/>
      <c r="N127" s="352"/>
      <c r="O127" s="352"/>
      <c r="P127" s="352"/>
      <c r="Q127" s="352"/>
      <c r="R127" s="352"/>
      <c r="S127" s="352"/>
      <c r="T127" s="352"/>
      <c r="U127" s="352"/>
      <c r="V127" s="352"/>
      <c r="W127" s="352"/>
      <c r="X127" s="352"/>
    </row>
    <row r="128" spans="1:24" ht="16.600000000000001">
      <c r="A128" s="1" t="s">
        <v>82</v>
      </c>
      <c r="B128" s="349" t="s">
        <v>1152</v>
      </c>
      <c r="C128" s="136" t="s">
        <v>158</v>
      </c>
      <c r="D128" s="352"/>
      <c r="E128" s="352"/>
      <c r="F128" s="352"/>
      <c r="G128" s="352"/>
      <c r="H128" s="352"/>
      <c r="I128" s="352"/>
      <c r="J128" s="352"/>
      <c r="K128" s="352"/>
      <c r="L128" s="352"/>
      <c r="M128" s="352"/>
      <c r="N128" s="352"/>
      <c r="O128" s="352"/>
      <c r="P128" s="352"/>
      <c r="Q128" s="352"/>
      <c r="R128" s="352"/>
      <c r="S128" s="352"/>
      <c r="T128" s="352"/>
      <c r="U128" s="352"/>
      <c r="V128" s="352"/>
      <c r="W128" s="352"/>
      <c r="X128" s="352"/>
    </row>
    <row r="129" spans="1:24" ht="16.600000000000001">
      <c r="A129" s="1" t="s">
        <v>82</v>
      </c>
      <c r="B129" s="349" t="s">
        <v>1153</v>
      </c>
      <c r="C129" s="136" t="s">
        <v>159</v>
      </c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/>
      <c r="O129" s="352"/>
      <c r="P129" s="352"/>
      <c r="Q129" s="352"/>
      <c r="R129" s="352"/>
      <c r="S129" s="352"/>
      <c r="T129" s="352"/>
      <c r="U129" s="352"/>
      <c r="V129" s="352"/>
      <c r="W129" s="352"/>
      <c r="X129" s="352"/>
    </row>
    <row r="130" spans="1:24" ht="16.600000000000001">
      <c r="A130" s="1" t="s">
        <v>82</v>
      </c>
      <c r="B130" s="349" t="s">
        <v>1154</v>
      </c>
      <c r="C130" s="136" t="s">
        <v>157</v>
      </c>
      <c r="D130" s="352"/>
      <c r="E130" s="352"/>
      <c r="F130" s="352"/>
      <c r="G130" s="352"/>
      <c r="H130" s="352"/>
      <c r="I130" s="352"/>
      <c r="J130" s="352"/>
      <c r="K130" s="352"/>
      <c r="L130" s="352"/>
      <c r="M130" s="352"/>
      <c r="N130" s="352"/>
      <c r="O130" s="352"/>
      <c r="P130" s="352"/>
      <c r="Q130" s="352"/>
      <c r="R130" s="352"/>
      <c r="S130" s="352"/>
      <c r="T130" s="352"/>
      <c r="U130" s="352"/>
      <c r="V130" s="352"/>
      <c r="W130" s="352"/>
      <c r="X130" s="352"/>
    </row>
    <row r="131" spans="1:24" ht="16.600000000000001">
      <c r="B131" s="349" t="s">
        <v>1155</v>
      </c>
      <c r="C131" s="136" t="s">
        <v>89</v>
      </c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/>
      <c r="P131" s="352"/>
      <c r="Q131" s="352"/>
      <c r="R131" s="352"/>
      <c r="S131" s="352"/>
      <c r="T131" s="352"/>
      <c r="U131" s="352"/>
      <c r="V131" s="352"/>
      <c r="W131" s="352"/>
      <c r="X131" s="352"/>
    </row>
    <row r="132" spans="1:24" ht="16.600000000000001">
      <c r="B132" s="349" t="s">
        <v>1156</v>
      </c>
      <c r="C132" s="136" t="s">
        <v>90</v>
      </c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/>
      <c r="P132" s="352"/>
      <c r="Q132" s="352"/>
      <c r="R132" s="352"/>
      <c r="S132" s="352"/>
      <c r="T132" s="352"/>
      <c r="U132" s="352"/>
      <c r="V132" s="352"/>
      <c r="W132" s="352"/>
      <c r="X132" s="352"/>
    </row>
    <row r="133" spans="1:24" ht="16.600000000000001">
      <c r="B133" s="349" t="s">
        <v>1157</v>
      </c>
      <c r="C133" s="136" t="s">
        <v>91</v>
      </c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/>
      <c r="P133" s="352"/>
      <c r="Q133" s="352"/>
      <c r="R133" s="352"/>
      <c r="S133" s="352"/>
      <c r="T133" s="352"/>
      <c r="U133" s="352"/>
      <c r="V133" s="352"/>
      <c r="W133" s="352"/>
      <c r="X133" s="352"/>
    </row>
    <row r="134" spans="1:24" ht="16.600000000000001">
      <c r="A134" s="1" t="s">
        <v>92</v>
      </c>
      <c r="B134" s="349" t="s">
        <v>1158</v>
      </c>
      <c r="C134" s="136" t="s">
        <v>93</v>
      </c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2"/>
      <c r="T134" s="352"/>
      <c r="U134" s="352"/>
      <c r="V134" s="352"/>
      <c r="W134" s="352"/>
      <c r="X134" s="352"/>
    </row>
    <row r="135" spans="1:24" ht="16.600000000000001">
      <c r="A135" s="1" t="s">
        <v>100</v>
      </c>
      <c r="B135" s="349" t="s">
        <v>1159</v>
      </c>
      <c r="C135" s="136" t="s">
        <v>94</v>
      </c>
      <c r="D135" s="352"/>
      <c r="E135" s="352"/>
      <c r="F135" s="352"/>
      <c r="G135" s="352"/>
      <c r="H135" s="352"/>
      <c r="I135" s="352"/>
      <c r="J135" s="352"/>
      <c r="K135" s="352"/>
      <c r="L135" s="352"/>
      <c r="M135" s="352"/>
      <c r="N135" s="352"/>
      <c r="O135" s="352"/>
      <c r="P135" s="352"/>
      <c r="Q135" s="352"/>
      <c r="R135" s="352"/>
      <c r="S135" s="352"/>
      <c r="T135" s="352"/>
      <c r="U135" s="352"/>
      <c r="V135" s="352"/>
      <c r="W135" s="352"/>
      <c r="X135" s="352"/>
    </row>
    <row r="136" spans="1:24" ht="16.600000000000001">
      <c r="A136" s="1" t="s">
        <v>92</v>
      </c>
      <c r="B136" s="349" t="s">
        <v>1160</v>
      </c>
      <c r="C136" s="136" t="s">
        <v>95</v>
      </c>
      <c r="D136" s="352"/>
      <c r="E136" s="352"/>
      <c r="F136" s="352"/>
      <c r="G136" s="352"/>
      <c r="H136" s="352"/>
      <c r="I136" s="352"/>
      <c r="J136" s="352"/>
      <c r="K136" s="352"/>
      <c r="L136" s="352"/>
      <c r="M136" s="352"/>
      <c r="N136" s="352"/>
      <c r="O136" s="352"/>
      <c r="P136" s="352"/>
      <c r="Q136" s="352"/>
      <c r="R136" s="352"/>
      <c r="S136" s="352"/>
      <c r="T136" s="352"/>
      <c r="U136" s="352"/>
      <c r="V136" s="352"/>
      <c r="W136" s="352"/>
      <c r="X136" s="352"/>
    </row>
    <row r="137" spans="1:24" ht="16.600000000000001">
      <c r="A137" s="1" t="s">
        <v>96</v>
      </c>
      <c r="B137" s="349" t="s">
        <v>1161</v>
      </c>
      <c r="C137" s="136" t="s">
        <v>97</v>
      </c>
      <c r="D137" s="352"/>
      <c r="E137" s="352"/>
      <c r="F137" s="352"/>
      <c r="G137" s="352"/>
      <c r="H137" s="352"/>
      <c r="I137" s="352"/>
      <c r="J137" s="352"/>
      <c r="K137" s="352"/>
      <c r="L137" s="352"/>
      <c r="M137" s="352"/>
      <c r="N137" s="352"/>
      <c r="O137" s="352"/>
      <c r="P137" s="352"/>
      <c r="Q137" s="352"/>
      <c r="R137" s="352"/>
      <c r="S137" s="352"/>
      <c r="T137" s="352"/>
      <c r="U137" s="352"/>
      <c r="V137" s="352"/>
      <c r="W137" s="352"/>
      <c r="X137" s="352"/>
    </row>
    <row r="138" spans="1:24" ht="16.600000000000001">
      <c r="A138" s="1" t="s">
        <v>96</v>
      </c>
      <c r="B138" s="349" t="s">
        <v>1162</v>
      </c>
      <c r="C138" s="136" t="s">
        <v>98</v>
      </c>
      <c r="D138" s="356"/>
      <c r="E138" s="356"/>
      <c r="F138" s="356"/>
      <c r="G138" s="356"/>
      <c r="H138" s="356"/>
      <c r="I138" s="356"/>
      <c r="J138" s="356"/>
      <c r="K138" s="356"/>
      <c r="L138" s="356"/>
      <c r="M138" s="356"/>
      <c r="N138" s="356"/>
      <c r="O138" s="356"/>
      <c r="P138" s="356"/>
      <c r="Q138" s="356"/>
      <c r="R138" s="356"/>
      <c r="S138" s="356"/>
      <c r="T138" s="356"/>
      <c r="U138" s="356"/>
      <c r="V138" s="356"/>
      <c r="W138" s="356"/>
      <c r="X138" s="356"/>
    </row>
    <row r="139" spans="1:24" ht="16.600000000000001">
      <c r="A139" s="1" t="s">
        <v>100</v>
      </c>
      <c r="B139" s="349" t="s">
        <v>1163</v>
      </c>
      <c r="C139" s="136" t="s">
        <v>99</v>
      </c>
      <c r="D139" s="352"/>
      <c r="E139" s="352"/>
      <c r="F139" s="352"/>
      <c r="G139" s="352"/>
      <c r="H139" s="352"/>
      <c r="I139" s="352"/>
      <c r="J139" s="352"/>
      <c r="K139" s="352"/>
      <c r="L139" s="352"/>
      <c r="M139" s="352"/>
      <c r="N139" s="352"/>
      <c r="O139" s="352"/>
      <c r="P139" s="352"/>
      <c r="Q139" s="352"/>
      <c r="R139" s="352"/>
      <c r="S139" s="352"/>
      <c r="T139" s="352"/>
      <c r="U139" s="352"/>
      <c r="V139" s="352"/>
      <c r="W139" s="352"/>
      <c r="X139" s="352"/>
    </row>
    <row r="140" spans="1:24" ht="16.600000000000001">
      <c r="A140" s="1" t="s">
        <v>100</v>
      </c>
      <c r="B140" s="349" t="s">
        <v>1164</v>
      </c>
      <c r="C140" s="136" t="s">
        <v>101</v>
      </c>
      <c r="D140" s="352"/>
      <c r="E140" s="352"/>
      <c r="F140" s="352"/>
      <c r="G140" s="352"/>
      <c r="H140" s="352"/>
      <c r="I140" s="352"/>
      <c r="J140" s="352"/>
      <c r="K140" s="352"/>
      <c r="L140" s="352"/>
      <c r="M140" s="352"/>
      <c r="N140" s="352"/>
      <c r="O140" s="352"/>
      <c r="P140" s="352"/>
      <c r="Q140" s="352"/>
      <c r="R140" s="352"/>
      <c r="S140" s="352"/>
      <c r="T140" s="352"/>
      <c r="U140" s="352"/>
      <c r="V140" s="352"/>
      <c r="W140" s="352"/>
      <c r="X140" s="352"/>
    </row>
    <row r="141" spans="1:24" ht="16.600000000000001">
      <c r="A141" s="1" t="s">
        <v>96</v>
      </c>
      <c r="B141" s="349" t="s">
        <v>1165</v>
      </c>
      <c r="C141" s="136" t="s">
        <v>102</v>
      </c>
      <c r="D141" s="352"/>
      <c r="E141" s="352"/>
      <c r="F141" s="352"/>
      <c r="G141" s="352"/>
      <c r="H141" s="352"/>
      <c r="I141" s="352"/>
      <c r="J141" s="352"/>
      <c r="K141" s="352"/>
      <c r="L141" s="352"/>
      <c r="M141" s="352"/>
      <c r="N141" s="352"/>
      <c r="O141" s="352"/>
      <c r="P141" s="352"/>
      <c r="Q141" s="352"/>
      <c r="R141" s="352"/>
      <c r="S141" s="352"/>
      <c r="T141" s="352"/>
      <c r="U141" s="352"/>
      <c r="V141" s="352"/>
      <c r="W141" s="352"/>
      <c r="X141" s="352"/>
    </row>
    <row r="142" spans="1:24" ht="16.600000000000001">
      <c r="A142" s="1" t="s">
        <v>587</v>
      </c>
      <c r="B142" s="349" t="s">
        <v>1166</v>
      </c>
      <c r="C142" s="136" t="s">
        <v>103</v>
      </c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2"/>
      <c r="T142" s="352"/>
      <c r="U142" s="352"/>
      <c r="V142" s="352"/>
      <c r="W142" s="352"/>
      <c r="X142" s="352"/>
    </row>
    <row r="143" spans="1:24" ht="16.600000000000001">
      <c r="A143" s="1" t="s">
        <v>586</v>
      </c>
      <c r="B143" s="349" t="s">
        <v>1167</v>
      </c>
      <c r="C143" s="136" t="s">
        <v>104</v>
      </c>
      <c r="D143" s="352"/>
      <c r="E143" s="352"/>
      <c r="F143" s="352"/>
      <c r="G143" s="352"/>
      <c r="H143" s="352"/>
      <c r="I143" s="352"/>
      <c r="J143" s="352"/>
      <c r="K143" s="352"/>
      <c r="L143" s="352"/>
      <c r="M143" s="352"/>
      <c r="N143" s="352"/>
      <c r="O143" s="352"/>
      <c r="P143" s="352"/>
      <c r="Q143" s="352"/>
      <c r="R143" s="352"/>
      <c r="S143" s="352"/>
      <c r="T143" s="352"/>
      <c r="U143" s="352"/>
      <c r="V143" s="352"/>
      <c r="W143" s="352"/>
      <c r="X143" s="352"/>
    </row>
    <row r="144" spans="1:24" ht="16.600000000000001">
      <c r="A144" s="1" t="s">
        <v>96</v>
      </c>
      <c r="B144" s="349" t="s">
        <v>1168</v>
      </c>
      <c r="C144" s="136" t="s">
        <v>105</v>
      </c>
      <c r="D144" s="352"/>
      <c r="E144" s="352"/>
      <c r="F144" s="352"/>
      <c r="G144" s="352"/>
      <c r="H144" s="352"/>
      <c r="I144" s="352"/>
      <c r="J144" s="352"/>
      <c r="K144" s="352"/>
      <c r="L144" s="352"/>
      <c r="M144" s="352"/>
      <c r="N144" s="352"/>
      <c r="O144" s="352"/>
      <c r="P144" s="352"/>
      <c r="Q144" s="352"/>
      <c r="R144" s="352"/>
      <c r="S144" s="352"/>
      <c r="T144" s="352"/>
      <c r="U144" s="352"/>
      <c r="V144" s="352"/>
      <c r="W144" s="352"/>
      <c r="X144" s="352"/>
    </row>
    <row r="145" spans="1:24" ht="16.600000000000001">
      <c r="A145" s="1" t="s">
        <v>96</v>
      </c>
      <c r="B145" s="349" t="s">
        <v>1169</v>
      </c>
      <c r="C145" s="136" t="s">
        <v>106</v>
      </c>
      <c r="D145" s="352"/>
      <c r="E145" s="352"/>
      <c r="F145" s="352"/>
      <c r="G145" s="352"/>
      <c r="H145" s="352"/>
      <c r="I145" s="352"/>
      <c r="J145" s="352"/>
      <c r="K145" s="352"/>
      <c r="L145" s="352"/>
      <c r="M145" s="352"/>
      <c r="N145" s="352"/>
      <c r="O145" s="352"/>
      <c r="P145" s="352"/>
      <c r="Q145" s="352"/>
      <c r="R145" s="352"/>
      <c r="S145" s="352"/>
      <c r="T145" s="352"/>
      <c r="U145" s="352"/>
      <c r="V145" s="352"/>
      <c r="W145" s="352"/>
      <c r="X145" s="352"/>
    </row>
    <row r="146" spans="1:24" ht="16.600000000000001">
      <c r="A146" s="1" t="s">
        <v>588</v>
      </c>
      <c r="B146" s="349" t="s">
        <v>1170</v>
      </c>
      <c r="C146" s="136" t="s">
        <v>107</v>
      </c>
      <c r="D146" s="352"/>
      <c r="E146" s="352"/>
      <c r="F146" s="352"/>
      <c r="G146" s="352"/>
      <c r="H146" s="352"/>
      <c r="I146" s="352"/>
      <c r="J146" s="352"/>
      <c r="K146" s="352"/>
      <c r="L146" s="352"/>
      <c r="M146" s="352"/>
      <c r="N146" s="352"/>
      <c r="O146" s="352"/>
      <c r="P146" s="352"/>
      <c r="Q146" s="352"/>
      <c r="R146" s="352"/>
      <c r="S146" s="352"/>
      <c r="T146" s="352"/>
      <c r="U146" s="352"/>
      <c r="V146" s="352"/>
      <c r="W146" s="352"/>
      <c r="X146" s="352"/>
    </row>
    <row r="147" spans="1:24" ht="16.600000000000001">
      <c r="A147" s="1" t="s">
        <v>590</v>
      </c>
      <c r="B147" s="349" t="s">
        <v>1171</v>
      </c>
      <c r="C147" s="136" t="s">
        <v>108</v>
      </c>
      <c r="D147" s="352"/>
      <c r="E147" s="352"/>
      <c r="F147" s="352"/>
      <c r="G147" s="352"/>
      <c r="H147" s="352"/>
      <c r="I147" s="352"/>
      <c r="J147" s="352"/>
      <c r="K147" s="352"/>
      <c r="L147" s="352"/>
      <c r="M147" s="352"/>
      <c r="N147" s="352"/>
      <c r="O147" s="352"/>
      <c r="P147" s="352"/>
      <c r="Q147" s="352"/>
      <c r="R147" s="352"/>
      <c r="S147" s="352"/>
      <c r="T147" s="352"/>
      <c r="U147" s="352"/>
      <c r="V147" s="352"/>
      <c r="W147" s="352"/>
      <c r="X147" s="352"/>
    </row>
    <row r="148" spans="1:24" ht="16.600000000000001">
      <c r="A148" s="1" t="s">
        <v>92</v>
      </c>
      <c r="B148" s="349" t="s">
        <v>1172</v>
      </c>
      <c r="C148" s="136" t="s">
        <v>109</v>
      </c>
      <c r="D148" s="356"/>
      <c r="E148" s="356"/>
      <c r="F148" s="356"/>
      <c r="G148" s="356"/>
      <c r="H148" s="356"/>
      <c r="I148" s="356"/>
      <c r="J148" s="356"/>
      <c r="K148" s="356"/>
      <c r="L148" s="356"/>
      <c r="M148" s="356"/>
      <c r="N148" s="356"/>
      <c r="O148" s="356"/>
      <c r="P148" s="356"/>
      <c r="Q148" s="356"/>
      <c r="R148" s="356"/>
      <c r="S148" s="356"/>
      <c r="T148" s="356"/>
      <c r="U148" s="356"/>
      <c r="V148" s="356"/>
      <c r="W148" s="356"/>
      <c r="X148" s="356"/>
    </row>
    <row r="149" spans="1:24" ht="16.600000000000001">
      <c r="A149" s="1" t="s">
        <v>100</v>
      </c>
      <c r="B149" s="349" t="s">
        <v>1173</v>
      </c>
      <c r="C149" s="136" t="s">
        <v>110</v>
      </c>
      <c r="D149" s="356"/>
      <c r="E149" s="356"/>
      <c r="F149" s="356"/>
      <c r="G149" s="356"/>
      <c r="H149" s="356"/>
      <c r="I149" s="356"/>
      <c r="J149" s="356"/>
      <c r="K149" s="356"/>
      <c r="L149" s="356"/>
      <c r="M149" s="356"/>
      <c r="N149" s="356"/>
      <c r="O149" s="356"/>
      <c r="P149" s="356"/>
      <c r="Q149" s="356"/>
      <c r="R149" s="356"/>
      <c r="S149" s="356"/>
      <c r="T149" s="356"/>
      <c r="U149" s="356"/>
      <c r="V149" s="356"/>
      <c r="W149" s="356"/>
      <c r="X149" s="356"/>
    </row>
    <row r="150" spans="1:24" ht="16.600000000000001">
      <c r="A150" s="1" t="s">
        <v>96</v>
      </c>
      <c r="B150" s="349" t="s">
        <v>1174</v>
      </c>
      <c r="C150" s="136" t="s">
        <v>112</v>
      </c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2"/>
      <c r="T150" s="352"/>
      <c r="U150" s="352"/>
      <c r="V150" s="352"/>
      <c r="W150" s="352"/>
      <c r="X150" s="352"/>
    </row>
    <row r="151" spans="1:24" ht="16.600000000000001">
      <c r="B151" s="349" t="s">
        <v>1175</v>
      </c>
      <c r="C151" s="136" t="s">
        <v>111</v>
      </c>
      <c r="D151" s="352"/>
      <c r="E151" s="352"/>
      <c r="F151" s="352"/>
      <c r="G151" s="352"/>
      <c r="H151" s="352"/>
      <c r="I151" s="352"/>
      <c r="J151" s="352"/>
      <c r="K151" s="352"/>
      <c r="L151" s="352"/>
      <c r="M151" s="352"/>
      <c r="N151" s="352"/>
      <c r="O151" s="352"/>
      <c r="P151" s="352"/>
      <c r="Q151" s="352"/>
      <c r="R151" s="352"/>
      <c r="S151" s="352"/>
      <c r="T151" s="352"/>
      <c r="U151" s="352"/>
      <c r="V151" s="352"/>
      <c r="W151" s="352"/>
      <c r="X151" s="352"/>
    </row>
    <row r="152" spans="1:24" ht="16.600000000000001">
      <c r="A152" s="1" t="s">
        <v>114</v>
      </c>
      <c r="B152" s="349" t="s">
        <v>1176</v>
      </c>
      <c r="C152" s="136" t="s">
        <v>113</v>
      </c>
      <c r="D152" s="352"/>
      <c r="E152" s="352"/>
      <c r="F152" s="352"/>
      <c r="G152" s="352"/>
      <c r="H152" s="352"/>
      <c r="I152" s="352"/>
      <c r="J152" s="352"/>
      <c r="K152" s="352"/>
      <c r="L152" s="352"/>
      <c r="M152" s="352"/>
      <c r="N152" s="352"/>
      <c r="O152" s="352"/>
      <c r="P152" s="352"/>
      <c r="Q152" s="352"/>
      <c r="R152" s="352"/>
      <c r="S152" s="352"/>
      <c r="T152" s="352"/>
      <c r="U152" s="352"/>
      <c r="V152" s="352"/>
      <c r="W152" s="352"/>
      <c r="X152" s="352"/>
    </row>
    <row r="153" spans="1:24" ht="16.600000000000001">
      <c r="A153" s="1" t="s">
        <v>114</v>
      </c>
      <c r="B153" s="349" t="s">
        <v>1177</v>
      </c>
      <c r="C153" s="136" t="s">
        <v>115</v>
      </c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52"/>
      <c r="Q153" s="352"/>
      <c r="R153" s="352"/>
      <c r="S153" s="352"/>
      <c r="T153" s="352"/>
      <c r="U153" s="352"/>
      <c r="V153" s="352"/>
      <c r="W153" s="352"/>
      <c r="X153" s="352"/>
    </row>
    <row r="154" spans="1:24" ht="16.600000000000001">
      <c r="A154" s="1" t="s">
        <v>114</v>
      </c>
      <c r="B154" s="349" t="s">
        <v>1178</v>
      </c>
      <c r="C154" s="136" t="s">
        <v>116</v>
      </c>
      <c r="D154" s="356"/>
      <c r="E154" s="356"/>
      <c r="F154" s="356"/>
      <c r="G154" s="356"/>
      <c r="H154" s="356"/>
      <c r="I154" s="356"/>
      <c r="J154" s="356"/>
      <c r="K154" s="356"/>
      <c r="L154" s="356"/>
      <c r="M154" s="356"/>
      <c r="N154" s="356"/>
      <c r="O154" s="356"/>
      <c r="P154" s="356"/>
      <c r="Q154" s="356"/>
      <c r="R154" s="356"/>
      <c r="S154" s="356"/>
      <c r="T154" s="356"/>
      <c r="U154" s="356"/>
      <c r="V154" s="356"/>
      <c r="W154" s="356"/>
      <c r="X154" s="356"/>
    </row>
    <row r="155" spans="1:24" ht="16.600000000000001">
      <c r="A155" s="1" t="s">
        <v>114</v>
      </c>
      <c r="B155" s="349" t="s">
        <v>1179</v>
      </c>
      <c r="C155" s="136" t="s">
        <v>117</v>
      </c>
      <c r="D155" s="356"/>
      <c r="E155" s="356"/>
      <c r="F155" s="356"/>
      <c r="G155" s="356"/>
      <c r="H155" s="356"/>
      <c r="I155" s="356"/>
      <c r="J155" s="356"/>
      <c r="K155" s="356"/>
      <c r="L155" s="356"/>
      <c r="M155" s="356"/>
      <c r="N155" s="356"/>
      <c r="O155" s="356"/>
      <c r="P155" s="356"/>
      <c r="Q155" s="356"/>
      <c r="R155" s="356"/>
      <c r="S155" s="356"/>
      <c r="T155" s="356"/>
      <c r="U155" s="356"/>
      <c r="V155" s="356"/>
      <c r="W155" s="356"/>
      <c r="X155" s="356"/>
    </row>
    <row r="156" spans="1:24" ht="16.600000000000001">
      <c r="A156" s="1" t="s">
        <v>118</v>
      </c>
      <c r="B156" s="349" t="s">
        <v>1180</v>
      </c>
      <c r="C156" s="136" t="s">
        <v>119</v>
      </c>
      <c r="D156" s="352"/>
      <c r="E156" s="352"/>
      <c r="F156" s="352"/>
      <c r="G156" s="352"/>
      <c r="H156" s="352"/>
      <c r="I156" s="352"/>
      <c r="J156" s="352"/>
      <c r="K156" s="352"/>
      <c r="L156" s="352"/>
      <c r="M156" s="352"/>
      <c r="N156" s="352"/>
      <c r="O156" s="352"/>
      <c r="P156" s="352"/>
      <c r="Q156" s="352"/>
      <c r="R156" s="352"/>
      <c r="S156" s="352"/>
      <c r="T156" s="352"/>
      <c r="U156" s="352"/>
      <c r="V156" s="352"/>
      <c r="W156" s="352"/>
      <c r="X156" s="352"/>
    </row>
    <row r="157" spans="1:24" ht="16.600000000000001">
      <c r="A157" s="1" t="s">
        <v>118</v>
      </c>
      <c r="B157" s="349" t="s">
        <v>1181</v>
      </c>
      <c r="C157" s="136" t="s">
        <v>120</v>
      </c>
      <c r="D157" s="352"/>
      <c r="E157" s="352"/>
      <c r="F157" s="352"/>
      <c r="G157" s="352"/>
      <c r="H157" s="352"/>
      <c r="I157" s="352"/>
      <c r="J157" s="352"/>
      <c r="K157" s="352"/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</row>
    <row r="158" spans="1:24" ht="16.600000000000001">
      <c r="A158" s="1" t="s">
        <v>118</v>
      </c>
      <c r="B158" s="349" t="s">
        <v>1182</v>
      </c>
      <c r="C158" s="136" t="s">
        <v>121</v>
      </c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2"/>
      <c r="T158" s="352"/>
      <c r="U158" s="352"/>
      <c r="V158" s="352"/>
      <c r="W158" s="352"/>
      <c r="X158" s="352"/>
    </row>
    <row r="159" spans="1:24" ht="16.600000000000001">
      <c r="A159" s="1" t="s">
        <v>118</v>
      </c>
      <c r="B159" s="349" t="s">
        <v>1183</v>
      </c>
      <c r="C159" s="136" t="s">
        <v>122</v>
      </c>
      <c r="D159" s="352"/>
      <c r="E159" s="352"/>
      <c r="F159" s="352"/>
      <c r="G159" s="352"/>
      <c r="H159" s="352"/>
      <c r="I159" s="352"/>
      <c r="J159" s="352"/>
      <c r="K159" s="352"/>
      <c r="L159" s="352"/>
      <c r="M159" s="352"/>
      <c r="N159" s="352"/>
      <c r="O159" s="352"/>
      <c r="P159" s="352"/>
      <c r="Q159" s="352"/>
      <c r="R159" s="352"/>
      <c r="S159" s="352"/>
      <c r="T159" s="352"/>
      <c r="U159" s="352"/>
      <c r="V159" s="352"/>
      <c r="W159" s="352"/>
      <c r="X159" s="352"/>
    </row>
    <row r="160" spans="1:24" ht="16.600000000000001">
      <c r="A160" s="1" t="s">
        <v>118</v>
      </c>
      <c r="B160" s="349" t="s">
        <v>1184</v>
      </c>
      <c r="C160" s="136" t="s">
        <v>123</v>
      </c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52"/>
      <c r="Q160" s="352"/>
      <c r="R160" s="352"/>
      <c r="S160" s="352"/>
      <c r="T160" s="352"/>
      <c r="U160" s="352"/>
      <c r="V160" s="352"/>
      <c r="W160" s="352"/>
      <c r="X160" s="352"/>
    </row>
    <row r="161" spans="1:24" ht="16.600000000000001">
      <c r="A161" s="1" t="s">
        <v>114</v>
      </c>
      <c r="B161" s="349" t="s">
        <v>1185</v>
      </c>
      <c r="C161" s="136" t="s">
        <v>124</v>
      </c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52"/>
      <c r="Q161" s="352"/>
      <c r="R161" s="352"/>
      <c r="S161" s="352"/>
      <c r="T161" s="352"/>
      <c r="U161" s="352"/>
      <c r="V161" s="352"/>
      <c r="W161" s="352"/>
      <c r="X161" s="352"/>
    </row>
    <row r="162" spans="1:24" ht="16.600000000000001">
      <c r="A162" s="1" t="s">
        <v>591</v>
      </c>
      <c r="B162" s="349" t="s">
        <v>1186</v>
      </c>
      <c r="C162" s="136" t="s">
        <v>125</v>
      </c>
      <c r="D162" s="352"/>
      <c r="E162" s="352"/>
      <c r="F162" s="352"/>
      <c r="G162" s="352"/>
      <c r="H162" s="352"/>
      <c r="I162" s="352"/>
      <c r="J162" s="352"/>
      <c r="K162" s="352"/>
      <c r="L162" s="352"/>
      <c r="M162" s="352"/>
      <c r="N162" s="352"/>
      <c r="O162" s="352"/>
      <c r="P162" s="352"/>
      <c r="Q162" s="352"/>
      <c r="R162" s="352"/>
      <c r="S162" s="352"/>
      <c r="T162" s="352"/>
      <c r="U162" s="352"/>
      <c r="V162" s="352"/>
      <c r="W162" s="352"/>
      <c r="X162" s="352"/>
    </row>
    <row r="163" spans="1:24" ht="16.600000000000001">
      <c r="A163" s="1" t="s">
        <v>114</v>
      </c>
      <c r="B163" s="349" t="s">
        <v>1187</v>
      </c>
      <c r="C163" s="136" t="s">
        <v>126</v>
      </c>
      <c r="D163" s="352"/>
      <c r="E163" s="352"/>
      <c r="F163" s="352"/>
      <c r="G163" s="352"/>
      <c r="H163" s="352"/>
      <c r="I163" s="352"/>
      <c r="J163" s="352"/>
      <c r="K163" s="352"/>
      <c r="L163" s="352"/>
      <c r="M163" s="352"/>
      <c r="N163" s="352"/>
      <c r="O163" s="352"/>
      <c r="P163" s="352"/>
      <c r="Q163" s="352"/>
      <c r="R163" s="352"/>
      <c r="S163" s="352"/>
      <c r="T163" s="352"/>
      <c r="U163" s="352"/>
      <c r="V163" s="352"/>
      <c r="W163" s="352"/>
      <c r="X163" s="352"/>
    </row>
    <row r="164" spans="1:24" ht="16.600000000000001">
      <c r="B164" s="349" t="s">
        <v>1188</v>
      </c>
      <c r="C164" s="136" t="s">
        <v>128</v>
      </c>
      <c r="D164" s="352"/>
      <c r="E164" s="352"/>
      <c r="F164" s="352"/>
      <c r="G164" s="352"/>
      <c r="H164" s="352"/>
      <c r="I164" s="352"/>
      <c r="J164" s="352"/>
      <c r="K164" s="352"/>
      <c r="L164" s="352"/>
      <c r="M164" s="352"/>
      <c r="N164" s="352"/>
      <c r="O164" s="352"/>
      <c r="P164" s="352"/>
      <c r="Q164" s="352"/>
      <c r="R164" s="352"/>
      <c r="S164" s="352"/>
      <c r="T164" s="352"/>
      <c r="U164" s="352"/>
      <c r="V164" s="352"/>
      <c r="W164" s="352"/>
      <c r="X164" s="352"/>
    </row>
    <row r="165" spans="1:24" ht="16.600000000000001">
      <c r="B165" s="349" t="s">
        <v>1189</v>
      </c>
      <c r="C165" s="136" t="s">
        <v>127</v>
      </c>
      <c r="D165" s="352"/>
      <c r="E165" s="352"/>
      <c r="F165" s="352"/>
      <c r="G165" s="352"/>
      <c r="H165" s="352"/>
      <c r="I165" s="352"/>
      <c r="J165" s="352"/>
      <c r="K165" s="352"/>
      <c r="L165" s="352"/>
      <c r="M165" s="352"/>
      <c r="N165" s="352"/>
      <c r="O165" s="352"/>
      <c r="P165" s="352"/>
      <c r="Q165" s="352"/>
      <c r="R165" s="352"/>
      <c r="S165" s="352"/>
      <c r="T165" s="352"/>
      <c r="U165" s="352"/>
      <c r="V165" s="352"/>
      <c r="W165" s="352"/>
      <c r="X165" s="352"/>
    </row>
    <row r="166" spans="1:24" ht="16.600000000000001">
      <c r="A166" s="1" t="s">
        <v>129</v>
      </c>
      <c r="B166" s="349" t="s">
        <v>1190</v>
      </c>
      <c r="C166" s="136" t="s">
        <v>130</v>
      </c>
      <c r="D166" s="352"/>
      <c r="E166" s="352"/>
      <c r="F166" s="352"/>
      <c r="G166" s="352"/>
      <c r="H166" s="352"/>
      <c r="I166" s="352"/>
      <c r="J166" s="352"/>
      <c r="K166" s="352"/>
      <c r="L166" s="352"/>
      <c r="M166" s="352"/>
      <c r="N166" s="352"/>
      <c r="O166" s="352"/>
      <c r="P166" s="352"/>
      <c r="Q166" s="352"/>
      <c r="R166" s="352"/>
      <c r="S166" s="352"/>
      <c r="T166" s="352"/>
      <c r="U166" s="352"/>
      <c r="V166" s="352"/>
      <c r="W166" s="352"/>
      <c r="X166" s="352"/>
    </row>
    <row r="167" spans="1:24" ht="16.600000000000001">
      <c r="A167" s="1" t="s">
        <v>129</v>
      </c>
      <c r="B167" s="349" t="s">
        <v>1191</v>
      </c>
      <c r="C167" s="136" t="s">
        <v>131</v>
      </c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2"/>
      <c r="T167" s="352"/>
      <c r="U167" s="352"/>
      <c r="V167" s="352"/>
      <c r="W167" s="352"/>
      <c r="X167" s="352"/>
    </row>
    <row r="168" spans="1:24" ht="16.600000000000001">
      <c r="A168" s="1" t="s">
        <v>129</v>
      </c>
      <c r="B168" s="349" t="s">
        <v>1192</v>
      </c>
      <c r="C168" s="136" t="s">
        <v>132</v>
      </c>
      <c r="D168" s="352"/>
      <c r="E168" s="356"/>
      <c r="F168" s="356"/>
      <c r="G168" s="356"/>
      <c r="H168" s="356"/>
      <c r="I168" s="356"/>
      <c r="J168" s="356"/>
      <c r="K168" s="356"/>
      <c r="L168" s="356"/>
      <c r="M168" s="356"/>
      <c r="N168" s="356"/>
      <c r="O168" s="356"/>
      <c r="P168" s="356"/>
      <c r="Q168" s="356"/>
      <c r="R168" s="356"/>
      <c r="S168" s="356"/>
      <c r="T168" s="356"/>
      <c r="U168" s="356"/>
      <c r="V168" s="356"/>
      <c r="W168" s="356"/>
      <c r="X168" s="356"/>
    </row>
    <row r="169" spans="1:24" ht="16.600000000000001">
      <c r="A169" s="1" t="s">
        <v>129</v>
      </c>
      <c r="B169" s="349" t="s">
        <v>1193</v>
      </c>
      <c r="C169" s="136" t="s">
        <v>133</v>
      </c>
      <c r="D169" s="356"/>
      <c r="E169" s="352"/>
      <c r="F169" s="352"/>
      <c r="G169" s="352"/>
      <c r="H169" s="352"/>
      <c r="I169" s="352"/>
      <c r="J169" s="352"/>
      <c r="K169" s="352"/>
      <c r="L169" s="352"/>
      <c r="M169" s="352"/>
      <c r="N169" s="352"/>
      <c r="O169" s="352"/>
      <c r="P169" s="352"/>
      <c r="Q169" s="352"/>
      <c r="R169" s="352"/>
      <c r="S169" s="352"/>
      <c r="T169" s="352"/>
      <c r="U169" s="352"/>
      <c r="V169" s="352"/>
      <c r="W169" s="352"/>
      <c r="X169" s="352"/>
    </row>
    <row r="170" spans="1:24" ht="16.600000000000001">
      <c r="A170" s="1" t="s">
        <v>129</v>
      </c>
      <c r="B170" s="349" t="s">
        <v>1194</v>
      </c>
      <c r="C170" s="136" t="s">
        <v>134</v>
      </c>
      <c r="D170" s="356"/>
      <c r="E170" s="356"/>
      <c r="F170" s="356"/>
      <c r="G170" s="356"/>
      <c r="H170" s="356"/>
      <c r="I170" s="356"/>
      <c r="J170" s="356"/>
      <c r="K170" s="356"/>
      <c r="L170" s="356"/>
      <c r="M170" s="356"/>
      <c r="N170" s="356"/>
      <c r="O170" s="356"/>
      <c r="P170" s="356"/>
      <c r="Q170" s="356"/>
      <c r="R170" s="356"/>
      <c r="S170" s="356"/>
      <c r="T170" s="356"/>
      <c r="U170" s="356"/>
      <c r="V170" s="356"/>
      <c r="W170" s="356"/>
      <c r="X170" s="356"/>
    </row>
    <row r="171" spans="1:24" ht="16.600000000000001">
      <c r="B171" s="349" t="s">
        <v>1195</v>
      </c>
      <c r="C171" s="136" t="s">
        <v>135</v>
      </c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2"/>
      <c r="T171" s="352"/>
      <c r="U171" s="352"/>
      <c r="V171" s="352"/>
      <c r="W171" s="352"/>
      <c r="X171" s="352"/>
    </row>
    <row r="172" spans="1:24" ht="16.600000000000001">
      <c r="A172" s="1" t="s">
        <v>129</v>
      </c>
      <c r="B172" s="349" t="s">
        <v>1196</v>
      </c>
      <c r="C172" s="135" t="s">
        <v>136</v>
      </c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2"/>
      <c r="T172" s="352"/>
      <c r="U172" s="352"/>
      <c r="V172" s="352"/>
      <c r="W172" s="352"/>
      <c r="X172" s="352"/>
    </row>
    <row r="173" spans="1:24" ht="16.600000000000001">
      <c r="A173" s="1" t="s">
        <v>129</v>
      </c>
      <c r="B173" s="349" t="s">
        <v>1197</v>
      </c>
      <c r="C173" s="136" t="s">
        <v>137</v>
      </c>
      <c r="D173" s="352"/>
      <c r="E173" s="352"/>
      <c r="F173" s="352"/>
      <c r="G173" s="352"/>
      <c r="H173" s="352"/>
      <c r="I173" s="352"/>
      <c r="J173" s="352"/>
      <c r="K173" s="352"/>
      <c r="L173" s="352"/>
      <c r="M173" s="352"/>
      <c r="N173" s="352"/>
      <c r="O173" s="352"/>
      <c r="P173" s="352"/>
      <c r="Q173" s="352"/>
      <c r="R173" s="352"/>
      <c r="S173" s="352"/>
      <c r="T173" s="352"/>
      <c r="U173" s="352"/>
      <c r="V173" s="352"/>
      <c r="W173" s="352"/>
      <c r="X173" s="352"/>
    </row>
    <row r="174" spans="1:24" ht="16.600000000000001">
      <c r="A174" s="1" t="s">
        <v>129</v>
      </c>
      <c r="B174" s="349" t="s">
        <v>1198</v>
      </c>
      <c r="C174" s="136" t="s">
        <v>138</v>
      </c>
      <c r="D174" s="352"/>
      <c r="E174" s="352"/>
      <c r="F174" s="352"/>
      <c r="G174" s="352"/>
      <c r="H174" s="352"/>
      <c r="I174" s="352"/>
      <c r="J174" s="352"/>
      <c r="K174" s="352"/>
      <c r="L174" s="352"/>
      <c r="M174" s="352"/>
      <c r="N174" s="352"/>
      <c r="O174" s="352"/>
      <c r="P174" s="352"/>
      <c r="Q174" s="352"/>
      <c r="R174" s="352"/>
      <c r="S174" s="352"/>
      <c r="T174" s="352"/>
      <c r="U174" s="352"/>
      <c r="V174" s="352"/>
      <c r="W174" s="352"/>
      <c r="X174" s="352"/>
    </row>
    <row r="175" spans="1:24" ht="16.600000000000001">
      <c r="A175" s="1" t="s">
        <v>129</v>
      </c>
      <c r="B175" s="349" t="s">
        <v>1199</v>
      </c>
      <c r="C175" s="136" t="s">
        <v>139</v>
      </c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2"/>
      <c r="T175" s="352"/>
      <c r="U175" s="352"/>
      <c r="V175" s="352"/>
      <c r="W175" s="352"/>
      <c r="X175" s="352"/>
    </row>
    <row r="176" spans="1:24" ht="16.600000000000001">
      <c r="A176" s="1" t="s">
        <v>129</v>
      </c>
      <c r="B176" s="349" t="s">
        <v>1200</v>
      </c>
      <c r="C176" s="135" t="s">
        <v>577</v>
      </c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2"/>
      <c r="T176" s="352"/>
      <c r="U176" s="352"/>
      <c r="V176" s="352"/>
      <c r="W176" s="352"/>
      <c r="X176" s="352"/>
    </row>
    <row r="177" spans="1:24" ht="16.600000000000001">
      <c r="A177" s="1" t="s">
        <v>129</v>
      </c>
      <c r="B177" s="349" t="s">
        <v>1201</v>
      </c>
      <c r="C177" s="136" t="s">
        <v>140</v>
      </c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2"/>
      <c r="T177" s="352"/>
      <c r="U177" s="352"/>
      <c r="V177" s="352"/>
      <c r="W177" s="352"/>
      <c r="X177" s="352"/>
    </row>
    <row r="178" spans="1:24" ht="16.600000000000001">
      <c r="A178" s="1" t="s">
        <v>129</v>
      </c>
      <c r="B178" s="349" t="s">
        <v>1202</v>
      </c>
      <c r="C178" s="135" t="s">
        <v>141</v>
      </c>
      <c r="D178" s="352"/>
      <c r="E178" s="352"/>
      <c r="F178" s="352"/>
      <c r="G178" s="352"/>
      <c r="H178" s="352"/>
      <c r="I178" s="352"/>
      <c r="J178" s="352"/>
      <c r="K178" s="352"/>
      <c r="L178" s="352"/>
      <c r="M178" s="352"/>
      <c r="N178" s="352"/>
      <c r="O178" s="352"/>
      <c r="P178" s="352"/>
      <c r="Q178" s="352"/>
      <c r="R178" s="352"/>
      <c r="S178" s="352"/>
      <c r="T178" s="352"/>
      <c r="U178" s="352"/>
      <c r="V178" s="352"/>
      <c r="W178" s="352"/>
      <c r="X178" s="352"/>
    </row>
    <row r="179" spans="1:24" ht="16.600000000000001">
      <c r="A179" s="1" t="s">
        <v>129</v>
      </c>
      <c r="B179" s="349" t="s">
        <v>1203</v>
      </c>
      <c r="C179" s="136" t="s">
        <v>142</v>
      </c>
      <c r="D179" s="352"/>
      <c r="E179" s="352"/>
      <c r="F179" s="352"/>
      <c r="G179" s="352"/>
      <c r="H179" s="352"/>
      <c r="I179" s="352"/>
      <c r="J179" s="352"/>
      <c r="K179" s="352"/>
      <c r="L179" s="352"/>
      <c r="M179" s="352"/>
      <c r="N179" s="352"/>
      <c r="O179" s="352"/>
      <c r="P179" s="352"/>
      <c r="Q179" s="352"/>
      <c r="R179" s="352"/>
      <c r="S179" s="352"/>
      <c r="T179" s="352"/>
      <c r="U179" s="352"/>
      <c r="V179" s="352"/>
      <c r="W179" s="352"/>
      <c r="X179" s="352"/>
    </row>
    <row r="180" spans="1:24" ht="16.600000000000001">
      <c r="A180" s="1" t="s">
        <v>129</v>
      </c>
      <c r="B180" s="349" t="s">
        <v>1204</v>
      </c>
      <c r="C180" s="136" t="s">
        <v>143</v>
      </c>
      <c r="D180" s="352"/>
      <c r="E180" s="352"/>
      <c r="F180" s="352"/>
      <c r="G180" s="352"/>
      <c r="H180" s="352"/>
      <c r="I180" s="352"/>
      <c r="J180" s="352"/>
      <c r="K180" s="352"/>
      <c r="L180" s="352"/>
      <c r="M180" s="352"/>
      <c r="N180" s="352"/>
      <c r="O180" s="352"/>
      <c r="P180" s="352"/>
      <c r="Q180" s="352"/>
      <c r="R180" s="352"/>
      <c r="S180" s="352"/>
      <c r="T180" s="352"/>
      <c r="U180" s="352"/>
      <c r="V180" s="352"/>
      <c r="W180" s="352"/>
      <c r="X180" s="352"/>
    </row>
    <row r="181" spans="1:24" ht="16.600000000000001">
      <c r="A181" s="1" t="s">
        <v>129</v>
      </c>
      <c r="B181" s="349" t="s">
        <v>1205</v>
      </c>
      <c r="C181" s="136" t="s">
        <v>144</v>
      </c>
      <c r="D181" s="356"/>
      <c r="E181" s="356"/>
      <c r="F181" s="356"/>
      <c r="G181" s="356"/>
      <c r="H181" s="356"/>
      <c r="I181" s="356"/>
      <c r="J181" s="356"/>
      <c r="K181" s="356"/>
      <c r="L181" s="356"/>
      <c r="M181" s="356"/>
      <c r="N181" s="356"/>
      <c r="O181" s="356"/>
      <c r="P181" s="356"/>
      <c r="Q181" s="356"/>
      <c r="R181" s="356"/>
      <c r="S181" s="356"/>
      <c r="T181" s="356"/>
      <c r="U181" s="356"/>
      <c r="V181" s="356"/>
      <c r="W181" s="356"/>
      <c r="X181" s="356"/>
    </row>
    <row r="182" spans="1:24" ht="16.600000000000001">
      <c r="A182" s="1" t="s">
        <v>129</v>
      </c>
      <c r="B182" s="349" t="s">
        <v>1206</v>
      </c>
      <c r="C182" s="136" t="s">
        <v>145</v>
      </c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52"/>
      <c r="Q182" s="352"/>
      <c r="R182" s="352"/>
      <c r="S182" s="352"/>
      <c r="T182" s="352"/>
      <c r="U182" s="352"/>
      <c r="V182" s="352"/>
      <c r="W182" s="352"/>
      <c r="X182" s="352"/>
    </row>
    <row r="183" spans="1:24" ht="16.600000000000001">
      <c r="B183" s="349" t="s">
        <v>1207</v>
      </c>
      <c r="C183" s="136" t="s">
        <v>146</v>
      </c>
      <c r="D183" s="352"/>
      <c r="E183" s="352"/>
      <c r="F183" s="352"/>
      <c r="G183" s="352"/>
      <c r="H183" s="352"/>
      <c r="I183" s="352"/>
      <c r="J183" s="352"/>
      <c r="K183" s="352"/>
      <c r="L183" s="352"/>
      <c r="M183" s="352"/>
      <c r="N183" s="352"/>
      <c r="O183" s="352"/>
      <c r="P183" s="352"/>
      <c r="Q183" s="352"/>
      <c r="R183" s="352"/>
      <c r="S183" s="352"/>
      <c r="T183" s="352"/>
      <c r="U183" s="352"/>
      <c r="V183" s="352"/>
      <c r="W183" s="352"/>
      <c r="X183" s="352"/>
    </row>
    <row r="184" spans="1:24" ht="16.600000000000001">
      <c r="A184" s="1" t="s">
        <v>129</v>
      </c>
      <c r="B184" s="349" t="s">
        <v>1208</v>
      </c>
      <c r="C184" s="136" t="s">
        <v>147</v>
      </c>
      <c r="D184" s="352"/>
      <c r="E184" s="352"/>
      <c r="F184" s="352"/>
      <c r="G184" s="352"/>
      <c r="H184" s="352"/>
      <c r="I184" s="352"/>
      <c r="J184" s="352"/>
      <c r="K184" s="352"/>
      <c r="L184" s="352"/>
      <c r="M184" s="352"/>
      <c r="N184" s="352"/>
      <c r="O184" s="352"/>
      <c r="P184" s="352"/>
      <c r="Q184" s="352"/>
      <c r="R184" s="352"/>
      <c r="S184" s="352"/>
      <c r="T184" s="352"/>
      <c r="U184" s="352"/>
      <c r="V184" s="352"/>
      <c r="W184" s="352"/>
      <c r="X184" s="352"/>
    </row>
    <row r="185" spans="1:24" ht="16.600000000000001">
      <c r="A185" s="1" t="s">
        <v>129</v>
      </c>
      <c r="B185" s="349" t="s">
        <v>1209</v>
      </c>
      <c r="C185" s="135" t="s">
        <v>148</v>
      </c>
      <c r="D185" s="352"/>
      <c r="E185" s="352"/>
      <c r="F185" s="352"/>
      <c r="G185" s="352"/>
      <c r="H185" s="352"/>
      <c r="I185" s="352"/>
      <c r="J185" s="352"/>
      <c r="K185" s="352"/>
      <c r="L185" s="352"/>
      <c r="M185" s="352"/>
      <c r="N185" s="352"/>
      <c r="O185" s="352"/>
      <c r="P185" s="352"/>
      <c r="Q185" s="352"/>
      <c r="R185" s="352"/>
      <c r="S185" s="352"/>
      <c r="T185" s="352"/>
      <c r="U185" s="352"/>
      <c r="V185" s="352"/>
      <c r="W185" s="352"/>
      <c r="X185" s="352"/>
    </row>
    <row r="186" spans="1:24" ht="16.600000000000001">
      <c r="A186" s="1" t="s">
        <v>129</v>
      </c>
      <c r="B186" s="349" t="s">
        <v>1210</v>
      </c>
      <c r="C186" s="136" t="s">
        <v>149</v>
      </c>
      <c r="D186" s="352"/>
      <c r="E186" s="352"/>
      <c r="F186" s="352"/>
      <c r="G186" s="352"/>
      <c r="H186" s="352"/>
      <c r="I186" s="352"/>
      <c r="J186" s="352"/>
      <c r="K186" s="352"/>
      <c r="L186" s="352"/>
      <c r="M186" s="352"/>
      <c r="N186" s="352"/>
      <c r="O186" s="352"/>
      <c r="P186" s="352"/>
      <c r="Q186" s="352"/>
      <c r="R186" s="352"/>
      <c r="S186" s="352"/>
      <c r="T186" s="352"/>
      <c r="U186" s="352"/>
      <c r="V186" s="352"/>
      <c r="W186" s="352"/>
      <c r="X186" s="352"/>
    </row>
    <row r="187" spans="1:24" ht="16.600000000000001">
      <c r="B187" s="349" t="s">
        <v>1211</v>
      </c>
      <c r="C187" s="136" t="s">
        <v>150</v>
      </c>
      <c r="D187" s="352"/>
      <c r="E187" s="352"/>
      <c r="F187" s="352"/>
      <c r="G187" s="352"/>
      <c r="H187" s="352"/>
      <c r="I187" s="352"/>
      <c r="J187" s="352"/>
      <c r="K187" s="352"/>
      <c r="L187" s="352"/>
      <c r="M187" s="352"/>
      <c r="N187" s="352"/>
      <c r="O187" s="352"/>
      <c r="P187" s="352"/>
      <c r="Q187" s="352"/>
      <c r="R187" s="352"/>
      <c r="S187" s="352"/>
      <c r="T187" s="352"/>
      <c r="U187" s="352"/>
      <c r="V187" s="352"/>
      <c r="W187" s="352"/>
      <c r="X187" s="352"/>
    </row>
    <row r="188" spans="1:24" ht="16.600000000000001">
      <c r="A188" s="1" t="s">
        <v>129</v>
      </c>
      <c r="B188" s="349" t="s">
        <v>1212</v>
      </c>
      <c r="C188" s="136" t="s">
        <v>151</v>
      </c>
      <c r="D188" s="352"/>
      <c r="E188" s="352"/>
      <c r="F188" s="352"/>
      <c r="G188" s="352"/>
      <c r="H188" s="352"/>
      <c r="I188" s="352"/>
      <c r="J188" s="352"/>
      <c r="K188" s="352"/>
      <c r="L188" s="352"/>
      <c r="M188" s="352"/>
      <c r="N188" s="352"/>
      <c r="O188" s="352"/>
      <c r="P188" s="352"/>
      <c r="Q188" s="352"/>
      <c r="R188" s="352"/>
      <c r="S188" s="352"/>
      <c r="T188" s="352"/>
      <c r="U188" s="352"/>
      <c r="V188" s="352"/>
      <c r="W188" s="352"/>
      <c r="X188" s="352"/>
    </row>
    <row r="189" spans="1:24" ht="16.600000000000001">
      <c r="A189" s="1" t="s">
        <v>129</v>
      </c>
      <c r="B189" s="349" t="s">
        <v>1213</v>
      </c>
      <c r="C189" s="136" t="s">
        <v>152</v>
      </c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52"/>
      <c r="Q189" s="352"/>
      <c r="R189" s="352"/>
      <c r="S189" s="352"/>
      <c r="T189" s="352"/>
      <c r="U189" s="352"/>
      <c r="V189" s="352"/>
      <c r="W189" s="352"/>
      <c r="X189" s="352"/>
    </row>
    <row r="190" spans="1:24" ht="16.600000000000001">
      <c r="A190" s="1" t="s">
        <v>129</v>
      </c>
      <c r="B190" s="349" t="s">
        <v>1214</v>
      </c>
      <c r="C190" s="136" t="s">
        <v>153</v>
      </c>
      <c r="D190" s="356"/>
      <c r="E190" s="356"/>
      <c r="F190" s="356"/>
      <c r="G190" s="356"/>
      <c r="H190" s="356"/>
      <c r="I190" s="356"/>
      <c r="J190" s="356"/>
      <c r="K190" s="356"/>
      <c r="L190" s="356"/>
      <c r="M190" s="356"/>
      <c r="N190" s="356"/>
      <c r="O190" s="356"/>
      <c r="P190" s="356"/>
      <c r="Q190" s="356"/>
      <c r="R190" s="356"/>
      <c r="S190" s="356"/>
      <c r="T190" s="356"/>
      <c r="U190" s="356"/>
      <c r="V190" s="356"/>
      <c r="W190" s="356"/>
      <c r="X190" s="356"/>
    </row>
    <row r="191" spans="1:24" ht="16.600000000000001">
      <c r="A191" s="1" t="s">
        <v>129</v>
      </c>
      <c r="B191" s="349" t="s">
        <v>1215</v>
      </c>
      <c r="C191" s="136" t="s">
        <v>154</v>
      </c>
      <c r="D191" s="352"/>
      <c r="E191" s="352"/>
      <c r="F191" s="352"/>
      <c r="G191" s="352"/>
      <c r="H191" s="352"/>
      <c r="I191" s="352"/>
      <c r="J191" s="352"/>
      <c r="K191" s="352"/>
      <c r="L191" s="352"/>
      <c r="M191" s="352"/>
      <c r="N191" s="352"/>
      <c r="O191" s="352"/>
      <c r="P191" s="352"/>
      <c r="Q191" s="352"/>
      <c r="R191" s="352"/>
      <c r="S191" s="352"/>
      <c r="T191" s="352"/>
      <c r="U191" s="352"/>
      <c r="V191" s="352"/>
      <c r="W191" s="352"/>
      <c r="X191" s="352"/>
    </row>
    <row r="192" spans="1:24" ht="16.600000000000001">
      <c r="A192" s="1" t="s">
        <v>129</v>
      </c>
      <c r="B192" s="349" t="s">
        <v>1216</v>
      </c>
      <c r="C192" s="136" t="s">
        <v>155</v>
      </c>
      <c r="D192" s="352"/>
      <c r="E192" s="352"/>
      <c r="F192" s="352"/>
      <c r="G192" s="352"/>
      <c r="H192" s="352"/>
      <c r="I192" s="352"/>
      <c r="J192" s="352"/>
      <c r="K192" s="352"/>
      <c r="L192" s="352"/>
      <c r="M192" s="352"/>
      <c r="N192" s="352"/>
      <c r="O192" s="352"/>
      <c r="P192" s="352"/>
      <c r="Q192" s="352"/>
      <c r="R192" s="352"/>
      <c r="S192" s="352"/>
      <c r="T192" s="352"/>
      <c r="U192" s="352"/>
      <c r="V192" s="352"/>
      <c r="W192" s="352"/>
      <c r="X192" s="352"/>
    </row>
    <row r="193" spans="1:24" ht="16.600000000000001">
      <c r="A193" s="1" t="s">
        <v>129</v>
      </c>
      <c r="B193" s="349" t="s">
        <v>1217</v>
      </c>
      <c r="C193" s="136" t="s">
        <v>156</v>
      </c>
      <c r="D193" s="356"/>
      <c r="E193" s="356"/>
      <c r="F193" s="356"/>
      <c r="G193" s="356"/>
      <c r="H193" s="356"/>
      <c r="I193" s="356"/>
      <c r="J193" s="356"/>
      <c r="K193" s="356"/>
      <c r="L193" s="356"/>
      <c r="M193" s="356"/>
      <c r="N193" s="356"/>
      <c r="O193" s="356"/>
      <c r="P193" s="356"/>
      <c r="Q193" s="356"/>
      <c r="R193" s="356"/>
      <c r="S193" s="356"/>
      <c r="T193" s="356"/>
      <c r="U193" s="356"/>
      <c r="V193" s="356"/>
      <c r="W193" s="356"/>
      <c r="X193" s="356"/>
    </row>
    <row r="194" spans="1:24" ht="16.600000000000001">
      <c r="A194" s="1" t="s">
        <v>129</v>
      </c>
      <c r="B194" s="349" t="s">
        <v>1218</v>
      </c>
      <c r="C194" s="136" t="s">
        <v>160</v>
      </c>
      <c r="D194" s="356"/>
      <c r="E194" s="356"/>
      <c r="F194" s="356"/>
      <c r="G194" s="356"/>
      <c r="H194" s="356"/>
      <c r="I194" s="356"/>
      <c r="J194" s="356"/>
      <c r="K194" s="356"/>
      <c r="L194" s="356"/>
      <c r="M194" s="356"/>
      <c r="N194" s="356"/>
      <c r="O194" s="356"/>
      <c r="P194" s="356"/>
      <c r="Q194" s="356"/>
      <c r="R194" s="356"/>
      <c r="S194" s="356"/>
      <c r="T194" s="356"/>
      <c r="U194" s="356"/>
      <c r="V194" s="356"/>
      <c r="W194" s="356"/>
      <c r="X194" s="356"/>
    </row>
    <row r="195" spans="1:24" ht="16.600000000000001">
      <c r="A195" s="1" t="s">
        <v>129</v>
      </c>
      <c r="B195" s="349" t="s">
        <v>1219</v>
      </c>
      <c r="C195" s="136" t="s">
        <v>161</v>
      </c>
      <c r="D195" s="352"/>
      <c r="E195" s="352"/>
      <c r="F195" s="352"/>
      <c r="G195" s="352"/>
      <c r="H195" s="352"/>
      <c r="I195" s="352"/>
      <c r="J195" s="352"/>
      <c r="K195" s="352"/>
      <c r="L195" s="352"/>
      <c r="M195" s="352"/>
      <c r="N195" s="352"/>
      <c r="O195" s="352"/>
      <c r="P195" s="352"/>
      <c r="Q195" s="352"/>
      <c r="R195" s="352"/>
      <c r="S195" s="352"/>
      <c r="T195" s="352"/>
      <c r="U195" s="352"/>
      <c r="V195" s="352"/>
      <c r="W195" s="352"/>
      <c r="X195" s="352"/>
    </row>
    <row r="196" spans="1:24" ht="16.600000000000001">
      <c r="B196" s="349" t="s">
        <v>1220</v>
      </c>
      <c r="C196" s="136" t="s">
        <v>162</v>
      </c>
      <c r="D196" s="352"/>
      <c r="E196" s="352"/>
      <c r="F196" s="352"/>
      <c r="G196" s="352"/>
      <c r="H196" s="352"/>
      <c r="I196" s="352"/>
      <c r="J196" s="352"/>
      <c r="K196" s="352"/>
      <c r="L196" s="352"/>
      <c r="M196" s="352"/>
      <c r="N196" s="352"/>
      <c r="O196" s="352"/>
      <c r="P196" s="352"/>
      <c r="Q196" s="352"/>
      <c r="R196" s="352"/>
      <c r="S196" s="352"/>
      <c r="T196" s="352"/>
      <c r="U196" s="352"/>
      <c r="V196" s="352"/>
      <c r="W196" s="352"/>
      <c r="X196" s="352"/>
    </row>
    <row r="197" spans="1:24" ht="16.600000000000001">
      <c r="A197" s="1" t="s">
        <v>129</v>
      </c>
      <c r="B197" s="349" t="s">
        <v>1221</v>
      </c>
      <c r="C197" s="136" t="s">
        <v>163</v>
      </c>
      <c r="D197" s="352"/>
      <c r="E197" s="352"/>
      <c r="F197" s="352"/>
      <c r="G197" s="352"/>
      <c r="H197" s="352"/>
      <c r="I197" s="352"/>
      <c r="J197" s="352"/>
      <c r="K197" s="352"/>
      <c r="L197" s="352"/>
      <c r="M197" s="352"/>
      <c r="N197" s="352"/>
      <c r="O197" s="352"/>
      <c r="P197" s="352"/>
      <c r="Q197" s="352"/>
      <c r="R197" s="352"/>
      <c r="S197" s="352"/>
      <c r="T197" s="352"/>
      <c r="U197" s="352"/>
      <c r="V197" s="352"/>
      <c r="W197" s="352"/>
      <c r="X197" s="352"/>
    </row>
    <row r="198" spans="1:24" ht="16.600000000000001">
      <c r="B198" s="349" t="s">
        <v>1222</v>
      </c>
      <c r="C198" s="135" t="s">
        <v>167</v>
      </c>
      <c r="D198" s="352"/>
      <c r="E198" s="352"/>
      <c r="F198" s="352"/>
      <c r="G198" s="352"/>
      <c r="H198" s="352"/>
      <c r="I198" s="352"/>
      <c r="J198" s="352"/>
      <c r="K198" s="352"/>
      <c r="L198" s="352"/>
      <c r="M198" s="352"/>
      <c r="N198" s="352"/>
      <c r="O198" s="352"/>
      <c r="P198" s="352"/>
      <c r="Q198" s="352"/>
      <c r="R198" s="352"/>
      <c r="S198" s="352"/>
      <c r="T198" s="352"/>
      <c r="U198" s="352"/>
      <c r="V198" s="352"/>
      <c r="W198" s="352"/>
      <c r="X198" s="352"/>
    </row>
    <row r="199" spans="1:24" ht="16.600000000000001">
      <c r="A199" s="1" t="s">
        <v>165</v>
      </c>
      <c r="B199" s="349" t="s">
        <v>1223</v>
      </c>
      <c r="C199" s="135" t="s">
        <v>578</v>
      </c>
      <c r="D199" s="356"/>
      <c r="E199" s="352"/>
      <c r="F199" s="352"/>
      <c r="G199" s="352"/>
      <c r="H199" s="352"/>
      <c r="I199" s="352"/>
      <c r="J199" s="352"/>
      <c r="K199" s="352"/>
      <c r="L199" s="352"/>
      <c r="M199" s="352"/>
      <c r="N199" s="352"/>
      <c r="O199" s="352"/>
      <c r="P199" s="352"/>
      <c r="Q199" s="352"/>
      <c r="R199" s="352"/>
      <c r="S199" s="352"/>
      <c r="T199" s="352"/>
      <c r="U199" s="352"/>
      <c r="V199" s="352"/>
      <c r="W199" s="352"/>
      <c r="X199" s="352"/>
    </row>
    <row r="200" spans="1:24" ht="16.600000000000001">
      <c r="A200" s="1" t="s">
        <v>165</v>
      </c>
      <c r="B200" s="349" t="s">
        <v>1224</v>
      </c>
      <c r="C200" s="135" t="s">
        <v>359</v>
      </c>
      <c r="D200" s="356"/>
      <c r="E200" s="356"/>
      <c r="F200" s="356"/>
      <c r="G200" s="356"/>
      <c r="H200" s="356"/>
      <c r="I200" s="356"/>
      <c r="J200" s="356"/>
      <c r="K200" s="356"/>
      <c r="L200" s="356"/>
      <c r="M200" s="356"/>
      <c r="N200" s="356"/>
      <c r="O200" s="356"/>
      <c r="P200" s="356"/>
      <c r="Q200" s="356"/>
      <c r="R200" s="356"/>
      <c r="S200" s="356"/>
      <c r="T200" s="356"/>
      <c r="U200" s="356"/>
      <c r="V200" s="356"/>
      <c r="W200" s="356"/>
      <c r="X200" s="356"/>
    </row>
    <row r="201" spans="1:24" ht="16.600000000000001">
      <c r="A201" s="1" t="s">
        <v>165</v>
      </c>
      <c r="B201" s="349" t="s">
        <v>1225</v>
      </c>
      <c r="C201" s="136" t="s">
        <v>166</v>
      </c>
      <c r="D201" s="352"/>
      <c r="E201" s="352"/>
      <c r="F201" s="352"/>
      <c r="G201" s="352"/>
      <c r="H201" s="352"/>
      <c r="I201" s="352"/>
      <c r="J201" s="352"/>
      <c r="K201" s="352"/>
      <c r="L201" s="352"/>
      <c r="M201" s="352"/>
      <c r="N201" s="352"/>
      <c r="O201" s="352"/>
      <c r="P201" s="352"/>
      <c r="Q201" s="352"/>
      <c r="R201" s="352"/>
      <c r="S201" s="352"/>
      <c r="T201" s="352"/>
      <c r="U201" s="352"/>
      <c r="V201" s="352"/>
      <c r="W201" s="352"/>
      <c r="X201" s="352"/>
    </row>
    <row r="202" spans="1:24" ht="16.600000000000001">
      <c r="B202" s="349" t="s">
        <v>1226</v>
      </c>
      <c r="C202" s="136" t="s">
        <v>164</v>
      </c>
      <c r="D202" s="352"/>
      <c r="E202" s="352"/>
      <c r="F202" s="352"/>
      <c r="G202" s="352"/>
      <c r="H202" s="352"/>
      <c r="I202" s="352"/>
      <c r="J202" s="352"/>
      <c r="K202" s="352"/>
      <c r="L202" s="352"/>
      <c r="M202" s="352"/>
      <c r="N202" s="352"/>
      <c r="O202" s="352"/>
      <c r="P202" s="352"/>
      <c r="Q202" s="352"/>
      <c r="R202" s="352"/>
      <c r="S202" s="352"/>
      <c r="T202" s="352"/>
      <c r="U202" s="352"/>
      <c r="V202" s="352"/>
      <c r="W202" s="352"/>
      <c r="X202" s="352"/>
    </row>
    <row r="203" spans="1:24" ht="16.600000000000001">
      <c r="B203" s="349" t="s">
        <v>1227</v>
      </c>
      <c r="C203" s="136" t="s">
        <v>168</v>
      </c>
      <c r="D203" s="352"/>
      <c r="E203" s="352"/>
      <c r="F203" s="352"/>
      <c r="G203" s="352"/>
      <c r="H203" s="352"/>
      <c r="I203" s="352"/>
      <c r="J203" s="352"/>
      <c r="K203" s="352"/>
      <c r="L203" s="352"/>
      <c r="M203" s="352"/>
      <c r="N203" s="352"/>
      <c r="O203" s="352"/>
      <c r="P203" s="352"/>
      <c r="Q203" s="352"/>
      <c r="R203" s="352"/>
      <c r="S203" s="352"/>
      <c r="T203" s="352"/>
      <c r="U203" s="352"/>
      <c r="V203" s="352"/>
      <c r="W203" s="352"/>
      <c r="X203" s="352"/>
    </row>
    <row r="204" spans="1:24" ht="16.600000000000001">
      <c r="A204" s="1" t="s">
        <v>169</v>
      </c>
      <c r="B204" s="349" t="s">
        <v>1228</v>
      </c>
      <c r="C204" s="136" t="s">
        <v>177</v>
      </c>
      <c r="D204" s="352"/>
      <c r="E204" s="352"/>
      <c r="F204" s="352"/>
      <c r="G204" s="352"/>
      <c r="H204" s="352"/>
      <c r="I204" s="352"/>
      <c r="J204" s="352"/>
      <c r="K204" s="352"/>
      <c r="L204" s="352"/>
      <c r="M204" s="352"/>
      <c r="N204" s="352"/>
      <c r="O204" s="352"/>
      <c r="P204" s="352"/>
      <c r="Q204" s="352"/>
      <c r="R204" s="352"/>
      <c r="S204" s="352"/>
      <c r="T204" s="352"/>
      <c r="U204" s="352"/>
      <c r="V204" s="352"/>
      <c r="W204" s="352"/>
      <c r="X204" s="352"/>
    </row>
    <row r="205" spans="1:24" ht="16.600000000000001">
      <c r="A205" s="1" t="s">
        <v>171</v>
      </c>
      <c r="B205" s="349" t="s">
        <v>1229</v>
      </c>
      <c r="C205" s="136" t="s">
        <v>172</v>
      </c>
      <c r="D205" s="352"/>
      <c r="E205" s="352"/>
      <c r="F205" s="352"/>
      <c r="G205" s="352"/>
      <c r="H205" s="352"/>
      <c r="I205" s="352"/>
      <c r="J205" s="352"/>
      <c r="K205" s="352"/>
      <c r="L205" s="352"/>
      <c r="M205" s="352"/>
      <c r="N205" s="352"/>
      <c r="O205" s="352"/>
      <c r="P205" s="352"/>
      <c r="Q205" s="352"/>
      <c r="R205" s="352"/>
      <c r="S205" s="352"/>
      <c r="T205" s="352"/>
      <c r="U205" s="352"/>
      <c r="V205" s="352"/>
      <c r="W205" s="352"/>
      <c r="X205" s="352"/>
    </row>
    <row r="206" spans="1:24" ht="16.600000000000001">
      <c r="A206" s="1" t="s">
        <v>171</v>
      </c>
      <c r="B206" s="349" t="s">
        <v>1230</v>
      </c>
      <c r="C206" s="136" t="s">
        <v>173</v>
      </c>
      <c r="D206" s="356"/>
      <c r="E206" s="356"/>
      <c r="F206" s="356"/>
      <c r="G206" s="356"/>
      <c r="H206" s="356"/>
      <c r="I206" s="356"/>
      <c r="J206" s="356"/>
      <c r="K206" s="356"/>
      <c r="L206" s="356"/>
      <c r="M206" s="356"/>
      <c r="N206" s="356"/>
      <c r="O206" s="356"/>
      <c r="P206" s="356"/>
      <c r="Q206" s="356"/>
      <c r="R206" s="356"/>
      <c r="S206" s="356"/>
      <c r="T206" s="356"/>
      <c r="U206" s="356"/>
      <c r="V206" s="356"/>
      <c r="W206" s="356"/>
      <c r="X206" s="356"/>
    </row>
    <row r="207" spans="1:24" ht="16.600000000000001">
      <c r="A207" s="1" t="s">
        <v>171</v>
      </c>
      <c r="B207" s="349" t="s">
        <v>1231</v>
      </c>
      <c r="C207" s="136" t="s">
        <v>174</v>
      </c>
      <c r="D207" s="352"/>
      <c r="E207" s="352"/>
      <c r="F207" s="352"/>
      <c r="G207" s="352"/>
      <c r="H207" s="352"/>
      <c r="I207" s="352"/>
      <c r="J207" s="352"/>
      <c r="K207" s="352"/>
      <c r="L207" s="352"/>
      <c r="M207" s="352"/>
      <c r="N207" s="352"/>
      <c r="O207" s="352"/>
      <c r="P207" s="352"/>
      <c r="Q207" s="352"/>
      <c r="R207" s="352"/>
      <c r="S207" s="352"/>
      <c r="T207" s="352"/>
      <c r="U207" s="352"/>
      <c r="V207" s="352"/>
      <c r="W207" s="352"/>
      <c r="X207" s="352"/>
    </row>
    <row r="208" spans="1:24" ht="16.600000000000001">
      <c r="A208" s="1" t="s">
        <v>171</v>
      </c>
      <c r="B208" s="349" t="s">
        <v>1232</v>
      </c>
      <c r="C208" s="136" t="s">
        <v>175</v>
      </c>
      <c r="D208" s="352"/>
      <c r="E208" s="352"/>
      <c r="F208" s="352"/>
      <c r="G208" s="352"/>
      <c r="H208" s="352"/>
      <c r="I208" s="352"/>
      <c r="J208" s="352"/>
      <c r="K208" s="352"/>
      <c r="L208" s="352"/>
      <c r="M208" s="352"/>
      <c r="N208" s="352"/>
      <c r="O208" s="352"/>
      <c r="P208" s="352"/>
      <c r="Q208" s="352"/>
      <c r="R208" s="352"/>
      <c r="S208" s="352"/>
      <c r="T208" s="352"/>
      <c r="U208" s="352"/>
      <c r="V208" s="352"/>
      <c r="W208" s="352"/>
      <c r="X208" s="352"/>
    </row>
    <row r="209" spans="1:24" ht="16.600000000000001">
      <c r="A209" s="1" t="s">
        <v>171</v>
      </c>
      <c r="B209" s="349" t="s">
        <v>1233</v>
      </c>
      <c r="C209" s="136" t="s">
        <v>176</v>
      </c>
      <c r="D209" s="352"/>
      <c r="E209" s="352"/>
      <c r="F209" s="352"/>
      <c r="G209" s="352"/>
      <c r="H209" s="352"/>
      <c r="I209" s="352"/>
      <c r="J209" s="352"/>
      <c r="K209" s="352"/>
      <c r="L209" s="352"/>
      <c r="M209" s="352"/>
      <c r="N209" s="352"/>
      <c r="O209" s="352"/>
      <c r="P209" s="352"/>
      <c r="Q209" s="352"/>
      <c r="R209" s="352"/>
      <c r="S209" s="352"/>
      <c r="T209" s="352"/>
      <c r="U209" s="352"/>
      <c r="V209" s="352"/>
      <c r="W209" s="352"/>
      <c r="X209" s="352"/>
    </row>
    <row r="210" spans="1:24" ht="16.600000000000001">
      <c r="A210" s="1" t="s">
        <v>1447</v>
      </c>
      <c r="B210" s="349" t="s">
        <v>1234</v>
      </c>
      <c r="C210" s="136" t="s">
        <v>178</v>
      </c>
      <c r="D210" s="352"/>
      <c r="E210" s="352"/>
      <c r="F210" s="352"/>
      <c r="G210" s="352"/>
      <c r="H210" s="352"/>
      <c r="I210" s="352"/>
      <c r="J210" s="352"/>
      <c r="K210" s="352"/>
      <c r="L210" s="352"/>
      <c r="M210" s="352"/>
      <c r="N210" s="352"/>
      <c r="O210" s="352"/>
      <c r="P210" s="352"/>
      <c r="Q210" s="352"/>
      <c r="R210" s="352"/>
      <c r="S210" s="352"/>
      <c r="T210" s="352"/>
      <c r="U210" s="352"/>
      <c r="V210" s="352"/>
      <c r="W210" s="352"/>
      <c r="X210" s="352"/>
    </row>
    <row r="211" spans="1:24" ht="16.600000000000001">
      <c r="B211" s="349" t="s">
        <v>1235</v>
      </c>
      <c r="C211" s="136" t="s">
        <v>179</v>
      </c>
      <c r="D211" s="352"/>
      <c r="E211" s="352"/>
      <c r="F211" s="352"/>
      <c r="G211" s="352"/>
      <c r="H211" s="352"/>
      <c r="I211" s="352"/>
      <c r="J211" s="352"/>
      <c r="K211" s="352"/>
      <c r="L211" s="352"/>
      <c r="M211" s="352"/>
      <c r="N211" s="352"/>
      <c r="O211" s="352"/>
      <c r="P211" s="352"/>
      <c r="Q211" s="352"/>
      <c r="R211" s="352"/>
      <c r="S211" s="352"/>
      <c r="T211" s="352"/>
      <c r="U211" s="352"/>
      <c r="V211" s="352"/>
      <c r="W211" s="352"/>
      <c r="X211" s="352"/>
    </row>
    <row r="212" spans="1:24" ht="16.600000000000001">
      <c r="A212" s="1" t="s">
        <v>180</v>
      </c>
      <c r="B212" s="349" t="s">
        <v>1236</v>
      </c>
      <c r="C212" s="136" t="s">
        <v>181</v>
      </c>
      <c r="D212" s="352"/>
      <c r="E212" s="352"/>
      <c r="F212" s="352"/>
      <c r="G212" s="352"/>
      <c r="H212" s="352"/>
      <c r="I212" s="352"/>
      <c r="J212" s="352"/>
      <c r="K212" s="352"/>
      <c r="L212" s="352"/>
      <c r="M212" s="352"/>
      <c r="N212" s="352"/>
      <c r="O212" s="352"/>
      <c r="P212" s="352"/>
      <c r="Q212" s="352"/>
      <c r="R212" s="352"/>
      <c r="S212" s="352"/>
      <c r="T212" s="352"/>
      <c r="U212" s="352"/>
      <c r="V212" s="352"/>
      <c r="W212" s="352"/>
      <c r="X212" s="352"/>
    </row>
    <row r="213" spans="1:24" ht="16.600000000000001">
      <c r="A213" s="1" t="s">
        <v>171</v>
      </c>
      <c r="B213" s="349" t="s">
        <v>1237</v>
      </c>
      <c r="C213" s="136" t="s">
        <v>183</v>
      </c>
      <c r="H213" s="352"/>
      <c r="I213" s="352"/>
      <c r="J213" s="352"/>
      <c r="K213" s="352"/>
      <c r="L213" s="352"/>
      <c r="M213" s="352"/>
      <c r="N213" s="352"/>
      <c r="O213" s="352"/>
      <c r="P213" s="352"/>
      <c r="Q213" s="352"/>
      <c r="R213" s="352"/>
      <c r="S213" s="352"/>
      <c r="T213" s="352"/>
      <c r="U213" s="352"/>
      <c r="V213" s="352"/>
      <c r="W213" s="352"/>
      <c r="X213" s="352"/>
    </row>
    <row r="214" spans="1:24" ht="16.600000000000001">
      <c r="A214" s="1" t="s">
        <v>171</v>
      </c>
      <c r="B214" s="349" t="s">
        <v>1238</v>
      </c>
      <c r="C214" s="136" t="s">
        <v>184</v>
      </c>
      <c r="D214" s="356"/>
      <c r="E214" s="356"/>
      <c r="F214" s="356"/>
      <c r="G214" s="356"/>
      <c r="H214" s="356"/>
      <c r="I214" s="356"/>
      <c r="J214" s="356"/>
      <c r="K214" s="356"/>
      <c r="L214" s="356"/>
      <c r="M214" s="356"/>
      <c r="N214" s="356"/>
      <c r="O214" s="356"/>
      <c r="P214" s="356"/>
      <c r="Q214" s="356"/>
      <c r="R214" s="356"/>
      <c r="S214" s="356"/>
      <c r="T214" s="356"/>
      <c r="U214" s="356"/>
      <c r="V214" s="356"/>
      <c r="W214" s="356"/>
      <c r="X214" s="356"/>
    </row>
    <row r="215" spans="1:24" ht="16.600000000000001">
      <c r="A215" s="1" t="s">
        <v>171</v>
      </c>
      <c r="B215" s="349" t="s">
        <v>1239</v>
      </c>
      <c r="C215" s="136" t="s">
        <v>185</v>
      </c>
      <c r="D215" s="352"/>
      <c r="E215" s="352"/>
      <c r="F215" s="352"/>
      <c r="G215" s="352"/>
      <c r="H215" s="352"/>
      <c r="I215" s="352"/>
      <c r="J215" s="352"/>
      <c r="K215" s="352"/>
      <c r="L215" s="352"/>
      <c r="M215" s="352"/>
      <c r="N215" s="352"/>
      <c r="O215" s="352"/>
      <c r="P215" s="352"/>
      <c r="Q215" s="352"/>
      <c r="R215" s="352"/>
      <c r="S215" s="352"/>
      <c r="T215" s="352"/>
      <c r="U215" s="352"/>
      <c r="V215" s="352"/>
      <c r="W215" s="352"/>
      <c r="X215" s="352"/>
    </row>
    <row r="216" spans="1:24" ht="16.600000000000001">
      <c r="A216" s="1" t="s">
        <v>171</v>
      </c>
      <c r="B216" s="349" t="s">
        <v>1240</v>
      </c>
      <c r="C216" s="136" t="s">
        <v>186</v>
      </c>
      <c r="D216" s="356"/>
      <c r="E216" s="352"/>
      <c r="F216" s="352"/>
      <c r="G216" s="352"/>
      <c r="H216" s="352"/>
      <c r="I216" s="352"/>
      <c r="J216" s="352"/>
      <c r="K216" s="352"/>
      <c r="L216" s="352"/>
      <c r="M216" s="352"/>
      <c r="N216" s="352"/>
      <c r="O216" s="352"/>
      <c r="P216" s="352"/>
      <c r="Q216" s="352"/>
      <c r="R216" s="352"/>
      <c r="S216" s="352"/>
      <c r="T216" s="352"/>
      <c r="U216" s="352"/>
      <c r="V216" s="352"/>
      <c r="W216" s="352"/>
      <c r="X216" s="352"/>
    </row>
    <row r="217" spans="1:24" ht="16.600000000000001">
      <c r="A217" s="1" t="s">
        <v>171</v>
      </c>
      <c r="B217" s="349" t="s">
        <v>1241</v>
      </c>
      <c r="C217" s="136" t="s">
        <v>187</v>
      </c>
      <c r="D217" s="352"/>
      <c r="E217" s="352"/>
      <c r="F217" s="352"/>
      <c r="G217" s="352"/>
      <c r="H217" s="352"/>
      <c r="I217" s="352"/>
      <c r="J217" s="352"/>
      <c r="K217" s="352"/>
      <c r="L217" s="352"/>
      <c r="M217" s="352"/>
      <c r="N217" s="352"/>
      <c r="O217" s="352"/>
      <c r="P217" s="352"/>
      <c r="Q217" s="352"/>
      <c r="R217" s="352"/>
      <c r="S217" s="352"/>
      <c r="T217" s="352"/>
      <c r="U217" s="352"/>
      <c r="V217" s="352"/>
      <c r="W217" s="352"/>
      <c r="X217" s="352"/>
    </row>
    <row r="218" spans="1:24" ht="16.600000000000001">
      <c r="B218" s="349" t="s">
        <v>1242</v>
      </c>
      <c r="C218" s="136" t="s">
        <v>188</v>
      </c>
      <c r="D218" s="352"/>
      <c r="E218" s="352"/>
      <c r="F218" s="352"/>
      <c r="G218" s="352"/>
      <c r="H218" s="352"/>
      <c r="I218" s="352"/>
      <c r="J218" s="352"/>
      <c r="K218" s="352"/>
      <c r="L218" s="352"/>
      <c r="M218" s="352"/>
      <c r="N218" s="352"/>
      <c r="O218" s="352"/>
      <c r="P218" s="352"/>
      <c r="Q218" s="352"/>
      <c r="R218" s="352"/>
      <c r="S218" s="352"/>
      <c r="T218" s="352"/>
      <c r="U218" s="352"/>
      <c r="V218" s="352"/>
      <c r="W218" s="352"/>
      <c r="X218" s="352"/>
    </row>
    <row r="219" spans="1:24" ht="16.600000000000001">
      <c r="B219" s="349" t="s">
        <v>1243</v>
      </c>
      <c r="C219" s="136" t="s">
        <v>189</v>
      </c>
      <c r="D219" s="352"/>
      <c r="E219" s="352"/>
      <c r="F219" s="352"/>
      <c r="G219" s="352"/>
      <c r="H219" s="352"/>
      <c r="I219" s="352"/>
      <c r="J219" s="352"/>
      <c r="K219" s="352"/>
      <c r="L219" s="352"/>
      <c r="M219" s="352"/>
      <c r="N219" s="352"/>
      <c r="O219" s="352"/>
      <c r="P219" s="352"/>
      <c r="Q219" s="352"/>
      <c r="R219" s="352"/>
      <c r="S219" s="352"/>
      <c r="T219" s="352"/>
      <c r="U219" s="352"/>
      <c r="V219" s="352"/>
      <c r="W219" s="352"/>
      <c r="X219" s="352"/>
    </row>
    <row r="220" spans="1:24" ht="16.600000000000001">
      <c r="A220" s="1" t="s">
        <v>171</v>
      </c>
      <c r="B220" s="349" t="s">
        <v>1244</v>
      </c>
      <c r="C220" s="136" t="s">
        <v>190</v>
      </c>
      <c r="D220" s="352"/>
      <c r="E220" s="352"/>
      <c r="F220" s="352"/>
      <c r="G220" s="352"/>
      <c r="H220" s="352"/>
      <c r="I220" s="352"/>
      <c r="J220" s="352"/>
      <c r="K220" s="352"/>
      <c r="L220" s="352"/>
      <c r="M220" s="352"/>
      <c r="N220" s="352"/>
      <c r="O220" s="352"/>
      <c r="P220" s="352"/>
      <c r="Q220" s="352"/>
      <c r="R220" s="352"/>
      <c r="S220" s="352"/>
      <c r="T220" s="352"/>
      <c r="U220" s="352"/>
      <c r="V220" s="352"/>
      <c r="W220" s="352"/>
      <c r="X220" s="352"/>
    </row>
    <row r="221" spans="1:24" ht="16.600000000000001">
      <c r="B221" s="349" t="s">
        <v>1245</v>
      </c>
      <c r="C221" s="136" t="s">
        <v>191</v>
      </c>
      <c r="D221" s="352"/>
      <c r="E221" s="352"/>
      <c r="F221" s="352"/>
      <c r="G221" s="352"/>
      <c r="H221" s="352"/>
      <c r="I221" s="352"/>
      <c r="J221" s="352"/>
      <c r="K221" s="352"/>
      <c r="L221" s="352"/>
      <c r="M221" s="352"/>
      <c r="N221" s="352"/>
      <c r="O221" s="352"/>
      <c r="P221" s="352"/>
      <c r="Q221" s="352"/>
      <c r="R221" s="352"/>
      <c r="S221" s="352"/>
      <c r="T221" s="352"/>
      <c r="U221" s="352"/>
      <c r="V221" s="352"/>
      <c r="W221" s="352"/>
      <c r="X221" s="352"/>
    </row>
    <row r="222" spans="1:24" ht="16.600000000000001">
      <c r="B222" s="349" t="s">
        <v>1246</v>
      </c>
      <c r="C222" s="136" t="s">
        <v>607</v>
      </c>
      <c r="D222" s="352"/>
      <c r="E222" s="352"/>
      <c r="F222" s="352"/>
      <c r="G222" s="352"/>
      <c r="H222" s="352"/>
      <c r="I222" s="352"/>
      <c r="J222" s="352"/>
      <c r="K222" s="352"/>
      <c r="L222" s="352"/>
      <c r="M222" s="352"/>
      <c r="N222" s="352"/>
      <c r="O222" s="352"/>
      <c r="P222" s="352"/>
      <c r="Q222" s="352"/>
      <c r="R222" s="352"/>
      <c r="S222" s="352"/>
      <c r="T222" s="352"/>
      <c r="U222" s="352"/>
      <c r="V222" s="352"/>
      <c r="W222" s="352"/>
      <c r="X222" s="352"/>
    </row>
    <row r="223" spans="1:24" ht="16.600000000000001">
      <c r="A223" s="1" t="s">
        <v>608</v>
      </c>
      <c r="B223" s="349" t="s">
        <v>1247</v>
      </c>
      <c r="C223" s="136" t="s">
        <v>609</v>
      </c>
      <c r="D223" s="352"/>
      <c r="E223" s="352"/>
      <c r="F223" s="352"/>
      <c r="G223" s="352"/>
      <c r="H223" s="352"/>
      <c r="I223" s="352"/>
      <c r="J223" s="352"/>
      <c r="K223" s="352"/>
      <c r="L223" s="352"/>
      <c r="M223" s="352"/>
      <c r="N223" s="352"/>
      <c r="O223" s="352"/>
      <c r="P223" s="352"/>
      <c r="Q223" s="352"/>
      <c r="R223" s="352"/>
      <c r="S223" s="352"/>
      <c r="T223" s="352"/>
      <c r="U223" s="352"/>
      <c r="V223" s="352"/>
      <c r="W223" s="352"/>
      <c r="X223" s="352"/>
    </row>
    <row r="224" spans="1:24" ht="16.600000000000001">
      <c r="A224" s="1" t="s">
        <v>182</v>
      </c>
      <c r="B224" s="349" t="s">
        <v>1248</v>
      </c>
      <c r="C224" s="136" t="s">
        <v>610</v>
      </c>
      <c r="D224" s="352"/>
      <c r="E224" s="352"/>
      <c r="F224" s="352"/>
      <c r="G224" s="352"/>
      <c r="H224" s="352"/>
      <c r="I224" s="352"/>
      <c r="J224" s="352"/>
      <c r="K224" s="352"/>
      <c r="L224" s="352"/>
      <c r="M224" s="352"/>
      <c r="N224" s="352"/>
      <c r="O224" s="352"/>
      <c r="P224" s="352"/>
      <c r="Q224" s="352"/>
      <c r="R224" s="352"/>
      <c r="S224" s="352"/>
      <c r="T224" s="352"/>
      <c r="U224" s="352"/>
      <c r="V224" s="352"/>
      <c r="W224" s="352"/>
      <c r="X224" s="352"/>
    </row>
    <row r="225" spans="1:24" ht="16.600000000000001">
      <c r="A225" s="1" t="s">
        <v>611</v>
      </c>
      <c r="B225" s="349" t="s">
        <v>1249</v>
      </c>
      <c r="C225" s="136" t="s">
        <v>612</v>
      </c>
      <c r="D225" s="352"/>
      <c r="E225" s="352"/>
      <c r="F225" s="352"/>
      <c r="G225" s="352"/>
      <c r="H225" s="352"/>
      <c r="I225" s="352"/>
      <c r="J225" s="352"/>
      <c r="K225" s="352"/>
      <c r="L225" s="352"/>
      <c r="M225" s="352"/>
      <c r="N225" s="352"/>
      <c r="O225" s="352"/>
      <c r="P225" s="352"/>
      <c r="Q225" s="352"/>
      <c r="R225" s="352"/>
      <c r="S225" s="352"/>
      <c r="T225" s="352"/>
      <c r="U225" s="352"/>
      <c r="V225" s="352"/>
      <c r="W225" s="352"/>
      <c r="X225" s="352"/>
    </row>
    <row r="226" spans="1:24" ht="16.600000000000001">
      <c r="A226" s="1" t="s">
        <v>182</v>
      </c>
      <c r="B226" s="349" t="s">
        <v>1250</v>
      </c>
      <c r="C226" s="136" t="s">
        <v>613</v>
      </c>
      <c r="D226" s="356"/>
      <c r="E226" s="356"/>
      <c r="F226" s="356"/>
      <c r="G226" s="352"/>
      <c r="H226" s="356"/>
      <c r="I226" s="356"/>
      <c r="J226" s="356"/>
      <c r="K226" s="356"/>
      <c r="L226" s="356"/>
      <c r="M226" s="356"/>
      <c r="N226" s="356"/>
      <c r="O226" s="356"/>
      <c r="P226" s="356"/>
      <c r="Q226" s="356"/>
      <c r="R226" s="356"/>
      <c r="S226" s="356"/>
      <c r="T226" s="356"/>
      <c r="U226" s="356"/>
      <c r="V226" s="356"/>
      <c r="W226" s="356"/>
      <c r="X226" s="356"/>
    </row>
    <row r="227" spans="1:24" ht="16.600000000000001">
      <c r="A227" s="1" t="s">
        <v>1548</v>
      </c>
      <c r="B227" s="349" t="s">
        <v>1251</v>
      </c>
      <c r="C227" s="136" t="s">
        <v>614</v>
      </c>
      <c r="D227" s="352"/>
      <c r="E227" s="352"/>
      <c r="F227" s="352"/>
      <c r="G227" s="352"/>
      <c r="H227" s="352"/>
      <c r="I227" s="352"/>
      <c r="J227" s="352"/>
      <c r="K227" s="352"/>
      <c r="L227" s="352"/>
      <c r="M227" s="352"/>
      <c r="N227" s="352"/>
      <c r="O227" s="352"/>
      <c r="P227" s="352"/>
      <c r="Q227" s="352"/>
      <c r="R227" s="352"/>
      <c r="S227" s="352"/>
      <c r="T227" s="352"/>
      <c r="U227" s="352"/>
      <c r="V227" s="352"/>
      <c r="W227" s="352"/>
      <c r="X227" s="352"/>
    </row>
    <row r="228" spans="1:24" ht="16.600000000000001">
      <c r="B228" s="349" t="s">
        <v>1252</v>
      </c>
      <c r="C228" s="136" t="s">
        <v>615</v>
      </c>
      <c r="D228" s="352"/>
      <c r="E228" s="352"/>
      <c r="F228" s="352"/>
      <c r="G228" s="352"/>
      <c r="H228" s="352"/>
      <c r="I228" s="352"/>
      <c r="J228" s="352"/>
      <c r="K228" s="352"/>
      <c r="L228" s="352"/>
      <c r="M228" s="352"/>
      <c r="N228" s="352"/>
      <c r="O228" s="352"/>
      <c r="P228" s="352"/>
      <c r="Q228" s="352"/>
      <c r="R228" s="352"/>
      <c r="S228" s="352"/>
      <c r="T228" s="352"/>
      <c r="U228" s="352"/>
      <c r="V228" s="352"/>
      <c r="W228" s="352"/>
      <c r="X228" s="352"/>
    </row>
    <row r="229" spans="1:24" ht="16.600000000000001">
      <c r="A229" s="1" t="s">
        <v>616</v>
      </c>
      <c r="B229" s="349" t="s">
        <v>1253</v>
      </c>
      <c r="C229" s="136" t="s">
        <v>617</v>
      </c>
      <c r="D229" s="352"/>
      <c r="E229" s="352"/>
      <c r="F229" s="352"/>
      <c r="G229" s="352"/>
      <c r="H229" s="352"/>
      <c r="I229" s="352"/>
      <c r="J229" s="352"/>
      <c r="K229" s="352"/>
      <c r="L229" s="352"/>
      <c r="M229" s="352"/>
      <c r="N229" s="352"/>
      <c r="O229" s="352"/>
      <c r="P229" s="352"/>
      <c r="Q229" s="352"/>
      <c r="R229" s="352"/>
      <c r="S229" s="352"/>
      <c r="T229" s="352"/>
      <c r="U229" s="352"/>
      <c r="V229" s="352"/>
      <c r="W229" s="352"/>
      <c r="X229" s="352"/>
    </row>
    <row r="230" spans="1:24" ht="16.600000000000001">
      <c r="A230" s="1" t="s">
        <v>171</v>
      </c>
      <c r="B230" s="349" t="s">
        <v>1254</v>
      </c>
      <c r="C230" s="136" t="s">
        <v>618</v>
      </c>
      <c r="D230" s="352"/>
      <c r="E230" s="352"/>
      <c r="F230" s="352"/>
      <c r="G230" s="352"/>
      <c r="H230" s="352"/>
      <c r="I230" s="352"/>
      <c r="J230" s="352"/>
      <c r="K230" s="352"/>
      <c r="L230" s="352"/>
      <c r="M230" s="352"/>
      <c r="N230" s="352"/>
      <c r="O230" s="352"/>
      <c r="P230" s="352"/>
      <c r="Q230" s="352"/>
      <c r="R230" s="352"/>
      <c r="S230" s="352"/>
      <c r="T230" s="352"/>
      <c r="U230" s="352"/>
      <c r="V230" s="352"/>
      <c r="W230" s="352"/>
      <c r="X230" s="352"/>
    </row>
    <row r="231" spans="1:24" ht="16.600000000000001">
      <c r="A231" s="1" t="s">
        <v>171</v>
      </c>
      <c r="B231" s="349" t="s">
        <v>1255</v>
      </c>
      <c r="C231" s="136" t="s">
        <v>619</v>
      </c>
      <c r="D231" s="356"/>
      <c r="E231" s="352"/>
      <c r="F231" s="352"/>
      <c r="G231" s="352"/>
      <c r="H231" s="352"/>
      <c r="I231" s="352"/>
      <c r="J231" s="352"/>
      <c r="K231" s="352"/>
      <c r="L231" s="352"/>
      <c r="M231" s="352"/>
      <c r="N231" s="352"/>
      <c r="O231" s="352"/>
      <c r="P231" s="352"/>
      <c r="Q231" s="352"/>
      <c r="R231" s="352"/>
      <c r="S231" s="352"/>
      <c r="T231" s="352"/>
      <c r="U231" s="352"/>
      <c r="V231" s="352"/>
      <c r="W231" s="352"/>
      <c r="X231" s="352"/>
    </row>
    <row r="232" spans="1:24" ht="16.600000000000001">
      <c r="A232" s="1" t="s">
        <v>620</v>
      </c>
      <c r="B232" s="349" t="s">
        <v>1256</v>
      </c>
      <c r="C232" s="136" t="s">
        <v>621</v>
      </c>
      <c r="D232" s="352"/>
      <c r="E232" s="352"/>
      <c r="F232" s="352"/>
      <c r="G232" s="352"/>
      <c r="H232" s="352"/>
      <c r="I232" s="352"/>
      <c r="J232" s="352"/>
      <c r="K232" s="352"/>
      <c r="L232" s="352"/>
      <c r="M232" s="352"/>
      <c r="N232" s="352"/>
      <c r="O232" s="352"/>
      <c r="P232" s="352"/>
      <c r="Q232" s="352"/>
      <c r="R232" s="352"/>
      <c r="S232" s="352"/>
      <c r="T232" s="352"/>
      <c r="U232" s="352"/>
      <c r="V232" s="352"/>
      <c r="W232" s="352"/>
      <c r="X232" s="352"/>
    </row>
    <row r="233" spans="1:24" ht="16.600000000000001">
      <c r="A233" s="1" t="s">
        <v>171</v>
      </c>
      <c r="B233" s="349" t="s">
        <v>1257</v>
      </c>
      <c r="C233" s="135" t="s">
        <v>579</v>
      </c>
      <c r="D233" s="356"/>
      <c r="E233" s="356"/>
      <c r="F233" s="356"/>
      <c r="G233" s="356"/>
      <c r="H233" s="356"/>
      <c r="I233" s="356"/>
      <c r="J233" s="356"/>
      <c r="K233" s="356"/>
      <c r="L233" s="356"/>
      <c r="M233" s="356"/>
      <c r="N233" s="356"/>
      <c r="O233" s="356"/>
      <c r="P233" s="356"/>
      <c r="Q233" s="356"/>
      <c r="R233" s="356"/>
      <c r="S233" s="356"/>
      <c r="T233" s="356"/>
      <c r="U233" s="356"/>
      <c r="V233" s="356"/>
      <c r="W233" s="356"/>
      <c r="X233" s="356"/>
    </row>
    <row r="234" spans="1:24" ht="16.600000000000001">
      <c r="A234" s="1" t="s">
        <v>171</v>
      </c>
      <c r="B234" s="349" t="s">
        <v>1258</v>
      </c>
      <c r="C234" s="135" t="s">
        <v>622</v>
      </c>
      <c r="D234" s="356"/>
      <c r="E234" s="356"/>
      <c r="F234" s="356"/>
      <c r="G234" s="356"/>
      <c r="H234" s="356"/>
      <c r="I234" s="356"/>
      <c r="J234" s="356"/>
      <c r="K234" s="356"/>
      <c r="L234" s="356"/>
      <c r="M234" s="356"/>
      <c r="N234" s="356"/>
      <c r="O234" s="356"/>
      <c r="P234" s="356"/>
      <c r="Q234" s="356"/>
      <c r="R234" s="356"/>
      <c r="S234" s="356"/>
      <c r="T234" s="356"/>
      <c r="U234" s="356"/>
      <c r="V234" s="356"/>
      <c r="W234" s="356"/>
      <c r="X234" s="356"/>
    </row>
    <row r="235" spans="1:24" ht="16.600000000000001">
      <c r="A235" s="1" t="s">
        <v>171</v>
      </c>
      <c r="B235" s="349" t="s">
        <v>1259</v>
      </c>
      <c r="C235" s="136" t="s">
        <v>623</v>
      </c>
      <c r="D235" s="352"/>
      <c r="E235" s="352"/>
      <c r="F235" s="352"/>
      <c r="G235" s="352"/>
      <c r="H235" s="352"/>
      <c r="I235" s="352"/>
      <c r="J235" s="352"/>
      <c r="K235" s="352"/>
      <c r="L235" s="352"/>
      <c r="M235" s="352"/>
      <c r="N235" s="352"/>
      <c r="O235" s="352"/>
      <c r="P235" s="352"/>
      <c r="Q235" s="352"/>
      <c r="R235" s="352"/>
      <c r="S235" s="352"/>
      <c r="T235" s="352"/>
      <c r="U235" s="352"/>
      <c r="V235" s="352"/>
      <c r="W235" s="352"/>
      <c r="X235" s="352"/>
    </row>
    <row r="236" spans="1:24" ht="16.600000000000001">
      <c r="A236" s="1" t="s">
        <v>171</v>
      </c>
      <c r="B236" s="349" t="s">
        <v>1260</v>
      </c>
      <c r="C236" s="136" t="s">
        <v>624</v>
      </c>
      <c r="D236" s="356"/>
      <c r="E236" s="356"/>
      <c r="F236" s="356"/>
      <c r="G236" s="356"/>
      <c r="H236" s="356"/>
      <c r="I236" s="356"/>
      <c r="J236" s="356"/>
      <c r="K236" s="356"/>
      <c r="L236" s="356"/>
      <c r="M236" s="356"/>
      <c r="N236" s="356"/>
      <c r="O236" s="356"/>
      <c r="P236" s="356"/>
      <c r="Q236" s="356"/>
      <c r="R236" s="356"/>
      <c r="S236" s="356"/>
      <c r="T236" s="356"/>
      <c r="U236" s="356"/>
      <c r="V236" s="356"/>
      <c r="W236" s="356"/>
      <c r="X236" s="356"/>
    </row>
    <row r="237" spans="1:24" ht="16.600000000000001">
      <c r="A237" s="1" t="s">
        <v>171</v>
      </c>
      <c r="B237" s="349" t="s">
        <v>1261</v>
      </c>
      <c r="C237" s="136" t="s">
        <v>625</v>
      </c>
      <c r="D237" s="352"/>
      <c r="E237" s="356"/>
      <c r="F237" s="356"/>
      <c r="G237" s="356"/>
      <c r="H237" s="356"/>
      <c r="I237" s="356"/>
      <c r="J237" s="356"/>
      <c r="K237" s="356"/>
      <c r="L237" s="356"/>
      <c r="M237" s="356"/>
      <c r="N237" s="356"/>
      <c r="O237" s="356"/>
      <c r="P237" s="356"/>
      <c r="Q237" s="356"/>
      <c r="R237" s="356"/>
      <c r="S237" s="356"/>
      <c r="T237" s="356"/>
      <c r="U237" s="356"/>
      <c r="V237" s="356"/>
      <c r="W237" s="356"/>
      <c r="X237" s="356"/>
    </row>
    <row r="238" spans="1:24" ht="16.600000000000001">
      <c r="A238" s="1" t="s">
        <v>171</v>
      </c>
      <c r="B238" s="349" t="s">
        <v>1262</v>
      </c>
      <c r="C238" s="136" t="s">
        <v>626</v>
      </c>
      <c r="D238" s="352"/>
      <c r="E238" s="352"/>
      <c r="F238" s="352"/>
      <c r="G238" s="352"/>
      <c r="H238" s="352"/>
      <c r="I238" s="352"/>
      <c r="J238" s="352"/>
      <c r="K238" s="352"/>
      <c r="L238" s="352"/>
      <c r="M238" s="352"/>
      <c r="N238" s="352"/>
      <c r="O238" s="352"/>
      <c r="P238" s="352"/>
      <c r="Q238" s="352"/>
      <c r="R238" s="352"/>
      <c r="S238" s="352"/>
      <c r="T238" s="352"/>
      <c r="U238" s="352"/>
      <c r="V238" s="352"/>
      <c r="W238" s="352"/>
      <c r="X238" s="352"/>
    </row>
    <row r="239" spans="1:24" ht="16.600000000000001">
      <c r="B239" s="349" t="s">
        <v>1263</v>
      </c>
      <c r="C239" s="136" t="s">
        <v>627</v>
      </c>
      <c r="D239" s="352"/>
      <c r="E239" s="352"/>
      <c r="F239" s="352"/>
      <c r="G239" s="352"/>
      <c r="H239" s="352"/>
      <c r="I239" s="352"/>
      <c r="J239" s="352"/>
      <c r="K239" s="352"/>
      <c r="L239" s="352"/>
      <c r="M239" s="352"/>
      <c r="N239" s="352"/>
      <c r="O239" s="352"/>
      <c r="P239" s="352"/>
      <c r="Q239" s="352"/>
      <c r="R239" s="352"/>
      <c r="S239" s="352"/>
      <c r="T239" s="352"/>
      <c r="U239" s="352"/>
      <c r="V239" s="352"/>
      <c r="W239" s="352"/>
      <c r="X239" s="352"/>
    </row>
    <row r="240" spans="1:24" ht="16.600000000000001">
      <c r="A240" s="1" t="s">
        <v>628</v>
      </c>
      <c r="B240" s="349" t="s">
        <v>1264</v>
      </c>
      <c r="C240" s="136" t="s">
        <v>629</v>
      </c>
      <c r="D240" s="352"/>
      <c r="E240" s="352"/>
      <c r="F240" s="352"/>
      <c r="G240" s="352"/>
      <c r="H240" s="352"/>
      <c r="I240" s="352"/>
      <c r="J240" s="352"/>
      <c r="K240" s="352"/>
      <c r="L240" s="352"/>
      <c r="M240" s="352"/>
      <c r="N240" s="352"/>
      <c r="O240" s="352"/>
      <c r="P240" s="352"/>
      <c r="Q240" s="352"/>
      <c r="R240" s="352"/>
      <c r="S240" s="352"/>
      <c r="T240" s="352"/>
      <c r="U240" s="352"/>
      <c r="V240" s="352"/>
      <c r="W240" s="352"/>
      <c r="X240" s="352"/>
    </row>
    <row r="241" spans="1:24" ht="16.600000000000001">
      <c r="A241" s="1" t="s">
        <v>628</v>
      </c>
      <c r="B241" s="349" t="s">
        <v>1265</v>
      </c>
      <c r="C241" s="136" t="s">
        <v>630</v>
      </c>
      <c r="D241" s="352"/>
      <c r="E241" s="352"/>
      <c r="F241" s="352"/>
      <c r="G241" s="352"/>
      <c r="H241" s="352"/>
      <c r="I241" s="352"/>
      <c r="J241" s="352"/>
      <c r="K241" s="352"/>
      <c r="L241" s="352"/>
      <c r="M241" s="352"/>
      <c r="N241" s="352"/>
      <c r="O241" s="352"/>
      <c r="P241" s="352"/>
      <c r="Q241" s="352"/>
      <c r="R241" s="352"/>
      <c r="S241" s="352"/>
      <c r="T241" s="352"/>
      <c r="U241" s="352"/>
      <c r="V241" s="352"/>
      <c r="W241" s="352"/>
      <c r="X241" s="352"/>
    </row>
    <row r="242" spans="1:24" ht="16.600000000000001">
      <c r="A242" s="1" t="s">
        <v>628</v>
      </c>
      <c r="B242" s="349" t="s">
        <v>1266</v>
      </c>
      <c r="C242" s="136" t="s">
        <v>631</v>
      </c>
      <c r="D242" s="352"/>
      <c r="E242" s="352"/>
      <c r="F242" s="352"/>
      <c r="G242" s="352"/>
      <c r="H242" s="352"/>
      <c r="I242" s="352"/>
      <c r="J242" s="352"/>
      <c r="K242" s="352"/>
      <c r="L242" s="352"/>
      <c r="M242" s="352"/>
      <c r="N242" s="352"/>
      <c r="O242" s="352"/>
      <c r="P242" s="352"/>
      <c r="Q242" s="352"/>
      <c r="R242" s="352"/>
      <c r="S242" s="352"/>
      <c r="T242" s="352"/>
      <c r="U242" s="352"/>
      <c r="V242" s="352"/>
      <c r="W242" s="352"/>
      <c r="X242" s="352"/>
    </row>
    <row r="243" spans="1:24" ht="16.600000000000001">
      <c r="A243" s="1" t="s">
        <v>628</v>
      </c>
      <c r="B243" s="349" t="s">
        <v>1267</v>
      </c>
      <c r="C243" s="136" t="s">
        <v>632</v>
      </c>
      <c r="D243" s="352"/>
      <c r="E243" s="352"/>
      <c r="F243" s="352"/>
      <c r="G243" s="352"/>
      <c r="H243" s="352"/>
      <c r="I243" s="352"/>
      <c r="J243" s="352"/>
      <c r="K243" s="352"/>
      <c r="L243" s="352"/>
      <c r="M243" s="352"/>
      <c r="N243" s="352"/>
      <c r="O243" s="352"/>
      <c r="P243" s="352"/>
      <c r="Q243" s="352"/>
      <c r="R243" s="352"/>
      <c r="S243" s="352"/>
      <c r="T243" s="352"/>
      <c r="U243" s="352"/>
      <c r="V243" s="352"/>
      <c r="W243" s="352"/>
      <c r="X243" s="352"/>
    </row>
    <row r="244" spans="1:24" ht="16.600000000000001">
      <c r="A244" s="1" t="s">
        <v>628</v>
      </c>
      <c r="B244" s="349" t="s">
        <v>1268</v>
      </c>
      <c r="C244" s="136" t="s">
        <v>633</v>
      </c>
      <c r="D244" s="356"/>
      <c r="E244" s="356"/>
      <c r="F244" s="356"/>
      <c r="G244" s="356"/>
      <c r="H244" s="356"/>
      <c r="I244" s="356"/>
      <c r="J244" s="356"/>
      <c r="K244" s="356"/>
      <c r="L244" s="356"/>
      <c r="M244" s="356"/>
      <c r="N244" s="356"/>
      <c r="O244" s="356"/>
      <c r="P244" s="356"/>
      <c r="Q244" s="356"/>
      <c r="R244" s="356"/>
      <c r="S244" s="356"/>
      <c r="T244" s="356"/>
      <c r="U244" s="356"/>
      <c r="V244" s="356"/>
      <c r="W244" s="356"/>
      <c r="X244" s="356"/>
    </row>
    <row r="245" spans="1:24" ht="16.600000000000001">
      <c r="A245" s="1" t="s">
        <v>628</v>
      </c>
      <c r="B245" s="349" t="s">
        <v>1269</v>
      </c>
      <c r="C245" s="136" t="s">
        <v>634</v>
      </c>
      <c r="D245" s="356"/>
      <c r="E245" s="356"/>
      <c r="F245" s="356"/>
      <c r="G245" s="356"/>
      <c r="H245" s="356"/>
      <c r="I245" s="356"/>
      <c r="J245" s="356"/>
      <c r="K245" s="356"/>
      <c r="L245" s="356"/>
      <c r="M245" s="356"/>
      <c r="N245" s="356"/>
      <c r="O245" s="356"/>
      <c r="P245" s="356"/>
      <c r="Q245" s="356"/>
      <c r="R245" s="356"/>
      <c r="S245" s="356"/>
      <c r="T245" s="356"/>
      <c r="U245" s="356"/>
      <c r="V245" s="356"/>
      <c r="W245" s="356"/>
      <c r="X245" s="356"/>
    </row>
    <row r="246" spans="1:24" ht="16.600000000000001">
      <c r="A246" s="1" t="s">
        <v>628</v>
      </c>
      <c r="B246" s="349" t="s">
        <v>1270</v>
      </c>
      <c r="C246" s="136" t="s">
        <v>635</v>
      </c>
      <c r="D246" s="352"/>
      <c r="E246" s="352"/>
      <c r="F246" s="352"/>
      <c r="G246" s="352"/>
      <c r="H246" s="352"/>
      <c r="I246" s="352"/>
      <c r="J246" s="352"/>
      <c r="K246" s="352"/>
      <c r="L246" s="352"/>
      <c r="M246" s="352"/>
      <c r="N246" s="352"/>
      <c r="O246" s="352"/>
      <c r="P246" s="352"/>
      <c r="Q246" s="352"/>
      <c r="R246" s="352"/>
      <c r="S246" s="352"/>
      <c r="T246" s="352"/>
      <c r="U246" s="352"/>
      <c r="V246" s="352"/>
      <c r="W246" s="352"/>
      <c r="X246" s="352"/>
    </row>
    <row r="247" spans="1:24" ht="16.600000000000001">
      <c r="A247" s="1" t="s">
        <v>628</v>
      </c>
      <c r="B247" s="349" t="s">
        <v>1271</v>
      </c>
      <c r="C247" s="136" t="s">
        <v>636</v>
      </c>
      <c r="D247" s="352"/>
      <c r="E247" s="352"/>
      <c r="F247" s="352"/>
      <c r="G247" s="352"/>
      <c r="H247" s="352"/>
      <c r="I247" s="352"/>
      <c r="J247" s="352"/>
      <c r="K247" s="352"/>
      <c r="L247" s="352"/>
      <c r="M247" s="352"/>
      <c r="N247" s="352"/>
      <c r="O247" s="352"/>
      <c r="P247" s="352"/>
      <c r="Q247" s="352"/>
      <c r="R247" s="352"/>
      <c r="S247" s="352"/>
      <c r="T247" s="352"/>
      <c r="U247" s="352"/>
      <c r="V247" s="352"/>
      <c r="W247" s="352"/>
      <c r="X247" s="352"/>
    </row>
    <row r="248" spans="1:24" ht="16.600000000000001">
      <c r="A248" s="1" t="s">
        <v>628</v>
      </c>
      <c r="B248" s="349" t="s">
        <v>1272</v>
      </c>
      <c r="C248" s="136" t="s">
        <v>637</v>
      </c>
      <c r="D248" s="356"/>
      <c r="E248" s="356"/>
      <c r="F248" s="356"/>
      <c r="G248" s="356"/>
      <c r="H248" s="356"/>
      <c r="I248" s="356"/>
      <c r="J248" s="356"/>
      <c r="K248" s="356"/>
      <c r="L248" s="356"/>
      <c r="M248" s="356"/>
      <c r="N248" s="356"/>
      <c r="O248" s="356"/>
      <c r="P248" s="356"/>
      <c r="Q248" s="356"/>
      <c r="R248" s="356"/>
      <c r="S248" s="356"/>
      <c r="T248" s="356"/>
      <c r="U248" s="356"/>
      <c r="V248" s="356"/>
      <c r="W248" s="356"/>
      <c r="X248" s="356"/>
    </row>
    <row r="249" spans="1:24" ht="16.600000000000001">
      <c r="A249" s="1" t="s">
        <v>628</v>
      </c>
      <c r="B249" s="349" t="s">
        <v>1273</v>
      </c>
      <c r="C249" s="136" t="s">
        <v>638</v>
      </c>
      <c r="D249" s="356"/>
      <c r="E249" s="356"/>
      <c r="F249" s="356"/>
      <c r="G249" s="356"/>
      <c r="H249" s="356"/>
      <c r="I249" s="356"/>
      <c r="J249" s="356"/>
      <c r="K249" s="356"/>
      <c r="L249" s="356"/>
      <c r="M249" s="356"/>
      <c r="N249" s="356"/>
      <c r="O249" s="356"/>
      <c r="P249" s="356"/>
      <c r="Q249" s="356"/>
      <c r="R249" s="356"/>
      <c r="S249" s="356"/>
      <c r="T249" s="356"/>
      <c r="U249" s="356"/>
      <c r="V249" s="356"/>
      <c r="W249" s="356"/>
      <c r="X249" s="356"/>
    </row>
    <row r="250" spans="1:24" ht="16.600000000000001">
      <c r="A250" s="1" t="s">
        <v>628</v>
      </c>
      <c r="B250" s="349" t="s">
        <v>1274</v>
      </c>
      <c r="C250" s="136" t="s">
        <v>639</v>
      </c>
      <c r="D250" s="356"/>
      <c r="E250" s="352"/>
      <c r="F250" s="352"/>
      <c r="G250" s="352"/>
      <c r="H250" s="352"/>
      <c r="I250" s="352"/>
      <c r="J250" s="352"/>
      <c r="K250" s="352"/>
      <c r="L250" s="352"/>
      <c r="M250" s="352"/>
      <c r="N250" s="352"/>
      <c r="O250" s="352"/>
      <c r="P250" s="352"/>
      <c r="Q250" s="352"/>
      <c r="R250" s="352"/>
      <c r="S250" s="352"/>
      <c r="T250" s="352"/>
      <c r="U250" s="352"/>
      <c r="V250" s="352"/>
      <c r="W250" s="352"/>
      <c r="X250" s="352"/>
    </row>
    <row r="251" spans="1:24" ht="16.600000000000001">
      <c r="A251" s="1" t="s">
        <v>628</v>
      </c>
      <c r="B251" s="349" t="s">
        <v>1275</v>
      </c>
      <c r="C251" s="136" t="s">
        <v>640</v>
      </c>
      <c r="D251" s="356"/>
      <c r="E251" s="356"/>
      <c r="F251" s="356"/>
      <c r="G251" s="356"/>
      <c r="H251" s="356"/>
      <c r="I251" s="356"/>
      <c r="J251" s="356"/>
      <c r="K251" s="356"/>
      <c r="L251" s="356"/>
      <c r="M251" s="356"/>
      <c r="N251" s="356"/>
      <c r="O251" s="356"/>
      <c r="P251" s="356"/>
      <c r="Q251" s="356"/>
      <c r="R251" s="356"/>
      <c r="S251" s="356"/>
      <c r="T251" s="356"/>
      <c r="U251" s="356"/>
      <c r="V251" s="356"/>
      <c r="W251" s="356"/>
      <c r="X251" s="356"/>
    </row>
    <row r="252" spans="1:24" ht="16.600000000000001">
      <c r="A252" s="1" t="s">
        <v>641</v>
      </c>
      <c r="B252" s="349" t="s">
        <v>1276</v>
      </c>
      <c r="C252" s="136" t="s">
        <v>642</v>
      </c>
      <c r="D252" s="356"/>
      <c r="E252" s="356"/>
      <c r="F252" s="356"/>
      <c r="G252" s="356"/>
      <c r="H252" s="356"/>
      <c r="I252" s="356"/>
      <c r="J252" s="356"/>
      <c r="K252" s="356"/>
      <c r="L252" s="356"/>
      <c r="M252" s="356"/>
      <c r="N252" s="356"/>
      <c r="O252" s="356"/>
      <c r="P252" s="356"/>
      <c r="Q252" s="356"/>
      <c r="R252" s="356"/>
      <c r="S252" s="356"/>
      <c r="T252" s="356"/>
      <c r="U252" s="356"/>
      <c r="V252" s="356"/>
      <c r="W252" s="356"/>
      <c r="X252" s="356"/>
    </row>
    <row r="253" spans="1:24" ht="16.600000000000001">
      <c r="A253" s="1" t="s">
        <v>641</v>
      </c>
      <c r="B253" s="349" t="s">
        <v>1277</v>
      </c>
      <c r="C253" s="136" t="s">
        <v>643</v>
      </c>
      <c r="D253" s="356"/>
      <c r="E253" s="356"/>
      <c r="F253" s="356"/>
      <c r="G253" s="356"/>
      <c r="H253" s="356"/>
      <c r="I253" s="356"/>
      <c r="J253" s="356"/>
      <c r="K253" s="356"/>
      <c r="L253" s="356"/>
      <c r="M253" s="356"/>
      <c r="N253" s="356"/>
      <c r="O253" s="356"/>
      <c r="P253" s="356"/>
      <c r="Q253" s="356"/>
      <c r="R253" s="356"/>
      <c r="S253" s="356"/>
      <c r="T253" s="356"/>
      <c r="U253" s="356"/>
      <c r="V253" s="356"/>
      <c r="W253" s="356"/>
      <c r="X253" s="356"/>
    </row>
    <row r="254" spans="1:24" ht="16.600000000000001">
      <c r="A254" s="1" t="s">
        <v>641</v>
      </c>
      <c r="B254" s="349" t="s">
        <v>1278</v>
      </c>
      <c r="C254" s="136" t="s">
        <v>644</v>
      </c>
      <c r="D254" s="356"/>
      <c r="E254" s="356"/>
      <c r="F254" s="356"/>
      <c r="G254" s="356"/>
      <c r="H254" s="356"/>
      <c r="I254" s="356"/>
      <c r="J254" s="356"/>
      <c r="K254" s="356"/>
      <c r="L254" s="356"/>
      <c r="M254" s="356"/>
      <c r="N254" s="356"/>
      <c r="O254" s="356"/>
      <c r="P254" s="356"/>
      <c r="Q254" s="356"/>
      <c r="R254" s="356"/>
      <c r="S254" s="356"/>
      <c r="T254" s="356"/>
      <c r="U254" s="356"/>
      <c r="V254" s="356"/>
      <c r="W254" s="356"/>
      <c r="X254" s="356"/>
    </row>
    <row r="255" spans="1:24" ht="16.600000000000001">
      <c r="A255" s="1" t="s">
        <v>641</v>
      </c>
      <c r="B255" s="349" t="s">
        <v>1279</v>
      </c>
      <c r="C255" s="136" t="s">
        <v>645</v>
      </c>
      <c r="D255" s="352"/>
      <c r="E255" s="352"/>
      <c r="F255" s="352"/>
      <c r="G255" s="352"/>
      <c r="H255" s="352"/>
      <c r="I255" s="352"/>
      <c r="J255" s="352"/>
      <c r="K255" s="352"/>
      <c r="L255" s="352"/>
      <c r="M255" s="352"/>
      <c r="N255" s="352"/>
      <c r="O255" s="352"/>
      <c r="P255" s="352"/>
      <c r="Q255" s="352"/>
      <c r="R255" s="352"/>
      <c r="S255" s="352"/>
      <c r="T255" s="352"/>
      <c r="U255" s="352"/>
      <c r="V255" s="352"/>
      <c r="W255" s="352"/>
      <c r="X255" s="352"/>
    </row>
    <row r="256" spans="1:24" ht="16.600000000000001">
      <c r="A256" s="1" t="s">
        <v>641</v>
      </c>
      <c r="B256" s="349" t="s">
        <v>1280</v>
      </c>
      <c r="C256" s="136" t="s">
        <v>646</v>
      </c>
      <c r="D256" s="352"/>
      <c r="E256" s="352"/>
      <c r="F256" s="352"/>
      <c r="G256" s="352"/>
      <c r="H256" s="352"/>
      <c r="I256" s="352"/>
      <c r="J256" s="352"/>
      <c r="K256" s="352"/>
      <c r="L256" s="352"/>
      <c r="M256" s="352"/>
      <c r="N256" s="352"/>
      <c r="O256" s="352"/>
      <c r="P256" s="352"/>
      <c r="Q256" s="352"/>
      <c r="R256" s="352"/>
      <c r="S256" s="352"/>
      <c r="T256" s="352"/>
      <c r="U256" s="352"/>
      <c r="V256" s="352"/>
      <c r="W256" s="352"/>
      <c r="X256" s="352"/>
    </row>
    <row r="257" spans="1:24" ht="16.600000000000001">
      <c r="A257" s="1" t="s">
        <v>641</v>
      </c>
      <c r="B257" s="349" t="s">
        <v>1281</v>
      </c>
      <c r="C257" s="136" t="s">
        <v>647</v>
      </c>
      <c r="D257" s="352"/>
      <c r="E257" s="352"/>
      <c r="F257" s="352"/>
      <c r="G257" s="352"/>
      <c r="H257" s="352"/>
      <c r="I257" s="352"/>
      <c r="J257" s="352"/>
      <c r="K257" s="352"/>
      <c r="L257" s="352"/>
      <c r="M257" s="352"/>
      <c r="N257" s="352"/>
      <c r="O257" s="352"/>
      <c r="P257" s="352"/>
      <c r="Q257" s="352"/>
      <c r="R257" s="352"/>
      <c r="S257" s="352"/>
      <c r="T257" s="352"/>
      <c r="U257" s="352"/>
      <c r="V257" s="352"/>
      <c r="W257" s="352"/>
      <c r="X257" s="352"/>
    </row>
    <row r="258" spans="1:24" ht="16.600000000000001">
      <c r="A258" s="1" t="s">
        <v>641</v>
      </c>
      <c r="B258" s="349" t="s">
        <v>1282</v>
      </c>
      <c r="C258" s="136" t="s">
        <v>648</v>
      </c>
      <c r="D258" s="352"/>
      <c r="E258" s="352"/>
      <c r="F258" s="352"/>
      <c r="G258" s="352"/>
      <c r="H258" s="352"/>
      <c r="I258" s="352"/>
      <c r="J258" s="352"/>
      <c r="K258" s="352"/>
      <c r="L258" s="352"/>
      <c r="M258" s="352"/>
      <c r="N258" s="352"/>
      <c r="O258" s="352"/>
      <c r="P258" s="352"/>
      <c r="Q258" s="352"/>
      <c r="R258" s="352"/>
      <c r="S258" s="352"/>
      <c r="T258" s="352"/>
      <c r="U258" s="352"/>
      <c r="V258" s="352"/>
      <c r="W258" s="352"/>
      <c r="X258" s="352"/>
    </row>
    <row r="259" spans="1:24" ht="16.600000000000001">
      <c r="A259" s="1" t="s">
        <v>641</v>
      </c>
      <c r="B259" s="349" t="s">
        <v>1283</v>
      </c>
      <c r="C259" s="136" t="s">
        <v>649</v>
      </c>
      <c r="D259" s="356"/>
      <c r="E259" s="356"/>
      <c r="F259" s="356"/>
      <c r="G259" s="356"/>
      <c r="H259" s="356"/>
      <c r="I259" s="356"/>
      <c r="J259" s="356"/>
      <c r="K259" s="356"/>
      <c r="L259" s="356"/>
      <c r="M259" s="356"/>
      <c r="N259" s="356"/>
      <c r="O259" s="356"/>
      <c r="P259" s="356"/>
      <c r="Q259" s="356"/>
      <c r="R259" s="356"/>
      <c r="S259" s="356"/>
      <c r="T259" s="356"/>
      <c r="U259" s="356"/>
      <c r="V259" s="356"/>
      <c r="W259" s="356"/>
      <c r="X259" s="356"/>
    </row>
    <row r="260" spans="1:24" ht="16.600000000000001">
      <c r="A260" s="1" t="s">
        <v>641</v>
      </c>
      <c r="B260" s="349" t="s">
        <v>1284</v>
      </c>
      <c r="C260" s="136" t="s">
        <v>650</v>
      </c>
      <c r="D260" s="352"/>
      <c r="E260" s="352"/>
      <c r="F260" s="352"/>
      <c r="G260" s="352"/>
      <c r="H260" s="352"/>
      <c r="I260" s="352"/>
      <c r="J260" s="352"/>
      <c r="K260" s="352"/>
      <c r="L260" s="352"/>
      <c r="M260" s="352"/>
      <c r="N260" s="352"/>
      <c r="O260" s="352"/>
      <c r="P260" s="352"/>
      <c r="Q260" s="352"/>
      <c r="R260" s="352"/>
      <c r="S260" s="352"/>
      <c r="T260" s="352"/>
      <c r="U260" s="352"/>
      <c r="V260" s="352"/>
      <c r="W260" s="352"/>
      <c r="X260" s="352"/>
    </row>
    <row r="261" spans="1:24" ht="16.600000000000001">
      <c r="B261" s="349" t="s">
        <v>1285</v>
      </c>
      <c r="C261" s="136" t="s">
        <v>651</v>
      </c>
      <c r="D261" s="352"/>
      <c r="E261" s="352"/>
      <c r="F261" s="352"/>
      <c r="G261" s="352"/>
      <c r="H261" s="352"/>
      <c r="I261" s="352"/>
      <c r="J261" s="352"/>
      <c r="K261" s="352"/>
      <c r="L261" s="352"/>
      <c r="M261" s="352"/>
      <c r="N261" s="352"/>
      <c r="O261" s="352"/>
      <c r="P261" s="352"/>
      <c r="Q261" s="352"/>
      <c r="R261" s="352"/>
      <c r="S261" s="352"/>
      <c r="T261" s="352"/>
      <c r="U261" s="352"/>
      <c r="V261" s="352"/>
      <c r="W261" s="352"/>
      <c r="X261" s="352"/>
    </row>
    <row r="262" spans="1:24" ht="16.600000000000001">
      <c r="A262" s="1" t="s">
        <v>641</v>
      </c>
      <c r="B262" s="349" t="s">
        <v>1286</v>
      </c>
      <c r="C262" s="136" t="s">
        <v>652</v>
      </c>
      <c r="D262" s="352"/>
      <c r="E262" s="352"/>
      <c r="F262" s="352"/>
      <c r="G262" s="352"/>
      <c r="H262" s="352"/>
      <c r="I262" s="352"/>
      <c r="J262" s="352"/>
      <c r="K262" s="352"/>
      <c r="L262" s="352"/>
      <c r="M262" s="352"/>
      <c r="N262" s="352"/>
      <c r="O262" s="352"/>
      <c r="P262" s="352"/>
      <c r="Q262" s="352"/>
      <c r="R262" s="352"/>
      <c r="S262" s="352"/>
      <c r="T262" s="352"/>
      <c r="U262" s="352"/>
      <c r="V262" s="352"/>
      <c r="W262" s="352"/>
      <c r="X262" s="352"/>
    </row>
    <row r="263" spans="1:24" ht="16.600000000000001">
      <c r="A263" s="1" t="s">
        <v>641</v>
      </c>
      <c r="B263" s="349" t="s">
        <v>1287</v>
      </c>
      <c r="C263" s="136" t="s">
        <v>653</v>
      </c>
      <c r="D263" s="356"/>
      <c r="E263" s="352"/>
      <c r="F263" s="352"/>
      <c r="G263" s="352"/>
      <c r="H263" s="352"/>
      <c r="I263" s="352"/>
      <c r="J263" s="352"/>
      <c r="K263" s="352"/>
      <c r="L263" s="352"/>
      <c r="M263" s="352"/>
      <c r="N263" s="352"/>
      <c r="O263" s="352"/>
      <c r="P263" s="352"/>
      <c r="Q263" s="352"/>
      <c r="R263" s="352"/>
      <c r="S263" s="352"/>
      <c r="T263" s="352"/>
      <c r="U263" s="352"/>
      <c r="V263" s="352"/>
      <c r="W263" s="352"/>
      <c r="X263" s="352"/>
    </row>
    <row r="264" spans="1:24" ht="16.600000000000001">
      <c r="A264" s="1" t="s">
        <v>641</v>
      </c>
      <c r="B264" s="349" t="s">
        <v>1288</v>
      </c>
      <c r="C264" s="136" t="s">
        <v>654</v>
      </c>
      <c r="D264" s="352"/>
      <c r="E264" s="356"/>
      <c r="F264" s="356"/>
      <c r="G264" s="356"/>
      <c r="H264" s="356"/>
      <c r="I264" s="356"/>
      <c r="J264" s="356"/>
      <c r="K264" s="356"/>
      <c r="L264" s="356"/>
      <c r="M264" s="356"/>
      <c r="N264" s="356"/>
      <c r="O264" s="356"/>
      <c r="P264" s="356"/>
      <c r="Q264" s="356"/>
      <c r="R264" s="356"/>
      <c r="S264" s="356"/>
      <c r="T264" s="356"/>
      <c r="U264" s="356"/>
      <c r="V264" s="356"/>
      <c r="W264" s="356"/>
      <c r="X264" s="356"/>
    </row>
    <row r="265" spans="1:24" ht="16.600000000000001">
      <c r="A265" s="1" t="s">
        <v>641</v>
      </c>
      <c r="B265" s="349" t="s">
        <v>1289</v>
      </c>
      <c r="C265" s="136" t="s">
        <v>655</v>
      </c>
      <c r="D265" s="356"/>
      <c r="E265" s="356"/>
      <c r="F265" s="356"/>
      <c r="G265" s="356"/>
      <c r="H265" s="356"/>
      <c r="I265" s="356"/>
      <c r="J265" s="356"/>
      <c r="K265" s="356"/>
      <c r="L265" s="356"/>
      <c r="M265" s="356"/>
      <c r="N265" s="356"/>
      <c r="O265" s="356"/>
      <c r="P265" s="356"/>
      <c r="Q265" s="356"/>
      <c r="R265" s="356"/>
      <c r="S265" s="356"/>
      <c r="T265" s="356"/>
      <c r="U265" s="356"/>
      <c r="V265" s="356"/>
      <c r="W265" s="356"/>
      <c r="X265" s="356"/>
    </row>
    <row r="266" spans="1:24" ht="16.600000000000001">
      <c r="A266" s="1" t="s">
        <v>628</v>
      </c>
      <c r="B266" s="349" t="s">
        <v>1290</v>
      </c>
      <c r="C266" s="136" t="s">
        <v>856</v>
      </c>
      <c r="D266" s="352"/>
      <c r="E266" s="352"/>
      <c r="F266" s="352"/>
      <c r="G266" s="352"/>
      <c r="H266" s="352"/>
      <c r="I266" s="352"/>
      <c r="J266" s="352"/>
      <c r="K266" s="352"/>
      <c r="L266" s="352"/>
      <c r="M266" s="352"/>
      <c r="N266" s="352"/>
      <c r="O266" s="352"/>
      <c r="P266" s="352"/>
      <c r="Q266" s="352"/>
      <c r="R266" s="352"/>
      <c r="S266" s="352"/>
      <c r="T266" s="352"/>
      <c r="U266" s="352"/>
      <c r="V266" s="352"/>
      <c r="W266" s="352"/>
      <c r="X266" s="352"/>
    </row>
    <row r="267" spans="1:24" ht="16.600000000000001">
      <c r="B267" s="349" t="s">
        <v>1291</v>
      </c>
      <c r="C267" s="136" t="s">
        <v>1446</v>
      </c>
      <c r="D267" s="352"/>
      <c r="E267" s="352"/>
      <c r="F267" s="352"/>
      <c r="G267" s="352"/>
      <c r="H267" s="352"/>
      <c r="I267" s="352"/>
      <c r="J267" s="352"/>
      <c r="K267" s="352"/>
      <c r="L267" s="352"/>
      <c r="M267" s="352"/>
      <c r="N267" s="352"/>
      <c r="O267" s="352"/>
      <c r="P267" s="352"/>
      <c r="Q267" s="352"/>
      <c r="R267" s="352"/>
      <c r="S267" s="352"/>
      <c r="T267" s="352"/>
      <c r="U267" s="352"/>
      <c r="V267" s="352"/>
      <c r="W267" s="352"/>
      <c r="X267" s="352"/>
    </row>
    <row r="268" spans="1:24" ht="16.600000000000001">
      <c r="A268" s="1" t="s">
        <v>1443</v>
      </c>
      <c r="B268" s="349" t="s">
        <v>1292</v>
      </c>
      <c r="C268" s="136" t="s">
        <v>658</v>
      </c>
      <c r="D268" s="352"/>
      <c r="E268" s="352"/>
      <c r="F268" s="352"/>
      <c r="G268" s="352"/>
      <c r="H268" s="352"/>
      <c r="I268" s="352"/>
      <c r="J268" s="352"/>
      <c r="K268" s="352"/>
      <c r="L268" s="352"/>
      <c r="M268" s="352"/>
      <c r="N268" s="352"/>
      <c r="O268" s="352"/>
      <c r="P268" s="352"/>
      <c r="Q268" s="352"/>
      <c r="R268" s="352"/>
      <c r="S268" s="352"/>
      <c r="T268" s="352"/>
      <c r="U268" s="352"/>
      <c r="V268" s="352"/>
      <c r="W268" s="352"/>
      <c r="X268" s="352"/>
    </row>
    <row r="269" spans="1:24" ht="16.600000000000001">
      <c r="A269" s="1" t="s">
        <v>76</v>
      </c>
      <c r="B269" s="349" t="s">
        <v>1293</v>
      </c>
      <c r="C269" s="136" t="s">
        <v>659</v>
      </c>
      <c r="D269" s="356"/>
      <c r="E269" s="356"/>
      <c r="F269" s="356"/>
      <c r="G269" s="356"/>
      <c r="H269" s="356"/>
      <c r="I269" s="356"/>
      <c r="J269" s="356"/>
      <c r="K269" s="356"/>
      <c r="L269" s="356"/>
      <c r="M269" s="356"/>
      <c r="N269" s="356"/>
      <c r="O269" s="356"/>
      <c r="P269" s="356"/>
      <c r="Q269" s="356"/>
      <c r="R269" s="356"/>
      <c r="S269" s="356"/>
      <c r="T269" s="356"/>
      <c r="U269" s="356"/>
      <c r="V269" s="356"/>
      <c r="W269" s="356"/>
      <c r="X269" s="356"/>
    </row>
    <row r="270" spans="1:24" ht="16.600000000000001">
      <c r="A270" s="1" t="s">
        <v>76</v>
      </c>
      <c r="B270" s="349" t="s">
        <v>1294</v>
      </c>
      <c r="C270" s="136" t="s">
        <v>660</v>
      </c>
      <c r="D270" s="352"/>
      <c r="E270" s="352"/>
      <c r="F270" s="352"/>
      <c r="G270" s="352"/>
      <c r="H270" s="352"/>
      <c r="I270" s="352"/>
      <c r="J270" s="352"/>
      <c r="K270" s="352"/>
      <c r="L270" s="352"/>
      <c r="M270" s="352"/>
      <c r="N270" s="352"/>
      <c r="O270" s="352"/>
      <c r="P270" s="352"/>
      <c r="Q270" s="352"/>
      <c r="R270" s="352"/>
      <c r="S270" s="352"/>
      <c r="T270" s="352"/>
      <c r="U270" s="352"/>
      <c r="V270" s="352"/>
      <c r="W270" s="352"/>
      <c r="X270" s="352"/>
    </row>
    <row r="271" spans="1:24" ht="16.600000000000001">
      <c r="B271" s="349" t="s">
        <v>1295</v>
      </c>
      <c r="C271" s="136" t="s">
        <v>661</v>
      </c>
      <c r="D271" s="352"/>
      <c r="E271" s="352"/>
      <c r="F271" s="352"/>
      <c r="G271" s="352"/>
      <c r="H271" s="352"/>
      <c r="I271" s="352"/>
      <c r="J271" s="352"/>
      <c r="K271" s="352"/>
      <c r="L271" s="352"/>
      <c r="M271" s="352"/>
      <c r="N271" s="352"/>
      <c r="O271" s="352"/>
      <c r="P271" s="352"/>
      <c r="Q271" s="352"/>
      <c r="R271" s="352"/>
      <c r="S271" s="352"/>
      <c r="T271" s="352"/>
      <c r="U271" s="352"/>
      <c r="V271" s="352"/>
      <c r="W271" s="352"/>
      <c r="X271" s="352"/>
    </row>
    <row r="272" spans="1:24" ht="16.600000000000001">
      <c r="A272" s="1" t="s">
        <v>1444</v>
      </c>
      <c r="B272" s="349" t="s">
        <v>1296</v>
      </c>
      <c r="C272" s="136" t="s">
        <v>662</v>
      </c>
      <c r="D272" s="352"/>
      <c r="E272" s="352"/>
      <c r="F272" s="352"/>
      <c r="G272" s="352"/>
      <c r="H272" s="352"/>
      <c r="I272" s="352"/>
      <c r="J272" s="352"/>
      <c r="K272" s="352"/>
      <c r="L272" s="352"/>
      <c r="M272" s="352"/>
      <c r="N272" s="352"/>
      <c r="O272" s="352"/>
      <c r="P272" s="352"/>
      <c r="Q272" s="352"/>
      <c r="R272" s="352"/>
      <c r="S272" s="352"/>
      <c r="T272" s="352"/>
      <c r="U272" s="352"/>
      <c r="V272" s="352"/>
      <c r="W272" s="352"/>
      <c r="X272" s="352"/>
    </row>
    <row r="273" spans="1:24" ht="16.600000000000001">
      <c r="A273" s="1" t="s">
        <v>641</v>
      </c>
      <c r="B273" s="349" t="s">
        <v>1297</v>
      </c>
      <c r="C273" s="136" t="s">
        <v>663</v>
      </c>
      <c r="D273" s="352"/>
      <c r="E273" s="352"/>
      <c r="F273" s="352"/>
      <c r="G273" s="352"/>
      <c r="H273" s="352"/>
      <c r="I273" s="352"/>
      <c r="J273" s="352"/>
      <c r="K273" s="352"/>
      <c r="L273" s="352"/>
      <c r="M273" s="352"/>
      <c r="N273" s="352"/>
      <c r="O273" s="352"/>
      <c r="P273" s="352"/>
      <c r="Q273" s="352"/>
      <c r="R273" s="352"/>
      <c r="S273" s="352"/>
      <c r="T273" s="352"/>
      <c r="U273" s="352"/>
      <c r="V273" s="352"/>
      <c r="W273" s="352"/>
      <c r="X273" s="352"/>
    </row>
    <row r="274" spans="1:24" ht="16.600000000000001">
      <c r="B274" s="349" t="s">
        <v>1298</v>
      </c>
      <c r="C274" s="136" t="s">
        <v>664</v>
      </c>
      <c r="D274" s="352"/>
      <c r="E274" s="352"/>
      <c r="F274" s="352"/>
      <c r="G274" s="352"/>
      <c r="H274" s="352"/>
      <c r="I274" s="352"/>
      <c r="J274" s="352"/>
      <c r="K274" s="352"/>
      <c r="L274" s="352"/>
      <c r="M274" s="352"/>
      <c r="N274" s="352"/>
      <c r="O274" s="352"/>
      <c r="P274" s="352"/>
      <c r="Q274" s="352"/>
      <c r="R274" s="352"/>
      <c r="S274" s="352"/>
      <c r="T274" s="352"/>
      <c r="U274" s="352"/>
      <c r="V274" s="352"/>
      <c r="W274" s="352"/>
      <c r="X274" s="352"/>
    </row>
    <row r="275" spans="1:24" ht="16.600000000000001">
      <c r="B275" s="349" t="s">
        <v>1299</v>
      </c>
      <c r="C275" s="136" t="s">
        <v>665</v>
      </c>
      <c r="D275" s="356"/>
      <c r="E275" s="356"/>
      <c r="F275" s="356"/>
      <c r="G275" s="356"/>
      <c r="H275" s="356"/>
      <c r="I275" s="356"/>
      <c r="J275" s="356"/>
      <c r="K275" s="356"/>
      <c r="L275" s="356"/>
      <c r="M275" s="356"/>
      <c r="N275" s="356"/>
      <c r="O275" s="356"/>
      <c r="P275" s="356"/>
      <c r="Q275" s="356"/>
      <c r="R275" s="356"/>
      <c r="S275" s="356"/>
      <c r="T275" s="356"/>
      <c r="U275" s="356"/>
      <c r="V275" s="356"/>
      <c r="W275" s="356"/>
      <c r="X275" s="356"/>
    </row>
    <row r="276" spans="1:24" ht="16.600000000000001">
      <c r="B276" s="349" t="s">
        <v>1300</v>
      </c>
      <c r="C276" s="136" t="s">
        <v>666</v>
      </c>
      <c r="D276" s="352"/>
      <c r="E276" s="352"/>
      <c r="F276" s="352"/>
      <c r="G276" s="352"/>
      <c r="H276" s="352"/>
      <c r="I276" s="352"/>
      <c r="J276" s="352"/>
      <c r="K276" s="352"/>
      <c r="L276" s="352"/>
      <c r="M276" s="352"/>
      <c r="N276" s="352"/>
      <c r="O276" s="352"/>
      <c r="P276" s="352"/>
      <c r="Q276" s="352"/>
      <c r="R276" s="352"/>
      <c r="S276" s="352"/>
      <c r="T276" s="352"/>
      <c r="U276" s="352"/>
      <c r="V276" s="352"/>
      <c r="W276" s="352"/>
      <c r="X276" s="352"/>
    </row>
    <row r="277" spans="1:24" ht="16.600000000000001">
      <c r="B277" s="349" t="s">
        <v>1301</v>
      </c>
      <c r="C277" s="136" t="s">
        <v>667</v>
      </c>
      <c r="D277" s="352"/>
      <c r="E277" s="352"/>
      <c r="F277" s="352"/>
      <c r="G277" s="352"/>
      <c r="H277" s="352"/>
      <c r="I277" s="352"/>
      <c r="J277" s="352"/>
      <c r="K277" s="352"/>
      <c r="L277" s="352"/>
      <c r="M277" s="352"/>
      <c r="N277" s="352"/>
      <c r="O277" s="352"/>
      <c r="P277" s="352"/>
      <c r="Q277" s="352"/>
      <c r="R277" s="352"/>
      <c r="S277" s="352"/>
      <c r="T277" s="352"/>
      <c r="U277" s="352"/>
      <c r="V277" s="352"/>
      <c r="W277" s="352"/>
      <c r="X277" s="352"/>
    </row>
    <row r="278" spans="1:24" ht="16.600000000000001">
      <c r="A278" s="1" t="s">
        <v>1445</v>
      </c>
      <c r="B278" s="349" t="s">
        <v>1302</v>
      </c>
      <c r="C278" s="136" t="s">
        <v>669</v>
      </c>
      <c r="D278" s="352"/>
      <c r="E278" s="352"/>
      <c r="F278" s="352"/>
      <c r="G278" s="352"/>
      <c r="H278" s="352"/>
      <c r="I278" s="352"/>
      <c r="J278" s="352"/>
      <c r="K278" s="352"/>
      <c r="L278" s="352"/>
      <c r="M278" s="352"/>
      <c r="N278" s="352"/>
      <c r="O278" s="352"/>
      <c r="P278" s="352"/>
      <c r="Q278" s="352"/>
      <c r="R278" s="352"/>
      <c r="S278" s="352"/>
      <c r="T278" s="352"/>
      <c r="U278" s="352"/>
      <c r="V278" s="352"/>
      <c r="W278" s="352"/>
      <c r="X278" s="352"/>
    </row>
    <row r="279" spans="1:24" ht="16.600000000000001">
      <c r="B279" s="349" t="s">
        <v>1303</v>
      </c>
      <c r="C279" s="136" t="s">
        <v>670</v>
      </c>
      <c r="D279" s="352"/>
      <c r="E279" s="352"/>
      <c r="F279" s="352"/>
      <c r="G279" s="352"/>
      <c r="H279" s="352"/>
      <c r="I279" s="352"/>
      <c r="J279" s="352"/>
      <c r="K279" s="352"/>
      <c r="L279" s="352"/>
      <c r="M279" s="352"/>
      <c r="N279" s="352"/>
      <c r="O279" s="352"/>
      <c r="P279" s="352"/>
      <c r="Q279" s="352"/>
      <c r="R279" s="352"/>
      <c r="S279" s="352"/>
      <c r="T279" s="352"/>
      <c r="U279" s="352"/>
      <c r="V279" s="352"/>
      <c r="W279" s="352"/>
      <c r="X279" s="352"/>
    </row>
    <row r="280" spans="1:24" ht="16.600000000000001">
      <c r="A280" s="1" t="s">
        <v>1444</v>
      </c>
      <c r="B280" s="349" t="s">
        <v>1304</v>
      </c>
      <c r="C280" s="136" t="s">
        <v>671</v>
      </c>
      <c r="D280" s="356"/>
      <c r="E280" s="356"/>
      <c r="F280" s="356"/>
      <c r="G280" s="356"/>
      <c r="H280" s="356"/>
      <c r="I280" s="356"/>
      <c r="J280" s="356"/>
      <c r="K280" s="356"/>
      <c r="L280" s="356"/>
      <c r="M280" s="356"/>
      <c r="N280" s="356"/>
      <c r="O280" s="356"/>
      <c r="P280" s="356"/>
      <c r="Q280" s="356"/>
      <c r="R280" s="356"/>
      <c r="S280" s="356"/>
      <c r="T280" s="356"/>
      <c r="U280" s="356"/>
      <c r="V280" s="356"/>
      <c r="W280" s="356"/>
      <c r="X280" s="356"/>
    </row>
    <row r="281" spans="1:24" ht="16.600000000000001">
      <c r="A281" s="1" t="s">
        <v>672</v>
      </c>
      <c r="B281" s="349" t="s">
        <v>1305</v>
      </c>
      <c r="C281" s="136" t="s">
        <v>673</v>
      </c>
      <c r="D281" s="356"/>
      <c r="E281" s="356"/>
      <c r="F281" s="356"/>
      <c r="G281" s="352"/>
      <c r="H281" s="356"/>
      <c r="I281" s="356"/>
      <c r="J281" s="356"/>
      <c r="K281" s="356"/>
      <c r="L281" s="356"/>
      <c r="M281" s="356"/>
      <c r="N281" s="356"/>
      <c r="O281" s="356"/>
      <c r="P281" s="356"/>
      <c r="Q281" s="356"/>
      <c r="R281" s="356"/>
      <c r="S281" s="356"/>
      <c r="T281" s="356"/>
      <c r="U281" s="356"/>
      <c r="V281" s="356"/>
      <c r="W281" s="356"/>
      <c r="X281" s="356"/>
    </row>
    <row r="282" spans="1:24" ht="16.600000000000001">
      <c r="B282" s="349" t="s">
        <v>1306</v>
      </c>
      <c r="C282" s="136" t="s">
        <v>674</v>
      </c>
      <c r="D282" s="352"/>
      <c r="E282" s="352"/>
      <c r="F282" s="352"/>
      <c r="G282" s="352"/>
      <c r="H282" s="352"/>
      <c r="I282" s="352"/>
      <c r="J282" s="352"/>
      <c r="K282" s="352"/>
      <c r="L282" s="352"/>
      <c r="M282" s="352"/>
      <c r="N282" s="352"/>
      <c r="O282" s="352"/>
      <c r="P282" s="352"/>
      <c r="Q282" s="352"/>
      <c r="R282" s="352"/>
      <c r="S282" s="352"/>
      <c r="T282" s="352"/>
      <c r="U282" s="352"/>
      <c r="V282" s="352"/>
      <c r="W282" s="352"/>
      <c r="X282" s="352"/>
    </row>
    <row r="283" spans="1:24" ht="16.600000000000001">
      <c r="B283" s="349" t="s">
        <v>1307</v>
      </c>
      <c r="C283" s="349" t="s">
        <v>1307</v>
      </c>
      <c r="D283" s="352"/>
      <c r="E283" s="352"/>
      <c r="F283" s="352"/>
      <c r="G283" s="352"/>
      <c r="H283" s="352"/>
      <c r="I283" s="352"/>
      <c r="J283" s="352"/>
      <c r="K283" s="352"/>
      <c r="L283" s="352"/>
      <c r="M283" s="352"/>
      <c r="N283" s="352"/>
      <c r="O283" s="352"/>
      <c r="P283" s="352"/>
      <c r="Q283" s="352"/>
      <c r="R283" s="352"/>
      <c r="S283" s="352"/>
      <c r="T283" s="352"/>
      <c r="U283" s="352"/>
      <c r="V283" s="352"/>
      <c r="W283" s="352"/>
      <c r="X283" s="352"/>
    </row>
    <row r="284" spans="1:24" ht="16.600000000000001">
      <c r="B284" s="349" t="s">
        <v>1308</v>
      </c>
      <c r="C284" s="349" t="s">
        <v>1308</v>
      </c>
      <c r="D284" s="356"/>
      <c r="E284" s="356"/>
      <c r="F284" s="356"/>
      <c r="G284" s="356"/>
      <c r="H284" s="356"/>
      <c r="I284" s="356"/>
      <c r="J284" s="356"/>
      <c r="K284" s="356"/>
      <c r="L284" s="356"/>
      <c r="M284" s="356"/>
      <c r="N284" s="356"/>
      <c r="O284" s="356"/>
      <c r="P284" s="356"/>
      <c r="Q284" s="356"/>
      <c r="R284" s="356"/>
      <c r="S284" s="356"/>
      <c r="T284" s="356"/>
      <c r="U284" s="356"/>
      <c r="V284" s="356"/>
      <c r="W284" s="356"/>
      <c r="X284" s="356"/>
    </row>
    <row r="285" spans="1:24" ht="16.600000000000001">
      <c r="B285" s="349" t="s">
        <v>1309</v>
      </c>
      <c r="C285" s="349" t="s">
        <v>1309</v>
      </c>
      <c r="D285" s="352"/>
      <c r="E285" s="352"/>
      <c r="F285" s="352"/>
      <c r="G285" s="352"/>
      <c r="H285" s="352"/>
      <c r="I285" s="352"/>
      <c r="J285" s="352"/>
      <c r="K285" s="352"/>
      <c r="L285" s="352"/>
      <c r="M285" s="352"/>
      <c r="N285" s="352"/>
      <c r="O285" s="352"/>
      <c r="P285" s="352"/>
      <c r="Q285" s="352"/>
      <c r="R285" s="352"/>
      <c r="S285" s="352"/>
      <c r="T285" s="352"/>
      <c r="U285" s="352"/>
      <c r="V285" s="352"/>
      <c r="W285" s="352"/>
      <c r="X285" s="352"/>
    </row>
    <row r="286" spans="1:24" ht="16.600000000000001">
      <c r="B286" s="349" t="s">
        <v>1310</v>
      </c>
      <c r="C286" s="349" t="s">
        <v>1310</v>
      </c>
      <c r="D286" s="352"/>
      <c r="E286" s="352"/>
      <c r="F286" s="352"/>
      <c r="G286" s="352"/>
      <c r="H286" s="352"/>
      <c r="I286" s="352"/>
      <c r="J286" s="352"/>
      <c r="K286" s="352"/>
      <c r="L286" s="352"/>
      <c r="M286" s="352"/>
      <c r="N286" s="352"/>
      <c r="O286" s="352"/>
      <c r="P286" s="352"/>
      <c r="Q286" s="352"/>
      <c r="R286" s="352"/>
      <c r="S286" s="352"/>
      <c r="T286" s="352"/>
      <c r="U286" s="352"/>
      <c r="V286" s="352"/>
      <c r="W286" s="352"/>
      <c r="X286" s="352"/>
    </row>
    <row r="287" spans="1:24" ht="16.600000000000001">
      <c r="B287" s="349" t="s">
        <v>1311</v>
      </c>
      <c r="C287" s="349" t="s">
        <v>1311</v>
      </c>
      <c r="D287" s="356"/>
      <c r="E287" s="356"/>
      <c r="F287" s="356"/>
      <c r="G287" s="356"/>
      <c r="H287" s="356"/>
      <c r="I287" s="356"/>
      <c r="J287" s="356"/>
      <c r="K287" s="356"/>
      <c r="L287" s="356"/>
      <c r="M287" s="356"/>
      <c r="N287" s="356"/>
      <c r="O287" s="356"/>
      <c r="P287" s="356"/>
      <c r="Q287" s="356"/>
      <c r="R287" s="356"/>
      <c r="S287" s="356"/>
      <c r="T287" s="356"/>
      <c r="U287" s="356"/>
      <c r="V287" s="356"/>
      <c r="W287" s="356"/>
      <c r="X287" s="356"/>
    </row>
    <row r="288" spans="1:24" ht="16.600000000000001">
      <c r="B288" s="349" t="s">
        <v>1312</v>
      </c>
      <c r="C288" s="349" t="s">
        <v>1312</v>
      </c>
      <c r="D288" s="356"/>
      <c r="E288" s="356"/>
      <c r="F288" s="356"/>
      <c r="G288" s="356"/>
      <c r="H288" s="356"/>
      <c r="I288" s="356"/>
      <c r="J288" s="356"/>
      <c r="K288" s="356"/>
      <c r="L288" s="356"/>
      <c r="M288" s="356"/>
      <c r="N288" s="356"/>
      <c r="O288" s="356"/>
      <c r="P288" s="356"/>
      <c r="Q288" s="356"/>
      <c r="R288" s="356"/>
      <c r="S288" s="356"/>
      <c r="T288" s="356"/>
      <c r="U288" s="356"/>
      <c r="V288" s="356"/>
      <c r="W288" s="356"/>
      <c r="X288" s="356"/>
    </row>
    <row r="289" spans="2:24" ht="16.600000000000001">
      <c r="B289" s="349" t="s">
        <v>1313</v>
      </c>
      <c r="C289" s="349" t="s">
        <v>1313</v>
      </c>
      <c r="D289" s="356"/>
      <c r="E289" s="356"/>
      <c r="F289" s="356"/>
      <c r="G289" s="356"/>
      <c r="H289" s="356"/>
      <c r="I289" s="356"/>
      <c r="J289" s="356"/>
      <c r="K289" s="356"/>
      <c r="L289" s="356"/>
      <c r="M289" s="356"/>
      <c r="N289" s="356"/>
      <c r="O289" s="356"/>
      <c r="P289" s="356"/>
      <c r="Q289" s="356"/>
      <c r="R289" s="356"/>
      <c r="S289" s="356"/>
      <c r="T289" s="356"/>
      <c r="U289" s="356"/>
      <c r="V289" s="356"/>
      <c r="W289" s="356"/>
      <c r="X289" s="356"/>
    </row>
    <row r="290" spans="2:24" ht="16.600000000000001">
      <c r="B290" s="349" t="s">
        <v>1314</v>
      </c>
      <c r="C290" s="349" t="s">
        <v>1314</v>
      </c>
      <c r="D290" s="352"/>
      <c r="E290" s="352"/>
      <c r="F290" s="352"/>
      <c r="G290" s="352"/>
      <c r="H290" s="352"/>
      <c r="I290" s="352"/>
      <c r="J290" s="352"/>
      <c r="K290" s="352"/>
      <c r="L290" s="352"/>
      <c r="M290" s="352"/>
      <c r="N290" s="352"/>
      <c r="O290" s="352"/>
      <c r="P290" s="352"/>
      <c r="Q290" s="352"/>
      <c r="R290" s="352"/>
      <c r="S290" s="352"/>
      <c r="T290" s="352"/>
      <c r="U290" s="352"/>
      <c r="V290" s="352"/>
      <c r="W290" s="352"/>
      <c r="X290" s="352"/>
    </row>
    <row r="291" spans="2:24" ht="16.600000000000001">
      <c r="B291" s="349" t="s">
        <v>1315</v>
      </c>
      <c r="C291" s="349" t="s">
        <v>1315</v>
      </c>
      <c r="D291" s="356"/>
      <c r="E291" s="352"/>
      <c r="F291" s="352"/>
      <c r="G291" s="352"/>
      <c r="H291" s="352"/>
      <c r="I291" s="352"/>
      <c r="J291" s="352"/>
      <c r="K291" s="352"/>
      <c r="L291" s="352"/>
      <c r="M291" s="352"/>
      <c r="N291" s="352"/>
      <c r="O291" s="352"/>
      <c r="P291" s="352"/>
      <c r="Q291" s="352"/>
      <c r="R291" s="352"/>
      <c r="S291" s="352"/>
      <c r="T291" s="352"/>
      <c r="U291" s="352"/>
      <c r="V291" s="352"/>
      <c r="W291" s="352"/>
      <c r="X291" s="352"/>
    </row>
    <row r="292" spans="2:24" ht="16.600000000000001">
      <c r="B292" s="349" t="s">
        <v>1316</v>
      </c>
      <c r="C292" s="349" t="s">
        <v>1316</v>
      </c>
      <c r="D292" s="352"/>
      <c r="E292" s="352"/>
      <c r="F292" s="352"/>
      <c r="G292" s="352"/>
      <c r="H292" s="352"/>
      <c r="I292" s="352"/>
      <c r="J292" s="352"/>
      <c r="K292" s="352"/>
      <c r="L292" s="352"/>
      <c r="M292" s="352"/>
      <c r="N292" s="352"/>
      <c r="O292" s="352"/>
      <c r="P292" s="352"/>
      <c r="Q292" s="352"/>
      <c r="R292" s="352"/>
      <c r="S292" s="352"/>
      <c r="T292" s="352"/>
      <c r="U292" s="352"/>
      <c r="V292" s="352"/>
      <c r="W292" s="352"/>
      <c r="X292" s="352"/>
    </row>
    <row r="293" spans="2:24" ht="16.600000000000001">
      <c r="B293" s="349" t="s">
        <v>1317</v>
      </c>
      <c r="C293" s="349" t="s">
        <v>1317</v>
      </c>
      <c r="D293" s="352"/>
      <c r="E293" s="352"/>
      <c r="F293" s="352"/>
      <c r="G293" s="352"/>
      <c r="H293" s="352"/>
      <c r="I293" s="352"/>
      <c r="J293" s="352"/>
      <c r="K293" s="352"/>
      <c r="L293" s="352"/>
      <c r="M293" s="352"/>
      <c r="N293" s="352"/>
      <c r="O293" s="352"/>
      <c r="P293" s="352"/>
      <c r="Q293" s="352"/>
      <c r="R293" s="352"/>
      <c r="S293" s="352"/>
      <c r="T293" s="352"/>
      <c r="U293" s="352"/>
      <c r="V293" s="352"/>
      <c r="W293" s="352"/>
      <c r="X293" s="352"/>
    </row>
    <row r="294" spans="2:24" ht="16.600000000000001">
      <c r="B294" s="349" t="s">
        <v>1318</v>
      </c>
      <c r="C294" s="349" t="s">
        <v>1318</v>
      </c>
      <c r="D294" s="352"/>
      <c r="E294" s="352"/>
      <c r="F294" s="352"/>
      <c r="G294" s="352"/>
      <c r="H294" s="352"/>
      <c r="I294" s="352"/>
      <c r="J294" s="352"/>
      <c r="K294" s="352"/>
      <c r="L294" s="352"/>
      <c r="M294" s="352"/>
      <c r="N294" s="352"/>
      <c r="O294" s="352"/>
      <c r="P294" s="352"/>
      <c r="Q294" s="352"/>
      <c r="R294" s="352"/>
      <c r="S294" s="352"/>
      <c r="T294" s="352"/>
      <c r="U294" s="352"/>
      <c r="V294" s="352"/>
      <c r="W294" s="352"/>
      <c r="X294" s="352"/>
    </row>
    <row r="295" spans="2:24" ht="16.600000000000001">
      <c r="B295" s="349" t="s">
        <v>1319</v>
      </c>
      <c r="C295" s="349" t="s">
        <v>1319</v>
      </c>
      <c r="D295" s="352"/>
      <c r="E295" s="352"/>
      <c r="F295" s="352"/>
      <c r="G295" s="352"/>
      <c r="H295" s="352"/>
      <c r="I295" s="352"/>
      <c r="J295" s="352"/>
      <c r="K295" s="352"/>
      <c r="L295" s="352"/>
      <c r="M295" s="352"/>
      <c r="N295" s="352"/>
      <c r="O295" s="352"/>
      <c r="P295" s="352"/>
      <c r="Q295" s="352"/>
      <c r="R295" s="352"/>
      <c r="S295" s="352"/>
      <c r="T295" s="352"/>
      <c r="U295" s="352"/>
      <c r="V295" s="352"/>
      <c r="W295" s="352"/>
      <c r="X295" s="352"/>
    </row>
    <row r="296" spans="2:24" ht="16.600000000000001">
      <c r="B296" s="349" t="s">
        <v>1320</v>
      </c>
      <c r="C296" s="349" t="s">
        <v>1320</v>
      </c>
      <c r="D296" s="352"/>
      <c r="E296" s="352"/>
      <c r="F296" s="352"/>
      <c r="G296" s="352"/>
      <c r="H296" s="352"/>
      <c r="I296" s="352"/>
      <c r="J296" s="352"/>
      <c r="K296" s="352"/>
      <c r="L296" s="352"/>
      <c r="M296" s="352"/>
      <c r="N296" s="352"/>
      <c r="O296" s="352"/>
      <c r="P296" s="352"/>
      <c r="Q296" s="352"/>
      <c r="R296" s="352"/>
      <c r="S296" s="352"/>
      <c r="T296" s="352"/>
      <c r="U296" s="352"/>
      <c r="V296" s="352"/>
      <c r="W296" s="352"/>
      <c r="X296" s="352"/>
    </row>
    <row r="297" spans="2:24" ht="16.600000000000001">
      <c r="B297" s="349" t="s">
        <v>1321</v>
      </c>
      <c r="C297" s="349" t="s">
        <v>1321</v>
      </c>
      <c r="D297" s="352"/>
      <c r="E297" s="352"/>
      <c r="F297" s="352"/>
      <c r="G297" s="352"/>
      <c r="H297" s="352"/>
      <c r="I297" s="352"/>
      <c r="J297" s="352"/>
      <c r="K297" s="352"/>
      <c r="L297" s="352"/>
      <c r="M297" s="352"/>
      <c r="N297" s="352"/>
      <c r="O297" s="352"/>
      <c r="P297" s="352"/>
      <c r="Q297" s="352"/>
      <c r="R297" s="352"/>
      <c r="S297" s="352"/>
      <c r="T297" s="352"/>
      <c r="U297" s="352"/>
      <c r="V297" s="352"/>
      <c r="W297" s="352"/>
      <c r="X297" s="352"/>
    </row>
    <row r="298" spans="2:24" ht="16.600000000000001">
      <c r="B298" s="349" t="s">
        <v>1322</v>
      </c>
      <c r="C298" s="349" t="s">
        <v>1322</v>
      </c>
      <c r="D298" s="352"/>
      <c r="E298" s="352"/>
      <c r="F298" s="352"/>
      <c r="G298" s="352"/>
      <c r="H298" s="352"/>
      <c r="I298" s="352"/>
      <c r="J298" s="352"/>
      <c r="K298" s="352"/>
      <c r="L298" s="352"/>
      <c r="M298" s="352"/>
      <c r="N298" s="352"/>
      <c r="O298" s="352"/>
      <c r="P298" s="352"/>
      <c r="Q298" s="352"/>
      <c r="R298" s="352"/>
      <c r="S298" s="352"/>
      <c r="T298" s="352"/>
      <c r="U298" s="352"/>
      <c r="V298" s="352"/>
      <c r="W298" s="352"/>
      <c r="X298" s="352"/>
    </row>
    <row r="299" spans="2:24" ht="16.600000000000001">
      <c r="B299" s="349" t="s">
        <v>1323</v>
      </c>
      <c r="C299" s="349" t="s">
        <v>1323</v>
      </c>
      <c r="D299" s="352"/>
      <c r="E299" s="352"/>
      <c r="F299" s="352"/>
      <c r="G299" s="352"/>
      <c r="H299" s="352"/>
      <c r="I299" s="352"/>
      <c r="J299" s="352"/>
      <c r="K299" s="352"/>
      <c r="L299" s="352"/>
      <c r="M299" s="352"/>
      <c r="N299" s="352"/>
      <c r="O299" s="352"/>
      <c r="P299" s="352"/>
      <c r="Q299" s="352"/>
      <c r="R299" s="352"/>
      <c r="S299" s="352"/>
      <c r="T299" s="352"/>
      <c r="U299" s="352"/>
      <c r="V299" s="352"/>
      <c r="W299" s="352"/>
      <c r="X299" s="352"/>
    </row>
    <row r="300" spans="2:24" ht="16.600000000000001">
      <c r="B300" s="349" t="s">
        <v>1324</v>
      </c>
      <c r="C300" s="349" t="s">
        <v>1324</v>
      </c>
      <c r="D300" s="352"/>
      <c r="E300" s="352"/>
      <c r="F300" s="352"/>
      <c r="G300" s="352"/>
      <c r="H300" s="352"/>
      <c r="I300" s="352"/>
      <c r="J300" s="352"/>
      <c r="K300" s="352"/>
      <c r="L300" s="352"/>
      <c r="M300" s="352"/>
      <c r="N300" s="352"/>
      <c r="O300" s="352"/>
      <c r="P300" s="352"/>
      <c r="Q300" s="352"/>
      <c r="R300" s="352"/>
      <c r="S300" s="352"/>
      <c r="T300" s="352"/>
      <c r="U300" s="352"/>
      <c r="V300" s="352"/>
      <c r="W300" s="352"/>
      <c r="X300" s="352"/>
    </row>
    <row r="301" spans="2:24" ht="16.600000000000001">
      <c r="B301" s="349" t="s">
        <v>1325</v>
      </c>
      <c r="C301" s="349" t="s">
        <v>1325</v>
      </c>
      <c r="D301" s="356"/>
      <c r="E301" s="356"/>
      <c r="F301" s="356"/>
      <c r="G301" s="356"/>
      <c r="H301" s="356"/>
      <c r="I301" s="356"/>
      <c r="J301" s="356"/>
      <c r="K301" s="356"/>
      <c r="L301" s="356"/>
      <c r="M301" s="356"/>
      <c r="N301" s="356"/>
      <c r="O301" s="356"/>
      <c r="P301" s="356"/>
      <c r="Q301" s="356"/>
      <c r="R301" s="356"/>
      <c r="S301" s="356"/>
      <c r="T301" s="356"/>
      <c r="U301" s="356"/>
      <c r="V301" s="356"/>
      <c r="W301" s="356"/>
      <c r="X301" s="356"/>
    </row>
    <row r="302" spans="2:24" ht="16.600000000000001">
      <c r="B302" s="349" t="s">
        <v>1326</v>
      </c>
      <c r="C302" s="349" t="s">
        <v>1326</v>
      </c>
      <c r="D302" s="352"/>
      <c r="E302" s="352"/>
      <c r="F302" s="352"/>
      <c r="G302" s="352"/>
      <c r="H302" s="352"/>
      <c r="I302" s="352"/>
      <c r="J302" s="352"/>
      <c r="K302" s="352"/>
      <c r="L302" s="352"/>
      <c r="M302" s="352"/>
      <c r="N302" s="352"/>
      <c r="O302" s="352"/>
      <c r="P302" s="352"/>
      <c r="Q302" s="352"/>
      <c r="R302" s="352"/>
      <c r="S302" s="352"/>
      <c r="T302" s="352"/>
      <c r="U302" s="352"/>
      <c r="V302" s="352"/>
      <c r="W302" s="352"/>
      <c r="X302" s="352"/>
    </row>
    <row r="303" spans="2:24" ht="16.600000000000001">
      <c r="B303" s="349" t="s">
        <v>1327</v>
      </c>
      <c r="C303" s="349" t="s">
        <v>1327</v>
      </c>
      <c r="D303" s="352"/>
      <c r="E303" s="352"/>
      <c r="F303" s="352"/>
      <c r="G303" s="352"/>
      <c r="H303" s="352"/>
      <c r="I303" s="352"/>
      <c r="J303" s="352"/>
      <c r="K303" s="352"/>
      <c r="L303" s="352"/>
      <c r="M303" s="352"/>
      <c r="N303" s="352"/>
      <c r="O303" s="352"/>
      <c r="P303" s="352"/>
      <c r="Q303" s="352"/>
      <c r="R303" s="352"/>
      <c r="S303" s="352"/>
      <c r="T303" s="352"/>
      <c r="U303" s="352"/>
      <c r="V303" s="352"/>
      <c r="W303" s="352"/>
      <c r="X303" s="352"/>
    </row>
    <row r="304" spans="2:24" ht="16.600000000000001">
      <c r="B304" s="349" t="s">
        <v>1328</v>
      </c>
      <c r="C304" s="349" t="s">
        <v>1328</v>
      </c>
      <c r="D304" s="352"/>
      <c r="E304" s="352"/>
      <c r="F304" s="352"/>
      <c r="G304" s="352"/>
      <c r="H304" s="352"/>
      <c r="I304" s="352"/>
      <c r="J304" s="352"/>
      <c r="K304" s="352"/>
      <c r="L304" s="352"/>
      <c r="M304" s="352"/>
      <c r="N304" s="352"/>
      <c r="O304" s="352"/>
      <c r="P304" s="352"/>
      <c r="Q304" s="352"/>
      <c r="R304" s="352"/>
      <c r="S304" s="352"/>
      <c r="T304" s="352"/>
      <c r="U304" s="352"/>
      <c r="V304" s="352"/>
      <c r="W304" s="352"/>
      <c r="X304" s="352"/>
    </row>
    <row r="305" spans="1:24" ht="16.600000000000001">
      <c r="B305" s="349" t="s">
        <v>1329</v>
      </c>
      <c r="C305" s="349" t="s">
        <v>1329</v>
      </c>
      <c r="D305" s="356"/>
      <c r="E305" s="356"/>
      <c r="F305" s="356"/>
      <c r="G305" s="356"/>
      <c r="H305" s="356"/>
      <c r="I305" s="356"/>
      <c r="J305" s="356"/>
      <c r="K305" s="356"/>
      <c r="L305" s="356"/>
      <c r="M305" s="356"/>
      <c r="N305" s="356"/>
      <c r="O305" s="356"/>
      <c r="P305" s="356"/>
      <c r="Q305" s="356"/>
      <c r="R305" s="356"/>
      <c r="S305" s="356"/>
      <c r="T305" s="356"/>
      <c r="U305" s="356"/>
      <c r="V305" s="356"/>
      <c r="W305" s="356"/>
      <c r="X305" s="356"/>
    </row>
    <row r="306" spans="1:24" ht="16.600000000000001">
      <c r="B306" s="349" t="s">
        <v>1330</v>
      </c>
      <c r="C306" s="349" t="s">
        <v>1330</v>
      </c>
      <c r="D306" s="352"/>
      <c r="E306" s="352"/>
      <c r="F306" s="352"/>
      <c r="G306" s="352"/>
      <c r="H306" s="352"/>
      <c r="I306" s="352"/>
      <c r="J306" s="352"/>
      <c r="K306" s="352"/>
      <c r="L306" s="352"/>
      <c r="M306" s="352"/>
      <c r="N306" s="352"/>
      <c r="O306" s="352"/>
      <c r="P306" s="352"/>
      <c r="Q306" s="352"/>
      <c r="R306" s="352"/>
      <c r="S306" s="352"/>
      <c r="T306" s="352"/>
      <c r="U306" s="352"/>
      <c r="V306" s="352"/>
      <c r="W306" s="352"/>
      <c r="X306" s="352"/>
    </row>
    <row r="307" spans="1:24" ht="16.600000000000001">
      <c r="B307" s="349" t="s">
        <v>1331</v>
      </c>
      <c r="C307" s="349" t="s">
        <v>1331</v>
      </c>
      <c r="D307" s="352"/>
      <c r="E307" s="352"/>
      <c r="F307" s="352"/>
      <c r="G307" s="352"/>
      <c r="H307" s="352"/>
      <c r="I307" s="352"/>
      <c r="J307" s="352"/>
      <c r="K307" s="352"/>
      <c r="L307" s="352"/>
      <c r="M307" s="352"/>
      <c r="N307" s="352"/>
      <c r="O307" s="352"/>
      <c r="P307" s="352"/>
      <c r="Q307" s="352"/>
      <c r="R307" s="352"/>
      <c r="S307" s="352"/>
      <c r="T307" s="352"/>
      <c r="U307" s="352"/>
      <c r="V307" s="352"/>
      <c r="W307" s="352"/>
      <c r="X307" s="352"/>
    </row>
    <row r="308" spans="1:24" ht="16.600000000000001">
      <c r="B308" s="349" t="s">
        <v>1332</v>
      </c>
      <c r="C308" s="349" t="s">
        <v>1332</v>
      </c>
      <c r="D308" s="352"/>
      <c r="E308" s="352"/>
      <c r="F308" s="352"/>
      <c r="G308" s="352"/>
      <c r="H308" s="352"/>
      <c r="I308" s="352"/>
      <c r="J308" s="352"/>
      <c r="K308" s="352"/>
      <c r="L308" s="352"/>
      <c r="M308" s="352"/>
      <c r="N308" s="352"/>
      <c r="O308" s="352"/>
      <c r="P308" s="352"/>
      <c r="Q308" s="352"/>
      <c r="R308" s="352"/>
      <c r="S308" s="352"/>
      <c r="T308" s="352"/>
      <c r="U308" s="352"/>
      <c r="V308" s="352"/>
      <c r="W308" s="352"/>
      <c r="X308" s="352"/>
    </row>
    <row r="309" spans="1:24" ht="16.600000000000001">
      <c r="B309" s="349" t="s">
        <v>1333</v>
      </c>
      <c r="C309" s="349" t="s">
        <v>1333</v>
      </c>
      <c r="D309" s="352"/>
      <c r="E309" s="352"/>
      <c r="F309" s="352"/>
      <c r="G309" s="352"/>
      <c r="H309" s="352"/>
      <c r="I309" s="352"/>
      <c r="J309" s="352"/>
      <c r="K309" s="352"/>
      <c r="L309" s="352"/>
      <c r="M309" s="352"/>
      <c r="N309" s="352"/>
      <c r="O309" s="352"/>
      <c r="P309" s="352"/>
      <c r="Q309" s="352"/>
      <c r="R309" s="352"/>
      <c r="S309" s="352"/>
      <c r="T309" s="352"/>
      <c r="U309" s="352"/>
      <c r="V309" s="352"/>
      <c r="W309" s="352"/>
      <c r="X309" s="352"/>
    </row>
    <row r="310" spans="1:24" ht="16.600000000000001">
      <c r="B310" s="349" t="s">
        <v>1334</v>
      </c>
      <c r="C310" s="349" t="s">
        <v>1334</v>
      </c>
      <c r="D310" s="352"/>
      <c r="E310" s="352"/>
      <c r="F310" s="352"/>
      <c r="G310" s="352"/>
      <c r="H310" s="352"/>
      <c r="I310" s="352"/>
      <c r="J310" s="352"/>
      <c r="K310" s="352"/>
      <c r="L310" s="352"/>
      <c r="M310" s="352"/>
      <c r="N310" s="352"/>
      <c r="O310" s="352"/>
      <c r="P310" s="352"/>
      <c r="Q310" s="352"/>
      <c r="R310" s="352"/>
      <c r="S310" s="352"/>
      <c r="T310" s="352"/>
      <c r="U310" s="352"/>
      <c r="V310" s="352"/>
      <c r="W310" s="352"/>
      <c r="X310" s="352"/>
    </row>
    <row r="311" spans="1:24" ht="16.600000000000001">
      <c r="B311" s="349" t="s">
        <v>1335</v>
      </c>
      <c r="C311" s="349" t="s">
        <v>1335</v>
      </c>
      <c r="D311" s="352"/>
      <c r="E311" s="352"/>
      <c r="F311" s="352"/>
      <c r="G311" s="352"/>
      <c r="H311" s="352"/>
      <c r="I311" s="352"/>
      <c r="J311" s="352"/>
      <c r="K311" s="352"/>
      <c r="L311" s="352"/>
      <c r="M311" s="352"/>
      <c r="N311" s="352"/>
      <c r="O311" s="352"/>
      <c r="P311" s="352"/>
      <c r="Q311" s="352"/>
      <c r="R311" s="352"/>
      <c r="S311" s="352"/>
      <c r="T311" s="352"/>
      <c r="U311" s="352"/>
      <c r="V311" s="352"/>
      <c r="W311" s="352"/>
      <c r="X311" s="352"/>
    </row>
    <row r="312" spans="1:24" ht="16.600000000000001">
      <c r="B312" s="349" t="s">
        <v>1336</v>
      </c>
      <c r="C312" s="349" t="s">
        <v>1336</v>
      </c>
      <c r="D312" s="352"/>
      <c r="E312" s="352"/>
      <c r="F312" s="352"/>
      <c r="G312" s="352"/>
      <c r="H312" s="352"/>
      <c r="I312" s="352"/>
      <c r="J312" s="352"/>
      <c r="K312" s="352"/>
      <c r="L312" s="352"/>
      <c r="M312" s="352"/>
      <c r="N312" s="352"/>
      <c r="O312" s="352"/>
      <c r="P312" s="352"/>
      <c r="Q312" s="352"/>
      <c r="R312" s="352"/>
      <c r="S312" s="352"/>
      <c r="T312" s="352"/>
      <c r="U312" s="352"/>
      <c r="V312" s="352"/>
      <c r="W312" s="352"/>
      <c r="X312" s="352"/>
    </row>
    <row r="313" spans="1:24" ht="16.600000000000001">
      <c r="B313" s="349" t="s">
        <v>1337</v>
      </c>
      <c r="C313" s="349" t="s">
        <v>1337</v>
      </c>
      <c r="D313" s="352"/>
      <c r="E313" s="352"/>
      <c r="F313" s="352"/>
      <c r="G313" s="352"/>
      <c r="H313" s="352"/>
      <c r="I313" s="352"/>
      <c r="J313" s="352"/>
      <c r="K313" s="352"/>
      <c r="L313" s="352"/>
      <c r="M313" s="352"/>
      <c r="N313" s="352"/>
      <c r="O313" s="352"/>
      <c r="P313" s="352"/>
      <c r="Q313" s="352"/>
      <c r="R313" s="352"/>
      <c r="S313" s="352"/>
      <c r="T313" s="352"/>
      <c r="U313" s="352"/>
      <c r="V313" s="352"/>
      <c r="W313" s="352"/>
      <c r="X313" s="352"/>
    </row>
    <row r="314" spans="1:24" ht="16.600000000000001">
      <c r="A314" s="1" t="s">
        <v>1442</v>
      </c>
      <c r="B314" s="349" t="s">
        <v>1338</v>
      </c>
      <c r="C314" s="349" t="s">
        <v>1338</v>
      </c>
      <c r="D314" s="352"/>
      <c r="E314" s="352"/>
      <c r="F314" s="352"/>
      <c r="G314" s="352"/>
      <c r="H314" s="352"/>
      <c r="I314" s="352"/>
      <c r="J314" s="352"/>
      <c r="K314" s="352"/>
      <c r="L314" s="352"/>
      <c r="M314" s="352"/>
      <c r="N314" s="352"/>
      <c r="O314" s="352"/>
      <c r="P314" s="352"/>
      <c r="Q314" s="352"/>
      <c r="R314" s="352"/>
      <c r="S314" s="352"/>
      <c r="T314" s="352"/>
      <c r="U314" s="352"/>
      <c r="V314" s="352"/>
      <c r="W314" s="352"/>
      <c r="X314" s="352"/>
    </row>
    <row r="315" spans="1:24" ht="16.600000000000001">
      <c r="A315" s="1" t="s">
        <v>676</v>
      </c>
      <c r="B315" s="349" t="s">
        <v>1339</v>
      </c>
      <c r="C315" s="349" t="s">
        <v>1339</v>
      </c>
      <c r="D315" s="352"/>
      <c r="E315" s="352"/>
      <c r="F315" s="352"/>
      <c r="G315" s="352"/>
      <c r="H315" s="352"/>
      <c r="I315" s="352"/>
      <c r="J315" s="352"/>
      <c r="K315" s="352"/>
      <c r="L315" s="352"/>
      <c r="M315" s="352"/>
      <c r="N315" s="352"/>
      <c r="O315" s="352"/>
      <c r="P315" s="352"/>
      <c r="Q315" s="352"/>
      <c r="R315" s="352"/>
      <c r="S315" s="352"/>
      <c r="T315" s="352"/>
      <c r="U315" s="352"/>
      <c r="V315" s="352"/>
      <c r="W315" s="352"/>
      <c r="X315" s="352"/>
    </row>
    <row r="316" spans="1:24" ht="16.600000000000001">
      <c r="B316" s="349" t="s">
        <v>1340</v>
      </c>
      <c r="C316" s="349" t="s">
        <v>1340</v>
      </c>
      <c r="D316" s="352"/>
      <c r="E316" s="352"/>
      <c r="F316" s="352"/>
      <c r="G316" s="352"/>
      <c r="H316" s="352"/>
      <c r="I316" s="352"/>
      <c r="J316" s="352"/>
      <c r="K316" s="352"/>
      <c r="L316" s="352"/>
      <c r="M316" s="352"/>
      <c r="N316" s="352"/>
      <c r="O316" s="352"/>
      <c r="P316" s="352"/>
      <c r="Q316" s="352"/>
      <c r="R316" s="352"/>
      <c r="S316" s="352"/>
      <c r="T316" s="352"/>
      <c r="U316" s="352"/>
      <c r="V316" s="352"/>
      <c r="W316" s="352"/>
      <c r="X316" s="352"/>
    </row>
    <row r="317" spans="1:24" ht="16.600000000000001">
      <c r="B317" s="349" t="s">
        <v>1341</v>
      </c>
      <c r="C317" s="349" t="s">
        <v>1341</v>
      </c>
      <c r="D317" s="352"/>
      <c r="E317" s="352"/>
      <c r="F317" s="352"/>
      <c r="G317" s="352"/>
      <c r="H317" s="352"/>
      <c r="I317" s="352"/>
      <c r="J317" s="352"/>
      <c r="K317" s="352"/>
      <c r="L317" s="352"/>
      <c r="M317" s="352"/>
      <c r="N317" s="352"/>
      <c r="O317" s="352"/>
      <c r="P317" s="352"/>
      <c r="Q317" s="352"/>
      <c r="R317" s="352"/>
      <c r="S317" s="353"/>
      <c r="T317" s="353"/>
      <c r="U317" s="355"/>
      <c r="V317" s="355"/>
      <c r="W317" s="355"/>
      <c r="X317" s="355"/>
    </row>
    <row r="318" spans="1:24" ht="16.600000000000001">
      <c r="B318" s="349" t="s">
        <v>1342</v>
      </c>
      <c r="C318" s="349" t="s">
        <v>1342</v>
      </c>
      <c r="D318" s="352"/>
      <c r="E318" s="352"/>
      <c r="F318" s="352"/>
      <c r="G318" s="352"/>
      <c r="H318" s="352"/>
      <c r="I318" s="352"/>
      <c r="J318" s="352"/>
      <c r="K318" s="352"/>
      <c r="L318" s="352"/>
      <c r="M318" s="352"/>
      <c r="N318" s="352"/>
      <c r="O318" s="352"/>
      <c r="P318" s="352"/>
      <c r="Q318" s="352"/>
      <c r="R318" s="352"/>
      <c r="S318" s="353"/>
      <c r="T318" s="353"/>
      <c r="U318" s="355"/>
      <c r="V318" s="354"/>
      <c r="W318" s="355"/>
      <c r="X318" s="354"/>
    </row>
    <row r="319" spans="1:24" ht="16.600000000000001">
      <c r="B319" s="349" t="s">
        <v>1343</v>
      </c>
      <c r="C319" s="349" t="s">
        <v>1343</v>
      </c>
      <c r="D319" s="352"/>
      <c r="E319" s="352"/>
      <c r="F319" s="352"/>
      <c r="G319" s="352"/>
      <c r="H319" s="352"/>
      <c r="I319" s="352"/>
      <c r="J319" s="352"/>
      <c r="K319" s="352"/>
      <c r="L319" s="352"/>
      <c r="M319" s="352"/>
      <c r="N319" s="352"/>
      <c r="O319" s="352"/>
      <c r="P319" s="352"/>
      <c r="Q319" s="352"/>
      <c r="R319" s="352"/>
      <c r="S319" s="353"/>
      <c r="T319" s="353"/>
      <c r="U319" s="354"/>
      <c r="V319" s="354"/>
      <c r="W319" s="354"/>
      <c r="X319" s="354"/>
    </row>
    <row r="320" spans="1:24" ht="16.600000000000001">
      <c r="B320" s="349" t="s">
        <v>1344</v>
      </c>
      <c r="C320" s="349" t="s">
        <v>1344</v>
      </c>
      <c r="D320" s="356"/>
      <c r="E320" s="352"/>
      <c r="F320" s="352"/>
      <c r="G320" s="352"/>
      <c r="H320" s="352"/>
      <c r="I320" s="352"/>
      <c r="J320" s="352"/>
      <c r="K320" s="352"/>
      <c r="L320" s="352"/>
      <c r="M320" s="352"/>
      <c r="N320" s="352"/>
      <c r="O320" s="352"/>
      <c r="P320" s="352"/>
      <c r="Q320" s="352"/>
      <c r="R320" s="352"/>
      <c r="S320" s="357"/>
      <c r="T320" s="357"/>
      <c r="U320" s="355"/>
      <c r="V320" s="355"/>
      <c r="W320" s="355"/>
      <c r="X320" s="355"/>
    </row>
    <row r="321" spans="2:24" ht="16.600000000000001">
      <c r="B321" s="349" t="s">
        <v>1345</v>
      </c>
      <c r="C321" s="349" t="s">
        <v>1345</v>
      </c>
      <c r="D321" s="352"/>
      <c r="E321" s="352"/>
      <c r="F321" s="352"/>
      <c r="G321" s="352"/>
      <c r="H321" s="352"/>
      <c r="I321" s="352"/>
      <c r="J321" s="352"/>
      <c r="K321" s="352"/>
      <c r="L321" s="352"/>
      <c r="M321" s="352"/>
      <c r="N321" s="352"/>
      <c r="O321" s="352"/>
      <c r="P321" s="352"/>
      <c r="Q321" s="352"/>
      <c r="R321" s="352"/>
      <c r="S321" s="353"/>
      <c r="T321" s="353"/>
      <c r="U321" s="354"/>
      <c r="V321" s="354"/>
      <c r="W321" s="354"/>
      <c r="X321" s="355"/>
    </row>
    <row r="322" spans="2:24" ht="16.600000000000001">
      <c r="B322" s="349" t="s">
        <v>1346</v>
      </c>
      <c r="C322" s="349" t="s">
        <v>1346</v>
      </c>
      <c r="D322" s="352"/>
      <c r="E322" s="352"/>
      <c r="F322" s="352"/>
      <c r="G322" s="352"/>
      <c r="H322" s="352"/>
      <c r="I322" s="352"/>
      <c r="J322" s="352"/>
      <c r="K322" s="352"/>
      <c r="L322" s="352"/>
      <c r="M322" s="352"/>
      <c r="N322" s="352"/>
      <c r="O322" s="352"/>
      <c r="P322" s="352"/>
      <c r="Q322" s="352"/>
      <c r="R322" s="352"/>
      <c r="S322" s="353"/>
      <c r="T322" s="353"/>
      <c r="U322" s="354"/>
      <c r="V322" s="354"/>
      <c r="W322" s="354"/>
      <c r="X322" s="355"/>
    </row>
    <row r="323" spans="2:24" ht="16.600000000000001">
      <c r="B323" s="349" t="s">
        <v>1347</v>
      </c>
      <c r="C323" s="349" t="s">
        <v>1347</v>
      </c>
      <c r="D323" s="352"/>
      <c r="E323" s="352"/>
      <c r="F323" s="352"/>
      <c r="G323" s="352"/>
      <c r="H323" s="352"/>
      <c r="I323" s="352"/>
      <c r="J323" s="352"/>
      <c r="K323" s="352"/>
      <c r="L323" s="352"/>
      <c r="M323" s="352"/>
      <c r="N323" s="352"/>
      <c r="O323" s="352"/>
      <c r="P323" s="352"/>
      <c r="Q323" s="352"/>
      <c r="R323" s="352"/>
      <c r="S323" s="353"/>
      <c r="T323" s="353"/>
      <c r="U323" s="355"/>
      <c r="V323" s="355"/>
      <c r="W323" s="355"/>
      <c r="X323" s="355"/>
    </row>
    <row r="324" spans="2:24" ht="16.600000000000001">
      <c r="B324" s="349" t="s">
        <v>1348</v>
      </c>
      <c r="C324" s="349" t="s">
        <v>1348</v>
      </c>
      <c r="D324" s="352"/>
      <c r="E324" s="352"/>
      <c r="F324" s="352"/>
      <c r="G324" s="352"/>
      <c r="H324" s="352"/>
      <c r="I324" s="352"/>
      <c r="J324" s="352"/>
      <c r="K324" s="352"/>
      <c r="L324" s="352"/>
      <c r="M324" s="352"/>
      <c r="N324" s="352"/>
      <c r="O324" s="352"/>
      <c r="P324" s="352"/>
      <c r="Q324" s="352"/>
      <c r="R324" s="352"/>
      <c r="S324" s="353"/>
      <c r="T324" s="353"/>
      <c r="U324" s="355"/>
      <c r="V324" s="355"/>
      <c r="W324" s="355"/>
      <c r="X324" s="355"/>
    </row>
    <row r="325" spans="2:24" ht="16.600000000000001">
      <c r="B325" s="349" t="s">
        <v>1349</v>
      </c>
      <c r="C325" s="349" t="s">
        <v>1349</v>
      </c>
      <c r="D325" s="352"/>
      <c r="E325" s="352"/>
      <c r="F325" s="352"/>
      <c r="G325" s="352"/>
      <c r="H325" s="352"/>
      <c r="I325" s="352"/>
      <c r="J325" s="352"/>
      <c r="K325" s="352"/>
      <c r="L325" s="352"/>
      <c r="M325" s="352"/>
      <c r="N325" s="352"/>
      <c r="O325" s="352"/>
      <c r="P325" s="352"/>
      <c r="Q325" s="352"/>
      <c r="R325" s="352"/>
      <c r="S325" s="353"/>
      <c r="T325" s="353"/>
      <c r="U325" s="355"/>
      <c r="V325" s="355"/>
      <c r="W325" s="354"/>
      <c r="X325" s="354"/>
    </row>
    <row r="326" spans="2:24" ht="16.600000000000001">
      <c r="B326" s="349" t="s">
        <v>1350</v>
      </c>
      <c r="C326" s="349" t="s">
        <v>1350</v>
      </c>
      <c r="D326" s="352"/>
      <c r="E326" s="352"/>
      <c r="F326" s="352"/>
      <c r="G326" s="352"/>
      <c r="H326" s="352"/>
      <c r="I326" s="352"/>
      <c r="J326" s="352"/>
      <c r="K326" s="352"/>
      <c r="L326" s="352"/>
      <c r="M326" s="352"/>
      <c r="N326" s="352"/>
      <c r="O326" s="352"/>
      <c r="P326" s="352"/>
      <c r="Q326" s="352"/>
      <c r="R326" s="352"/>
      <c r="S326" s="353"/>
      <c r="T326" s="357"/>
      <c r="U326" s="355"/>
      <c r="V326" s="355"/>
      <c r="W326" s="355"/>
      <c r="X326" s="355"/>
    </row>
    <row r="327" spans="2:24" ht="16.600000000000001">
      <c r="B327" s="349" t="s">
        <v>1351</v>
      </c>
      <c r="C327" s="349" t="s">
        <v>1351</v>
      </c>
      <c r="D327" s="352"/>
      <c r="E327" s="352"/>
      <c r="F327" s="352"/>
      <c r="G327" s="352"/>
      <c r="H327" s="352"/>
      <c r="I327" s="352"/>
      <c r="J327" s="352"/>
      <c r="K327" s="352"/>
      <c r="L327" s="352"/>
      <c r="M327" s="352"/>
      <c r="N327" s="352"/>
      <c r="O327" s="352"/>
      <c r="P327" s="352"/>
      <c r="Q327" s="352"/>
      <c r="R327" s="352"/>
      <c r="S327" s="353"/>
      <c r="T327" s="353"/>
      <c r="U327" s="355"/>
      <c r="V327" s="355"/>
      <c r="W327" s="355"/>
      <c r="X327" s="355"/>
    </row>
    <row r="328" spans="2:24" ht="16.600000000000001">
      <c r="B328" s="349" t="s">
        <v>1352</v>
      </c>
      <c r="C328" s="349" t="s">
        <v>1352</v>
      </c>
      <c r="D328" s="356"/>
      <c r="E328" s="352"/>
      <c r="F328" s="352"/>
      <c r="G328" s="352"/>
      <c r="H328" s="352"/>
      <c r="I328" s="352"/>
      <c r="J328" s="352"/>
      <c r="K328" s="352"/>
      <c r="L328" s="352"/>
      <c r="M328" s="352"/>
      <c r="N328" s="352"/>
      <c r="O328" s="352"/>
      <c r="P328" s="356"/>
      <c r="Q328" s="352"/>
      <c r="R328" s="352"/>
      <c r="S328" s="353"/>
      <c r="T328" s="357"/>
      <c r="U328" s="355"/>
      <c r="V328" s="355"/>
      <c r="W328" s="355"/>
      <c r="X328" s="355"/>
    </row>
    <row r="329" spans="2:24" ht="16.600000000000001">
      <c r="B329" s="349" t="s">
        <v>1353</v>
      </c>
      <c r="C329" s="349" t="s">
        <v>1353</v>
      </c>
      <c r="D329" s="352"/>
      <c r="E329" s="352"/>
      <c r="F329" s="352"/>
      <c r="G329" s="352"/>
      <c r="H329" s="356"/>
      <c r="I329" s="352"/>
      <c r="J329" s="352"/>
      <c r="K329" s="352"/>
      <c r="L329" s="352"/>
      <c r="M329" s="352"/>
      <c r="N329" s="352"/>
      <c r="O329" s="352"/>
      <c r="P329" s="352"/>
      <c r="Q329" s="352"/>
      <c r="R329" s="352"/>
      <c r="S329" s="353"/>
      <c r="T329" s="357"/>
      <c r="U329" s="355"/>
      <c r="V329" s="355"/>
      <c r="W329" s="355"/>
      <c r="X329" s="355"/>
    </row>
    <row r="330" spans="2:24" ht="16.600000000000001">
      <c r="B330" s="349" t="s">
        <v>1354</v>
      </c>
      <c r="C330" s="349" t="s">
        <v>1354</v>
      </c>
      <c r="D330" s="356"/>
      <c r="E330" s="352"/>
      <c r="F330" s="352"/>
      <c r="G330" s="352"/>
      <c r="H330" s="352"/>
      <c r="I330" s="352"/>
      <c r="J330" s="352"/>
      <c r="K330" s="352"/>
      <c r="L330" s="352"/>
      <c r="M330" s="352"/>
      <c r="N330" s="352"/>
      <c r="O330" s="352"/>
      <c r="P330" s="352"/>
      <c r="Q330" s="352"/>
      <c r="R330" s="352"/>
      <c r="S330" s="353"/>
      <c r="T330" s="353"/>
      <c r="U330" s="355"/>
      <c r="V330" s="355"/>
      <c r="W330" s="355"/>
      <c r="X330" s="355"/>
    </row>
    <row r="331" spans="2:24" ht="16.600000000000001">
      <c r="B331" s="349" t="s">
        <v>1355</v>
      </c>
      <c r="C331" s="349" t="s">
        <v>1355</v>
      </c>
      <c r="D331" s="352"/>
      <c r="E331" s="352"/>
      <c r="F331" s="352"/>
      <c r="G331" s="352"/>
      <c r="H331" s="352"/>
      <c r="I331" s="352"/>
      <c r="J331" s="352"/>
      <c r="K331" s="352"/>
      <c r="L331" s="352"/>
      <c r="M331" s="352"/>
      <c r="N331" s="352"/>
      <c r="O331" s="352"/>
      <c r="P331" s="352"/>
      <c r="Q331" s="352"/>
      <c r="R331" s="352"/>
      <c r="S331" s="353"/>
      <c r="T331" s="353"/>
      <c r="U331" s="355"/>
      <c r="V331" s="355"/>
      <c r="W331" s="355"/>
      <c r="X331" s="355"/>
    </row>
    <row r="332" spans="2:24" ht="16.600000000000001">
      <c r="B332" s="349" t="s">
        <v>1356</v>
      </c>
      <c r="C332" s="349" t="s">
        <v>1356</v>
      </c>
      <c r="D332" s="352"/>
      <c r="E332" s="352"/>
      <c r="F332" s="352"/>
      <c r="G332" s="352"/>
      <c r="H332" s="352"/>
      <c r="I332" s="352"/>
      <c r="J332" s="352"/>
      <c r="K332" s="352"/>
      <c r="L332" s="352"/>
      <c r="M332" s="352"/>
      <c r="N332" s="352"/>
      <c r="O332" s="352"/>
      <c r="P332" s="356"/>
      <c r="Q332" s="352"/>
      <c r="R332" s="352"/>
      <c r="S332" s="353"/>
      <c r="T332" s="357"/>
      <c r="U332" s="355"/>
      <c r="V332" s="355"/>
      <c r="W332" s="355"/>
      <c r="X332" s="355"/>
    </row>
    <row r="333" spans="2:24" ht="16.600000000000001">
      <c r="B333" s="349" t="s">
        <v>1357</v>
      </c>
      <c r="C333" s="349" t="s">
        <v>1357</v>
      </c>
      <c r="D333" s="356"/>
      <c r="E333" s="352"/>
      <c r="F333" s="352"/>
      <c r="G333" s="356"/>
      <c r="H333" s="356"/>
      <c r="I333" s="356"/>
      <c r="J333" s="356"/>
      <c r="K333" s="352"/>
      <c r="L333" s="356"/>
      <c r="M333" s="356"/>
      <c r="N333" s="356"/>
      <c r="O333" s="356"/>
      <c r="P333" s="356"/>
      <c r="Q333" s="356"/>
      <c r="R333" s="356"/>
      <c r="S333" s="357"/>
      <c r="T333" s="357"/>
      <c r="U333" s="355"/>
      <c r="V333" s="355"/>
      <c r="W333" s="355"/>
      <c r="X333" s="355"/>
    </row>
    <row r="334" spans="2:24" ht="16.600000000000001">
      <c r="B334" s="349" t="s">
        <v>1358</v>
      </c>
      <c r="C334" s="349" t="s">
        <v>1358</v>
      </c>
      <c r="D334" s="352"/>
      <c r="E334" s="352"/>
      <c r="F334" s="352"/>
      <c r="G334" s="352"/>
      <c r="H334" s="352"/>
      <c r="I334" s="352"/>
      <c r="J334" s="352"/>
      <c r="K334" s="352"/>
      <c r="L334" s="352"/>
      <c r="M334" s="352"/>
      <c r="N334" s="352"/>
      <c r="O334" s="352"/>
      <c r="P334" s="352"/>
      <c r="Q334" s="352"/>
      <c r="R334" s="352"/>
      <c r="S334" s="353"/>
      <c r="T334" s="353"/>
      <c r="U334" s="355"/>
      <c r="V334" s="355"/>
      <c r="W334" s="355"/>
      <c r="X334" s="355"/>
    </row>
    <row r="335" spans="2:24" ht="16.600000000000001">
      <c r="B335" s="349" t="s">
        <v>1359</v>
      </c>
      <c r="C335" s="349" t="s">
        <v>1359</v>
      </c>
      <c r="D335" s="352"/>
      <c r="E335" s="352"/>
      <c r="F335" s="352"/>
      <c r="G335" s="352"/>
      <c r="H335" s="352"/>
      <c r="I335" s="352"/>
      <c r="J335" s="352"/>
      <c r="K335" s="352"/>
      <c r="L335" s="352"/>
      <c r="M335" s="352"/>
      <c r="N335" s="352"/>
      <c r="O335" s="352"/>
      <c r="P335" s="352"/>
      <c r="Q335" s="352"/>
      <c r="R335" s="352"/>
      <c r="S335" s="357"/>
      <c r="T335" s="353"/>
      <c r="U335" s="355"/>
      <c r="V335" s="355"/>
      <c r="W335" s="355"/>
      <c r="X335" s="355"/>
    </row>
    <row r="336" spans="2:24" ht="16.600000000000001">
      <c r="B336" s="349" t="s">
        <v>1360</v>
      </c>
      <c r="C336" s="349" t="s">
        <v>1360</v>
      </c>
      <c r="D336" s="356"/>
      <c r="E336" s="356"/>
      <c r="F336" s="356"/>
      <c r="G336" s="352"/>
      <c r="H336" s="356"/>
      <c r="I336" s="352"/>
      <c r="J336" s="352"/>
      <c r="K336" s="352"/>
      <c r="L336" s="352"/>
      <c r="M336" s="352"/>
      <c r="N336" s="352"/>
      <c r="O336" s="352"/>
      <c r="P336" s="352"/>
      <c r="Q336" s="352"/>
      <c r="R336" s="352"/>
      <c r="S336" s="353"/>
      <c r="T336" s="357"/>
      <c r="U336" s="355"/>
      <c r="V336" s="355"/>
      <c r="W336" s="355"/>
      <c r="X336" s="355"/>
    </row>
    <row r="337" spans="2:24" ht="16.600000000000001">
      <c r="B337" s="349" t="s">
        <v>1361</v>
      </c>
      <c r="C337" s="349" t="s">
        <v>1361</v>
      </c>
      <c r="D337" s="356"/>
      <c r="E337" s="356"/>
      <c r="F337" s="356"/>
      <c r="G337" s="356"/>
      <c r="H337" s="356"/>
      <c r="I337" s="356"/>
      <c r="J337" s="356"/>
      <c r="K337" s="356"/>
      <c r="L337" s="356"/>
      <c r="M337" s="356"/>
      <c r="N337" s="356"/>
      <c r="O337" s="356"/>
      <c r="P337" s="356"/>
      <c r="Q337" s="356"/>
      <c r="R337" s="356"/>
      <c r="S337" s="357"/>
      <c r="T337" s="357"/>
      <c r="U337" s="355"/>
      <c r="V337" s="355"/>
      <c r="W337" s="355"/>
      <c r="X337" s="355"/>
    </row>
    <row r="338" spans="2:24" ht="16.600000000000001">
      <c r="B338" s="349" t="s">
        <v>1362</v>
      </c>
      <c r="C338" s="349" t="s">
        <v>1362</v>
      </c>
      <c r="D338" s="356"/>
      <c r="E338" s="356"/>
      <c r="F338" s="356"/>
      <c r="G338" s="356"/>
      <c r="H338" s="356"/>
      <c r="I338" s="352"/>
      <c r="J338" s="356"/>
      <c r="K338" s="356"/>
      <c r="L338" s="356"/>
      <c r="M338" s="356"/>
      <c r="N338" s="356"/>
      <c r="O338" s="356"/>
      <c r="P338" s="356"/>
      <c r="Q338" s="356"/>
      <c r="R338" s="356"/>
      <c r="S338" s="357"/>
      <c r="T338" s="357"/>
      <c r="U338" s="355"/>
      <c r="V338" s="355"/>
      <c r="W338" s="355"/>
      <c r="X338" s="355"/>
    </row>
    <row r="339" spans="2:24" ht="16.600000000000001">
      <c r="B339" s="349" t="s">
        <v>1363</v>
      </c>
      <c r="C339" s="349" t="s">
        <v>1363</v>
      </c>
      <c r="D339" s="352"/>
      <c r="E339" s="352"/>
      <c r="F339" s="352"/>
      <c r="G339" s="352"/>
      <c r="H339" s="352"/>
      <c r="I339" s="352"/>
      <c r="J339" s="352"/>
      <c r="K339" s="352"/>
      <c r="L339" s="352"/>
      <c r="M339" s="352"/>
      <c r="N339" s="352"/>
      <c r="O339" s="352"/>
      <c r="P339" s="352"/>
      <c r="Q339" s="352"/>
      <c r="R339" s="352"/>
      <c r="S339" s="353"/>
      <c r="T339" s="353"/>
      <c r="U339" s="355"/>
      <c r="V339" s="355"/>
      <c r="W339" s="355"/>
      <c r="X339" s="355"/>
    </row>
    <row r="340" spans="2:24" ht="16.600000000000001">
      <c r="B340" s="349" t="s">
        <v>1364</v>
      </c>
      <c r="C340" s="349" t="s">
        <v>1364</v>
      </c>
      <c r="D340" s="356"/>
      <c r="E340" s="356"/>
      <c r="F340" s="356"/>
      <c r="G340" s="356"/>
      <c r="H340" s="356"/>
      <c r="I340" s="356"/>
      <c r="J340" s="356"/>
      <c r="K340" s="356"/>
      <c r="L340" s="356"/>
      <c r="M340" s="356"/>
      <c r="N340" s="356"/>
      <c r="O340" s="356"/>
      <c r="P340" s="356"/>
      <c r="Q340" s="356"/>
      <c r="R340" s="356"/>
      <c r="S340" s="357"/>
      <c r="T340" s="357"/>
      <c r="U340" s="355"/>
      <c r="V340" s="355"/>
      <c r="W340" s="355"/>
      <c r="X340" s="355"/>
    </row>
    <row r="341" spans="2:24" ht="16.600000000000001">
      <c r="B341" s="349" t="s">
        <v>1365</v>
      </c>
      <c r="C341" s="349" t="s">
        <v>1365</v>
      </c>
      <c r="D341" s="356"/>
      <c r="E341" s="356"/>
      <c r="F341" s="356"/>
      <c r="G341" s="352"/>
      <c r="H341" s="352"/>
      <c r="I341" s="356"/>
      <c r="J341" s="356"/>
      <c r="K341" s="352"/>
      <c r="L341" s="356"/>
      <c r="M341" s="356"/>
      <c r="N341" s="356"/>
      <c r="O341" s="352"/>
      <c r="P341" s="356"/>
      <c r="Q341" s="356"/>
      <c r="R341" s="356"/>
      <c r="S341" s="357"/>
      <c r="T341" s="357"/>
      <c r="U341" s="355"/>
      <c r="V341" s="355"/>
      <c r="W341" s="355"/>
      <c r="X341" s="355"/>
    </row>
    <row r="342" spans="2:24" ht="16.600000000000001">
      <c r="B342" s="349" t="s">
        <v>1366</v>
      </c>
      <c r="C342" s="349" t="s">
        <v>1366</v>
      </c>
      <c r="D342" s="356"/>
      <c r="E342" s="356"/>
      <c r="F342" s="356"/>
      <c r="G342" s="356"/>
      <c r="H342" s="356"/>
      <c r="I342" s="356"/>
      <c r="J342" s="356"/>
      <c r="K342" s="356"/>
      <c r="L342" s="356"/>
      <c r="M342" s="356"/>
      <c r="N342" s="356"/>
      <c r="O342" s="356"/>
      <c r="P342" s="356"/>
      <c r="Q342" s="356"/>
      <c r="R342" s="356"/>
      <c r="S342" s="357"/>
      <c r="T342" s="357"/>
      <c r="U342" s="355"/>
      <c r="V342" s="355"/>
      <c r="W342" s="355"/>
      <c r="X342" s="355"/>
    </row>
    <row r="343" spans="2:24" ht="16.600000000000001">
      <c r="B343" s="349" t="s">
        <v>1367</v>
      </c>
      <c r="C343" s="349" t="s">
        <v>1367</v>
      </c>
      <c r="D343" s="356"/>
      <c r="E343" s="356"/>
      <c r="F343" s="356"/>
      <c r="G343" s="356"/>
      <c r="H343" s="356"/>
      <c r="I343" s="356"/>
      <c r="J343" s="356"/>
      <c r="K343" s="356"/>
      <c r="L343" s="356"/>
      <c r="M343" s="356"/>
      <c r="N343" s="356"/>
      <c r="O343" s="356"/>
      <c r="P343" s="356"/>
      <c r="Q343" s="356"/>
      <c r="R343" s="356"/>
      <c r="S343" s="357"/>
      <c r="T343" s="357"/>
      <c r="U343" s="355"/>
      <c r="V343" s="355"/>
      <c r="W343" s="355"/>
      <c r="X343" s="355"/>
    </row>
    <row r="344" spans="2:24" ht="16.600000000000001">
      <c r="B344" s="349" t="s">
        <v>1368</v>
      </c>
      <c r="C344" s="349" t="s">
        <v>1368</v>
      </c>
      <c r="D344" s="352"/>
      <c r="E344" s="352"/>
      <c r="F344" s="352"/>
      <c r="G344" s="352"/>
      <c r="H344" s="352"/>
      <c r="I344" s="352"/>
      <c r="J344" s="352"/>
      <c r="K344" s="352"/>
      <c r="L344" s="352"/>
      <c r="M344" s="352"/>
      <c r="N344" s="352"/>
      <c r="O344" s="352"/>
      <c r="P344" s="352"/>
      <c r="Q344" s="352"/>
      <c r="R344" s="352"/>
      <c r="S344" s="353"/>
      <c r="T344" s="353"/>
      <c r="U344" s="354"/>
      <c r="V344" s="354"/>
      <c r="W344" s="354"/>
      <c r="X344" s="354"/>
    </row>
    <row r="345" spans="2:24" ht="16.600000000000001">
      <c r="B345" s="349" t="s">
        <v>1369</v>
      </c>
      <c r="C345" s="349" t="s">
        <v>1369</v>
      </c>
      <c r="D345" s="352"/>
      <c r="E345" s="352"/>
      <c r="F345" s="352"/>
      <c r="G345" s="352"/>
      <c r="H345" s="352"/>
      <c r="I345" s="352"/>
      <c r="J345" s="352"/>
      <c r="K345" s="352"/>
      <c r="L345" s="352"/>
      <c r="M345" s="352"/>
      <c r="N345" s="352"/>
      <c r="O345" s="352"/>
      <c r="P345" s="352"/>
      <c r="Q345" s="352"/>
      <c r="R345" s="352"/>
      <c r="S345" s="353"/>
      <c r="T345" s="353"/>
      <c r="U345" s="355"/>
      <c r="V345" s="355"/>
      <c r="W345" s="355"/>
      <c r="X345" s="355"/>
    </row>
    <row r="346" spans="2:24" ht="16.600000000000001">
      <c r="B346" s="349" t="s">
        <v>1370</v>
      </c>
      <c r="C346" s="349" t="s">
        <v>1370</v>
      </c>
      <c r="D346" s="352"/>
      <c r="E346" s="352"/>
      <c r="F346" s="352"/>
      <c r="G346" s="352"/>
      <c r="H346" s="352"/>
      <c r="I346" s="352"/>
      <c r="J346" s="352"/>
      <c r="K346" s="352"/>
      <c r="L346" s="352"/>
      <c r="M346" s="352"/>
      <c r="N346" s="352"/>
      <c r="O346" s="352"/>
      <c r="P346" s="352"/>
      <c r="Q346" s="352"/>
      <c r="R346" s="352"/>
      <c r="S346" s="353"/>
      <c r="T346" s="353"/>
      <c r="U346" s="354"/>
      <c r="V346" s="354"/>
      <c r="W346" s="354"/>
      <c r="X346" s="354"/>
    </row>
    <row r="347" spans="2:24" ht="16.600000000000001">
      <c r="B347" s="349" t="s">
        <v>1371</v>
      </c>
      <c r="C347" s="349" t="s">
        <v>1371</v>
      </c>
      <c r="D347" s="352"/>
      <c r="E347" s="352"/>
      <c r="F347" s="352"/>
      <c r="G347" s="352"/>
      <c r="H347" s="352"/>
      <c r="I347" s="352"/>
      <c r="J347" s="352"/>
      <c r="K347" s="352"/>
      <c r="L347" s="352"/>
      <c r="M347" s="352"/>
      <c r="N347" s="352"/>
      <c r="O347" s="352"/>
      <c r="P347" s="352"/>
      <c r="Q347" s="352"/>
      <c r="R347" s="352"/>
      <c r="S347" s="353"/>
      <c r="T347" s="353"/>
      <c r="U347" s="355"/>
      <c r="V347" s="355"/>
      <c r="W347" s="355"/>
      <c r="X347" s="355"/>
    </row>
    <row r="348" spans="2:24" ht="16.600000000000001">
      <c r="B348" s="349" t="s">
        <v>1372</v>
      </c>
      <c r="C348" s="349" t="s">
        <v>1372</v>
      </c>
      <c r="D348" s="352"/>
      <c r="E348" s="352"/>
      <c r="F348" s="352"/>
      <c r="G348" s="352"/>
      <c r="H348" s="352"/>
      <c r="I348" s="352"/>
      <c r="J348" s="352"/>
      <c r="K348" s="352"/>
      <c r="L348" s="352"/>
      <c r="M348" s="352"/>
      <c r="N348" s="352"/>
      <c r="O348" s="352"/>
      <c r="P348" s="352"/>
      <c r="Q348" s="352"/>
      <c r="R348" s="352"/>
      <c r="S348" s="353"/>
      <c r="T348" s="353"/>
      <c r="U348" s="355"/>
      <c r="V348" s="355"/>
      <c r="W348" s="355"/>
      <c r="X348" s="355"/>
    </row>
    <row r="349" spans="2:24" ht="16.600000000000001">
      <c r="B349" s="349" t="s">
        <v>1373</v>
      </c>
      <c r="C349" s="349" t="s">
        <v>1373</v>
      </c>
      <c r="D349" s="352"/>
      <c r="E349" s="352"/>
      <c r="F349" s="352"/>
      <c r="G349" s="352"/>
      <c r="H349" s="352"/>
      <c r="I349" s="352"/>
      <c r="J349" s="352"/>
      <c r="K349" s="352"/>
      <c r="L349" s="352"/>
      <c r="M349" s="352"/>
      <c r="N349" s="352"/>
      <c r="O349" s="352"/>
      <c r="P349" s="352"/>
      <c r="Q349" s="352"/>
      <c r="R349" s="352"/>
      <c r="S349" s="353"/>
      <c r="T349" s="353"/>
      <c r="U349" s="355"/>
      <c r="V349" s="355"/>
      <c r="W349" s="355"/>
      <c r="X349" s="355"/>
    </row>
    <row r="350" spans="2:24" ht="16.600000000000001">
      <c r="B350" s="349" t="s">
        <v>1374</v>
      </c>
      <c r="C350" s="349" t="s">
        <v>1374</v>
      </c>
      <c r="D350" s="352"/>
      <c r="E350" s="356"/>
      <c r="F350" s="356"/>
      <c r="G350" s="356"/>
      <c r="H350" s="356"/>
      <c r="I350" s="356"/>
      <c r="J350" s="356"/>
      <c r="K350" s="356"/>
      <c r="L350" s="352"/>
      <c r="M350" s="352"/>
      <c r="N350" s="352"/>
      <c r="O350" s="352"/>
      <c r="P350" s="356"/>
      <c r="Q350" s="356"/>
      <c r="R350" s="356"/>
      <c r="S350" s="357"/>
      <c r="T350" s="357"/>
      <c r="U350" s="355"/>
      <c r="V350" s="355"/>
      <c r="W350" s="355"/>
      <c r="X350" s="355"/>
    </row>
    <row r="351" spans="2:24" ht="16.600000000000001">
      <c r="B351" s="349" t="s">
        <v>1375</v>
      </c>
      <c r="C351" s="349" t="s">
        <v>1375</v>
      </c>
      <c r="D351" s="356"/>
      <c r="E351" s="356"/>
      <c r="F351" s="356"/>
      <c r="G351" s="356"/>
      <c r="H351" s="356"/>
      <c r="I351" s="356"/>
      <c r="J351" s="356"/>
      <c r="K351" s="356"/>
      <c r="L351" s="356"/>
      <c r="M351" s="352"/>
      <c r="N351" s="356"/>
      <c r="O351" s="356"/>
      <c r="P351" s="356"/>
      <c r="Q351" s="352"/>
      <c r="R351" s="352"/>
      <c r="S351" s="357"/>
      <c r="T351" s="357"/>
      <c r="U351" s="355"/>
      <c r="V351" s="355"/>
      <c r="W351" s="355"/>
      <c r="X351" s="355"/>
    </row>
    <row r="352" spans="2:24" ht="16.600000000000001">
      <c r="B352" s="349" t="s">
        <v>1376</v>
      </c>
      <c r="C352" s="349" t="s">
        <v>1376</v>
      </c>
      <c r="D352" s="352"/>
      <c r="E352" s="352"/>
      <c r="F352" s="352"/>
      <c r="G352" s="352"/>
      <c r="H352" s="352"/>
      <c r="I352" s="352"/>
      <c r="J352" s="352"/>
      <c r="K352" s="352"/>
      <c r="L352" s="352"/>
      <c r="M352" s="352"/>
      <c r="N352" s="352"/>
      <c r="O352" s="352"/>
      <c r="P352" s="352"/>
      <c r="Q352" s="352"/>
      <c r="R352" s="352"/>
      <c r="S352" s="353"/>
      <c r="T352" s="353"/>
      <c r="U352" s="354"/>
      <c r="V352" s="354"/>
      <c r="W352" s="354"/>
      <c r="X352" s="354"/>
    </row>
    <row r="353" spans="2:24" ht="16.600000000000001">
      <c r="B353" s="349" t="s">
        <v>1377</v>
      </c>
      <c r="C353" s="349" t="s">
        <v>1377</v>
      </c>
      <c r="D353" s="352"/>
      <c r="E353" s="352"/>
      <c r="F353" s="352"/>
      <c r="G353" s="352"/>
      <c r="H353" s="352"/>
      <c r="I353" s="352"/>
      <c r="J353" s="352"/>
      <c r="K353" s="352"/>
      <c r="L353" s="352"/>
      <c r="M353" s="352"/>
      <c r="N353" s="352"/>
      <c r="O353" s="352"/>
      <c r="P353" s="352"/>
      <c r="Q353" s="352"/>
      <c r="R353" s="352"/>
      <c r="S353" s="353"/>
      <c r="T353" s="353"/>
      <c r="U353" s="354"/>
      <c r="V353" s="354"/>
      <c r="W353" s="354"/>
      <c r="X353" s="354"/>
    </row>
    <row r="354" spans="2:24" ht="16.600000000000001">
      <c r="B354" s="349" t="s">
        <v>1378</v>
      </c>
      <c r="C354" s="349" t="s">
        <v>1378</v>
      </c>
      <c r="D354" s="352"/>
      <c r="E354" s="352"/>
      <c r="F354" s="352"/>
      <c r="G354" s="352"/>
      <c r="H354" s="352"/>
      <c r="I354" s="352"/>
      <c r="J354" s="352"/>
      <c r="K354" s="352"/>
      <c r="L354" s="352"/>
      <c r="M354" s="352"/>
      <c r="N354" s="352"/>
      <c r="O354" s="352"/>
      <c r="P354" s="352"/>
      <c r="Q354" s="352"/>
      <c r="R354" s="352"/>
      <c r="S354" s="353"/>
      <c r="T354" s="353"/>
      <c r="U354" s="355"/>
      <c r="V354" s="355"/>
      <c r="W354" s="355"/>
      <c r="X354" s="355"/>
    </row>
    <row r="355" spans="2:24" ht="16.600000000000001">
      <c r="B355" s="349" t="s">
        <v>1379</v>
      </c>
      <c r="C355" s="349" t="s">
        <v>1379</v>
      </c>
      <c r="D355" s="352"/>
      <c r="E355" s="352"/>
      <c r="F355" s="352"/>
      <c r="G355" s="352"/>
      <c r="H355" s="352"/>
      <c r="I355" s="352"/>
      <c r="J355" s="352"/>
      <c r="K355" s="352"/>
      <c r="L355" s="352"/>
      <c r="M355" s="352"/>
      <c r="N355" s="352"/>
      <c r="O355" s="352"/>
      <c r="P355" s="352"/>
      <c r="Q355" s="352"/>
      <c r="R355" s="352"/>
      <c r="S355" s="353"/>
      <c r="T355" s="357"/>
      <c r="U355" s="355"/>
      <c r="V355" s="355"/>
      <c r="W355" s="355"/>
      <c r="X355" s="355"/>
    </row>
    <row r="356" spans="2:24" ht="16.600000000000001">
      <c r="B356" s="349" t="s">
        <v>1380</v>
      </c>
      <c r="C356" s="349" t="s">
        <v>1380</v>
      </c>
      <c r="D356" s="352"/>
      <c r="E356" s="352"/>
      <c r="F356" s="352"/>
      <c r="G356" s="352"/>
      <c r="H356" s="352"/>
      <c r="I356" s="352"/>
      <c r="J356" s="352"/>
      <c r="K356" s="352"/>
      <c r="L356" s="352"/>
      <c r="M356" s="352"/>
      <c r="N356" s="352"/>
      <c r="O356" s="352"/>
      <c r="P356" s="352"/>
      <c r="Q356" s="352"/>
      <c r="R356" s="352"/>
      <c r="S356" s="353"/>
      <c r="T356" s="353"/>
      <c r="U356" s="355"/>
      <c r="V356" s="355"/>
      <c r="W356" s="355"/>
      <c r="X356" s="355"/>
    </row>
    <row r="357" spans="2:24" ht="16.600000000000001">
      <c r="B357" s="349" t="s">
        <v>1381</v>
      </c>
      <c r="C357" s="349" t="s">
        <v>1381</v>
      </c>
      <c r="D357" s="352"/>
      <c r="E357" s="352"/>
      <c r="F357" s="352"/>
      <c r="G357" s="352"/>
      <c r="H357" s="352"/>
      <c r="I357" s="352"/>
      <c r="J357" s="352"/>
      <c r="K357" s="352"/>
      <c r="L357" s="352"/>
      <c r="M357" s="352"/>
      <c r="N357" s="352"/>
      <c r="O357" s="352"/>
      <c r="P357" s="352"/>
      <c r="Q357" s="352"/>
      <c r="R357" s="352"/>
      <c r="S357" s="353"/>
      <c r="T357" s="357"/>
      <c r="U357" s="355"/>
      <c r="V357" s="355"/>
      <c r="W357" s="355"/>
      <c r="X357" s="355"/>
    </row>
    <row r="358" spans="2:24" ht="16.600000000000001">
      <c r="B358" s="349" t="s">
        <v>1382</v>
      </c>
      <c r="C358" s="349" t="s">
        <v>1382</v>
      </c>
      <c r="D358" s="352"/>
      <c r="E358" s="352"/>
      <c r="F358" s="352"/>
      <c r="G358" s="352"/>
      <c r="H358" s="352"/>
      <c r="I358" s="352"/>
      <c r="J358" s="352"/>
      <c r="K358" s="352"/>
      <c r="L358" s="352"/>
      <c r="M358" s="352"/>
      <c r="N358" s="352"/>
      <c r="O358" s="352"/>
      <c r="P358" s="352"/>
      <c r="Q358" s="352"/>
      <c r="R358" s="352"/>
      <c r="S358" s="353"/>
      <c r="T358" s="353"/>
      <c r="U358" s="355"/>
      <c r="V358" s="355"/>
      <c r="W358" s="355"/>
      <c r="X358" s="355"/>
    </row>
    <row r="359" spans="2:24" ht="16.600000000000001">
      <c r="B359" s="349" t="s">
        <v>1383</v>
      </c>
      <c r="C359" s="349" t="s">
        <v>1383</v>
      </c>
      <c r="D359" s="352"/>
      <c r="E359" s="352"/>
      <c r="F359" s="352"/>
      <c r="G359" s="352"/>
      <c r="H359" s="352"/>
      <c r="I359" s="352"/>
      <c r="J359" s="352"/>
      <c r="K359" s="352"/>
      <c r="L359" s="352"/>
      <c r="M359" s="352"/>
      <c r="N359" s="352"/>
      <c r="O359" s="352"/>
      <c r="P359" s="352"/>
      <c r="Q359" s="352"/>
      <c r="R359" s="352"/>
      <c r="S359" s="353"/>
      <c r="T359" s="353"/>
      <c r="U359" s="354"/>
      <c r="V359" s="354"/>
      <c r="W359" s="354"/>
      <c r="X359" s="355"/>
    </row>
    <row r="360" spans="2:24" ht="16.600000000000001">
      <c r="B360" s="349" t="s">
        <v>1384</v>
      </c>
      <c r="C360" s="349" t="s">
        <v>1384</v>
      </c>
      <c r="D360" s="352"/>
      <c r="E360" s="352"/>
      <c r="F360" s="352"/>
      <c r="G360" s="352"/>
      <c r="H360" s="352"/>
      <c r="I360" s="352"/>
      <c r="J360" s="352"/>
      <c r="K360" s="352"/>
      <c r="L360" s="352"/>
      <c r="M360" s="352"/>
      <c r="N360" s="352"/>
      <c r="O360" s="352"/>
      <c r="P360" s="352"/>
      <c r="Q360" s="352"/>
      <c r="R360" s="352"/>
      <c r="S360" s="353"/>
      <c r="T360" s="353"/>
      <c r="U360" s="354"/>
      <c r="V360" s="354"/>
      <c r="W360" s="354"/>
      <c r="X360" s="355"/>
    </row>
    <row r="361" spans="2:24" ht="16.600000000000001">
      <c r="B361" s="349" t="s">
        <v>1385</v>
      </c>
      <c r="C361" s="349" t="s">
        <v>1385</v>
      </c>
      <c r="D361" s="352"/>
      <c r="E361" s="352"/>
      <c r="F361" s="352"/>
      <c r="G361" s="352"/>
      <c r="H361" s="352"/>
      <c r="I361" s="352"/>
      <c r="J361" s="352"/>
      <c r="K361" s="352"/>
      <c r="L361" s="352"/>
      <c r="M361" s="352"/>
      <c r="N361" s="352"/>
      <c r="O361" s="352"/>
      <c r="P361" s="352"/>
      <c r="Q361" s="352"/>
      <c r="R361" s="352"/>
      <c r="S361" s="353"/>
      <c r="T361" s="353"/>
      <c r="U361" s="354"/>
      <c r="V361" s="354"/>
      <c r="W361" s="354"/>
      <c r="X361" s="354"/>
    </row>
    <row r="362" spans="2:24" ht="16.600000000000001">
      <c r="B362" s="349" t="s">
        <v>1386</v>
      </c>
      <c r="C362" s="349" t="s">
        <v>1386</v>
      </c>
      <c r="D362" s="356"/>
      <c r="E362" s="356"/>
      <c r="F362" s="356"/>
      <c r="G362" s="352"/>
      <c r="H362" s="356"/>
      <c r="I362" s="356"/>
      <c r="J362" s="356"/>
      <c r="K362" s="352"/>
      <c r="L362" s="356"/>
      <c r="M362" s="352"/>
      <c r="N362" s="356"/>
      <c r="O362" s="352"/>
      <c r="P362" s="356"/>
      <c r="Q362" s="352"/>
      <c r="R362" s="356"/>
      <c r="S362" s="353"/>
      <c r="T362" s="357"/>
      <c r="U362" s="355"/>
      <c r="V362" s="355"/>
      <c r="W362" s="355"/>
      <c r="X362" s="355"/>
    </row>
    <row r="363" spans="2:24" ht="16.600000000000001">
      <c r="B363" s="349" t="s">
        <v>1387</v>
      </c>
      <c r="C363" s="349" t="s">
        <v>1387</v>
      </c>
      <c r="D363" s="352"/>
      <c r="E363" s="352"/>
      <c r="F363" s="352"/>
      <c r="G363" s="352"/>
      <c r="H363" s="352"/>
      <c r="I363" s="352"/>
      <c r="J363" s="352"/>
      <c r="K363" s="352"/>
      <c r="L363" s="352"/>
      <c r="M363" s="352"/>
      <c r="N363" s="352"/>
      <c r="O363" s="352"/>
      <c r="P363" s="352"/>
      <c r="Q363" s="352"/>
      <c r="R363" s="352"/>
      <c r="S363" s="353"/>
      <c r="T363" s="353"/>
      <c r="U363" s="354"/>
      <c r="V363" s="354"/>
      <c r="W363" s="354"/>
      <c r="X363" s="354"/>
    </row>
    <row r="364" spans="2:24" ht="16.600000000000001">
      <c r="B364" s="349" t="s">
        <v>1388</v>
      </c>
      <c r="C364" s="349" t="s">
        <v>1388</v>
      </c>
      <c r="D364" s="352"/>
      <c r="E364" s="352"/>
      <c r="F364" s="352"/>
      <c r="G364" s="352"/>
      <c r="H364" s="352"/>
      <c r="I364" s="352"/>
      <c r="J364" s="352"/>
      <c r="K364" s="352"/>
      <c r="L364" s="352"/>
      <c r="M364" s="352"/>
      <c r="N364" s="352"/>
      <c r="O364" s="352"/>
      <c r="P364" s="352"/>
      <c r="Q364" s="352"/>
      <c r="R364" s="352"/>
      <c r="S364" s="353"/>
      <c r="T364" s="353"/>
      <c r="U364" s="354"/>
      <c r="V364" s="354"/>
      <c r="W364" s="354"/>
      <c r="X364" s="354"/>
    </row>
    <row r="365" spans="2:24" ht="16.600000000000001">
      <c r="B365" s="349" t="s">
        <v>1389</v>
      </c>
      <c r="C365" s="349" t="s">
        <v>1389</v>
      </c>
      <c r="D365" s="352"/>
      <c r="E365" s="352"/>
      <c r="F365" s="352"/>
      <c r="G365" s="352"/>
      <c r="H365" s="352"/>
      <c r="I365" s="352"/>
      <c r="J365" s="352"/>
      <c r="K365" s="352"/>
      <c r="L365" s="352"/>
      <c r="M365" s="352"/>
      <c r="N365" s="352"/>
      <c r="O365" s="352"/>
      <c r="P365" s="352"/>
      <c r="Q365" s="352"/>
      <c r="R365" s="352"/>
      <c r="S365" s="353"/>
      <c r="T365" s="353"/>
      <c r="U365" s="354"/>
      <c r="V365" s="354"/>
      <c r="W365" s="354"/>
      <c r="X365" s="354"/>
    </row>
    <row r="366" spans="2:24" ht="16.600000000000001">
      <c r="B366" s="349" t="s">
        <v>1390</v>
      </c>
      <c r="C366" s="349" t="s">
        <v>1390</v>
      </c>
      <c r="D366" s="352"/>
      <c r="E366" s="352"/>
      <c r="F366" s="352"/>
      <c r="G366" s="352"/>
      <c r="H366" s="352"/>
      <c r="I366" s="352"/>
      <c r="J366" s="352"/>
      <c r="K366" s="352"/>
      <c r="L366" s="352"/>
      <c r="M366" s="352"/>
      <c r="N366" s="352"/>
      <c r="O366" s="352"/>
      <c r="P366" s="352"/>
      <c r="Q366" s="352"/>
      <c r="R366" s="352"/>
      <c r="S366" s="353"/>
      <c r="T366" s="353"/>
      <c r="U366" s="355"/>
      <c r="V366" s="355"/>
      <c r="W366" s="355"/>
      <c r="X366" s="355"/>
    </row>
    <row r="367" spans="2:24" ht="16.600000000000001">
      <c r="B367" s="349" t="s">
        <v>1391</v>
      </c>
      <c r="C367" s="349" t="s">
        <v>1391</v>
      </c>
      <c r="D367" s="352"/>
      <c r="E367" s="352"/>
      <c r="F367" s="352"/>
      <c r="G367" s="352"/>
      <c r="H367" s="352"/>
      <c r="I367" s="352"/>
      <c r="J367" s="352"/>
      <c r="K367" s="352"/>
      <c r="L367" s="352"/>
      <c r="M367" s="352"/>
      <c r="N367" s="352"/>
      <c r="O367" s="352"/>
      <c r="P367" s="352"/>
      <c r="Q367" s="352"/>
      <c r="R367" s="352"/>
      <c r="S367" s="353"/>
      <c r="T367" s="353"/>
      <c r="U367" s="355"/>
      <c r="V367" s="355"/>
      <c r="W367" s="355"/>
      <c r="X367" s="355"/>
    </row>
    <row r="368" spans="2:24" ht="16.600000000000001">
      <c r="B368" s="349" t="s">
        <v>1392</v>
      </c>
      <c r="C368" s="349" t="s">
        <v>1392</v>
      </c>
      <c r="D368" s="352"/>
      <c r="E368" s="352"/>
      <c r="F368" s="352"/>
      <c r="G368" s="352"/>
      <c r="H368" s="352"/>
      <c r="I368" s="352"/>
      <c r="J368" s="352"/>
      <c r="K368" s="352"/>
      <c r="L368" s="352"/>
      <c r="M368" s="352"/>
      <c r="N368" s="352"/>
      <c r="O368" s="352"/>
      <c r="P368" s="352"/>
      <c r="Q368" s="352"/>
      <c r="R368" s="352"/>
      <c r="S368" s="353"/>
      <c r="T368" s="357"/>
      <c r="U368" s="355"/>
      <c r="V368" s="355"/>
      <c r="W368" s="355"/>
      <c r="X368" s="355"/>
    </row>
    <row r="369" spans="2:24" ht="16.600000000000001">
      <c r="B369" s="349" t="s">
        <v>1393</v>
      </c>
      <c r="C369" s="349" t="s">
        <v>1393</v>
      </c>
      <c r="D369" s="352"/>
      <c r="E369" s="352"/>
      <c r="F369" s="352"/>
      <c r="G369" s="352"/>
      <c r="H369" s="352"/>
      <c r="I369" s="352"/>
      <c r="J369" s="352"/>
      <c r="K369" s="352"/>
      <c r="L369" s="352"/>
      <c r="M369" s="352"/>
      <c r="N369" s="352"/>
      <c r="O369" s="352"/>
      <c r="P369" s="352"/>
      <c r="Q369" s="352"/>
      <c r="R369" s="352"/>
      <c r="S369" s="353"/>
      <c r="T369" s="353"/>
      <c r="U369" s="355"/>
      <c r="V369" s="355"/>
      <c r="W369" s="354"/>
      <c r="X369" s="355"/>
    </row>
    <row r="370" spans="2:24" ht="16.600000000000001">
      <c r="B370" s="349" t="s">
        <v>1394</v>
      </c>
      <c r="C370" s="349" t="s">
        <v>1394</v>
      </c>
      <c r="D370" s="352"/>
      <c r="E370" s="352"/>
      <c r="F370" s="352"/>
      <c r="G370" s="352"/>
      <c r="H370" s="352"/>
      <c r="I370" s="352"/>
      <c r="J370" s="352"/>
      <c r="K370" s="352"/>
      <c r="L370" s="352"/>
      <c r="M370" s="352"/>
      <c r="N370" s="352"/>
      <c r="O370" s="352"/>
      <c r="P370" s="352"/>
      <c r="Q370" s="352"/>
      <c r="R370" s="352"/>
      <c r="S370" s="353"/>
      <c r="T370" s="353"/>
      <c r="U370" s="355"/>
      <c r="V370" s="355"/>
      <c r="W370" s="355"/>
      <c r="X370" s="355"/>
    </row>
    <row r="371" spans="2:24" ht="16.600000000000001">
      <c r="B371" s="349" t="s">
        <v>1395</v>
      </c>
      <c r="C371" s="349" t="s">
        <v>1395</v>
      </c>
      <c r="D371" s="356"/>
      <c r="E371" s="356"/>
      <c r="F371" s="356"/>
      <c r="G371" s="356"/>
      <c r="H371" s="356"/>
      <c r="I371" s="356"/>
      <c r="J371" s="356"/>
      <c r="K371" s="352"/>
      <c r="L371" s="356"/>
      <c r="M371" s="356"/>
      <c r="N371" s="356"/>
      <c r="O371" s="352"/>
      <c r="P371" s="356"/>
      <c r="Q371" s="356"/>
      <c r="R371" s="356"/>
      <c r="S371" s="357"/>
      <c r="T371" s="357"/>
      <c r="U371" s="355"/>
      <c r="V371" s="355"/>
      <c r="W371" s="355"/>
      <c r="X371" s="355"/>
    </row>
    <row r="372" spans="2:24" ht="16.600000000000001">
      <c r="B372" s="349" t="s">
        <v>1396</v>
      </c>
      <c r="C372" s="349" t="s">
        <v>1396</v>
      </c>
      <c r="D372" s="356"/>
      <c r="E372" s="356"/>
      <c r="F372" s="356"/>
      <c r="G372" s="356"/>
      <c r="H372" s="356"/>
      <c r="I372" s="356"/>
      <c r="J372" s="356"/>
      <c r="K372" s="356"/>
      <c r="L372" s="356"/>
      <c r="M372" s="356"/>
      <c r="N372" s="356"/>
      <c r="O372" s="356"/>
      <c r="P372" s="356"/>
      <c r="Q372" s="356"/>
      <c r="R372" s="356"/>
      <c r="S372" s="357"/>
      <c r="T372" s="357"/>
      <c r="U372" s="355"/>
      <c r="V372" s="355"/>
      <c r="W372" s="355"/>
      <c r="X372" s="355"/>
    </row>
    <row r="373" spans="2:24" ht="16.600000000000001">
      <c r="B373" s="349" t="s">
        <v>1397</v>
      </c>
      <c r="C373" s="349" t="s">
        <v>1397</v>
      </c>
      <c r="D373" s="352"/>
      <c r="E373" s="352"/>
      <c r="F373" s="352"/>
      <c r="G373" s="352"/>
      <c r="H373" s="352"/>
      <c r="I373" s="352"/>
      <c r="J373" s="352"/>
      <c r="K373" s="352"/>
      <c r="L373" s="352"/>
      <c r="M373" s="352"/>
      <c r="N373" s="352"/>
      <c r="O373" s="352"/>
      <c r="P373" s="352"/>
      <c r="Q373" s="352"/>
      <c r="R373" s="352"/>
      <c r="S373" s="353"/>
      <c r="T373" s="353"/>
      <c r="U373" s="355"/>
      <c r="V373" s="355"/>
      <c r="W373" s="355"/>
      <c r="X373" s="355"/>
    </row>
    <row r="374" spans="2:24" ht="16.600000000000001">
      <c r="B374" s="349" t="s">
        <v>1398</v>
      </c>
      <c r="C374" s="349" t="s">
        <v>1398</v>
      </c>
      <c r="D374" s="352"/>
      <c r="E374" s="352"/>
      <c r="F374" s="352"/>
      <c r="G374" s="352"/>
      <c r="H374" s="352"/>
      <c r="I374" s="352"/>
      <c r="J374" s="352"/>
      <c r="K374" s="352"/>
      <c r="L374" s="352"/>
      <c r="M374" s="352"/>
      <c r="N374" s="352"/>
      <c r="O374" s="352"/>
      <c r="P374" s="352"/>
      <c r="Q374" s="352"/>
      <c r="R374" s="352"/>
      <c r="S374" s="353"/>
      <c r="T374" s="353"/>
      <c r="U374" s="355"/>
      <c r="V374" s="354"/>
      <c r="W374" s="354"/>
      <c r="X374" s="355"/>
    </row>
    <row r="375" spans="2:24" ht="16.600000000000001">
      <c r="B375" s="349" t="s">
        <v>1399</v>
      </c>
      <c r="C375" s="349" t="s">
        <v>1399</v>
      </c>
      <c r="D375" s="352"/>
      <c r="E375" s="352"/>
      <c r="F375" s="352"/>
      <c r="G375" s="352"/>
      <c r="H375" s="352"/>
      <c r="I375" s="352"/>
      <c r="J375" s="352"/>
      <c r="K375" s="352"/>
      <c r="L375" s="352"/>
      <c r="M375" s="352"/>
      <c r="N375" s="352"/>
      <c r="O375" s="352"/>
      <c r="P375" s="352"/>
      <c r="Q375" s="352"/>
      <c r="R375" s="352"/>
      <c r="S375" s="353"/>
      <c r="T375" s="353"/>
      <c r="U375" s="355"/>
      <c r="V375" s="355"/>
      <c r="W375" s="355"/>
      <c r="X375" s="355"/>
    </row>
    <row r="376" spans="2:24" ht="16.600000000000001">
      <c r="B376" s="349" t="s">
        <v>1400</v>
      </c>
      <c r="C376" s="349" t="s">
        <v>1400</v>
      </c>
      <c r="D376" s="352"/>
      <c r="E376" s="352"/>
      <c r="F376" s="352"/>
      <c r="G376" s="352"/>
      <c r="H376" s="352"/>
      <c r="I376" s="352"/>
      <c r="J376" s="352"/>
      <c r="K376" s="352"/>
      <c r="L376" s="352"/>
      <c r="M376" s="352"/>
      <c r="N376" s="352"/>
      <c r="O376" s="352"/>
      <c r="P376" s="352"/>
      <c r="Q376" s="352"/>
      <c r="R376" s="352"/>
      <c r="S376" s="353"/>
      <c r="T376" s="353"/>
      <c r="U376" s="354"/>
      <c r="V376" s="354"/>
      <c r="W376" s="354"/>
      <c r="X376" s="354"/>
    </row>
    <row r="377" spans="2:24" ht="16.600000000000001">
      <c r="B377" s="349" t="s">
        <v>1401</v>
      </c>
      <c r="C377" s="349" t="s">
        <v>1401</v>
      </c>
      <c r="D377" s="352"/>
      <c r="E377" s="352"/>
      <c r="F377" s="352"/>
      <c r="G377" s="352"/>
      <c r="H377" s="352"/>
      <c r="I377" s="352"/>
      <c r="J377" s="352"/>
      <c r="K377" s="352"/>
      <c r="L377" s="352"/>
      <c r="M377" s="352"/>
      <c r="N377" s="352"/>
      <c r="O377" s="352"/>
      <c r="P377" s="352"/>
      <c r="Q377" s="352"/>
      <c r="R377" s="352"/>
      <c r="S377" s="353"/>
      <c r="T377" s="353"/>
      <c r="U377" s="354"/>
      <c r="V377" s="354"/>
      <c r="W377" s="354"/>
      <c r="X377" s="354"/>
    </row>
    <row r="378" spans="2:24" ht="16.600000000000001">
      <c r="B378" s="349" t="s">
        <v>1402</v>
      </c>
      <c r="C378" s="349" t="s">
        <v>1402</v>
      </c>
      <c r="D378" s="352"/>
      <c r="E378" s="352"/>
      <c r="F378" s="352"/>
      <c r="G378" s="352"/>
      <c r="H378" s="352"/>
      <c r="I378" s="352"/>
      <c r="J378" s="352"/>
      <c r="K378" s="352"/>
      <c r="L378" s="352"/>
      <c r="M378" s="352"/>
      <c r="N378" s="352"/>
      <c r="O378" s="352"/>
      <c r="P378" s="352"/>
      <c r="Q378" s="352"/>
      <c r="R378" s="352"/>
      <c r="S378" s="353"/>
      <c r="T378" s="353"/>
      <c r="U378" s="355"/>
      <c r="V378" s="355"/>
      <c r="W378" s="355"/>
      <c r="X378" s="355"/>
    </row>
    <row r="379" spans="2:24" ht="16.600000000000001">
      <c r="B379" s="349" t="s">
        <v>1403</v>
      </c>
      <c r="C379" s="349" t="s">
        <v>1403</v>
      </c>
      <c r="D379" s="352"/>
      <c r="E379" s="352"/>
      <c r="F379" s="352"/>
      <c r="G379" s="352"/>
      <c r="H379" s="352"/>
      <c r="I379" s="352"/>
      <c r="J379" s="352"/>
      <c r="K379" s="352"/>
      <c r="L379" s="352"/>
      <c r="M379" s="352"/>
      <c r="N379" s="352"/>
      <c r="O379" s="352"/>
      <c r="P379" s="352"/>
      <c r="Q379" s="352"/>
      <c r="R379" s="352"/>
      <c r="S379" s="353"/>
      <c r="T379" s="353"/>
      <c r="U379" s="354"/>
      <c r="V379" s="354"/>
      <c r="W379" s="354"/>
      <c r="X379" s="355"/>
    </row>
    <row r="380" spans="2:24" ht="16.600000000000001">
      <c r="B380" s="349" t="s">
        <v>1404</v>
      </c>
      <c r="C380" s="349" t="s">
        <v>1404</v>
      </c>
      <c r="D380" s="352"/>
      <c r="E380" s="352"/>
      <c r="F380" s="352"/>
      <c r="G380" s="352"/>
      <c r="H380" s="352"/>
      <c r="I380" s="352"/>
      <c r="J380" s="352"/>
      <c r="K380" s="352"/>
      <c r="L380" s="352"/>
      <c r="M380" s="352"/>
      <c r="N380" s="352"/>
      <c r="O380" s="352"/>
      <c r="P380" s="352"/>
      <c r="Q380" s="352"/>
      <c r="R380" s="352"/>
      <c r="S380" s="353"/>
      <c r="T380" s="353"/>
      <c r="U380" s="355"/>
      <c r="V380" s="355"/>
      <c r="W380" s="355"/>
      <c r="X380" s="355"/>
    </row>
    <row r="381" spans="2:24" ht="16.600000000000001">
      <c r="B381" s="349" t="s">
        <v>1405</v>
      </c>
      <c r="C381" s="349" t="s">
        <v>1405</v>
      </c>
      <c r="D381" s="356"/>
      <c r="E381" s="352"/>
      <c r="F381" s="352"/>
      <c r="G381" s="352"/>
      <c r="H381" s="352"/>
      <c r="I381" s="352"/>
      <c r="J381" s="352"/>
      <c r="K381" s="352"/>
      <c r="L381" s="352"/>
      <c r="M381" s="352"/>
      <c r="N381" s="352"/>
      <c r="O381" s="352"/>
      <c r="P381" s="352"/>
      <c r="Q381" s="352"/>
      <c r="R381" s="352"/>
      <c r="S381" s="353"/>
      <c r="T381" s="353"/>
      <c r="U381" s="355"/>
      <c r="V381" s="355"/>
      <c r="W381" s="355"/>
      <c r="X381" s="355"/>
    </row>
    <row r="382" spans="2:24" ht="16.600000000000001">
      <c r="B382" s="349" t="s">
        <v>1406</v>
      </c>
      <c r="C382" s="349" t="s">
        <v>1406</v>
      </c>
      <c r="D382" s="352"/>
      <c r="E382" s="352"/>
      <c r="F382" s="352"/>
      <c r="G382" s="352"/>
      <c r="H382" s="352"/>
      <c r="I382" s="352"/>
      <c r="J382" s="352"/>
      <c r="K382" s="352"/>
      <c r="L382" s="356"/>
      <c r="M382" s="356"/>
      <c r="N382" s="352"/>
      <c r="O382" s="352"/>
      <c r="P382" s="352"/>
      <c r="Q382" s="356"/>
      <c r="R382" s="352"/>
      <c r="S382" s="353"/>
      <c r="T382" s="357"/>
      <c r="U382" s="355"/>
      <c r="V382" s="354"/>
      <c r="W382" s="354"/>
      <c r="X382" s="355"/>
    </row>
    <row r="383" spans="2:24" ht="16.600000000000001">
      <c r="B383" s="349" t="s">
        <v>1407</v>
      </c>
      <c r="C383" s="349" t="s">
        <v>1407</v>
      </c>
      <c r="D383" s="352"/>
      <c r="E383" s="352"/>
      <c r="F383" s="352"/>
      <c r="G383" s="352"/>
      <c r="H383" s="352"/>
      <c r="I383" s="352"/>
      <c r="J383" s="352"/>
      <c r="K383" s="352"/>
      <c r="L383" s="352"/>
      <c r="M383" s="352"/>
      <c r="N383" s="352"/>
      <c r="O383" s="352"/>
      <c r="P383" s="352"/>
      <c r="Q383" s="352"/>
      <c r="R383" s="352"/>
      <c r="S383" s="353"/>
      <c r="T383" s="353"/>
      <c r="U383" s="355"/>
      <c r="V383" s="355"/>
      <c r="W383" s="355"/>
      <c r="X383" s="355"/>
    </row>
    <row r="384" spans="2:24" ht="16.600000000000001">
      <c r="B384" s="349" t="s">
        <v>1408</v>
      </c>
      <c r="C384" s="349" t="s">
        <v>1408</v>
      </c>
      <c r="D384" s="356"/>
      <c r="E384" s="352"/>
      <c r="F384" s="352"/>
      <c r="G384" s="352"/>
      <c r="H384" s="352"/>
      <c r="I384" s="352"/>
      <c r="J384" s="352"/>
      <c r="K384" s="352"/>
      <c r="L384" s="352"/>
      <c r="M384" s="352"/>
      <c r="N384" s="352"/>
      <c r="O384" s="352"/>
      <c r="P384" s="352"/>
      <c r="Q384" s="352"/>
      <c r="R384" s="352"/>
      <c r="S384" s="353"/>
      <c r="T384" s="357"/>
      <c r="U384" s="355"/>
      <c r="V384" s="355"/>
      <c r="W384" s="355"/>
      <c r="X384" s="355"/>
    </row>
    <row r="385" spans="2:24" ht="16.600000000000001">
      <c r="B385" s="349" t="s">
        <v>1409</v>
      </c>
      <c r="C385" s="349" t="s">
        <v>1409</v>
      </c>
      <c r="D385" s="356"/>
      <c r="E385" s="356"/>
      <c r="F385" s="356"/>
      <c r="G385" s="356"/>
      <c r="H385" s="356"/>
      <c r="I385" s="356"/>
      <c r="J385" s="356"/>
      <c r="K385" s="356"/>
      <c r="L385" s="356"/>
      <c r="M385" s="356"/>
      <c r="N385" s="356"/>
      <c r="O385" s="356"/>
      <c r="P385" s="356"/>
      <c r="Q385" s="356"/>
      <c r="R385" s="356"/>
      <c r="S385" s="357"/>
      <c r="T385" s="357"/>
      <c r="U385" s="355"/>
      <c r="V385" s="355"/>
      <c r="W385" s="355"/>
      <c r="X385" s="355"/>
    </row>
    <row r="386" spans="2:24" ht="16.600000000000001">
      <c r="B386" s="349" t="s">
        <v>1410</v>
      </c>
      <c r="C386" s="349" t="s">
        <v>1410</v>
      </c>
      <c r="D386" s="352"/>
      <c r="E386" s="352"/>
      <c r="F386" s="352"/>
      <c r="G386" s="352"/>
      <c r="H386" s="352"/>
      <c r="I386" s="352"/>
      <c r="J386" s="352"/>
      <c r="K386" s="352"/>
      <c r="L386" s="352"/>
      <c r="M386" s="352"/>
      <c r="N386" s="352"/>
      <c r="O386" s="352"/>
      <c r="P386" s="352"/>
      <c r="Q386" s="352"/>
      <c r="R386" s="352"/>
      <c r="S386" s="353"/>
      <c r="T386" s="353"/>
      <c r="U386" s="354"/>
      <c r="V386" s="354"/>
      <c r="W386" s="355"/>
      <c r="X386" s="354"/>
    </row>
    <row r="387" spans="2:24" ht="16.600000000000001">
      <c r="B387" s="349" t="s">
        <v>1411</v>
      </c>
      <c r="C387" s="349" t="s">
        <v>1411</v>
      </c>
      <c r="D387" s="352"/>
      <c r="E387" s="352"/>
      <c r="F387" s="352"/>
      <c r="G387" s="352"/>
      <c r="H387" s="352"/>
      <c r="I387" s="352"/>
      <c r="J387" s="352"/>
      <c r="K387" s="352"/>
      <c r="L387" s="352"/>
      <c r="M387" s="352"/>
      <c r="N387" s="352"/>
      <c r="O387" s="352"/>
      <c r="P387" s="352"/>
      <c r="Q387" s="352"/>
      <c r="R387" s="352"/>
      <c r="S387" s="353"/>
      <c r="T387" s="353"/>
      <c r="U387" s="354"/>
      <c r="V387" s="354"/>
      <c r="W387" s="354"/>
      <c r="X387" s="354"/>
    </row>
    <row r="388" spans="2:24" ht="16.600000000000001">
      <c r="B388" s="349" t="s">
        <v>1412</v>
      </c>
      <c r="C388" s="349" t="s">
        <v>1412</v>
      </c>
      <c r="D388" s="352"/>
      <c r="E388" s="352"/>
      <c r="F388" s="352"/>
      <c r="G388" s="352"/>
      <c r="H388" s="352"/>
      <c r="I388" s="352"/>
      <c r="J388" s="352"/>
      <c r="K388" s="352"/>
      <c r="L388" s="352"/>
      <c r="M388" s="352"/>
      <c r="N388" s="352"/>
      <c r="O388" s="352"/>
      <c r="P388" s="352"/>
      <c r="Q388" s="352"/>
      <c r="R388" s="352"/>
      <c r="S388" s="353"/>
      <c r="T388" s="353"/>
      <c r="U388" s="355"/>
      <c r="V388" s="355"/>
      <c r="W388" s="354"/>
      <c r="X388" s="354"/>
    </row>
    <row r="389" spans="2:24" ht="16.600000000000001">
      <c r="B389" s="349" t="s">
        <v>1413</v>
      </c>
      <c r="C389" s="349" t="s">
        <v>1413</v>
      </c>
      <c r="D389" s="352"/>
      <c r="E389" s="352"/>
      <c r="F389" s="352"/>
      <c r="G389" s="352"/>
      <c r="H389" s="352"/>
      <c r="I389" s="352"/>
      <c r="J389" s="352"/>
      <c r="K389" s="352"/>
      <c r="L389" s="352"/>
      <c r="M389" s="352"/>
      <c r="N389" s="352"/>
      <c r="O389" s="352"/>
      <c r="P389" s="352"/>
      <c r="Q389" s="352"/>
      <c r="R389" s="352"/>
      <c r="S389" s="353"/>
      <c r="T389" s="353"/>
      <c r="U389" s="355"/>
      <c r="V389" s="355"/>
      <c r="W389" s="355"/>
      <c r="X389" s="355"/>
    </row>
    <row r="390" spans="2:24" ht="16.600000000000001">
      <c r="B390" s="349" t="s">
        <v>1414</v>
      </c>
      <c r="C390" s="349" t="s">
        <v>1414</v>
      </c>
      <c r="D390" s="352"/>
      <c r="E390" s="352"/>
      <c r="F390" s="352"/>
      <c r="G390" s="352"/>
      <c r="H390" s="352"/>
      <c r="I390" s="352"/>
      <c r="J390" s="352"/>
      <c r="K390" s="352"/>
      <c r="L390" s="352"/>
      <c r="M390" s="352"/>
      <c r="N390" s="352"/>
      <c r="O390" s="352"/>
      <c r="P390" s="352"/>
      <c r="Q390" s="352"/>
      <c r="R390" s="352"/>
      <c r="S390" s="353"/>
      <c r="T390" s="357"/>
      <c r="U390" s="355"/>
      <c r="V390" s="355"/>
      <c r="W390" s="355"/>
      <c r="X390" s="355"/>
    </row>
    <row r="391" spans="2:24" ht="16.600000000000001">
      <c r="B391" s="349" t="s">
        <v>1415</v>
      </c>
      <c r="C391" s="349" t="s">
        <v>1415</v>
      </c>
      <c r="D391" s="352"/>
      <c r="E391" s="352"/>
      <c r="F391" s="352"/>
      <c r="G391" s="352"/>
      <c r="H391" s="352"/>
      <c r="I391" s="352"/>
      <c r="J391" s="352"/>
      <c r="K391" s="352"/>
      <c r="L391" s="352"/>
      <c r="M391" s="352"/>
      <c r="N391" s="352"/>
      <c r="O391" s="352"/>
      <c r="P391" s="352"/>
      <c r="Q391" s="352"/>
      <c r="R391" s="352"/>
      <c r="S391" s="353"/>
      <c r="T391" s="353"/>
      <c r="U391" s="355"/>
      <c r="V391" s="355"/>
      <c r="W391" s="355"/>
      <c r="X391" s="355"/>
    </row>
    <row r="392" spans="2:24" ht="16.600000000000001">
      <c r="B392" s="349" t="s">
        <v>1416</v>
      </c>
      <c r="C392" s="349" t="s">
        <v>1416</v>
      </c>
      <c r="D392" s="352"/>
      <c r="E392" s="352"/>
      <c r="F392" s="352"/>
      <c r="G392" s="352"/>
      <c r="H392" s="352"/>
      <c r="I392" s="352"/>
      <c r="J392" s="352"/>
      <c r="K392" s="352"/>
      <c r="L392" s="352"/>
      <c r="M392" s="352"/>
      <c r="N392" s="352"/>
      <c r="O392" s="352"/>
      <c r="P392" s="352"/>
      <c r="Q392" s="352"/>
      <c r="R392" s="352"/>
      <c r="S392" s="353"/>
      <c r="T392" s="353"/>
      <c r="U392" s="354"/>
      <c r="V392" s="354"/>
      <c r="W392" s="354"/>
      <c r="X392" s="354"/>
    </row>
    <row r="393" spans="2:24" ht="16.600000000000001">
      <c r="B393" s="349" t="s">
        <v>1417</v>
      </c>
      <c r="C393" s="349" t="s">
        <v>1417</v>
      </c>
      <c r="D393" s="352"/>
      <c r="E393" s="352"/>
      <c r="F393" s="352"/>
      <c r="G393" s="352"/>
      <c r="H393" s="352"/>
      <c r="I393" s="352"/>
      <c r="J393" s="352"/>
      <c r="K393" s="352"/>
      <c r="L393" s="352"/>
      <c r="M393" s="352"/>
      <c r="N393" s="352"/>
      <c r="O393" s="352"/>
      <c r="P393" s="352"/>
      <c r="Q393" s="352"/>
      <c r="R393" s="352"/>
      <c r="S393" s="353"/>
      <c r="T393" s="353"/>
      <c r="U393" s="354"/>
      <c r="V393" s="354"/>
      <c r="W393" s="354"/>
      <c r="X393" s="354"/>
    </row>
    <row r="394" spans="2:24" ht="16.600000000000001">
      <c r="B394" s="349" t="s">
        <v>1418</v>
      </c>
      <c r="C394" s="349" t="s">
        <v>1418</v>
      </c>
      <c r="D394" s="356"/>
      <c r="E394" s="356"/>
      <c r="F394" s="356"/>
      <c r="G394" s="356"/>
      <c r="H394" s="356"/>
      <c r="I394" s="356"/>
      <c r="J394" s="356"/>
      <c r="K394" s="356"/>
      <c r="L394" s="356"/>
      <c r="M394" s="356"/>
      <c r="N394" s="356"/>
      <c r="O394" s="356"/>
      <c r="P394" s="356"/>
      <c r="Q394" s="356"/>
      <c r="R394" s="356"/>
      <c r="S394" s="357"/>
      <c r="T394" s="357"/>
      <c r="U394" s="355"/>
      <c r="V394" s="355"/>
      <c r="W394" s="355"/>
      <c r="X394" s="355"/>
    </row>
    <row r="395" spans="2:24" ht="16.600000000000001">
      <c r="B395" s="349" t="s">
        <v>1419</v>
      </c>
      <c r="C395" s="349" t="s">
        <v>1419</v>
      </c>
      <c r="D395" s="356"/>
      <c r="E395" s="356"/>
      <c r="F395" s="356"/>
      <c r="G395" s="356"/>
      <c r="H395" s="356"/>
      <c r="I395" s="356"/>
      <c r="J395" s="356"/>
      <c r="K395" s="356"/>
      <c r="L395" s="356"/>
      <c r="M395" s="356"/>
      <c r="N395" s="356"/>
      <c r="O395" s="356"/>
      <c r="P395" s="356"/>
      <c r="Q395" s="356"/>
      <c r="R395" s="356"/>
      <c r="S395" s="357"/>
      <c r="T395" s="357"/>
      <c r="U395" s="355"/>
      <c r="V395" s="355"/>
      <c r="W395" s="355"/>
      <c r="X395" s="355"/>
    </row>
    <row r="396" spans="2:24" ht="16.600000000000001">
      <c r="B396" s="349" t="s">
        <v>1420</v>
      </c>
      <c r="C396" s="349" t="s">
        <v>1420</v>
      </c>
      <c r="D396" s="352"/>
      <c r="E396" s="352"/>
      <c r="F396" s="352"/>
      <c r="G396" s="352"/>
      <c r="H396" s="352"/>
      <c r="I396" s="352"/>
      <c r="J396" s="352"/>
      <c r="K396" s="352"/>
      <c r="L396" s="352"/>
      <c r="M396" s="352"/>
      <c r="N396" s="352"/>
      <c r="O396" s="352"/>
      <c r="P396" s="352"/>
      <c r="Q396" s="352"/>
      <c r="R396" s="352"/>
      <c r="S396" s="353"/>
      <c r="T396" s="353"/>
      <c r="U396" s="355"/>
      <c r="V396" s="355"/>
      <c r="W396" s="355"/>
      <c r="X396" s="355"/>
    </row>
    <row r="397" spans="2:24" ht="16.600000000000001">
      <c r="B397" s="349" t="s">
        <v>1421</v>
      </c>
      <c r="C397" s="349" t="s">
        <v>1421</v>
      </c>
      <c r="D397" s="352"/>
      <c r="E397" s="352"/>
      <c r="F397" s="352"/>
      <c r="G397" s="352"/>
      <c r="H397" s="352"/>
      <c r="I397" s="352"/>
      <c r="J397" s="352"/>
      <c r="K397" s="352"/>
      <c r="L397" s="352"/>
      <c r="M397" s="352"/>
      <c r="N397" s="352"/>
      <c r="O397" s="352"/>
      <c r="P397" s="352"/>
      <c r="Q397" s="352"/>
      <c r="R397" s="352"/>
      <c r="S397" s="353"/>
      <c r="T397" s="357"/>
      <c r="U397" s="355"/>
      <c r="V397" s="355"/>
      <c r="W397" s="355"/>
      <c r="X397" s="355"/>
    </row>
    <row r="398" spans="2:24" ht="16.600000000000001">
      <c r="B398" s="349" t="s">
        <v>1422</v>
      </c>
      <c r="C398" s="349" t="s">
        <v>1422</v>
      </c>
      <c r="D398" s="352"/>
      <c r="E398" s="352"/>
      <c r="F398" s="352"/>
      <c r="G398" s="352"/>
      <c r="H398" s="352"/>
      <c r="I398" s="352"/>
      <c r="J398" s="352"/>
      <c r="K398" s="352"/>
      <c r="L398" s="352"/>
      <c r="M398" s="352"/>
      <c r="N398" s="352"/>
      <c r="O398" s="352"/>
      <c r="P398" s="352"/>
      <c r="Q398" s="352"/>
      <c r="R398" s="352"/>
      <c r="S398" s="353"/>
      <c r="T398" s="357"/>
      <c r="U398" s="355"/>
      <c r="V398" s="355"/>
      <c r="W398" s="355"/>
      <c r="X398" s="355"/>
    </row>
    <row r="399" spans="2:24" ht="16.600000000000001">
      <c r="B399" s="349" t="s">
        <v>1423</v>
      </c>
      <c r="C399" s="349" t="s">
        <v>1423</v>
      </c>
      <c r="D399" s="352"/>
      <c r="E399" s="352"/>
      <c r="F399" s="352"/>
      <c r="G399" s="352"/>
      <c r="H399" s="352"/>
      <c r="I399" s="352"/>
      <c r="J399" s="352"/>
      <c r="K399" s="352"/>
      <c r="L399" s="352"/>
      <c r="M399" s="352"/>
      <c r="N399" s="352"/>
      <c r="O399" s="352"/>
      <c r="P399" s="352"/>
      <c r="Q399" s="352"/>
      <c r="R399" s="352"/>
      <c r="S399" s="353"/>
      <c r="T399" s="353"/>
      <c r="U399" s="355"/>
      <c r="V399" s="354"/>
      <c r="W399" s="354"/>
      <c r="X399" s="355"/>
    </row>
    <row r="400" spans="2:24" ht="16.600000000000001">
      <c r="B400" s="349" t="s">
        <v>1424</v>
      </c>
      <c r="C400" s="349" t="s">
        <v>1424</v>
      </c>
      <c r="D400" s="356"/>
      <c r="E400" s="356"/>
      <c r="F400" s="356"/>
      <c r="G400" s="356"/>
      <c r="H400" s="356"/>
      <c r="I400" s="356"/>
      <c r="J400" s="356"/>
      <c r="K400" s="356"/>
      <c r="L400" s="356"/>
      <c r="M400" s="356"/>
      <c r="N400" s="356"/>
      <c r="O400" s="356"/>
      <c r="P400" s="356"/>
      <c r="Q400" s="356"/>
      <c r="R400" s="356"/>
      <c r="S400" s="357"/>
      <c r="T400" s="357"/>
      <c r="U400" s="355"/>
      <c r="V400" s="355"/>
      <c r="W400" s="355"/>
      <c r="X400" s="355"/>
    </row>
    <row r="401" spans="2:24" ht="16.600000000000001">
      <c r="B401" s="349" t="s">
        <v>1425</v>
      </c>
      <c r="C401" s="349" t="s">
        <v>1425</v>
      </c>
      <c r="D401" s="356"/>
      <c r="E401" s="356"/>
      <c r="F401" s="356"/>
      <c r="G401" s="356"/>
      <c r="H401" s="356"/>
      <c r="I401" s="356"/>
      <c r="J401" s="356"/>
      <c r="K401" s="356"/>
      <c r="L401" s="356"/>
      <c r="M401" s="356"/>
      <c r="N401" s="356"/>
      <c r="O401" s="356"/>
      <c r="P401" s="356"/>
      <c r="Q401" s="356"/>
      <c r="R401" s="356"/>
      <c r="S401" s="357"/>
      <c r="T401" s="357"/>
      <c r="U401" s="355"/>
      <c r="V401" s="355"/>
      <c r="W401" s="355"/>
      <c r="X401" s="355"/>
    </row>
    <row r="402" spans="2:24" ht="16.600000000000001">
      <c r="B402" s="349" t="s">
        <v>1426</v>
      </c>
      <c r="C402" s="349" t="s">
        <v>1426</v>
      </c>
      <c r="D402" s="352"/>
      <c r="E402" s="352"/>
      <c r="F402" s="352"/>
      <c r="G402" s="352"/>
      <c r="H402" s="352"/>
      <c r="I402" s="352"/>
      <c r="J402" s="352"/>
      <c r="K402" s="352"/>
      <c r="L402" s="352"/>
      <c r="M402" s="352"/>
      <c r="N402" s="352"/>
      <c r="O402" s="352"/>
      <c r="P402" s="352"/>
      <c r="Q402" s="352"/>
      <c r="R402" s="352"/>
      <c r="S402" s="353"/>
      <c r="T402" s="357"/>
      <c r="U402" s="355"/>
      <c r="V402" s="355"/>
      <c r="W402" s="355"/>
      <c r="X402" s="355"/>
    </row>
    <row r="403" spans="2:24" ht="16.600000000000001">
      <c r="B403" s="349" t="s">
        <v>1427</v>
      </c>
      <c r="C403" s="349" t="s">
        <v>1427</v>
      </c>
      <c r="D403" s="352"/>
      <c r="E403" s="352"/>
      <c r="F403" s="352"/>
      <c r="G403" s="352"/>
      <c r="H403" s="352"/>
      <c r="I403" s="352"/>
      <c r="J403" s="352"/>
      <c r="K403" s="352"/>
      <c r="L403" s="352"/>
      <c r="M403" s="352"/>
      <c r="N403" s="352"/>
      <c r="O403" s="352"/>
      <c r="P403" s="352"/>
      <c r="Q403" s="352"/>
      <c r="R403" s="352"/>
      <c r="S403" s="353"/>
      <c r="T403" s="353"/>
      <c r="U403" s="354"/>
      <c r="V403" s="354"/>
      <c r="W403" s="354"/>
      <c r="X403" s="355"/>
    </row>
    <row r="404" spans="2:24" ht="16.600000000000001">
      <c r="B404" s="349" t="s">
        <v>1428</v>
      </c>
      <c r="C404" s="349" t="s">
        <v>1428</v>
      </c>
      <c r="D404" s="356"/>
      <c r="E404" s="352"/>
      <c r="F404" s="352"/>
      <c r="G404" s="352"/>
      <c r="H404" s="356"/>
      <c r="I404" s="352"/>
      <c r="J404" s="352"/>
      <c r="K404" s="352"/>
      <c r="L404" s="352"/>
      <c r="M404" s="352"/>
      <c r="N404" s="352"/>
      <c r="O404" s="352"/>
      <c r="P404" s="352"/>
      <c r="Q404" s="352"/>
      <c r="R404" s="352"/>
      <c r="S404" s="353"/>
      <c r="T404" s="357"/>
      <c r="U404" s="355"/>
      <c r="V404" s="355"/>
      <c r="W404" s="355"/>
      <c r="X404" s="355"/>
    </row>
    <row r="405" spans="2:24" ht="16.600000000000001">
      <c r="B405" s="349" t="s">
        <v>1429</v>
      </c>
      <c r="C405" s="349" t="s">
        <v>1429</v>
      </c>
      <c r="D405" s="356"/>
      <c r="E405" s="356"/>
      <c r="F405" s="356"/>
      <c r="G405" s="352"/>
      <c r="H405" s="356"/>
      <c r="I405" s="356"/>
      <c r="J405" s="352"/>
      <c r="K405" s="352"/>
      <c r="L405" s="352"/>
      <c r="M405" s="352"/>
      <c r="N405" s="352"/>
      <c r="O405" s="352"/>
      <c r="P405" s="356"/>
      <c r="Q405" s="352"/>
      <c r="R405" s="356"/>
      <c r="S405" s="353"/>
      <c r="T405" s="357"/>
      <c r="U405" s="355"/>
      <c r="V405" s="355"/>
      <c r="W405" s="355"/>
      <c r="X405" s="355"/>
    </row>
    <row r="406" spans="2:24" ht="16.600000000000001">
      <c r="B406" s="349" t="s">
        <v>1430</v>
      </c>
      <c r="C406" s="349" t="s">
        <v>1430</v>
      </c>
      <c r="D406" s="352"/>
      <c r="E406" s="352"/>
      <c r="F406" s="352"/>
      <c r="G406" s="352"/>
      <c r="H406" s="356"/>
      <c r="I406" s="356"/>
      <c r="J406" s="356"/>
      <c r="K406" s="352"/>
      <c r="L406" s="352"/>
      <c r="M406" s="352"/>
      <c r="N406" s="352"/>
      <c r="O406" s="352"/>
      <c r="P406" s="352"/>
      <c r="Q406" s="352"/>
      <c r="R406" s="352"/>
      <c r="S406" s="353"/>
      <c r="T406" s="357"/>
      <c r="U406" s="355"/>
      <c r="V406" s="355"/>
      <c r="W406" s="355"/>
      <c r="X406" s="355"/>
    </row>
    <row r="407" spans="2:24" ht="16.600000000000001">
      <c r="B407" s="349" t="s">
        <v>1431</v>
      </c>
      <c r="C407" s="349" t="s">
        <v>1431</v>
      </c>
      <c r="D407" s="352"/>
      <c r="E407" s="352"/>
      <c r="F407" s="352"/>
      <c r="G407" s="352"/>
      <c r="H407" s="352"/>
      <c r="I407" s="352"/>
      <c r="J407" s="352"/>
      <c r="K407" s="352"/>
      <c r="L407" s="352"/>
      <c r="M407" s="352"/>
      <c r="N407" s="352"/>
      <c r="O407" s="352"/>
      <c r="P407" s="352"/>
      <c r="Q407" s="352"/>
      <c r="R407" s="352"/>
      <c r="S407" s="353"/>
      <c r="T407" s="353"/>
      <c r="U407" s="355"/>
      <c r="V407" s="355"/>
      <c r="W407" s="355"/>
      <c r="X407" s="355"/>
    </row>
    <row r="408" spans="2:24" ht="16.600000000000001">
      <c r="B408" s="349" t="s">
        <v>1432</v>
      </c>
      <c r="C408" s="349" t="s">
        <v>1432</v>
      </c>
      <c r="D408" s="356"/>
      <c r="E408" s="356"/>
      <c r="F408" s="356"/>
      <c r="G408" s="356"/>
      <c r="H408" s="356"/>
      <c r="I408" s="356"/>
      <c r="J408" s="356"/>
      <c r="K408" s="356"/>
      <c r="L408" s="356"/>
      <c r="M408" s="356"/>
      <c r="N408" s="356"/>
      <c r="O408" s="356"/>
      <c r="P408" s="356"/>
      <c r="Q408" s="356"/>
      <c r="R408" s="356"/>
      <c r="S408" s="357"/>
      <c r="T408" s="357"/>
      <c r="U408" s="355"/>
      <c r="V408" s="355"/>
      <c r="W408" s="355"/>
      <c r="X408" s="355"/>
    </row>
    <row r="409" spans="2:24" ht="16.600000000000001">
      <c r="B409" s="349" t="s">
        <v>1433</v>
      </c>
      <c r="C409" s="349" t="s">
        <v>1433</v>
      </c>
      <c r="D409" s="352"/>
      <c r="E409" s="352"/>
      <c r="F409" s="352"/>
      <c r="G409" s="352"/>
      <c r="H409" s="352"/>
      <c r="I409" s="352"/>
      <c r="J409" s="352"/>
      <c r="K409" s="352"/>
      <c r="L409" s="352"/>
      <c r="M409" s="352"/>
      <c r="N409" s="352"/>
      <c r="O409" s="352"/>
      <c r="P409" s="352"/>
      <c r="Q409" s="352"/>
      <c r="R409" s="352"/>
      <c r="S409" s="353"/>
      <c r="T409" s="353"/>
      <c r="U409" s="355"/>
      <c r="V409" s="355"/>
      <c r="W409" s="355"/>
      <c r="X409" s="355"/>
    </row>
    <row r="410" spans="2:24" ht="16.600000000000001">
      <c r="B410" s="349" t="s">
        <v>1434</v>
      </c>
      <c r="C410" s="349" t="s">
        <v>1434</v>
      </c>
      <c r="D410" s="352"/>
      <c r="E410" s="352"/>
      <c r="F410" s="352"/>
      <c r="G410" s="352"/>
      <c r="H410" s="352"/>
      <c r="I410" s="352"/>
      <c r="J410" s="352"/>
      <c r="K410" s="352"/>
      <c r="L410" s="352"/>
      <c r="M410" s="352"/>
      <c r="N410" s="352"/>
      <c r="O410" s="352"/>
      <c r="P410" s="352"/>
      <c r="Q410" s="352"/>
      <c r="R410" s="352"/>
      <c r="S410" s="353"/>
      <c r="T410" s="353"/>
      <c r="U410" s="354"/>
      <c r="V410" s="354"/>
      <c r="W410" s="354"/>
      <c r="X410" s="354"/>
    </row>
    <row r="411" spans="2:24" ht="16.600000000000001">
      <c r="B411" s="349" t="s">
        <v>1435</v>
      </c>
      <c r="C411" s="349" t="s">
        <v>1435</v>
      </c>
      <c r="D411" s="352"/>
      <c r="E411" s="352"/>
      <c r="F411" s="352"/>
      <c r="G411" s="352"/>
      <c r="H411" s="352"/>
      <c r="I411" s="352"/>
      <c r="J411" s="352"/>
      <c r="K411" s="352"/>
      <c r="L411" s="352"/>
      <c r="M411" s="352"/>
      <c r="N411" s="352"/>
      <c r="O411" s="352"/>
      <c r="P411" s="352"/>
      <c r="Q411" s="352"/>
      <c r="R411" s="352"/>
      <c r="S411" s="353"/>
      <c r="T411" s="353"/>
      <c r="U411" s="354"/>
      <c r="V411" s="354"/>
      <c r="W411" s="354"/>
      <c r="X411" s="354"/>
    </row>
    <row r="412" spans="2:24" ht="16.600000000000001">
      <c r="B412" s="349" t="s">
        <v>1436</v>
      </c>
      <c r="C412" s="349" t="s">
        <v>1436</v>
      </c>
      <c r="D412" s="352"/>
      <c r="E412" s="352"/>
      <c r="F412" s="352"/>
      <c r="G412" s="352"/>
      <c r="H412" s="352"/>
      <c r="I412" s="352"/>
      <c r="J412" s="352"/>
      <c r="K412" s="352"/>
      <c r="L412" s="352"/>
      <c r="M412" s="352"/>
      <c r="N412" s="352"/>
      <c r="O412" s="352"/>
      <c r="P412" s="352"/>
      <c r="Q412" s="352"/>
      <c r="R412" s="352"/>
      <c r="S412" s="353"/>
      <c r="T412" s="353"/>
      <c r="U412" s="354"/>
      <c r="V412" s="354"/>
      <c r="W412" s="354"/>
      <c r="X412" s="354"/>
    </row>
    <row r="413" spans="2:24" ht="16.600000000000001">
      <c r="B413" s="349" t="s">
        <v>1437</v>
      </c>
      <c r="C413" s="349" t="s">
        <v>1437</v>
      </c>
      <c r="D413" s="352"/>
      <c r="E413" s="352"/>
      <c r="F413" s="352"/>
      <c r="G413" s="352"/>
      <c r="H413" s="352"/>
      <c r="I413" s="352"/>
      <c r="J413" s="352"/>
      <c r="K413" s="352"/>
      <c r="L413" s="352"/>
      <c r="M413" s="352"/>
      <c r="N413" s="352"/>
      <c r="O413" s="352"/>
      <c r="P413" s="352"/>
      <c r="Q413" s="352"/>
      <c r="R413" s="352"/>
      <c r="S413" s="353"/>
      <c r="T413" s="353"/>
      <c r="U413" s="354"/>
      <c r="V413" s="354"/>
      <c r="W413" s="354"/>
      <c r="X413" s="354"/>
    </row>
    <row r="414" spans="2:24" ht="16.600000000000001">
      <c r="B414" s="349" t="s">
        <v>1438</v>
      </c>
      <c r="C414" s="349" t="s">
        <v>1438</v>
      </c>
      <c r="D414" s="352"/>
      <c r="E414" s="352"/>
      <c r="F414" s="352"/>
      <c r="G414" s="352"/>
      <c r="H414" s="352"/>
      <c r="I414" s="352"/>
      <c r="J414" s="352"/>
      <c r="K414" s="352"/>
      <c r="L414" s="352"/>
      <c r="M414" s="352"/>
      <c r="N414" s="352"/>
      <c r="O414" s="352"/>
      <c r="P414" s="352"/>
      <c r="Q414" s="352"/>
      <c r="R414" s="352"/>
      <c r="S414" s="353"/>
      <c r="T414" s="353"/>
      <c r="U414" s="354"/>
      <c r="V414" s="354"/>
      <c r="W414" s="354"/>
      <c r="X414" s="354"/>
    </row>
    <row r="415" spans="2:24" ht="16.600000000000001">
      <c r="B415" s="349" t="s">
        <v>1439</v>
      </c>
      <c r="C415" s="349" t="s">
        <v>1439</v>
      </c>
      <c r="D415" s="352"/>
      <c r="E415" s="352"/>
      <c r="F415" s="352"/>
      <c r="G415" s="352"/>
      <c r="H415" s="352"/>
      <c r="I415" s="352"/>
      <c r="J415" s="352"/>
      <c r="K415" s="352"/>
      <c r="L415" s="352"/>
      <c r="M415" s="352"/>
      <c r="N415" s="352"/>
      <c r="O415" s="352"/>
      <c r="P415" s="352"/>
      <c r="Q415" s="352"/>
      <c r="R415" s="352"/>
      <c r="S415" s="353"/>
      <c r="T415" s="353"/>
      <c r="U415" s="354"/>
      <c r="V415" s="354"/>
      <c r="W415" s="354"/>
      <c r="X415" s="354"/>
    </row>
    <row r="416" spans="2:24" ht="17.3" thickBot="1">
      <c r="B416" s="350" t="s">
        <v>1440</v>
      </c>
      <c r="C416" s="350" t="s">
        <v>1440</v>
      </c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9"/>
      <c r="P416" s="359"/>
      <c r="Q416" s="359"/>
      <c r="R416" s="359"/>
      <c r="S416" s="357"/>
      <c r="T416" s="357"/>
      <c r="U416" s="355"/>
      <c r="V416" s="355"/>
      <c r="W416" s="355"/>
      <c r="X416" s="355"/>
    </row>
    <row r="417" spans="2:16" ht="17.3" thickBot="1">
      <c r="B417" s="138"/>
      <c r="C417" s="138"/>
      <c r="D417" s="139"/>
      <c r="E417" s="139"/>
      <c r="F417" s="140"/>
      <c r="G417" s="140"/>
      <c r="H417" s="1"/>
      <c r="I417" s="1"/>
      <c r="J417" s="1"/>
      <c r="K417" s="1"/>
      <c r="L417" s="1"/>
      <c r="M417" s="1"/>
      <c r="N417" s="1"/>
      <c r="O417" s="1"/>
      <c r="P417" s="1"/>
    </row>
  </sheetData>
  <autoFilter ref="A82:N417"/>
  <phoneticPr fontId="2" type="noConversion"/>
  <conditionalFormatting sqref="D6:T7">
    <cfRule type="cellIs" dxfId="2" priority="1" operator="equal">
      <formula>TRUE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7" r:id="rId3" name="Drop Down 3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82296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tabColor theme="6"/>
  </sheetPr>
  <dimension ref="A1:AJ418"/>
  <sheetViews>
    <sheetView topLeftCell="A141" zoomScale="85" zoomScaleNormal="85" workbookViewId="0">
      <selection activeCell="H166" sqref="H166"/>
    </sheetView>
  </sheetViews>
  <sheetFormatPr defaultColWidth="9.140625" defaultRowHeight="14.4" outlineLevelCol="1"/>
  <cols>
    <col min="1" max="1" width="12" style="1" customWidth="1"/>
    <col min="2" max="2" width="53.5703125" style="1" hidden="1" customWidth="1" outlineLevel="1"/>
    <col min="3" max="3" width="77.140625" style="1" customWidth="1" collapsed="1"/>
    <col min="4" max="4" width="16.5703125" style="1" customWidth="1"/>
    <col min="5" max="5" width="13.28515625" style="125" customWidth="1"/>
    <col min="6" max="6" width="14.7109375" style="125" customWidth="1"/>
    <col min="7" max="7" width="13.28515625" style="125" customWidth="1"/>
    <col min="8" max="8" width="12.5703125" style="52" customWidth="1"/>
    <col min="9" max="9" width="13.7109375" style="52" customWidth="1"/>
    <col min="10" max="10" width="9.28515625" style="52" bestFit="1" customWidth="1"/>
    <col min="11" max="11" width="12" style="52" bestFit="1" customWidth="1"/>
    <col min="12" max="16" width="9.140625" style="52"/>
    <col min="17" max="16384" width="9.140625" style="1"/>
  </cols>
  <sheetData>
    <row r="1" spans="1:36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Panel'!B11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1:36" s="209" customFormat="1" ht="14.6" customHeight="1">
      <c r="C2" s="209" t="s">
        <v>871</v>
      </c>
      <c r="D2" s="209">
        <f>'Financial summary'!E5</f>
        <v>1</v>
      </c>
      <c r="E2" s="209">
        <f>INDEX(D18:D21,D2)</f>
        <v>0</v>
      </c>
      <c r="I2" s="209" t="s">
        <v>693</v>
      </c>
      <c r="J2" s="209">
        <f>'Control Panel'!B5</f>
        <v>5</v>
      </c>
    </row>
    <row r="3" spans="1:36">
      <c r="B3" s="28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36">
      <c r="B4" s="28"/>
      <c r="C4" s="180" t="s">
        <v>692</v>
      </c>
      <c r="D4" s="180">
        <v>1</v>
      </c>
      <c r="E4" s="180">
        <f>D4+1</f>
        <v>2</v>
      </c>
      <c r="F4" s="180">
        <f t="shared" ref="F4:Q4" si="0">E4+1</f>
        <v>3</v>
      </c>
      <c r="G4" s="180">
        <f t="shared" si="0"/>
        <v>4</v>
      </c>
      <c r="H4" s="180">
        <f t="shared" si="0"/>
        <v>5</v>
      </c>
      <c r="I4" s="180">
        <f t="shared" si="0"/>
        <v>6</v>
      </c>
      <c r="J4" s="180">
        <f t="shared" si="0"/>
        <v>7</v>
      </c>
      <c r="K4" s="180">
        <f t="shared" si="0"/>
        <v>8</v>
      </c>
      <c r="L4" s="180">
        <f t="shared" si="0"/>
        <v>9</v>
      </c>
      <c r="M4" s="180">
        <f t="shared" si="0"/>
        <v>10</v>
      </c>
      <c r="N4" s="180">
        <f t="shared" si="0"/>
        <v>11</v>
      </c>
      <c r="O4" s="180">
        <f t="shared" si="0"/>
        <v>12</v>
      </c>
      <c r="P4" s="180">
        <f t="shared" si="0"/>
        <v>13</v>
      </c>
      <c r="Q4" s="180">
        <f t="shared" si="0"/>
        <v>14</v>
      </c>
      <c r="R4" s="180">
        <f t="shared" ref="R4:T4" si="1">Q4+1</f>
        <v>15</v>
      </c>
      <c r="S4" s="180">
        <f t="shared" si="1"/>
        <v>16</v>
      </c>
      <c r="T4" s="180">
        <f t="shared" si="1"/>
        <v>17</v>
      </c>
    </row>
    <row r="5" spans="1:36" s="34" customFormat="1" ht="14.6" customHeight="1">
      <c r="B5" s="28"/>
      <c r="C5" s="307" t="s">
        <v>719</v>
      </c>
      <c r="D5" s="307">
        <f>DATE('Control Panel'!B4,'Control Panel'!B6,'Control Panel'!B7)</f>
        <v>42004</v>
      </c>
      <c r="E5" s="307">
        <f>E6*EOMONTH(D5,12)+E7*$J$1</f>
        <v>42369</v>
      </c>
      <c r="F5" s="307">
        <f t="shared" ref="F5:Q5" si="2">F6*EOMONTH(E5,12)+F7*$J$1</f>
        <v>42735</v>
      </c>
      <c r="G5" s="307">
        <f t="shared" si="2"/>
        <v>43100</v>
      </c>
      <c r="H5" s="307">
        <f t="shared" si="2"/>
        <v>43465</v>
      </c>
      <c r="I5" s="307">
        <f t="shared" si="2"/>
        <v>0</v>
      </c>
      <c r="J5" s="307">
        <f t="shared" si="2"/>
        <v>0</v>
      </c>
      <c r="K5" s="307">
        <f t="shared" si="2"/>
        <v>0</v>
      </c>
      <c r="L5" s="307">
        <f t="shared" si="2"/>
        <v>0</v>
      </c>
      <c r="M5" s="307">
        <f t="shared" si="2"/>
        <v>0</v>
      </c>
      <c r="N5" s="307">
        <f t="shared" si="2"/>
        <v>0</v>
      </c>
      <c r="O5" s="307">
        <f t="shared" si="2"/>
        <v>0</v>
      </c>
      <c r="P5" s="307">
        <f t="shared" si="2"/>
        <v>0</v>
      </c>
      <c r="Q5" s="307">
        <f t="shared" si="2"/>
        <v>0</v>
      </c>
      <c r="R5" s="307">
        <f t="shared" ref="R5" si="3">R6*EOMONTH(Q5,12)+R7*$J$1</f>
        <v>0</v>
      </c>
      <c r="S5" s="307">
        <f t="shared" ref="S5" si="4">S6*EOMONTH(R5,12)+S7*$J$1</f>
        <v>0</v>
      </c>
      <c r="T5" s="307">
        <f t="shared" ref="T5" si="5">T6*EOMONTH(S5,12)+T7*$J$1</f>
        <v>0</v>
      </c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</row>
    <row r="6" spans="1:36">
      <c r="B6" s="28"/>
      <c r="C6" s="28" t="s">
        <v>686</v>
      </c>
      <c r="D6" s="28" t="b">
        <f>D4&lt;=$J$2</f>
        <v>1</v>
      </c>
      <c r="E6" s="28" t="b">
        <f t="shared" ref="E6:Q6" si="6">E4&lt;=$J$2</f>
        <v>1</v>
      </c>
      <c r="F6" s="28" t="b">
        <f t="shared" si="6"/>
        <v>1</v>
      </c>
      <c r="G6" s="28" t="b">
        <f t="shared" si="6"/>
        <v>1</v>
      </c>
      <c r="H6" s="28" t="b">
        <f t="shared" si="6"/>
        <v>1</v>
      </c>
      <c r="I6" s="28" t="b">
        <f t="shared" si="6"/>
        <v>0</v>
      </c>
      <c r="J6" s="28" t="b">
        <f t="shared" si="6"/>
        <v>0</v>
      </c>
      <c r="K6" s="28" t="b">
        <f t="shared" si="6"/>
        <v>0</v>
      </c>
      <c r="L6" s="28" t="b">
        <f t="shared" si="6"/>
        <v>0</v>
      </c>
      <c r="M6" s="28" t="b">
        <f t="shared" si="6"/>
        <v>0</v>
      </c>
      <c r="N6" s="28" t="b">
        <f t="shared" si="6"/>
        <v>0</v>
      </c>
      <c r="O6" s="28" t="b">
        <f t="shared" si="6"/>
        <v>0</v>
      </c>
      <c r="P6" s="28" t="b">
        <f t="shared" si="6"/>
        <v>0</v>
      </c>
      <c r="Q6" s="28" t="b">
        <f t="shared" si="6"/>
        <v>0</v>
      </c>
      <c r="R6" s="28" t="b">
        <f t="shared" ref="R6:T6" si="7">R4&lt;=$J$2</f>
        <v>0</v>
      </c>
      <c r="S6" s="28" t="b">
        <f t="shared" si="7"/>
        <v>0</v>
      </c>
      <c r="T6" s="28" t="b">
        <f t="shared" si="7"/>
        <v>0</v>
      </c>
    </row>
    <row r="7" spans="1:36">
      <c r="B7" s="28"/>
      <c r="C7" s="28" t="s">
        <v>687</v>
      </c>
      <c r="D7" s="28" t="b">
        <f t="shared" ref="D7:Q7" si="8">(D4=$J$2+1)*stub_switch=1</f>
        <v>0</v>
      </c>
      <c r="E7" s="28" t="b">
        <f t="shared" si="8"/>
        <v>0</v>
      </c>
      <c r="F7" s="28" t="b">
        <f t="shared" si="8"/>
        <v>0</v>
      </c>
      <c r="G7" s="28" t="b">
        <f t="shared" si="8"/>
        <v>0</v>
      </c>
      <c r="H7" s="28" t="b">
        <f t="shared" si="8"/>
        <v>0</v>
      </c>
      <c r="I7" s="28" t="b">
        <f t="shared" si="8"/>
        <v>0</v>
      </c>
      <c r="J7" s="28" t="b">
        <f t="shared" si="8"/>
        <v>0</v>
      </c>
      <c r="K7" s="28" t="b">
        <f t="shared" si="8"/>
        <v>0</v>
      </c>
      <c r="L7" s="28" t="b">
        <f t="shared" si="8"/>
        <v>0</v>
      </c>
      <c r="M7" s="28" t="b">
        <f t="shared" si="8"/>
        <v>0</v>
      </c>
      <c r="N7" s="28" t="b">
        <f t="shared" si="8"/>
        <v>0</v>
      </c>
      <c r="O7" s="28" t="b">
        <f t="shared" si="8"/>
        <v>0</v>
      </c>
      <c r="P7" s="28" t="b">
        <f t="shared" si="8"/>
        <v>0</v>
      </c>
      <c r="Q7" s="28" t="b">
        <f t="shared" si="8"/>
        <v>0</v>
      </c>
      <c r="R7" s="28" t="b">
        <f t="shared" ref="R7:T7" si="9">(R4=$J$2+1)*stub_switch=1</f>
        <v>0</v>
      </c>
      <c r="S7" s="28" t="b">
        <f t="shared" si="9"/>
        <v>0</v>
      </c>
      <c r="T7" s="28" t="b">
        <f t="shared" si="9"/>
        <v>0</v>
      </c>
    </row>
    <row r="8" spans="1:36">
      <c r="A8" s="113"/>
      <c r="B8" s="113"/>
      <c r="C8" s="114"/>
      <c r="D8" s="113"/>
      <c r="E8" s="113"/>
      <c r="F8" s="113"/>
      <c r="G8" s="113"/>
      <c r="H8" s="1"/>
      <c r="I8" s="1"/>
      <c r="J8" s="1"/>
      <c r="K8" s="1"/>
      <c r="L8" s="1"/>
      <c r="M8" s="1"/>
      <c r="N8" s="1"/>
      <c r="O8" s="1"/>
      <c r="P8" s="1"/>
    </row>
    <row r="9" spans="1:36">
      <c r="A9" s="113" t="s">
        <v>193</v>
      </c>
      <c r="B9" s="113"/>
      <c r="C9" s="113" t="s">
        <v>194</v>
      </c>
      <c r="D9" s="115">
        <f>D11</f>
        <v>42004</v>
      </c>
      <c r="E9" s="115">
        <f>E11</f>
        <v>42369</v>
      </c>
      <c r="F9" s="115">
        <f>F11</f>
        <v>42735</v>
      </c>
      <c r="G9" s="115">
        <f>G11</f>
        <v>43100</v>
      </c>
      <c r="H9" s="115">
        <f t="shared" ref="H9:T9" si="10">H11</f>
        <v>43465</v>
      </c>
      <c r="I9" s="115">
        <f t="shared" si="10"/>
        <v>0</v>
      </c>
      <c r="J9" s="115">
        <f t="shared" si="10"/>
        <v>0</v>
      </c>
      <c r="K9" s="115">
        <f t="shared" si="10"/>
        <v>0</v>
      </c>
      <c r="L9" s="115">
        <f t="shared" si="10"/>
        <v>0</v>
      </c>
      <c r="M9" s="115">
        <f t="shared" si="10"/>
        <v>0</v>
      </c>
      <c r="N9" s="115">
        <f t="shared" si="10"/>
        <v>0</v>
      </c>
      <c r="O9" s="115">
        <f t="shared" si="10"/>
        <v>0</v>
      </c>
      <c r="P9" s="115">
        <f t="shared" si="10"/>
        <v>0</v>
      </c>
      <c r="Q9" s="115">
        <f t="shared" si="10"/>
        <v>0</v>
      </c>
      <c r="R9" s="115">
        <f t="shared" si="10"/>
        <v>0</v>
      </c>
      <c r="S9" s="115">
        <f t="shared" si="10"/>
        <v>0</v>
      </c>
      <c r="T9" s="115">
        <f t="shared" si="10"/>
        <v>0</v>
      </c>
    </row>
    <row r="10" spans="1:36">
      <c r="A10" s="113" t="s">
        <v>195</v>
      </c>
      <c r="B10" s="113"/>
      <c r="C10" s="113" t="s">
        <v>196</v>
      </c>
      <c r="D10" s="113">
        <v>365</v>
      </c>
      <c r="E10" s="116">
        <f>E11-D11</f>
        <v>365</v>
      </c>
      <c r="F10" s="116">
        <f>F11-E11</f>
        <v>366</v>
      </c>
      <c r="G10" s="116">
        <f>G11-F11</f>
        <v>365</v>
      </c>
      <c r="H10" s="116">
        <f t="shared" ref="H10:T10" si="11">H11-G11</f>
        <v>365</v>
      </c>
      <c r="I10" s="116">
        <f t="shared" si="11"/>
        <v>-43465</v>
      </c>
      <c r="J10" s="116">
        <f t="shared" si="11"/>
        <v>0</v>
      </c>
      <c r="K10" s="116">
        <f t="shared" si="11"/>
        <v>0</v>
      </c>
      <c r="L10" s="116">
        <f t="shared" si="11"/>
        <v>0</v>
      </c>
      <c r="M10" s="116">
        <f t="shared" si="11"/>
        <v>0</v>
      </c>
      <c r="N10" s="116">
        <f t="shared" si="11"/>
        <v>0</v>
      </c>
      <c r="O10" s="116">
        <f t="shared" si="11"/>
        <v>0</v>
      </c>
      <c r="P10" s="116">
        <f t="shared" si="11"/>
        <v>0</v>
      </c>
      <c r="Q10" s="116">
        <f t="shared" si="11"/>
        <v>0</v>
      </c>
      <c r="R10" s="116">
        <f t="shared" si="11"/>
        <v>0</v>
      </c>
      <c r="S10" s="116">
        <f t="shared" si="11"/>
        <v>0</v>
      </c>
      <c r="T10" s="116">
        <f t="shared" si="11"/>
        <v>0</v>
      </c>
    </row>
    <row r="11" spans="1:36">
      <c r="A11" s="113" t="s">
        <v>197</v>
      </c>
      <c r="B11" s="113"/>
      <c r="C11" s="113" t="s">
        <v>198</v>
      </c>
      <c r="D11" s="117">
        <f>D5</f>
        <v>42004</v>
      </c>
      <c r="E11" s="117">
        <f t="shared" ref="E11:T11" si="12">E5</f>
        <v>42369</v>
      </c>
      <c r="F11" s="117">
        <f t="shared" si="12"/>
        <v>42735</v>
      </c>
      <c r="G11" s="117">
        <f t="shared" si="12"/>
        <v>43100</v>
      </c>
      <c r="H11" s="117">
        <f t="shared" si="12"/>
        <v>43465</v>
      </c>
      <c r="I11" s="117">
        <f t="shared" si="12"/>
        <v>0</v>
      </c>
      <c r="J11" s="117">
        <f t="shared" si="12"/>
        <v>0</v>
      </c>
      <c r="K11" s="117">
        <f t="shared" si="12"/>
        <v>0</v>
      </c>
      <c r="L11" s="117">
        <f t="shared" si="12"/>
        <v>0</v>
      </c>
      <c r="M11" s="117">
        <f t="shared" si="12"/>
        <v>0</v>
      </c>
      <c r="N11" s="117">
        <f t="shared" si="12"/>
        <v>0</v>
      </c>
      <c r="O11" s="117">
        <f t="shared" si="12"/>
        <v>0</v>
      </c>
      <c r="P11" s="117">
        <f t="shared" si="12"/>
        <v>0</v>
      </c>
      <c r="Q11" s="117">
        <f t="shared" si="12"/>
        <v>0</v>
      </c>
      <c r="R11" s="117">
        <f t="shared" si="12"/>
        <v>0</v>
      </c>
      <c r="S11" s="117">
        <f t="shared" si="12"/>
        <v>0</v>
      </c>
      <c r="T11" s="117">
        <f t="shared" si="12"/>
        <v>0</v>
      </c>
    </row>
    <row r="12" spans="1:36">
      <c r="A12" s="113" t="s">
        <v>199</v>
      </c>
      <c r="B12" s="113"/>
      <c r="C12" s="113" t="s">
        <v>977</v>
      </c>
      <c r="D12" s="118" t="s">
        <v>978</v>
      </c>
      <c r="E12" s="118" t="s">
        <v>978</v>
      </c>
      <c r="F12" s="118" t="s">
        <v>978</v>
      </c>
      <c r="G12" s="118" t="s">
        <v>978</v>
      </c>
      <c r="H12" s="118" t="s">
        <v>978</v>
      </c>
      <c r="I12" s="118" t="s">
        <v>978</v>
      </c>
      <c r="J12" s="118" t="s">
        <v>978</v>
      </c>
      <c r="K12" s="118" t="s">
        <v>978</v>
      </c>
      <c r="L12" s="118" t="s">
        <v>978</v>
      </c>
      <c r="M12" s="118" t="s">
        <v>978</v>
      </c>
      <c r="N12" s="118" t="s">
        <v>978</v>
      </c>
      <c r="O12" s="118" t="s">
        <v>978</v>
      </c>
      <c r="P12" s="118" t="s">
        <v>978</v>
      </c>
      <c r="Q12" s="118" t="s">
        <v>978</v>
      </c>
      <c r="R12" s="118" t="s">
        <v>978</v>
      </c>
      <c r="S12" s="118" t="s">
        <v>978</v>
      </c>
      <c r="T12" s="118" t="s">
        <v>978</v>
      </c>
    </row>
    <row r="13" spans="1:36" ht="15.15" thickBot="1">
      <c r="A13" s="119" t="s">
        <v>200</v>
      </c>
      <c r="B13" s="119"/>
      <c r="C13" s="119" t="s">
        <v>979</v>
      </c>
      <c r="D13" s="120">
        <f>D9</f>
        <v>42004</v>
      </c>
      <c r="E13" s="120">
        <f>E9</f>
        <v>42369</v>
      </c>
      <c r="F13" s="120">
        <f>F9</f>
        <v>42735</v>
      </c>
      <c r="G13" s="120">
        <f>G9</f>
        <v>43100</v>
      </c>
      <c r="H13" s="120">
        <f t="shared" ref="H13:T13" si="13">H9</f>
        <v>43465</v>
      </c>
      <c r="I13" s="120">
        <f t="shared" si="13"/>
        <v>0</v>
      </c>
      <c r="J13" s="120">
        <f t="shared" si="13"/>
        <v>0</v>
      </c>
      <c r="K13" s="120">
        <f t="shared" si="13"/>
        <v>0</v>
      </c>
      <c r="L13" s="120">
        <f t="shared" si="13"/>
        <v>0</v>
      </c>
      <c r="M13" s="120">
        <f t="shared" si="13"/>
        <v>0</v>
      </c>
      <c r="N13" s="120">
        <f t="shared" si="13"/>
        <v>0</v>
      </c>
      <c r="O13" s="120">
        <f t="shared" si="13"/>
        <v>0</v>
      </c>
      <c r="P13" s="120">
        <f t="shared" si="13"/>
        <v>0</v>
      </c>
      <c r="Q13" s="120">
        <f t="shared" si="13"/>
        <v>0</v>
      </c>
      <c r="R13" s="120">
        <f t="shared" si="13"/>
        <v>0</v>
      </c>
      <c r="S13" s="120">
        <f t="shared" si="13"/>
        <v>0</v>
      </c>
      <c r="T13" s="120">
        <f t="shared" si="13"/>
        <v>0</v>
      </c>
    </row>
    <row r="14" spans="1:36">
      <c r="A14" s="111" t="s">
        <v>169</v>
      </c>
      <c r="B14" s="111"/>
      <c r="C14" s="111" t="s">
        <v>170</v>
      </c>
      <c r="D14" s="789">
        <f t="shared" ref="D14:T14" si="14">IFERROR(SUMIF($A$89:$A$418,$A14,INDEX($D$89:$EE$418,0,MATCH(D$11,$D$84:$EF$84,0))),0)*Input_unit</f>
        <v>0</v>
      </c>
      <c r="E14" s="789">
        <f t="shared" si="14"/>
        <v>0</v>
      </c>
      <c r="F14" s="789">
        <f t="shared" si="14"/>
        <v>0</v>
      </c>
      <c r="G14" s="789">
        <f t="shared" si="14"/>
        <v>0</v>
      </c>
      <c r="H14" s="789">
        <f t="shared" si="14"/>
        <v>0</v>
      </c>
      <c r="I14" s="111">
        <f t="shared" si="14"/>
        <v>0</v>
      </c>
      <c r="J14" s="111">
        <f t="shared" si="14"/>
        <v>0</v>
      </c>
      <c r="K14" s="111">
        <f t="shared" si="14"/>
        <v>0</v>
      </c>
      <c r="L14" s="111">
        <f t="shared" si="14"/>
        <v>0</v>
      </c>
      <c r="M14" s="111">
        <f t="shared" si="14"/>
        <v>0</v>
      </c>
      <c r="N14" s="111">
        <f t="shared" si="14"/>
        <v>0</v>
      </c>
      <c r="O14" s="111">
        <f t="shared" si="14"/>
        <v>0</v>
      </c>
      <c r="P14" s="111">
        <f t="shared" si="14"/>
        <v>0</v>
      </c>
      <c r="Q14" s="111">
        <f t="shared" si="14"/>
        <v>0</v>
      </c>
      <c r="R14" s="111">
        <f t="shared" si="14"/>
        <v>0</v>
      </c>
      <c r="S14" s="111">
        <f t="shared" si="14"/>
        <v>0</v>
      </c>
      <c r="T14" s="111">
        <f t="shared" si="14"/>
        <v>0</v>
      </c>
    </row>
    <row r="15" spans="1:36">
      <c r="A15" s="56" t="s">
        <v>180</v>
      </c>
      <c r="B15" s="56"/>
      <c r="C15" s="56" t="s">
        <v>968</v>
      </c>
      <c r="D15" s="756">
        <f t="shared" ref="D15:T15" si="15">-IFERROR(SUMIF($A$89:$A$418,$A15,INDEX($D$89:$EE$418,0,MATCH(D$11,$D$84:$EF$84,0))),0)*Input_unit</f>
        <v>0</v>
      </c>
      <c r="E15" s="756">
        <f t="shared" si="15"/>
        <v>0</v>
      </c>
      <c r="F15" s="756">
        <f t="shared" si="15"/>
        <v>0</v>
      </c>
      <c r="G15" s="756">
        <f t="shared" si="15"/>
        <v>0</v>
      </c>
      <c r="H15" s="756">
        <f t="shared" si="15"/>
        <v>0</v>
      </c>
      <c r="I15" s="56">
        <f t="shared" si="15"/>
        <v>0</v>
      </c>
      <c r="J15" s="56">
        <f t="shared" si="15"/>
        <v>0</v>
      </c>
      <c r="K15" s="56">
        <f t="shared" si="15"/>
        <v>0</v>
      </c>
      <c r="L15" s="56">
        <f t="shared" si="15"/>
        <v>0</v>
      </c>
      <c r="M15" s="56">
        <f t="shared" si="15"/>
        <v>0</v>
      </c>
      <c r="N15" s="56">
        <f t="shared" si="15"/>
        <v>0</v>
      </c>
      <c r="O15" s="56">
        <f t="shared" si="15"/>
        <v>0</v>
      </c>
      <c r="P15" s="56">
        <f t="shared" si="15"/>
        <v>0</v>
      </c>
      <c r="Q15" s="56">
        <f t="shared" si="15"/>
        <v>0</v>
      </c>
      <c r="R15" s="56">
        <f t="shared" si="15"/>
        <v>0</v>
      </c>
      <c r="S15" s="56">
        <f t="shared" si="15"/>
        <v>0</v>
      </c>
      <c r="T15" s="56">
        <f t="shared" si="15"/>
        <v>0</v>
      </c>
    </row>
    <row r="16" spans="1:36">
      <c r="A16" s="98"/>
      <c r="B16" s="98"/>
      <c r="C16" s="98" t="s">
        <v>969</v>
      </c>
      <c r="D16" s="757">
        <f>SUM(D14:D15)</f>
        <v>0</v>
      </c>
      <c r="E16" s="757">
        <f t="shared" ref="E16:T16" si="16">SUM(E14:E15)</f>
        <v>0</v>
      </c>
      <c r="F16" s="757">
        <f t="shared" si="16"/>
        <v>0</v>
      </c>
      <c r="G16" s="757">
        <f t="shared" si="16"/>
        <v>0</v>
      </c>
      <c r="H16" s="757">
        <f t="shared" si="16"/>
        <v>0</v>
      </c>
      <c r="I16" s="98">
        <f t="shared" si="16"/>
        <v>0</v>
      </c>
      <c r="J16" s="98">
        <f t="shared" si="16"/>
        <v>0</v>
      </c>
      <c r="K16" s="98">
        <f t="shared" si="16"/>
        <v>0</v>
      </c>
      <c r="L16" s="98">
        <f t="shared" si="16"/>
        <v>0</v>
      </c>
      <c r="M16" s="98">
        <f t="shared" si="16"/>
        <v>0</v>
      </c>
      <c r="N16" s="98">
        <f t="shared" si="16"/>
        <v>0</v>
      </c>
      <c r="O16" s="98">
        <f t="shared" si="16"/>
        <v>0</v>
      </c>
      <c r="P16" s="98">
        <f t="shared" si="16"/>
        <v>0</v>
      </c>
      <c r="Q16" s="98">
        <f t="shared" si="16"/>
        <v>0</v>
      </c>
      <c r="R16" s="98">
        <f t="shared" si="16"/>
        <v>0</v>
      </c>
      <c r="S16" s="98">
        <f t="shared" si="16"/>
        <v>0</v>
      </c>
      <c r="T16" s="98">
        <f t="shared" si="16"/>
        <v>0</v>
      </c>
    </row>
    <row r="17" spans="1:20">
      <c r="A17" s="56" t="s">
        <v>182</v>
      </c>
      <c r="B17" s="56"/>
      <c r="C17" s="56" t="s">
        <v>201</v>
      </c>
      <c r="D17" s="756">
        <f t="shared" ref="D17:M19" si="17">-IFERROR(SUMIF($A$89:$A$418,$A17,INDEX($D$89:$EE$418,0,MATCH(D$11,$D$84:$EF$84,0))),0)*Input_unit</f>
        <v>0</v>
      </c>
      <c r="E17" s="756">
        <f t="shared" si="17"/>
        <v>0</v>
      </c>
      <c r="F17" s="756">
        <f t="shared" si="17"/>
        <v>0</v>
      </c>
      <c r="G17" s="756">
        <f t="shared" si="17"/>
        <v>0</v>
      </c>
      <c r="H17" s="756">
        <f t="shared" si="17"/>
        <v>0</v>
      </c>
      <c r="I17" s="56">
        <f t="shared" si="17"/>
        <v>0</v>
      </c>
      <c r="J17" s="56">
        <f t="shared" si="17"/>
        <v>0</v>
      </c>
      <c r="K17" s="56">
        <f t="shared" si="17"/>
        <v>0</v>
      </c>
      <c r="L17" s="56">
        <f t="shared" si="17"/>
        <v>0</v>
      </c>
      <c r="M17" s="56">
        <f t="shared" si="17"/>
        <v>0</v>
      </c>
      <c r="N17" s="56">
        <f t="shared" ref="N17:T19" si="18">-IFERROR(SUMIF($A$89:$A$418,$A17,INDEX($D$89:$EE$418,0,MATCH(N$11,$D$84:$EF$84,0))),0)*Input_unit</f>
        <v>0</v>
      </c>
      <c r="O17" s="56">
        <f t="shared" si="18"/>
        <v>0</v>
      </c>
      <c r="P17" s="56">
        <f t="shared" si="18"/>
        <v>0</v>
      </c>
      <c r="Q17" s="56">
        <f t="shared" si="18"/>
        <v>0</v>
      </c>
      <c r="R17" s="56">
        <f t="shared" si="18"/>
        <v>0</v>
      </c>
      <c r="S17" s="56">
        <f t="shared" si="18"/>
        <v>0</v>
      </c>
      <c r="T17" s="56">
        <f t="shared" si="18"/>
        <v>0</v>
      </c>
    </row>
    <row r="18" spans="1:20">
      <c r="A18" s="56" t="s">
        <v>608</v>
      </c>
      <c r="B18" s="56"/>
      <c r="C18" s="56" t="s">
        <v>970</v>
      </c>
      <c r="D18" s="756">
        <f t="shared" si="17"/>
        <v>0</v>
      </c>
      <c r="E18" s="756">
        <f t="shared" si="17"/>
        <v>0</v>
      </c>
      <c r="F18" s="756">
        <f t="shared" si="17"/>
        <v>0</v>
      </c>
      <c r="G18" s="756">
        <f t="shared" si="17"/>
        <v>0</v>
      </c>
      <c r="H18" s="756">
        <f t="shared" si="17"/>
        <v>0</v>
      </c>
      <c r="I18" s="56">
        <f t="shared" si="17"/>
        <v>0</v>
      </c>
      <c r="J18" s="56">
        <f t="shared" si="17"/>
        <v>0</v>
      </c>
      <c r="K18" s="56">
        <f t="shared" si="17"/>
        <v>0</v>
      </c>
      <c r="L18" s="56">
        <f t="shared" si="17"/>
        <v>0</v>
      </c>
      <c r="M18" s="56">
        <f t="shared" si="17"/>
        <v>0</v>
      </c>
      <c r="N18" s="56">
        <f t="shared" si="18"/>
        <v>0</v>
      </c>
      <c r="O18" s="56">
        <f t="shared" si="18"/>
        <v>0</v>
      </c>
      <c r="P18" s="56">
        <f t="shared" si="18"/>
        <v>0</v>
      </c>
      <c r="Q18" s="56">
        <f t="shared" si="18"/>
        <v>0</v>
      </c>
      <c r="R18" s="56">
        <f t="shared" si="18"/>
        <v>0</v>
      </c>
      <c r="S18" s="56">
        <f t="shared" si="18"/>
        <v>0</v>
      </c>
      <c r="T18" s="56">
        <f t="shared" si="18"/>
        <v>0</v>
      </c>
    </row>
    <row r="19" spans="1:20">
      <c r="A19" s="56" t="s">
        <v>611</v>
      </c>
      <c r="B19" s="56"/>
      <c r="C19" s="56" t="s">
        <v>971</v>
      </c>
      <c r="D19" s="756">
        <f t="shared" si="17"/>
        <v>0</v>
      </c>
      <c r="E19" s="756">
        <f t="shared" si="17"/>
        <v>0</v>
      </c>
      <c r="F19" s="756">
        <f t="shared" si="17"/>
        <v>0</v>
      </c>
      <c r="G19" s="756">
        <f t="shared" si="17"/>
        <v>0</v>
      </c>
      <c r="H19" s="756">
        <f t="shared" si="17"/>
        <v>0</v>
      </c>
      <c r="I19" s="56">
        <f t="shared" si="17"/>
        <v>0</v>
      </c>
      <c r="J19" s="56">
        <f t="shared" si="17"/>
        <v>0</v>
      </c>
      <c r="K19" s="56">
        <f t="shared" si="17"/>
        <v>0</v>
      </c>
      <c r="L19" s="56">
        <f t="shared" si="17"/>
        <v>0</v>
      </c>
      <c r="M19" s="56">
        <f t="shared" si="17"/>
        <v>0</v>
      </c>
      <c r="N19" s="56">
        <f t="shared" si="18"/>
        <v>0</v>
      </c>
      <c r="O19" s="56">
        <f t="shared" si="18"/>
        <v>0</v>
      </c>
      <c r="P19" s="56">
        <f t="shared" si="18"/>
        <v>0</v>
      </c>
      <c r="Q19" s="56">
        <f t="shared" si="18"/>
        <v>0</v>
      </c>
      <c r="R19" s="56">
        <f t="shared" si="18"/>
        <v>0</v>
      </c>
      <c r="S19" s="56">
        <f t="shared" si="18"/>
        <v>0</v>
      </c>
      <c r="T19" s="56">
        <f t="shared" si="18"/>
        <v>0</v>
      </c>
    </row>
    <row r="20" spans="1:20">
      <c r="A20" s="56" t="s">
        <v>171</v>
      </c>
      <c r="B20" s="56"/>
      <c r="C20" s="56" t="s">
        <v>972</v>
      </c>
      <c r="D20" s="756">
        <f t="shared" ref="D20:T20" si="19">IFERROR(SUMIF($A$89:$A$418,$A20,INDEX($D$89:$EE$418,0,MATCH(D$11,$D$84:$EF$84,0))),0)*Input_unit</f>
        <v>0</v>
      </c>
      <c r="E20" s="756">
        <f t="shared" si="19"/>
        <v>0</v>
      </c>
      <c r="F20" s="756">
        <f t="shared" si="19"/>
        <v>0</v>
      </c>
      <c r="G20" s="756">
        <f t="shared" si="19"/>
        <v>0</v>
      </c>
      <c r="H20" s="756">
        <f t="shared" si="19"/>
        <v>0</v>
      </c>
      <c r="I20" s="56">
        <f t="shared" si="19"/>
        <v>0</v>
      </c>
      <c r="J20" s="56">
        <f t="shared" si="19"/>
        <v>0</v>
      </c>
      <c r="K20" s="56">
        <f t="shared" si="19"/>
        <v>0</v>
      </c>
      <c r="L20" s="56">
        <f t="shared" si="19"/>
        <v>0</v>
      </c>
      <c r="M20" s="56">
        <f t="shared" si="19"/>
        <v>0</v>
      </c>
      <c r="N20" s="56">
        <f t="shared" si="19"/>
        <v>0</v>
      </c>
      <c r="O20" s="56">
        <f t="shared" si="19"/>
        <v>0</v>
      </c>
      <c r="P20" s="56">
        <f t="shared" si="19"/>
        <v>0</v>
      </c>
      <c r="Q20" s="56">
        <f t="shared" si="19"/>
        <v>0</v>
      </c>
      <c r="R20" s="56">
        <f t="shared" si="19"/>
        <v>0</v>
      </c>
      <c r="S20" s="56">
        <f t="shared" si="19"/>
        <v>0</v>
      </c>
      <c r="T20" s="56">
        <f t="shared" si="19"/>
        <v>0</v>
      </c>
    </row>
    <row r="21" spans="1:20">
      <c r="A21" s="56"/>
      <c r="B21" s="56"/>
      <c r="C21" s="112" t="s">
        <v>973</v>
      </c>
      <c r="D21" s="790">
        <f t="shared" ref="D21:T21" si="20">depr_inc*(-D23-D24)</f>
        <v>0</v>
      </c>
      <c r="E21" s="790">
        <f t="shared" si="20"/>
        <v>0</v>
      </c>
      <c r="F21" s="790">
        <f t="shared" si="20"/>
        <v>0</v>
      </c>
      <c r="G21" s="790">
        <f t="shared" si="20"/>
        <v>0</v>
      </c>
      <c r="H21" s="790">
        <f t="shared" si="20"/>
        <v>0</v>
      </c>
      <c r="I21" s="112">
        <f t="shared" si="20"/>
        <v>0</v>
      </c>
      <c r="J21" s="112">
        <f t="shared" si="20"/>
        <v>0</v>
      </c>
      <c r="K21" s="112">
        <f t="shared" si="20"/>
        <v>0</v>
      </c>
      <c r="L21" s="112">
        <f t="shared" si="20"/>
        <v>0</v>
      </c>
      <c r="M21" s="112">
        <f t="shared" si="20"/>
        <v>0</v>
      </c>
      <c r="N21" s="112">
        <f t="shared" si="20"/>
        <v>0</v>
      </c>
      <c r="O21" s="112">
        <f t="shared" si="20"/>
        <v>0</v>
      </c>
      <c r="P21" s="112">
        <f t="shared" si="20"/>
        <v>0</v>
      </c>
      <c r="Q21" s="112">
        <f t="shared" si="20"/>
        <v>0</v>
      </c>
      <c r="R21" s="112">
        <f t="shared" si="20"/>
        <v>0</v>
      </c>
      <c r="S21" s="112">
        <f t="shared" si="20"/>
        <v>0</v>
      </c>
      <c r="T21" s="112">
        <f t="shared" si="20"/>
        <v>0</v>
      </c>
    </row>
    <row r="22" spans="1:20">
      <c r="A22" s="56"/>
      <c r="B22" s="56"/>
      <c r="C22" s="98" t="s">
        <v>684</v>
      </c>
      <c r="D22" s="757">
        <f>SUM(D16:D21)</f>
        <v>0</v>
      </c>
      <c r="E22" s="757">
        <f t="shared" ref="E22:T22" si="21">SUM(E16:E21)</f>
        <v>0</v>
      </c>
      <c r="F22" s="757">
        <f t="shared" si="21"/>
        <v>0</v>
      </c>
      <c r="G22" s="757">
        <f t="shared" si="21"/>
        <v>0</v>
      </c>
      <c r="H22" s="757">
        <f>SUM(H16:H21)</f>
        <v>0</v>
      </c>
      <c r="I22" s="98">
        <f t="shared" si="21"/>
        <v>0</v>
      </c>
      <c r="J22" s="98">
        <f t="shared" si="21"/>
        <v>0</v>
      </c>
      <c r="K22" s="98">
        <f t="shared" si="21"/>
        <v>0</v>
      </c>
      <c r="L22" s="98">
        <f t="shared" si="21"/>
        <v>0</v>
      </c>
      <c r="M22" s="98">
        <f t="shared" si="21"/>
        <v>0</v>
      </c>
      <c r="N22" s="98">
        <f t="shared" si="21"/>
        <v>0</v>
      </c>
      <c r="O22" s="98">
        <f t="shared" si="21"/>
        <v>0</v>
      </c>
      <c r="P22" s="98">
        <f t="shared" si="21"/>
        <v>0</v>
      </c>
      <c r="Q22" s="98">
        <f t="shared" si="21"/>
        <v>0</v>
      </c>
      <c r="R22" s="98">
        <f t="shared" si="21"/>
        <v>0</v>
      </c>
      <c r="S22" s="98">
        <f t="shared" si="21"/>
        <v>0</v>
      </c>
      <c r="T22" s="98">
        <f t="shared" si="21"/>
        <v>0</v>
      </c>
    </row>
    <row r="23" spans="1:20">
      <c r="A23" s="56" t="s">
        <v>675</v>
      </c>
      <c r="B23" s="56"/>
      <c r="C23" s="112" t="s">
        <v>202</v>
      </c>
      <c r="D23" s="790">
        <f t="shared" ref="D23:M24" si="22">-IFERROR(SUMIF($A$89:$A$418,$A23,INDEX($D$89:$EE$418,0,MATCH(D$11,$D$84:$EF$84,0))),0)*Input_unit</f>
        <v>0</v>
      </c>
      <c r="E23" s="790">
        <f t="shared" si="22"/>
        <v>0</v>
      </c>
      <c r="F23" s="790">
        <f t="shared" si="22"/>
        <v>0</v>
      </c>
      <c r="G23" s="790">
        <f t="shared" si="22"/>
        <v>0</v>
      </c>
      <c r="H23" s="790">
        <f t="shared" si="22"/>
        <v>0</v>
      </c>
      <c r="I23" s="112">
        <f t="shared" si="22"/>
        <v>0</v>
      </c>
      <c r="J23" s="112">
        <f t="shared" si="22"/>
        <v>0</v>
      </c>
      <c r="K23" s="112">
        <f t="shared" si="22"/>
        <v>0</v>
      </c>
      <c r="L23" s="112">
        <f t="shared" si="22"/>
        <v>0</v>
      </c>
      <c r="M23" s="112">
        <f t="shared" si="22"/>
        <v>0</v>
      </c>
      <c r="N23" s="112">
        <f t="shared" ref="N23:T24" si="23">-IFERROR(SUMIF($A$89:$A$418,$A23,INDEX($D$89:$EE$418,0,MATCH(N$11,$D$84:$EF$84,0))),0)*Input_unit</f>
        <v>0</v>
      </c>
      <c r="O23" s="112">
        <f t="shared" si="23"/>
        <v>0</v>
      </c>
      <c r="P23" s="112">
        <f t="shared" si="23"/>
        <v>0</v>
      </c>
      <c r="Q23" s="112">
        <f t="shared" si="23"/>
        <v>0</v>
      </c>
      <c r="R23" s="112">
        <f t="shared" si="23"/>
        <v>0</v>
      </c>
      <c r="S23" s="112">
        <f t="shared" si="23"/>
        <v>0</v>
      </c>
      <c r="T23" s="112">
        <f t="shared" si="23"/>
        <v>0</v>
      </c>
    </row>
    <row r="24" spans="1:20">
      <c r="A24" s="56" t="s">
        <v>676</v>
      </c>
      <c r="B24" s="56"/>
      <c r="C24" s="112" t="s">
        <v>203</v>
      </c>
      <c r="D24" s="790">
        <f t="shared" si="22"/>
        <v>0</v>
      </c>
      <c r="E24" s="790">
        <f t="shared" si="22"/>
        <v>0</v>
      </c>
      <c r="F24" s="790">
        <f t="shared" si="22"/>
        <v>0</v>
      </c>
      <c r="G24" s="790">
        <f t="shared" si="22"/>
        <v>0</v>
      </c>
      <c r="H24" s="790">
        <f t="shared" si="22"/>
        <v>0</v>
      </c>
      <c r="I24" s="112">
        <f t="shared" si="22"/>
        <v>0</v>
      </c>
      <c r="J24" s="112">
        <f t="shared" si="22"/>
        <v>0</v>
      </c>
      <c r="K24" s="112">
        <f t="shared" si="22"/>
        <v>0</v>
      </c>
      <c r="L24" s="112">
        <f t="shared" si="22"/>
        <v>0</v>
      </c>
      <c r="M24" s="112">
        <f t="shared" si="22"/>
        <v>0</v>
      </c>
      <c r="N24" s="112">
        <f t="shared" si="23"/>
        <v>0</v>
      </c>
      <c r="O24" s="112">
        <f t="shared" si="23"/>
        <v>0</v>
      </c>
      <c r="P24" s="112">
        <f t="shared" si="23"/>
        <v>0</v>
      </c>
      <c r="Q24" s="112">
        <f t="shared" si="23"/>
        <v>0</v>
      </c>
      <c r="R24" s="112">
        <f t="shared" si="23"/>
        <v>0</v>
      </c>
      <c r="S24" s="112">
        <f t="shared" si="23"/>
        <v>0</v>
      </c>
      <c r="T24" s="112">
        <f t="shared" si="23"/>
        <v>0</v>
      </c>
    </row>
    <row r="25" spans="1:20">
      <c r="A25" s="98"/>
      <c r="B25" s="98"/>
      <c r="C25" s="98" t="s">
        <v>204</v>
      </c>
      <c r="D25" s="757">
        <f>SUM(D22:D24)</f>
        <v>0</v>
      </c>
      <c r="E25" s="757">
        <f t="shared" ref="E25:T25" si="24">SUM(E22:E24)</f>
        <v>0</v>
      </c>
      <c r="F25" s="757">
        <f t="shared" si="24"/>
        <v>0</v>
      </c>
      <c r="G25" s="757">
        <f t="shared" si="24"/>
        <v>0</v>
      </c>
      <c r="H25" s="757">
        <f t="shared" si="24"/>
        <v>0</v>
      </c>
      <c r="I25" s="98">
        <f t="shared" si="24"/>
        <v>0</v>
      </c>
      <c r="J25" s="98">
        <f t="shared" si="24"/>
        <v>0</v>
      </c>
      <c r="K25" s="98">
        <f t="shared" si="24"/>
        <v>0</v>
      </c>
      <c r="L25" s="98">
        <f t="shared" si="24"/>
        <v>0</v>
      </c>
      <c r="M25" s="98">
        <f t="shared" si="24"/>
        <v>0</v>
      </c>
      <c r="N25" s="98">
        <f t="shared" si="24"/>
        <v>0</v>
      </c>
      <c r="O25" s="98">
        <f t="shared" si="24"/>
        <v>0</v>
      </c>
      <c r="P25" s="98">
        <f t="shared" si="24"/>
        <v>0</v>
      </c>
      <c r="Q25" s="98">
        <f t="shared" si="24"/>
        <v>0</v>
      </c>
      <c r="R25" s="98">
        <f t="shared" si="24"/>
        <v>0</v>
      </c>
      <c r="S25" s="98">
        <f t="shared" si="24"/>
        <v>0</v>
      </c>
      <c r="T25" s="98">
        <f t="shared" si="24"/>
        <v>0</v>
      </c>
    </row>
    <row r="26" spans="1:20">
      <c r="A26" s="56" t="s">
        <v>628</v>
      </c>
      <c r="B26" s="56"/>
      <c r="C26" s="56" t="s">
        <v>974</v>
      </c>
      <c r="D26" s="756">
        <f t="shared" ref="D26:T26" si="25">IFERROR(SUMIF($A$89:$A$418,$A26,INDEX($D$89:$EE$418,0,MATCH(D$11,$D$84:$EF$84,0))),0)*Input_unit</f>
        <v>0</v>
      </c>
      <c r="E26" s="756">
        <f t="shared" si="25"/>
        <v>0</v>
      </c>
      <c r="F26" s="756">
        <f t="shared" si="25"/>
        <v>0</v>
      </c>
      <c r="G26" s="756">
        <f t="shared" si="25"/>
        <v>0</v>
      </c>
      <c r="H26" s="756">
        <f t="shared" si="25"/>
        <v>0</v>
      </c>
      <c r="I26" s="56">
        <f t="shared" si="25"/>
        <v>0</v>
      </c>
      <c r="J26" s="56">
        <f t="shared" si="25"/>
        <v>0</v>
      </c>
      <c r="K26" s="56">
        <f t="shared" si="25"/>
        <v>0</v>
      </c>
      <c r="L26" s="56">
        <f t="shared" si="25"/>
        <v>0</v>
      </c>
      <c r="M26" s="56">
        <f t="shared" si="25"/>
        <v>0</v>
      </c>
      <c r="N26" s="56">
        <f t="shared" si="25"/>
        <v>0</v>
      </c>
      <c r="O26" s="56">
        <f t="shared" si="25"/>
        <v>0</v>
      </c>
      <c r="P26" s="56">
        <f t="shared" si="25"/>
        <v>0</v>
      </c>
      <c r="Q26" s="56">
        <f t="shared" si="25"/>
        <v>0</v>
      </c>
      <c r="R26" s="56">
        <f t="shared" si="25"/>
        <v>0</v>
      </c>
      <c r="S26" s="56">
        <f t="shared" si="25"/>
        <v>0</v>
      </c>
      <c r="T26" s="56">
        <f t="shared" si="25"/>
        <v>0</v>
      </c>
    </row>
    <row r="27" spans="1:20">
      <c r="A27" s="56" t="s">
        <v>641</v>
      </c>
      <c r="B27" s="56"/>
      <c r="C27" s="97" t="s">
        <v>975</v>
      </c>
      <c r="D27" s="756">
        <f t="shared" ref="D27:M28" si="26">-IFERROR(SUMIF($A$89:$A$418,$A27,INDEX($D$89:$EE$418,0,MATCH(D$11,$D$84:$EF$84,0))),0)*Input_unit</f>
        <v>0</v>
      </c>
      <c r="E27" s="756">
        <f t="shared" si="26"/>
        <v>0</v>
      </c>
      <c r="F27" s="756">
        <f t="shared" si="26"/>
        <v>0</v>
      </c>
      <c r="G27" s="756">
        <f t="shared" si="26"/>
        <v>0</v>
      </c>
      <c r="H27" s="756">
        <f t="shared" si="26"/>
        <v>0</v>
      </c>
      <c r="I27" s="56">
        <f t="shared" si="26"/>
        <v>0</v>
      </c>
      <c r="J27" s="56">
        <f t="shared" si="26"/>
        <v>0</v>
      </c>
      <c r="K27" s="56">
        <f t="shared" si="26"/>
        <v>0</v>
      </c>
      <c r="L27" s="56">
        <f t="shared" si="26"/>
        <v>0</v>
      </c>
      <c r="M27" s="56">
        <f t="shared" si="26"/>
        <v>0</v>
      </c>
      <c r="N27" s="56">
        <f t="shared" ref="N27:T28" si="27">-IFERROR(SUMIF($A$89:$A$418,$A27,INDEX($D$89:$EE$418,0,MATCH(N$11,$D$84:$EF$84,0))),0)*Input_unit</f>
        <v>0</v>
      </c>
      <c r="O27" s="56">
        <f t="shared" si="27"/>
        <v>0</v>
      </c>
      <c r="P27" s="56">
        <f t="shared" si="27"/>
        <v>0</v>
      </c>
      <c r="Q27" s="56">
        <f t="shared" si="27"/>
        <v>0</v>
      </c>
      <c r="R27" s="56">
        <f t="shared" si="27"/>
        <v>0</v>
      </c>
      <c r="S27" s="56">
        <f t="shared" si="27"/>
        <v>0</v>
      </c>
      <c r="T27" s="56">
        <f t="shared" si="27"/>
        <v>0</v>
      </c>
    </row>
    <row r="28" spans="1:20">
      <c r="A28" s="56" t="s">
        <v>76</v>
      </c>
      <c r="B28" s="56"/>
      <c r="C28" s="97" t="s">
        <v>205</v>
      </c>
      <c r="D28" s="756">
        <f t="shared" si="26"/>
        <v>0</v>
      </c>
      <c r="E28" s="756">
        <f t="shared" si="26"/>
        <v>0</v>
      </c>
      <c r="F28" s="756">
        <f t="shared" si="26"/>
        <v>0</v>
      </c>
      <c r="G28" s="756">
        <f t="shared" si="26"/>
        <v>0</v>
      </c>
      <c r="H28" s="756">
        <f t="shared" si="26"/>
        <v>0</v>
      </c>
      <c r="I28" s="56">
        <f t="shared" si="26"/>
        <v>0</v>
      </c>
      <c r="J28" s="56">
        <f t="shared" si="26"/>
        <v>0</v>
      </c>
      <c r="K28" s="56">
        <f t="shared" si="26"/>
        <v>0</v>
      </c>
      <c r="L28" s="56">
        <f t="shared" si="26"/>
        <v>0</v>
      </c>
      <c r="M28" s="56">
        <f t="shared" si="26"/>
        <v>0</v>
      </c>
      <c r="N28" s="56">
        <f t="shared" si="27"/>
        <v>0</v>
      </c>
      <c r="O28" s="56">
        <f t="shared" si="27"/>
        <v>0</v>
      </c>
      <c r="P28" s="56">
        <f t="shared" si="27"/>
        <v>0</v>
      </c>
      <c r="Q28" s="56">
        <f t="shared" si="27"/>
        <v>0</v>
      </c>
      <c r="R28" s="56">
        <f t="shared" si="27"/>
        <v>0</v>
      </c>
      <c r="S28" s="56">
        <f t="shared" si="27"/>
        <v>0</v>
      </c>
      <c r="T28" s="56">
        <f t="shared" si="27"/>
        <v>0</v>
      </c>
    </row>
    <row r="29" spans="1:20">
      <c r="A29" s="56" t="s">
        <v>616</v>
      </c>
      <c r="B29" s="56"/>
      <c r="C29" s="97" t="s">
        <v>206</v>
      </c>
      <c r="D29" s="756">
        <f t="shared" ref="D29:M30" si="28">IFERROR(SUMIF($A$89:$A$418,$A29,INDEX($D$89:$EE$418,0,MATCH(D$11,$D$84:$EF$84,0))),0)*Input_unit</f>
        <v>0</v>
      </c>
      <c r="E29" s="756">
        <f t="shared" si="28"/>
        <v>0</v>
      </c>
      <c r="F29" s="756">
        <f t="shared" si="28"/>
        <v>0</v>
      </c>
      <c r="G29" s="756">
        <f t="shared" si="28"/>
        <v>0</v>
      </c>
      <c r="H29" s="756">
        <f t="shared" si="28"/>
        <v>0</v>
      </c>
      <c r="I29" s="56">
        <f t="shared" si="28"/>
        <v>0</v>
      </c>
      <c r="J29" s="56">
        <f t="shared" si="28"/>
        <v>0</v>
      </c>
      <c r="K29" s="56">
        <f t="shared" si="28"/>
        <v>0</v>
      </c>
      <c r="L29" s="56">
        <f t="shared" si="28"/>
        <v>0</v>
      </c>
      <c r="M29" s="56">
        <f t="shared" si="28"/>
        <v>0</v>
      </c>
      <c r="N29" s="56">
        <f t="shared" ref="N29:T30" si="29">IFERROR(SUMIF($A$89:$A$418,$A29,INDEX($D$89:$EE$418,0,MATCH(N$11,$D$84:$EF$84,0))),0)*Input_unit</f>
        <v>0</v>
      </c>
      <c r="O29" s="56">
        <f t="shared" si="29"/>
        <v>0</v>
      </c>
      <c r="P29" s="56">
        <f t="shared" si="29"/>
        <v>0</v>
      </c>
      <c r="Q29" s="56">
        <f t="shared" si="29"/>
        <v>0</v>
      </c>
      <c r="R29" s="56">
        <f t="shared" si="29"/>
        <v>0</v>
      </c>
      <c r="S29" s="56">
        <f t="shared" si="29"/>
        <v>0</v>
      </c>
      <c r="T29" s="56">
        <f t="shared" si="29"/>
        <v>0</v>
      </c>
    </row>
    <row r="30" spans="1:20">
      <c r="A30" s="56" t="s">
        <v>620</v>
      </c>
      <c r="B30" s="56"/>
      <c r="C30" s="97" t="s">
        <v>976</v>
      </c>
      <c r="D30" s="756">
        <f t="shared" si="28"/>
        <v>0</v>
      </c>
      <c r="E30" s="756">
        <f t="shared" si="28"/>
        <v>0</v>
      </c>
      <c r="F30" s="756">
        <f t="shared" si="28"/>
        <v>0</v>
      </c>
      <c r="G30" s="756">
        <f t="shared" si="28"/>
        <v>0</v>
      </c>
      <c r="H30" s="756">
        <f t="shared" si="28"/>
        <v>0</v>
      </c>
      <c r="I30" s="56">
        <f t="shared" si="28"/>
        <v>0</v>
      </c>
      <c r="J30" s="56">
        <f t="shared" si="28"/>
        <v>0</v>
      </c>
      <c r="K30" s="56">
        <f t="shared" si="28"/>
        <v>0</v>
      </c>
      <c r="L30" s="56">
        <f t="shared" si="28"/>
        <v>0</v>
      </c>
      <c r="M30" s="56">
        <f t="shared" si="28"/>
        <v>0</v>
      </c>
      <c r="N30" s="56">
        <f t="shared" si="29"/>
        <v>0</v>
      </c>
      <c r="O30" s="56">
        <f t="shared" si="29"/>
        <v>0</v>
      </c>
      <c r="P30" s="56">
        <f t="shared" si="29"/>
        <v>0</v>
      </c>
      <c r="Q30" s="56">
        <f t="shared" si="29"/>
        <v>0</v>
      </c>
      <c r="R30" s="56">
        <f t="shared" si="29"/>
        <v>0</v>
      </c>
      <c r="S30" s="56">
        <f t="shared" si="29"/>
        <v>0</v>
      </c>
      <c r="T30" s="56">
        <f t="shared" si="29"/>
        <v>0</v>
      </c>
    </row>
    <row r="31" spans="1:20">
      <c r="A31" s="98"/>
      <c r="B31" s="98"/>
      <c r="C31" s="99" t="s">
        <v>207</v>
      </c>
      <c r="D31" s="757">
        <f>SUM(D25:D30)</f>
        <v>0</v>
      </c>
      <c r="E31" s="757">
        <f t="shared" ref="E31:T31" si="30">SUM(E25:E30)</f>
        <v>0</v>
      </c>
      <c r="F31" s="757">
        <f t="shared" si="30"/>
        <v>0</v>
      </c>
      <c r="G31" s="757">
        <f t="shared" si="30"/>
        <v>0</v>
      </c>
      <c r="H31" s="757">
        <f t="shared" si="30"/>
        <v>0</v>
      </c>
      <c r="I31" s="98">
        <f t="shared" si="30"/>
        <v>0</v>
      </c>
      <c r="J31" s="98">
        <f t="shared" si="30"/>
        <v>0</v>
      </c>
      <c r="K31" s="98">
        <f t="shared" si="30"/>
        <v>0</v>
      </c>
      <c r="L31" s="98">
        <f t="shared" si="30"/>
        <v>0</v>
      </c>
      <c r="M31" s="98">
        <f t="shared" si="30"/>
        <v>0</v>
      </c>
      <c r="N31" s="98">
        <f t="shared" si="30"/>
        <v>0</v>
      </c>
      <c r="O31" s="98">
        <f t="shared" si="30"/>
        <v>0</v>
      </c>
      <c r="P31" s="98">
        <f t="shared" si="30"/>
        <v>0</v>
      </c>
      <c r="Q31" s="98">
        <f t="shared" si="30"/>
        <v>0</v>
      </c>
      <c r="R31" s="98">
        <f t="shared" si="30"/>
        <v>0</v>
      </c>
      <c r="S31" s="98">
        <f t="shared" si="30"/>
        <v>0</v>
      </c>
      <c r="T31" s="98">
        <f t="shared" si="30"/>
        <v>0</v>
      </c>
    </row>
    <row r="32" spans="1:20">
      <c r="A32" s="56" t="s">
        <v>668</v>
      </c>
      <c r="B32" s="56"/>
      <c r="C32" s="56" t="s">
        <v>980</v>
      </c>
      <c r="D32" s="756">
        <f t="shared" ref="D32:T32" si="31">-IFERROR(SUMIF($A$89:$A$418,$A32,INDEX($D$89:$EE$418,0,MATCH(D$11,$D$84:$EF$84,0))),0)*Input_unit</f>
        <v>0</v>
      </c>
      <c r="E32" s="756">
        <f t="shared" si="31"/>
        <v>0</v>
      </c>
      <c r="F32" s="756">
        <f t="shared" si="31"/>
        <v>0</v>
      </c>
      <c r="G32" s="756">
        <f t="shared" si="31"/>
        <v>0</v>
      </c>
      <c r="H32" s="756">
        <f t="shared" si="31"/>
        <v>0</v>
      </c>
      <c r="I32" s="56">
        <f t="shared" si="31"/>
        <v>0</v>
      </c>
      <c r="J32" s="56">
        <f t="shared" si="31"/>
        <v>0</v>
      </c>
      <c r="K32" s="56">
        <f t="shared" si="31"/>
        <v>0</v>
      </c>
      <c r="L32" s="56">
        <f t="shared" si="31"/>
        <v>0</v>
      </c>
      <c r="M32" s="56">
        <f t="shared" si="31"/>
        <v>0</v>
      </c>
      <c r="N32" s="56">
        <f t="shared" si="31"/>
        <v>0</v>
      </c>
      <c r="O32" s="56">
        <f t="shared" si="31"/>
        <v>0</v>
      </c>
      <c r="P32" s="56">
        <f t="shared" si="31"/>
        <v>0</v>
      </c>
      <c r="Q32" s="56">
        <f t="shared" si="31"/>
        <v>0</v>
      </c>
      <c r="R32" s="56">
        <f t="shared" si="31"/>
        <v>0</v>
      </c>
      <c r="S32" s="56">
        <f t="shared" si="31"/>
        <v>0</v>
      </c>
      <c r="T32" s="56">
        <f t="shared" si="31"/>
        <v>0</v>
      </c>
    </row>
    <row r="33" spans="1:20">
      <c r="A33" s="98"/>
      <c r="B33" s="98"/>
      <c r="C33" s="98" t="s">
        <v>208</v>
      </c>
      <c r="D33" s="757">
        <f>SUM(D31:D32)</f>
        <v>0</v>
      </c>
      <c r="E33" s="757">
        <f t="shared" ref="E33:T33" si="32">SUM(E31:E32)</f>
        <v>0</v>
      </c>
      <c r="F33" s="757">
        <f t="shared" si="32"/>
        <v>0</v>
      </c>
      <c r="G33" s="757">
        <f t="shared" si="32"/>
        <v>0</v>
      </c>
      <c r="H33" s="757">
        <f t="shared" si="32"/>
        <v>0</v>
      </c>
      <c r="I33" s="98">
        <f t="shared" si="32"/>
        <v>0</v>
      </c>
      <c r="J33" s="98">
        <f t="shared" si="32"/>
        <v>0</v>
      </c>
      <c r="K33" s="98">
        <f t="shared" si="32"/>
        <v>0</v>
      </c>
      <c r="L33" s="98">
        <f t="shared" si="32"/>
        <v>0</v>
      </c>
      <c r="M33" s="98">
        <f t="shared" si="32"/>
        <v>0</v>
      </c>
      <c r="N33" s="98">
        <f t="shared" si="32"/>
        <v>0</v>
      </c>
      <c r="O33" s="98">
        <f t="shared" si="32"/>
        <v>0</v>
      </c>
      <c r="P33" s="98">
        <f t="shared" si="32"/>
        <v>0</v>
      </c>
      <c r="Q33" s="98">
        <f t="shared" si="32"/>
        <v>0</v>
      </c>
      <c r="R33" s="98">
        <f t="shared" si="32"/>
        <v>0</v>
      </c>
      <c r="S33" s="98">
        <f t="shared" si="32"/>
        <v>0</v>
      </c>
      <c r="T33" s="98">
        <f t="shared" si="32"/>
        <v>0</v>
      </c>
    </row>
    <row r="34" spans="1:20">
      <c r="A34" s="56" t="s">
        <v>672</v>
      </c>
      <c r="B34" s="56"/>
      <c r="C34" s="56" t="s">
        <v>209</v>
      </c>
      <c r="D34" s="756">
        <f t="shared" ref="D34:T34" si="33">-IFERROR(SUMIF($A$89:$A$418,$A34,INDEX($D$89:$EE$418,0,MATCH(D$11,$D$84:$EF$84,0))),0)*Input_unit</f>
        <v>0</v>
      </c>
      <c r="E34" s="756">
        <f t="shared" si="33"/>
        <v>0</v>
      </c>
      <c r="F34" s="756">
        <f t="shared" si="33"/>
        <v>0</v>
      </c>
      <c r="G34" s="756">
        <f t="shared" si="33"/>
        <v>0</v>
      </c>
      <c r="H34" s="756">
        <f t="shared" si="33"/>
        <v>0</v>
      </c>
      <c r="I34" s="56">
        <f t="shared" si="33"/>
        <v>0</v>
      </c>
      <c r="J34" s="56">
        <f t="shared" si="33"/>
        <v>0</v>
      </c>
      <c r="K34" s="56">
        <f t="shared" si="33"/>
        <v>0</v>
      </c>
      <c r="L34" s="56">
        <f t="shared" si="33"/>
        <v>0</v>
      </c>
      <c r="M34" s="56">
        <f t="shared" si="33"/>
        <v>0</v>
      </c>
      <c r="N34" s="56">
        <f t="shared" si="33"/>
        <v>0</v>
      </c>
      <c r="O34" s="56">
        <f t="shared" si="33"/>
        <v>0</v>
      </c>
      <c r="P34" s="56">
        <f t="shared" si="33"/>
        <v>0</v>
      </c>
      <c r="Q34" s="56">
        <f t="shared" si="33"/>
        <v>0</v>
      </c>
      <c r="R34" s="56">
        <f t="shared" si="33"/>
        <v>0</v>
      </c>
      <c r="S34" s="56">
        <f t="shared" si="33"/>
        <v>0</v>
      </c>
      <c r="T34" s="56">
        <f t="shared" si="33"/>
        <v>0</v>
      </c>
    </row>
    <row r="35" spans="1:20">
      <c r="A35" s="98"/>
      <c r="B35" s="98"/>
      <c r="C35" s="98" t="s">
        <v>192</v>
      </c>
      <c r="D35" s="757">
        <f>SUM(D33:D34)</f>
        <v>0</v>
      </c>
      <c r="E35" s="757">
        <f t="shared" ref="E35:T35" si="34">SUM(E33:E34)</f>
        <v>0</v>
      </c>
      <c r="F35" s="757">
        <f t="shared" si="34"/>
        <v>0</v>
      </c>
      <c r="G35" s="757">
        <f t="shared" si="34"/>
        <v>0</v>
      </c>
      <c r="H35" s="757">
        <f t="shared" si="34"/>
        <v>0</v>
      </c>
      <c r="I35" s="98">
        <f t="shared" si="34"/>
        <v>0</v>
      </c>
      <c r="J35" s="98">
        <f t="shared" si="34"/>
        <v>0</v>
      </c>
      <c r="K35" s="98">
        <f t="shared" si="34"/>
        <v>0</v>
      </c>
      <c r="L35" s="98">
        <f t="shared" si="34"/>
        <v>0</v>
      </c>
      <c r="M35" s="98">
        <f t="shared" si="34"/>
        <v>0</v>
      </c>
      <c r="N35" s="98">
        <f t="shared" si="34"/>
        <v>0</v>
      </c>
      <c r="O35" s="98">
        <f t="shared" si="34"/>
        <v>0</v>
      </c>
      <c r="P35" s="98">
        <f t="shared" si="34"/>
        <v>0</v>
      </c>
      <c r="Q35" s="98">
        <f t="shared" si="34"/>
        <v>0</v>
      </c>
      <c r="R35" s="98">
        <f t="shared" si="34"/>
        <v>0</v>
      </c>
      <c r="S35" s="98">
        <f t="shared" si="34"/>
        <v>0</v>
      </c>
      <c r="T35" s="98">
        <f t="shared" si="34"/>
        <v>0</v>
      </c>
    </row>
    <row r="36" spans="1:20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</row>
    <row r="37" spans="1:20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</row>
    <row r="38" spans="1:20">
      <c r="A38" s="121" t="s">
        <v>210</v>
      </c>
      <c r="B38" s="121"/>
      <c r="C38" s="122" t="s">
        <v>581</v>
      </c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</row>
    <row r="39" spans="1:20" ht="15.15" thickBot="1">
      <c r="A39" s="123" t="s">
        <v>580</v>
      </c>
      <c r="B39" s="123"/>
      <c r="C39" s="123"/>
      <c r="D39" s="124">
        <f>D9</f>
        <v>42004</v>
      </c>
      <c r="E39" s="124">
        <f t="shared" ref="E39:T39" si="35">E9</f>
        <v>42369</v>
      </c>
      <c r="F39" s="124">
        <f t="shared" si="35"/>
        <v>42735</v>
      </c>
      <c r="G39" s="124">
        <f t="shared" si="35"/>
        <v>43100</v>
      </c>
      <c r="H39" s="124">
        <f t="shared" si="35"/>
        <v>43465</v>
      </c>
      <c r="I39" s="124">
        <f t="shared" si="35"/>
        <v>0</v>
      </c>
      <c r="J39" s="124">
        <f t="shared" si="35"/>
        <v>0</v>
      </c>
      <c r="K39" s="124">
        <f t="shared" si="35"/>
        <v>0</v>
      </c>
      <c r="L39" s="124">
        <f t="shared" si="35"/>
        <v>0</v>
      </c>
      <c r="M39" s="124">
        <f t="shared" si="35"/>
        <v>0</v>
      </c>
      <c r="N39" s="124">
        <f t="shared" si="35"/>
        <v>0</v>
      </c>
      <c r="O39" s="124">
        <f t="shared" si="35"/>
        <v>0</v>
      </c>
      <c r="P39" s="124">
        <f t="shared" si="35"/>
        <v>0</v>
      </c>
      <c r="Q39" s="124">
        <f t="shared" si="35"/>
        <v>0</v>
      </c>
      <c r="R39" s="124">
        <f t="shared" si="35"/>
        <v>0</v>
      </c>
      <c r="S39" s="124">
        <f t="shared" si="35"/>
        <v>0</v>
      </c>
      <c r="T39" s="124">
        <f t="shared" si="35"/>
        <v>0</v>
      </c>
    </row>
    <row r="40" spans="1:20">
      <c r="A40" s="113"/>
      <c r="B40" s="113"/>
      <c r="C40" s="113" t="s">
        <v>211</v>
      </c>
      <c r="D40" s="758">
        <f>D55-D80</f>
        <v>0</v>
      </c>
      <c r="E40" s="758">
        <f t="shared" ref="E40:T40" si="36">E55-E80</f>
        <v>0</v>
      </c>
      <c r="F40" s="758">
        <f t="shared" si="36"/>
        <v>0</v>
      </c>
      <c r="G40" s="758">
        <f>G55-G80</f>
        <v>0</v>
      </c>
      <c r="H40" s="758">
        <f t="shared" si="36"/>
        <v>0</v>
      </c>
      <c r="I40" s="113">
        <f t="shared" si="36"/>
        <v>0</v>
      </c>
      <c r="J40" s="113">
        <f t="shared" si="36"/>
        <v>0</v>
      </c>
      <c r="K40" s="113">
        <f t="shared" si="36"/>
        <v>0</v>
      </c>
      <c r="L40" s="113">
        <f t="shared" si="36"/>
        <v>0</v>
      </c>
      <c r="M40" s="113">
        <f t="shared" si="36"/>
        <v>0</v>
      </c>
      <c r="N40" s="113">
        <f t="shared" si="36"/>
        <v>0</v>
      </c>
      <c r="O40" s="113">
        <f t="shared" si="36"/>
        <v>0</v>
      </c>
      <c r="P40" s="113">
        <f t="shared" si="36"/>
        <v>0</v>
      </c>
      <c r="Q40" s="113">
        <f t="shared" si="36"/>
        <v>0</v>
      </c>
      <c r="R40" s="113">
        <f t="shared" si="36"/>
        <v>0</v>
      </c>
      <c r="S40" s="113">
        <f t="shared" si="36"/>
        <v>0</v>
      </c>
      <c r="T40" s="113">
        <f t="shared" si="36"/>
        <v>0</v>
      </c>
    </row>
    <row r="41" spans="1:20">
      <c r="A41" s="98" t="s">
        <v>212</v>
      </c>
      <c r="B41" s="98"/>
      <c r="C41" s="56"/>
      <c r="D41" s="756"/>
      <c r="E41" s="756"/>
      <c r="F41" s="756"/>
      <c r="G41" s="756"/>
      <c r="H41" s="7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</row>
    <row r="42" spans="1:20">
      <c r="A42" s="56" t="s">
        <v>55</v>
      </c>
      <c r="B42" s="56"/>
      <c r="C42" s="56" t="s">
        <v>213</v>
      </c>
      <c r="D42" s="756">
        <f t="shared" ref="D42:M47" si="37">IFERROR(SUMIF($A$89:$A$418,$A42,INDEX($D$89:$EE$418,0,MATCH(D$11,$D$84:$EF$84,0))),0)*Input_unit</f>
        <v>0</v>
      </c>
      <c r="E42" s="756">
        <f t="shared" si="37"/>
        <v>0</v>
      </c>
      <c r="F42" s="756">
        <f t="shared" si="37"/>
        <v>0</v>
      </c>
      <c r="G42" s="756">
        <f t="shared" si="37"/>
        <v>0</v>
      </c>
      <c r="H42" s="756">
        <f t="shared" si="37"/>
        <v>0</v>
      </c>
      <c r="I42" s="56">
        <f t="shared" si="37"/>
        <v>0</v>
      </c>
      <c r="J42" s="56">
        <f t="shared" si="37"/>
        <v>0</v>
      </c>
      <c r="K42" s="56">
        <f t="shared" si="37"/>
        <v>0</v>
      </c>
      <c r="L42" s="56">
        <f t="shared" si="37"/>
        <v>0</v>
      </c>
      <c r="M42" s="56">
        <f t="shared" si="37"/>
        <v>0</v>
      </c>
      <c r="N42" s="56">
        <f t="shared" ref="N42:T47" si="38">IFERROR(SUMIF($A$89:$A$418,$A42,INDEX($D$89:$EE$418,0,MATCH(N$11,$D$84:$EF$84,0))),0)*Input_unit</f>
        <v>0</v>
      </c>
      <c r="O42" s="56">
        <f t="shared" si="38"/>
        <v>0</v>
      </c>
      <c r="P42" s="56">
        <f t="shared" si="38"/>
        <v>0</v>
      </c>
      <c r="Q42" s="56">
        <f t="shared" si="38"/>
        <v>0</v>
      </c>
      <c r="R42" s="56">
        <f t="shared" si="38"/>
        <v>0</v>
      </c>
      <c r="S42" s="56">
        <f t="shared" si="38"/>
        <v>0</v>
      </c>
      <c r="T42" s="56">
        <f t="shared" si="38"/>
        <v>0</v>
      </c>
    </row>
    <row r="43" spans="1:20">
      <c r="A43" s="56" t="s">
        <v>56</v>
      </c>
      <c r="B43" s="56"/>
      <c r="C43" s="56" t="s">
        <v>214</v>
      </c>
      <c r="D43" s="756">
        <f t="shared" si="37"/>
        <v>0</v>
      </c>
      <c r="E43" s="756">
        <f t="shared" si="37"/>
        <v>0</v>
      </c>
      <c r="F43" s="756">
        <f t="shared" si="37"/>
        <v>0</v>
      </c>
      <c r="G43" s="756">
        <f t="shared" si="37"/>
        <v>0</v>
      </c>
      <c r="H43" s="756">
        <f t="shared" si="37"/>
        <v>0</v>
      </c>
      <c r="I43" s="56">
        <f t="shared" si="37"/>
        <v>0</v>
      </c>
      <c r="J43" s="56">
        <f t="shared" si="37"/>
        <v>0</v>
      </c>
      <c r="K43" s="56">
        <f t="shared" si="37"/>
        <v>0</v>
      </c>
      <c r="L43" s="56">
        <f t="shared" si="37"/>
        <v>0</v>
      </c>
      <c r="M43" s="56">
        <f t="shared" si="37"/>
        <v>0</v>
      </c>
      <c r="N43" s="56">
        <f t="shared" si="38"/>
        <v>0</v>
      </c>
      <c r="O43" s="56">
        <f t="shared" si="38"/>
        <v>0</v>
      </c>
      <c r="P43" s="56">
        <f t="shared" si="38"/>
        <v>0</v>
      </c>
      <c r="Q43" s="56">
        <f t="shared" si="38"/>
        <v>0</v>
      </c>
      <c r="R43" s="56">
        <f t="shared" si="38"/>
        <v>0</v>
      </c>
      <c r="S43" s="56">
        <f t="shared" si="38"/>
        <v>0</v>
      </c>
      <c r="T43" s="56">
        <f t="shared" si="38"/>
        <v>0</v>
      </c>
    </row>
    <row r="44" spans="1:20">
      <c r="A44" s="56" t="s">
        <v>63</v>
      </c>
      <c r="B44" s="56"/>
      <c r="C44" s="97" t="s">
        <v>215</v>
      </c>
      <c r="D44" s="756">
        <f t="shared" si="37"/>
        <v>0</v>
      </c>
      <c r="E44" s="756">
        <f t="shared" si="37"/>
        <v>0</v>
      </c>
      <c r="F44" s="756">
        <f t="shared" si="37"/>
        <v>0</v>
      </c>
      <c r="G44" s="756">
        <f t="shared" si="37"/>
        <v>0</v>
      </c>
      <c r="H44" s="756">
        <f t="shared" si="37"/>
        <v>0</v>
      </c>
      <c r="I44" s="56">
        <f t="shared" si="37"/>
        <v>0</v>
      </c>
      <c r="J44" s="56">
        <f t="shared" si="37"/>
        <v>0</v>
      </c>
      <c r="K44" s="56">
        <f t="shared" si="37"/>
        <v>0</v>
      </c>
      <c r="L44" s="56">
        <f t="shared" si="37"/>
        <v>0</v>
      </c>
      <c r="M44" s="56">
        <f t="shared" si="37"/>
        <v>0</v>
      </c>
      <c r="N44" s="56">
        <f t="shared" si="38"/>
        <v>0</v>
      </c>
      <c r="O44" s="56">
        <f t="shared" si="38"/>
        <v>0</v>
      </c>
      <c r="P44" s="56">
        <f t="shared" si="38"/>
        <v>0</v>
      </c>
      <c r="Q44" s="56">
        <f t="shared" si="38"/>
        <v>0</v>
      </c>
      <c r="R44" s="56">
        <f t="shared" si="38"/>
        <v>0</v>
      </c>
      <c r="S44" s="56">
        <f t="shared" si="38"/>
        <v>0</v>
      </c>
      <c r="T44" s="56">
        <f t="shared" si="38"/>
        <v>0</v>
      </c>
    </row>
    <row r="45" spans="1:20">
      <c r="A45" s="56" t="s">
        <v>58</v>
      </c>
      <c r="B45" s="56"/>
      <c r="C45" s="97" t="s">
        <v>6</v>
      </c>
      <c r="D45" s="756">
        <f t="shared" si="37"/>
        <v>0</v>
      </c>
      <c r="E45" s="756">
        <f t="shared" si="37"/>
        <v>0</v>
      </c>
      <c r="F45" s="756">
        <f t="shared" si="37"/>
        <v>0</v>
      </c>
      <c r="G45" s="756">
        <f t="shared" si="37"/>
        <v>0</v>
      </c>
      <c r="H45" s="756">
        <f t="shared" si="37"/>
        <v>0</v>
      </c>
      <c r="I45" s="56">
        <f t="shared" si="37"/>
        <v>0</v>
      </c>
      <c r="J45" s="56">
        <f t="shared" si="37"/>
        <v>0</v>
      </c>
      <c r="K45" s="56">
        <f t="shared" si="37"/>
        <v>0</v>
      </c>
      <c r="L45" s="56">
        <f t="shared" si="37"/>
        <v>0</v>
      </c>
      <c r="M45" s="56">
        <f t="shared" si="37"/>
        <v>0</v>
      </c>
      <c r="N45" s="56">
        <f t="shared" si="38"/>
        <v>0</v>
      </c>
      <c r="O45" s="56">
        <f t="shared" si="38"/>
        <v>0</v>
      </c>
      <c r="P45" s="56">
        <f t="shared" si="38"/>
        <v>0</v>
      </c>
      <c r="Q45" s="56">
        <f t="shared" si="38"/>
        <v>0</v>
      </c>
      <c r="R45" s="56">
        <f t="shared" si="38"/>
        <v>0</v>
      </c>
      <c r="S45" s="56">
        <f t="shared" si="38"/>
        <v>0</v>
      </c>
      <c r="T45" s="56">
        <f t="shared" si="38"/>
        <v>0</v>
      </c>
    </row>
    <row r="46" spans="1:20">
      <c r="A46" s="56" t="s">
        <v>57</v>
      </c>
      <c r="B46" s="56"/>
      <c r="C46" s="97" t="s">
        <v>582</v>
      </c>
      <c r="D46" s="756">
        <f t="shared" si="37"/>
        <v>0</v>
      </c>
      <c r="E46" s="756">
        <f t="shared" si="37"/>
        <v>0</v>
      </c>
      <c r="F46" s="756">
        <f t="shared" si="37"/>
        <v>0</v>
      </c>
      <c r="G46" s="756">
        <f t="shared" si="37"/>
        <v>0</v>
      </c>
      <c r="H46" s="756">
        <f t="shared" si="37"/>
        <v>0</v>
      </c>
      <c r="I46" s="56">
        <f t="shared" si="37"/>
        <v>0</v>
      </c>
      <c r="J46" s="56">
        <f t="shared" si="37"/>
        <v>0</v>
      </c>
      <c r="K46" s="56">
        <f t="shared" si="37"/>
        <v>0</v>
      </c>
      <c r="L46" s="56">
        <f t="shared" si="37"/>
        <v>0</v>
      </c>
      <c r="M46" s="56">
        <f t="shared" si="37"/>
        <v>0</v>
      </c>
      <c r="N46" s="56">
        <f t="shared" si="38"/>
        <v>0</v>
      </c>
      <c r="O46" s="56">
        <f t="shared" si="38"/>
        <v>0</v>
      </c>
      <c r="P46" s="56">
        <f t="shared" si="38"/>
        <v>0</v>
      </c>
      <c r="Q46" s="56">
        <f t="shared" si="38"/>
        <v>0</v>
      </c>
      <c r="R46" s="56">
        <f t="shared" si="38"/>
        <v>0</v>
      </c>
      <c r="S46" s="56">
        <f t="shared" si="38"/>
        <v>0</v>
      </c>
      <c r="T46" s="56">
        <f t="shared" si="38"/>
        <v>0</v>
      </c>
    </row>
    <row r="47" spans="1:20">
      <c r="A47" s="56" t="s">
        <v>60</v>
      </c>
      <c r="B47" s="56"/>
      <c r="C47" s="97" t="s">
        <v>216</v>
      </c>
      <c r="D47" s="756">
        <f t="shared" si="37"/>
        <v>0</v>
      </c>
      <c r="E47" s="756">
        <f t="shared" si="37"/>
        <v>0</v>
      </c>
      <c r="F47" s="756">
        <f t="shared" si="37"/>
        <v>0</v>
      </c>
      <c r="G47" s="756">
        <f t="shared" si="37"/>
        <v>0</v>
      </c>
      <c r="H47" s="756">
        <f t="shared" si="37"/>
        <v>0</v>
      </c>
      <c r="I47" s="56">
        <f t="shared" si="37"/>
        <v>0</v>
      </c>
      <c r="J47" s="56">
        <f t="shared" si="37"/>
        <v>0</v>
      </c>
      <c r="K47" s="56">
        <f t="shared" si="37"/>
        <v>0</v>
      </c>
      <c r="L47" s="56">
        <f t="shared" si="37"/>
        <v>0</v>
      </c>
      <c r="M47" s="56">
        <f t="shared" si="37"/>
        <v>0</v>
      </c>
      <c r="N47" s="56">
        <f t="shared" si="38"/>
        <v>0</v>
      </c>
      <c r="O47" s="56">
        <f t="shared" si="38"/>
        <v>0</v>
      </c>
      <c r="P47" s="56">
        <f t="shared" si="38"/>
        <v>0</v>
      </c>
      <c r="Q47" s="56">
        <f t="shared" si="38"/>
        <v>0</v>
      </c>
      <c r="R47" s="56">
        <f t="shared" si="38"/>
        <v>0</v>
      </c>
      <c r="S47" s="56">
        <f t="shared" si="38"/>
        <v>0</v>
      </c>
      <c r="T47" s="56">
        <f t="shared" si="38"/>
        <v>0</v>
      </c>
    </row>
    <row r="48" spans="1:20">
      <c r="A48" s="98"/>
      <c r="B48" s="98"/>
      <c r="C48" s="99" t="s">
        <v>217</v>
      </c>
      <c r="D48" s="757">
        <f>SUM(D42:D47)</f>
        <v>0</v>
      </c>
      <c r="E48" s="757">
        <f t="shared" ref="E48:T48" si="39">SUM(E42:E47)</f>
        <v>0</v>
      </c>
      <c r="F48" s="757">
        <f t="shared" si="39"/>
        <v>0</v>
      </c>
      <c r="G48" s="757">
        <f t="shared" si="39"/>
        <v>0</v>
      </c>
      <c r="H48" s="757">
        <f t="shared" si="39"/>
        <v>0</v>
      </c>
      <c r="I48" s="98">
        <f t="shared" si="39"/>
        <v>0</v>
      </c>
      <c r="J48" s="98">
        <f t="shared" si="39"/>
        <v>0</v>
      </c>
      <c r="K48" s="98">
        <f t="shared" si="39"/>
        <v>0</v>
      </c>
      <c r="L48" s="98">
        <f t="shared" si="39"/>
        <v>0</v>
      </c>
      <c r="M48" s="98">
        <f t="shared" si="39"/>
        <v>0</v>
      </c>
      <c r="N48" s="98">
        <f t="shared" si="39"/>
        <v>0</v>
      </c>
      <c r="O48" s="98">
        <f t="shared" si="39"/>
        <v>0</v>
      </c>
      <c r="P48" s="98">
        <f t="shared" si="39"/>
        <v>0</v>
      </c>
      <c r="Q48" s="98">
        <f t="shared" si="39"/>
        <v>0</v>
      </c>
      <c r="R48" s="98">
        <f t="shared" si="39"/>
        <v>0</v>
      </c>
      <c r="S48" s="98">
        <f t="shared" si="39"/>
        <v>0</v>
      </c>
      <c r="T48" s="98">
        <f t="shared" si="39"/>
        <v>0</v>
      </c>
    </row>
    <row r="49" spans="1:20">
      <c r="A49" s="56" t="s">
        <v>583</v>
      </c>
      <c r="B49" s="56"/>
      <c r="C49" s="97" t="s">
        <v>218</v>
      </c>
      <c r="D49" s="756">
        <f t="shared" ref="D49:M53" si="40">IFERROR(SUMIF($A$89:$A$418,$A49,INDEX($D$89:$EE$418,0,MATCH(D$11,$D$84:$EF$84,0))),0)*Input_unit</f>
        <v>0</v>
      </c>
      <c r="E49" s="756">
        <f t="shared" si="40"/>
        <v>0</v>
      </c>
      <c r="F49" s="756">
        <f t="shared" si="40"/>
        <v>0</v>
      </c>
      <c r="G49" s="756">
        <f t="shared" si="40"/>
        <v>0</v>
      </c>
      <c r="H49" s="756">
        <f t="shared" si="40"/>
        <v>0</v>
      </c>
      <c r="I49" s="56">
        <f t="shared" si="40"/>
        <v>0</v>
      </c>
      <c r="J49" s="56">
        <f t="shared" si="40"/>
        <v>0</v>
      </c>
      <c r="K49" s="56">
        <f t="shared" si="40"/>
        <v>0</v>
      </c>
      <c r="L49" s="56">
        <f t="shared" si="40"/>
        <v>0</v>
      </c>
      <c r="M49" s="56">
        <f t="shared" si="40"/>
        <v>0</v>
      </c>
      <c r="N49" s="56">
        <f t="shared" ref="N49:T53" si="41">IFERROR(SUMIF($A$89:$A$418,$A49,INDEX($D$89:$EE$418,0,MATCH(N$11,$D$84:$EF$84,0))),0)*Input_unit</f>
        <v>0</v>
      </c>
      <c r="O49" s="56">
        <f t="shared" si="41"/>
        <v>0</v>
      </c>
      <c r="P49" s="56">
        <f t="shared" si="41"/>
        <v>0</v>
      </c>
      <c r="Q49" s="56">
        <f t="shared" si="41"/>
        <v>0</v>
      </c>
      <c r="R49" s="56">
        <f t="shared" si="41"/>
        <v>0</v>
      </c>
      <c r="S49" s="56">
        <f t="shared" si="41"/>
        <v>0</v>
      </c>
      <c r="T49" s="56">
        <f t="shared" si="41"/>
        <v>0</v>
      </c>
    </row>
    <row r="50" spans="1:20">
      <c r="A50" s="56" t="s">
        <v>584</v>
      </c>
      <c r="B50" s="56"/>
      <c r="C50" s="97" t="s">
        <v>219</v>
      </c>
      <c r="D50" s="756">
        <f t="shared" si="40"/>
        <v>0</v>
      </c>
      <c r="E50" s="756">
        <f t="shared" si="40"/>
        <v>0</v>
      </c>
      <c r="F50" s="756">
        <f t="shared" si="40"/>
        <v>0</v>
      </c>
      <c r="G50" s="756">
        <f t="shared" si="40"/>
        <v>0</v>
      </c>
      <c r="H50" s="756">
        <f t="shared" si="40"/>
        <v>0</v>
      </c>
      <c r="I50" s="56">
        <f t="shared" si="40"/>
        <v>0</v>
      </c>
      <c r="J50" s="56">
        <f t="shared" si="40"/>
        <v>0</v>
      </c>
      <c r="K50" s="56">
        <f t="shared" si="40"/>
        <v>0</v>
      </c>
      <c r="L50" s="56">
        <f t="shared" si="40"/>
        <v>0</v>
      </c>
      <c r="M50" s="56">
        <f t="shared" si="40"/>
        <v>0</v>
      </c>
      <c r="N50" s="56">
        <f t="shared" si="41"/>
        <v>0</v>
      </c>
      <c r="O50" s="56">
        <f t="shared" si="41"/>
        <v>0</v>
      </c>
      <c r="P50" s="56">
        <f t="shared" si="41"/>
        <v>0</v>
      </c>
      <c r="Q50" s="56">
        <f t="shared" si="41"/>
        <v>0</v>
      </c>
      <c r="R50" s="56">
        <f t="shared" si="41"/>
        <v>0</v>
      </c>
      <c r="S50" s="56">
        <f t="shared" si="41"/>
        <v>0</v>
      </c>
      <c r="T50" s="56">
        <f t="shared" si="41"/>
        <v>0</v>
      </c>
    </row>
    <row r="51" spans="1:20">
      <c r="A51" s="56" t="s">
        <v>66</v>
      </c>
      <c r="B51" s="56"/>
      <c r="C51" s="97" t="s">
        <v>220</v>
      </c>
      <c r="D51" s="756">
        <f t="shared" si="40"/>
        <v>0</v>
      </c>
      <c r="E51" s="756">
        <f t="shared" si="40"/>
        <v>0</v>
      </c>
      <c r="F51" s="756">
        <f t="shared" si="40"/>
        <v>0</v>
      </c>
      <c r="G51" s="756">
        <f t="shared" si="40"/>
        <v>0</v>
      </c>
      <c r="H51" s="756">
        <f t="shared" si="40"/>
        <v>0</v>
      </c>
      <c r="I51" s="56">
        <f t="shared" si="40"/>
        <v>0</v>
      </c>
      <c r="J51" s="56">
        <f t="shared" si="40"/>
        <v>0</v>
      </c>
      <c r="K51" s="56">
        <f t="shared" si="40"/>
        <v>0</v>
      </c>
      <c r="L51" s="56">
        <f t="shared" si="40"/>
        <v>0</v>
      </c>
      <c r="M51" s="56">
        <f t="shared" si="40"/>
        <v>0</v>
      </c>
      <c r="N51" s="56">
        <f t="shared" si="41"/>
        <v>0</v>
      </c>
      <c r="O51" s="56">
        <f t="shared" si="41"/>
        <v>0</v>
      </c>
      <c r="P51" s="56">
        <f t="shared" si="41"/>
        <v>0</v>
      </c>
      <c r="Q51" s="56">
        <f t="shared" si="41"/>
        <v>0</v>
      </c>
      <c r="R51" s="56">
        <f t="shared" si="41"/>
        <v>0</v>
      </c>
      <c r="S51" s="56">
        <f t="shared" si="41"/>
        <v>0</v>
      </c>
      <c r="T51" s="56">
        <f t="shared" si="41"/>
        <v>0</v>
      </c>
    </row>
    <row r="52" spans="1:20">
      <c r="A52" s="56" t="s">
        <v>585</v>
      </c>
      <c r="B52" s="56"/>
      <c r="C52" s="56" t="s">
        <v>221</v>
      </c>
      <c r="D52" s="756">
        <f t="shared" si="40"/>
        <v>0</v>
      </c>
      <c r="E52" s="756">
        <f t="shared" si="40"/>
        <v>0</v>
      </c>
      <c r="F52" s="756">
        <f t="shared" si="40"/>
        <v>0</v>
      </c>
      <c r="G52" s="756">
        <f t="shared" si="40"/>
        <v>0</v>
      </c>
      <c r="H52" s="756">
        <f t="shared" si="40"/>
        <v>0</v>
      </c>
      <c r="I52" s="56">
        <f t="shared" si="40"/>
        <v>0</v>
      </c>
      <c r="J52" s="56">
        <f t="shared" si="40"/>
        <v>0</v>
      </c>
      <c r="K52" s="56">
        <f t="shared" si="40"/>
        <v>0</v>
      </c>
      <c r="L52" s="56">
        <f t="shared" si="40"/>
        <v>0</v>
      </c>
      <c r="M52" s="56">
        <f t="shared" si="40"/>
        <v>0</v>
      </c>
      <c r="N52" s="56">
        <f t="shared" si="41"/>
        <v>0</v>
      </c>
      <c r="O52" s="56">
        <f t="shared" si="41"/>
        <v>0</v>
      </c>
      <c r="P52" s="56">
        <f t="shared" si="41"/>
        <v>0</v>
      </c>
      <c r="Q52" s="56">
        <f t="shared" si="41"/>
        <v>0</v>
      </c>
      <c r="R52" s="56">
        <f t="shared" si="41"/>
        <v>0</v>
      </c>
      <c r="S52" s="56">
        <f t="shared" si="41"/>
        <v>0</v>
      </c>
      <c r="T52" s="56">
        <f t="shared" si="41"/>
        <v>0</v>
      </c>
    </row>
    <row r="53" spans="1:20">
      <c r="A53" s="56" t="s">
        <v>82</v>
      </c>
      <c r="B53" s="56"/>
      <c r="C53" s="56" t="s">
        <v>222</v>
      </c>
      <c r="D53" s="756">
        <f t="shared" si="40"/>
        <v>0</v>
      </c>
      <c r="E53" s="756">
        <f t="shared" si="40"/>
        <v>0</v>
      </c>
      <c r="F53" s="756">
        <f t="shared" si="40"/>
        <v>0</v>
      </c>
      <c r="G53" s="756">
        <f t="shared" si="40"/>
        <v>0</v>
      </c>
      <c r="H53" s="756">
        <f t="shared" si="40"/>
        <v>0</v>
      </c>
      <c r="I53" s="56">
        <f t="shared" si="40"/>
        <v>0</v>
      </c>
      <c r="J53" s="56">
        <f t="shared" si="40"/>
        <v>0</v>
      </c>
      <c r="K53" s="56">
        <f t="shared" si="40"/>
        <v>0</v>
      </c>
      <c r="L53" s="56">
        <f t="shared" si="40"/>
        <v>0</v>
      </c>
      <c r="M53" s="56">
        <f t="shared" si="40"/>
        <v>0</v>
      </c>
      <c r="N53" s="56">
        <f t="shared" si="41"/>
        <v>0</v>
      </c>
      <c r="O53" s="56">
        <f t="shared" si="41"/>
        <v>0</v>
      </c>
      <c r="P53" s="56">
        <f t="shared" si="41"/>
        <v>0</v>
      </c>
      <c r="Q53" s="56">
        <f t="shared" si="41"/>
        <v>0</v>
      </c>
      <c r="R53" s="56">
        <f t="shared" si="41"/>
        <v>0</v>
      </c>
      <c r="S53" s="56">
        <f t="shared" si="41"/>
        <v>0</v>
      </c>
      <c r="T53" s="56">
        <f t="shared" si="41"/>
        <v>0</v>
      </c>
    </row>
    <row r="54" spans="1:20">
      <c r="A54" s="98"/>
      <c r="B54" s="98"/>
      <c r="C54" s="98" t="s">
        <v>223</v>
      </c>
      <c r="D54" s="757">
        <f>SUM(D49:D53)</f>
        <v>0</v>
      </c>
      <c r="E54" s="757">
        <f t="shared" ref="E54:T54" si="42">SUM(E49:E53)</f>
        <v>0</v>
      </c>
      <c r="F54" s="757">
        <f t="shared" si="42"/>
        <v>0</v>
      </c>
      <c r="G54" s="757">
        <f t="shared" si="42"/>
        <v>0</v>
      </c>
      <c r="H54" s="757">
        <f t="shared" si="42"/>
        <v>0</v>
      </c>
      <c r="I54" s="98">
        <f t="shared" si="42"/>
        <v>0</v>
      </c>
      <c r="J54" s="98">
        <f t="shared" si="42"/>
        <v>0</v>
      </c>
      <c r="K54" s="98">
        <f t="shared" si="42"/>
        <v>0</v>
      </c>
      <c r="L54" s="98">
        <f t="shared" si="42"/>
        <v>0</v>
      </c>
      <c r="M54" s="98">
        <f t="shared" si="42"/>
        <v>0</v>
      </c>
      <c r="N54" s="98">
        <f t="shared" si="42"/>
        <v>0</v>
      </c>
      <c r="O54" s="98">
        <f t="shared" si="42"/>
        <v>0</v>
      </c>
      <c r="P54" s="98">
        <f t="shared" si="42"/>
        <v>0</v>
      </c>
      <c r="Q54" s="98">
        <f t="shared" si="42"/>
        <v>0</v>
      </c>
      <c r="R54" s="98">
        <f t="shared" si="42"/>
        <v>0</v>
      </c>
      <c r="S54" s="98">
        <f t="shared" si="42"/>
        <v>0</v>
      </c>
      <c r="T54" s="98">
        <f t="shared" si="42"/>
        <v>0</v>
      </c>
    </row>
    <row r="55" spans="1:20">
      <c r="A55" s="98"/>
      <c r="B55" s="98"/>
      <c r="C55" s="98" t="s">
        <v>10</v>
      </c>
      <c r="D55" s="757">
        <f>D48+D54</f>
        <v>0</v>
      </c>
      <c r="E55" s="757">
        <f t="shared" ref="E55:T55" si="43">E48+E54</f>
        <v>0</v>
      </c>
      <c r="F55" s="757">
        <f t="shared" si="43"/>
        <v>0</v>
      </c>
      <c r="G55" s="757">
        <f t="shared" si="43"/>
        <v>0</v>
      </c>
      <c r="H55" s="757">
        <f t="shared" si="43"/>
        <v>0</v>
      </c>
      <c r="I55" s="98">
        <f t="shared" si="43"/>
        <v>0</v>
      </c>
      <c r="J55" s="98">
        <f t="shared" si="43"/>
        <v>0</v>
      </c>
      <c r="K55" s="98">
        <f t="shared" si="43"/>
        <v>0</v>
      </c>
      <c r="L55" s="98">
        <f t="shared" si="43"/>
        <v>0</v>
      </c>
      <c r="M55" s="98">
        <f t="shared" si="43"/>
        <v>0</v>
      </c>
      <c r="N55" s="98">
        <f t="shared" si="43"/>
        <v>0</v>
      </c>
      <c r="O55" s="98">
        <f t="shared" si="43"/>
        <v>0</v>
      </c>
      <c r="P55" s="98">
        <f t="shared" si="43"/>
        <v>0</v>
      </c>
      <c r="Q55" s="98">
        <f t="shared" si="43"/>
        <v>0</v>
      </c>
      <c r="R55" s="98">
        <f t="shared" si="43"/>
        <v>0</v>
      </c>
      <c r="S55" s="98">
        <f t="shared" si="43"/>
        <v>0</v>
      </c>
      <c r="T55" s="98">
        <f t="shared" si="43"/>
        <v>0</v>
      </c>
    </row>
    <row r="56" spans="1:20">
      <c r="A56" s="98" t="s">
        <v>224</v>
      </c>
      <c r="B56" s="98"/>
      <c r="C56" s="56"/>
      <c r="D56" s="759"/>
      <c r="E56" s="759"/>
      <c r="F56" s="759"/>
      <c r="G56" s="759"/>
      <c r="H56" s="759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</row>
    <row r="57" spans="1:20">
      <c r="A57" s="56" t="s">
        <v>100</v>
      </c>
      <c r="B57" s="56"/>
      <c r="C57" s="56" t="s">
        <v>225</v>
      </c>
      <c r="D57" s="756">
        <f t="shared" ref="D57:M64" si="44">IFERROR(SUMIF($A$89:$A$418,$A57,INDEX($D$89:$EE$418,0,MATCH(D$11,$D$84:$EF$84,0))),0)*Input_unit</f>
        <v>0</v>
      </c>
      <c r="E57" s="756">
        <f t="shared" si="44"/>
        <v>0</v>
      </c>
      <c r="F57" s="756">
        <f t="shared" si="44"/>
        <v>0</v>
      </c>
      <c r="G57" s="756">
        <f t="shared" si="44"/>
        <v>0</v>
      </c>
      <c r="H57" s="756">
        <f t="shared" si="44"/>
        <v>0</v>
      </c>
      <c r="I57" s="56">
        <f t="shared" si="44"/>
        <v>0</v>
      </c>
      <c r="J57" s="56">
        <f t="shared" si="44"/>
        <v>0</v>
      </c>
      <c r="K57" s="56">
        <f t="shared" si="44"/>
        <v>0</v>
      </c>
      <c r="L57" s="56">
        <f t="shared" si="44"/>
        <v>0</v>
      </c>
      <c r="M57" s="56">
        <f t="shared" si="44"/>
        <v>0</v>
      </c>
      <c r="N57" s="56">
        <f t="shared" ref="N57:T64" si="45">IFERROR(SUMIF($A$89:$A$418,$A57,INDEX($D$89:$EE$418,0,MATCH(N$11,$D$84:$EF$84,0))),0)*Input_unit</f>
        <v>0</v>
      </c>
      <c r="O57" s="56">
        <f t="shared" si="45"/>
        <v>0</v>
      </c>
      <c r="P57" s="56">
        <f t="shared" si="45"/>
        <v>0</v>
      </c>
      <c r="Q57" s="56">
        <f t="shared" si="45"/>
        <v>0</v>
      </c>
      <c r="R57" s="56">
        <f t="shared" si="45"/>
        <v>0</v>
      </c>
      <c r="S57" s="56">
        <f t="shared" si="45"/>
        <v>0</v>
      </c>
      <c r="T57" s="56">
        <f t="shared" si="45"/>
        <v>0</v>
      </c>
    </row>
    <row r="58" spans="1:20">
      <c r="A58" s="56" t="s">
        <v>586</v>
      </c>
      <c r="B58" s="56"/>
      <c r="C58" s="56" t="s">
        <v>226</v>
      </c>
      <c r="D58" s="756">
        <f t="shared" si="44"/>
        <v>0</v>
      </c>
      <c r="E58" s="756">
        <f t="shared" si="44"/>
        <v>0</v>
      </c>
      <c r="F58" s="756">
        <f t="shared" si="44"/>
        <v>0</v>
      </c>
      <c r="G58" s="756">
        <f t="shared" si="44"/>
        <v>0</v>
      </c>
      <c r="H58" s="756">
        <f t="shared" si="44"/>
        <v>0</v>
      </c>
      <c r="I58" s="56">
        <f t="shared" si="44"/>
        <v>0</v>
      </c>
      <c r="J58" s="56">
        <f t="shared" si="44"/>
        <v>0</v>
      </c>
      <c r="K58" s="56">
        <f t="shared" si="44"/>
        <v>0</v>
      </c>
      <c r="L58" s="56">
        <f t="shared" si="44"/>
        <v>0</v>
      </c>
      <c r="M58" s="56">
        <f t="shared" si="44"/>
        <v>0</v>
      </c>
      <c r="N58" s="56">
        <f t="shared" si="45"/>
        <v>0</v>
      </c>
      <c r="O58" s="56">
        <f t="shared" si="45"/>
        <v>0</v>
      </c>
      <c r="P58" s="56">
        <f t="shared" si="45"/>
        <v>0</v>
      </c>
      <c r="Q58" s="56">
        <f t="shared" si="45"/>
        <v>0</v>
      </c>
      <c r="R58" s="56">
        <f t="shared" si="45"/>
        <v>0</v>
      </c>
      <c r="S58" s="56">
        <f t="shared" si="45"/>
        <v>0</v>
      </c>
      <c r="T58" s="56">
        <f t="shared" si="45"/>
        <v>0</v>
      </c>
    </row>
    <row r="59" spans="1:20">
      <c r="A59" s="56" t="s">
        <v>587</v>
      </c>
      <c r="B59" s="56"/>
      <c r="C59" s="56" t="s">
        <v>227</v>
      </c>
      <c r="D59" s="756">
        <f t="shared" si="44"/>
        <v>0</v>
      </c>
      <c r="E59" s="756">
        <f t="shared" si="44"/>
        <v>0</v>
      </c>
      <c r="F59" s="756">
        <f t="shared" si="44"/>
        <v>0</v>
      </c>
      <c r="G59" s="756">
        <f t="shared" si="44"/>
        <v>0</v>
      </c>
      <c r="H59" s="756">
        <f t="shared" si="44"/>
        <v>0</v>
      </c>
      <c r="I59" s="56">
        <f t="shared" si="44"/>
        <v>0</v>
      </c>
      <c r="J59" s="56">
        <f t="shared" si="44"/>
        <v>0</v>
      </c>
      <c r="K59" s="56">
        <f t="shared" si="44"/>
        <v>0</v>
      </c>
      <c r="L59" s="56">
        <f t="shared" si="44"/>
        <v>0</v>
      </c>
      <c r="M59" s="56">
        <f t="shared" si="44"/>
        <v>0</v>
      </c>
      <c r="N59" s="56">
        <f t="shared" si="45"/>
        <v>0</v>
      </c>
      <c r="O59" s="56">
        <f t="shared" si="45"/>
        <v>0</v>
      </c>
      <c r="P59" s="56">
        <f t="shared" si="45"/>
        <v>0</v>
      </c>
      <c r="Q59" s="56">
        <f t="shared" si="45"/>
        <v>0</v>
      </c>
      <c r="R59" s="56">
        <f t="shared" si="45"/>
        <v>0</v>
      </c>
      <c r="S59" s="56">
        <f t="shared" si="45"/>
        <v>0</v>
      </c>
      <c r="T59" s="56">
        <f t="shared" si="45"/>
        <v>0</v>
      </c>
    </row>
    <row r="60" spans="1:20">
      <c r="A60" s="56" t="s">
        <v>588</v>
      </c>
      <c r="B60" s="56"/>
      <c r="C60" s="97" t="s">
        <v>228</v>
      </c>
      <c r="D60" s="756">
        <f t="shared" si="44"/>
        <v>0</v>
      </c>
      <c r="E60" s="756">
        <f t="shared" si="44"/>
        <v>0</v>
      </c>
      <c r="F60" s="756">
        <f t="shared" si="44"/>
        <v>0</v>
      </c>
      <c r="G60" s="756">
        <f t="shared" si="44"/>
        <v>0</v>
      </c>
      <c r="H60" s="756">
        <f t="shared" si="44"/>
        <v>0</v>
      </c>
      <c r="I60" s="56">
        <f t="shared" si="44"/>
        <v>0</v>
      </c>
      <c r="J60" s="56">
        <f t="shared" si="44"/>
        <v>0</v>
      </c>
      <c r="K60" s="56">
        <f t="shared" si="44"/>
        <v>0</v>
      </c>
      <c r="L60" s="56">
        <f t="shared" si="44"/>
        <v>0</v>
      </c>
      <c r="M60" s="56">
        <f t="shared" si="44"/>
        <v>0</v>
      </c>
      <c r="N60" s="56">
        <f t="shared" si="45"/>
        <v>0</v>
      </c>
      <c r="O60" s="56">
        <f t="shared" si="45"/>
        <v>0</v>
      </c>
      <c r="P60" s="56">
        <f t="shared" si="45"/>
        <v>0</v>
      </c>
      <c r="Q60" s="56">
        <f t="shared" si="45"/>
        <v>0</v>
      </c>
      <c r="R60" s="56">
        <f t="shared" si="45"/>
        <v>0</v>
      </c>
      <c r="S60" s="56">
        <f t="shared" si="45"/>
        <v>0</v>
      </c>
      <c r="T60" s="56">
        <f t="shared" si="45"/>
        <v>0</v>
      </c>
    </row>
    <row r="61" spans="1:20">
      <c r="A61" s="56" t="s">
        <v>96</v>
      </c>
      <c r="B61" s="56"/>
      <c r="C61" s="97" t="s">
        <v>229</v>
      </c>
      <c r="D61" s="756">
        <f t="shared" si="44"/>
        <v>0</v>
      </c>
      <c r="E61" s="756">
        <f t="shared" si="44"/>
        <v>0</v>
      </c>
      <c r="F61" s="756">
        <f t="shared" si="44"/>
        <v>0</v>
      </c>
      <c r="G61" s="756">
        <f t="shared" si="44"/>
        <v>0</v>
      </c>
      <c r="H61" s="756">
        <f t="shared" si="44"/>
        <v>0</v>
      </c>
      <c r="I61" s="56">
        <f t="shared" si="44"/>
        <v>0</v>
      </c>
      <c r="J61" s="56">
        <f t="shared" si="44"/>
        <v>0</v>
      </c>
      <c r="K61" s="56">
        <f t="shared" si="44"/>
        <v>0</v>
      </c>
      <c r="L61" s="56">
        <f t="shared" si="44"/>
        <v>0</v>
      </c>
      <c r="M61" s="56">
        <f t="shared" si="44"/>
        <v>0</v>
      </c>
      <c r="N61" s="56">
        <f t="shared" si="45"/>
        <v>0</v>
      </c>
      <c r="O61" s="56">
        <f t="shared" si="45"/>
        <v>0</v>
      </c>
      <c r="P61" s="56">
        <f t="shared" si="45"/>
        <v>0</v>
      </c>
      <c r="Q61" s="56">
        <f t="shared" si="45"/>
        <v>0</v>
      </c>
      <c r="R61" s="56">
        <f t="shared" si="45"/>
        <v>0</v>
      </c>
      <c r="S61" s="56">
        <f t="shared" si="45"/>
        <v>0</v>
      </c>
      <c r="T61" s="56">
        <f t="shared" si="45"/>
        <v>0</v>
      </c>
    </row>
    <row r="62" spans="1:20">
      <c r="A62" s="56" t="s">
        <v>589</v>
      </c>
      <c r="B62" s="56"/>
      <c r="C62" s="97" t="s">
        <v>230</v>
      </c>
      <c r="D62" s="756">
        <f t="shared" si="44"/>
        <v>0</v>
      </c>
      <c r="E62" s="756">
        <f t="shared" si="44"/>
        <v>0</v>
      </c>
      <c r="F62" s="756">
        <f t="shared" si="44"/>
        <v>0</v>
      </c>
      <c r="G62" s="756">
        <f t="shared" si="44"/>
        <v>0</v>
      </c>
      <c r="H62" s="756">
        <f t="shared" si="44"/>
        <v>0</v>
      </c>
      <c r="I62" s="56">
        <f t="shared" si="44"/>
        <v>0</v>
      </c>
      <c r="J62" s="56">
        <f t="shared" si="44"/>
        <v>0</v>
      </c>
      <c r="K62" s="56">
        <f t="shared" si="44"/>
        <v>0</v>
      </c>
      <c r="L62" s="56">
        <f t="shared" si="44"/>
        <v>0</v>
      </c>
      <c r="M62" s="56">
        <f t="shared" si="44"/>
        <v>0</v>
      </c>
      <c r="N62" s="56">
        <f t="shared" si="45"/>
        <v>0</v>
      </c>
      <c r="O62" s="56">
        <f t="shared" si="45"/>
        <v>0</v>
      </c>
      <c r="P62" s="56">
        <f t="shared" si="45"/>
        <v>0</v>
      </c>
      <c r="Q62" s="56">
        <f t="shared" si="45"/>
        <v>0</v>
      </c>
      <c r="R62" s="56">
        <f t="shared" si="45"/>
        <v>0</v>
      </c>
      <c r="S62" s="56">
        <f t="shared" si="45"/>
        <v>0</v>
      </c>
      <c r="T62" s="56">
        <f t="shared" si="45"/>
        <v>0</v>
      </c>
    </row>
    <row r="63" spans="1:20">
      <c r="A63" s="100" t="s">
        <v>92</v>
      </c>
      <c r="B63" s="100"/>
      <c r="C63" s="101" t="s">
        <v>231</v>
      </c>
      <c r="D63" s="756">
        <f t="shared" si="44"/>
        <v>0</v>
      </c>
      <c r="E63" s="756">
        <f t="shared" si="44"/>
        <v>0</v>
      </c>
      <c r="F63" s="756">
        <f t="shared" si="44"/>
        <v>0</v>
      </c>
      <c r="G63" s="756">
        <f t="shared" si="44"/>
        <v>0</v>
      </c>
      <c r="H63" s="756">
        <f t="shared" si="44"/>
        <v>0</v>
      </c>
      <c r="I63" s="56">
        <f t="shared" si="44"/>
        <v>0</v>
      </c>
      <c r="J63" s="56">
        <f t="shared" si="44"/>
        <v>0</v>
      </c>
      <c r="K63" s="56">
        <f t="shared" si="44"/>
        <v>0</v>
      </c>
      <c r="L63" s="56">
        <f t="shared" si="44"/>
        <v>0</v>
      </c>
      <c r="M63" s="56">
        <f t="shared" si="44"/>
        <v>0</v>
      </c>
      <c r="N63" s="56">
        <f t="shared" si="45"/>
        <v>0</v>
      </c>
      <c r="O63" s="56">
        <f t="shared" si="45"/>
        <v>0</v>
      </c>
      <c r="P63" s="56">
        <f t="shared" si="45"/>
        <v>0</v>
      </c>
      <c r="Q63" s="56">
        <f t="shared" si="45"/>
        <v>0</v>
      </c>
      <c r="R63" s="56">
        <f t="shared" si="45"/>
        <v>0</v>
      </c>
      <c r="S63" s="56">
        <f t="shared" si="45"/>
        <v>0</v>
      </c>
      <c r="T63" s="56">
        <f t="shared" si="45"/>
        <v>0</v>
      </c>
    </row>
    <row r="64" spans="1:20">
      <c r="A64" s="56" t="s">
        <v>590</v>
      </c>
      <c r="B64" s="56"/>
      <c r="C64" s="97" t="s">
        <v>232</v>
      </c>
      <c r="D64" s="756">
        <f t="shared" si="44"/>
        <v>0</v>
      </c>
      <c r="E64" s="756">
        <f t="shared" si="44"/>
        <v>0</v>
      </c>
      <c r="F64" s="756">
        <f t="shared" si="44"/>
        <v>0</v>
      </c>
      <c r="G64" s="756">
        <f t="shared" si="44"/>
        <v>0</v>
      </c>
      <c r="H64" s="756">
        <f t="shared" si="44"/>
        <v>0</v>
      </c>
      <c r="I64" s="56">
        <f t="shared" si="44"/>
        <v>0</v>
      </c>
      <c r="J64" s="56">
        <f t="shared" si="44"/>
        <v>0</v>
      </c>
      <c r="K64" s="56">
        <f t="shared" si="44"/>
        <v>0</v>
      </c>
      <c r="L64" s="56">
        <f t="shared" si="44"/>
        <v>0</v>
      </c>
      <c r="M64" s="56">
        <f t="shared" si="44"/>
        <v>0</v>
      </c>
      <c r="N64" s="56">
        <f t="shared" si="45"/>
        <v>0</v>
      </c>
      <c r="O64" s="56">
        <f t="shared" si="45"/>
        <v>0</v>
      </c>
      <c r="P64" s="56">
        <f t="shared" si="45"/>
        <v>0</v>
      </c>
      <c r="Q64" s="56">
        <f t="shared" si="45"/>
        <v>0</v>
      </c>
      <c r="R64" s="56">
        <f t="shared" si="45"/>
        <v>0</v>
      </c>
      <c r="S64" s="56">
        <f t="shared" si="45"/>
        <v>0</v>
      </c>
      <c r="T64" s="56">
        <f t="shared" si="45"/>
        <v>0</v>
      </c>
    </row>
    <row r="65" spans="1:20">
      <c r="A65" s="98"/>
      <c r="B65" s="98"/>
      <c r="C65" s="99" t="s">
        <v>233</v>
      </c>
      <c r="D65" s="757">
        <f>SUM(D57:D64)</f>
        <v>0</v>
      </c>
      <c r="E65" s="757">
        <f t="shared" ref="E65:T65" si="46">SUM(E57:E64)</f>
        <v>0</v>
      </c>
      <c r="F65" s="757">
        <f t="shared" si="46"/>
        <v>0</v>
      </c>
      <c r="G65" s="757">
        <f t="shared" si="46"/>
        <v>0</v>
      </c>
      <c r="H65" s="757">
        <f t="shared" si="46"/>
        <v>0</v>
      </c>
      <c r="I65" s="98">
        <f t="shared" si="46"/>
        <v>0</v>
      </c>
      <c r="J65" s="98">
        <f t="shared" si="46"/>
        <v>0</v>
      </c>
      <c r="K65" s="98">
        <f t="shared" si="46"/>
        <v>0</v>
      </c>
      <c r="L65" s="98">
        <f t="shared" si="46"/>
        <v>0</v>
      </c>
      <c r="M65" s="98">
        <f t="shared" si="46"/>
        <v>0</v>
      </c>
      <c r="N65" s="98">
        <f t="shared" si="46"/>
        <v>0</v>
      </c>
      <c r="O65" s="98">
        <f t="shared" si="46"/>
        <v>0</v>
      </c>
      <c r="P65" s="98">
        <f t="shared" si="46"/>
        <v>0</v>
      </c>
      <c r="Q65" s="98">
        <f t="shared" si="46"/>
        <v>0</v>
      </c>
      <c r="R65" s="98">
        <f t="shared" si="46"/>
        <v>0</v>
      </c>
      <c r="S65" s="98">
        <f t="shared" si="46"/>
        <v>0</v>
      </c>
      <c r="T65" s="98">
        <f t="shared" si="46"/>
        <v>0</v>
      </c>
    </row>
    <row r="66" spans="1:20">
      <c r="A66" s="56"/>
      <c r="B66" s="56"/>
      <c r="C66" s="97" t="s">
        <v>234</v>
      </c>
      <c r="D66" s="756">
        <f t="shared" ref="D66:M67" si="47">IFERROR(SUMIF($A$89:$A$418,$A66,INDEX($D$89:$EE$418,0,MATCH(D$11,$D$84:$EF$84,0))),0)*Input_unit</f>
        <v>0</v>
      </c>
      <c r="E66" s="756">
        <f t="shared" si="47"/>
        <v>0</v>
      </c>
      <c r="F66" s="756">
        <f t="shared" si="47"/>
        <v>0</v>
      </c>
      <c r="G66" s="756">
        <f t="shared" si="47"/>
        <v>0</v>
      </c>
      <c r="H66" s="756">
        <f t="shared" si="47"/>
        <v>0</v>
      </c>
      <c r="I66" s="56">
        <f t="shared" si="47"/>
        <v>0</v>
      </c>
      <c r="J66" s="56">
        <f t="shared" si="47"/>
        <v>0</v>
      </c>
      <c r="K66" s="56">
        <f t="shared" si="47"/>
        <v>0</v>
      </c>
      <c r="L66" s="56">
        <f t="shared" si="47"/>
        <v>0</v>
      </c>
      <c r="M66" s="56">
        <f t="shared" si="47"/>
        <v>0</v>
      </c>
      <c r="N66" s="56">
        <f t="shared" ref="N66:T67" si="48">IFERROR(SUMIF($A$89:$A$418,$A66,INDEX($D$89:$EE$418,0,MATCH(N$11,$D$84:$EF$84,0))),0)*Input_unit</f>
        <v>0</v>
      </c>
      <c r="O66" s="56">
        <f t="shared" si="48"/>
        <v>0</v>
      </c>
      <c r="P66" s="56">
        <f t="shared" si="48"/>
        <v>0</v>
      </c>
      <c r="Q66" s="56">
        <f t="shared" si="48"/>
        <v>0</v>
      </c>
      <c r="R66" s="56">
        <f t="shared" si="48"/>
        <v>0</v>
      </c>
      <c r="S66" s="56">
        <f t="shared" si="48"/>
        <v>0</v>
      </c>
      <c r="T66" s="56">
        <f t="shared" si="48"/>
        <v>0</v>
      </c>
    </row>
    <row r="67" spans="1:20">
      <c r="A67" s="56" t="s">
        <v>118</v>
      </c>
      <c r="B67" s="56"/>
      <c r="C67" s="97" t="s">
        <v>235</v>
      </c>
      <c r="D67" s="756">
        <f t="shared" si="47"/>
        <v>0</v>
      </c>
      <c r="E67" s="756">
        <f t="shared" si="47"/>
        <v>0</v>
      </c>
      <c r="F67" s="756">
        <f t="shared" si="47"/>
        <v>0</v>
      </c>
      <c r="G67" s="756">
        <f t="shared" si="47"/>
        <v>0</v>
      </c>
      <c r="H67" s="756">
        <f t="shared" si="47"/>
        <v>0</v>
      </c>
      <c r="I67" s="56">
        <f t="shared" si="47"/>
        <v>0</v>
      </c>
      <c r="J67" s="56">
        <f t="shared" si="47"/>
        <v>0</v>
      </c>
      <c r="K67" s="56">
        <f t="shared" si="47"/>
        <v>0</v>
      </c>
      <c r="L67" s="56">
        <f t="shared" si="47"/>
        <v>0</v>
      </c>
      <c r="M67" s="56">
        <f t="shared" si="47"/>
        <v>0</v>
      </c>
      <c r="N67" s="56">
        <f t="shared" si="48"/>
        <v>0</v>
      </c>
      <c r="O67" s="56">
        <f t="shared" si="48"/>
        <v>0</v>
      </c>
      <c r="P67" s="56">
        <f t="shared" si="48"/>
        <v>0</v>
      </c>
      <c r="Q67" s="56">
        <f t="shared" si="48"/>
        <v>0</v>
      </c>
      <c r="R67" s="56">
        <f t="shared" si="48"/>
        <v>0</v>
      </c>
      <c r="S67" s="56">
        <f t="shared" si="48"/>
        <v>0</v>
      </c>
      <c r="T67" s="56">
        <f t="shared" si="48"/>
        <v>0</v>
      </c>
    </row>
    <row r="68" spans="1:20">
      <c r="A68" s="98"/>
      <c r="B68" s="98"/>
      <c r="C68" s="99" t="s">
        <v>236</v>
      </c>
      <c r="D68" s="757">
        <f>D66+D67</f>
        <v>0</v>
      </c>
      <c r="E68" s="757">
        <f t="shared" ref="E68:T68" si="49">E66+E67</f>
        <v>0</v>
      </c>
      <c r="F68" s="757">
        <f t="shared" si="49"/>
        <v>0</v>
      </c>
      <c r="G68" s="757">
        <f t="shared" si="49"/>
        <v>0</v>
      </c>
      <c r="H68" s="757">
        <f t="shared" si="49"/>
        <v>0</v>
      </c>
      <c r="I68" s="98">
        <f t="shared" si="49"/>
        <v>0</v>
      </c>
      <c r="J68" s="98">
        <f t="shared" si="49"/>
        <v>0</v>
      </c>
      <c r="K68" s="98">
        <f t="shared" si="49"/>
        <v>0</v>
      </c>
      <c r="L68" s="98">
        <f t="shared" si="49"/>
        <v>0</v>
      </c>
      <c r="M68" s="98">
        <f t="shared" si="49"/>
        <v>0</v>
      </c>
      <c r="N68" s="98">
        <f t="shared" si="49"/>
        <v>0</v>
      </c>
      <c r="O68" s="98">
        <f t="shared" si="49"/>
        <v>0</v>
      </c>
      <c r="P68" s="98">
        <f t="shared" si="49"/>
        <v>0</v>
      </c>
      <c r="Q68" s="98">
        <f t="shared" si="49"/>
        <v>0</v>
      </c>
      <c r="R68" s="98">
        <f t="shared" si="49"/>
        <v>0</v>
      </c>
      <c r="S68" s="98">
        <f t="shared" si="49"/>
        <v>0</v>
      </c>
      <c r="T68" s="98">
        <f t="shared" si="49"/>
        <v>0</v>
      </c>
    </row>
    <row r="69" spans="1:20">
      <c r="A69" s="56" t="s">
        <v>591</v>
      </c>
      <c r="B69" s="56"/>
      <c r="C69" s="56" t="s">
        <v>237</v>
      </c>
      <c r="D69" s="756">
        <f t="shared" ref="D69:M70" si="50">IFERROR(SUMIF($A$89:$A$418,$A69,INDEX($D$89:$EE$418,0,MATCH(D$11,$D$84:$EF$84,0))),0)*Input_unit</f>
        <v>0</v>
      </c>
      <c r="E69" s="756">
        <f t="shared" si="50"/>
        <v>0</v>
      </c>
      <c r="F69" s="756">
        <f t="shared" si="50"/>
        <v>0</v>
      </c>
      <c r="G69" s="756">
        <f t="shared" si="50"/>
        <v>0</v>
      </c>
      <c r="H69" s="756">
        <f t="shared" si="50"/>
        <v>0</v>
      </c>
      <c r="I69" s="56">
        <f t="shared" si="50"/>
        <v>0</v>
      </c>
      <c r="J69" s="56">
        <f t="shared" si="50"/>
        <v>0</v>
      </c>
      <c r="K69" s="56">
        <f t="shared" si="50"/>
        <v>0</v>
      </c>
      <c r="L69" s="56">
        <f t="shared" si="50"/>
        <v>0</v>
      </c>
      <c r="M69" s="56">
        <f t="shared" si="50"/>
        <v>0</v>
      </c>
      <c r="N69" s="56">
        <f t="shared" ref="N69:T70" si="51">IFERROR(SUMIF($A$89:$A$418,$A69,INDEX($D$89:$EE$418,0,MATCH(N$11,$D$84:$EF$84,0))),0)*Input_unit</f>
        <v>0</v>
      </c>
      <c r="O69" s="56">
        <f t="shared" si="51"/>
        <v>0</v>
      </c>
      <c r="P69" s="56">
        <f t="shared" si="51"/>
        <v>0</v>
      </c>
      <c r="Q69" s="56">
        <f t="shared" si="51"/>
        <v>0</v>
      </c>
      <c r="R69" s="56">
        <f t="shared" si="51"/>
        <v>0</v>
      </c>
      <c r="S69" s="56">
        <f t="shared" si="51"/>
        <v>0</v>
      </c>
      <c r="T69" s="56">
        <f t="shared" si="51"/>
        <v>0</v>
      </c>
    </row>
    <row r="70" spans="1:20">
      <c r="A70" s="56" t="s">
        <v>114</v>
      </c>
      <c r="B70" s="56"/>
      <c r="C70" s="56" t="s">
        <v>238</v>
      </c>
      <c r="D70" s="756">
        <f t="shared" si="50"/>
        <v>0</v>
      </c>
      <c r="E70" s="756">
        <f t="shared" si="50"/>
        <v>0</v>
      </c>
      <c r="F70" s="756">
        <f t="shared" si="50"/>
        <v>0</v>
      </c>
      <c r="G70" s="756">
        <f t="shared" si="50"/>
        <v>0</v>
      </c>
      <c r="H70" s="756">
        <f t="shared" si="50"/>
        <v>0</v>
      </c>
      <c r="I70" s="56">
        <f t="shared" si="50"/>
        <v>0</v>
      </c>
      <c r="J70" s="56">
        <f t="shared" si="50"/>
        <v>0</v>
      </c>
      <c r="K70" s="56">
        <f t="shared" si="50"/>
        <v>0</v>
      </c>
      <c r="L70" s="56">
        <f t="shared" si="50"/>
        <v>0</v>
      </c>
      <c r="M70" s="56">
        <f t="shared" si="50"/>
        <v>0</v>
      </c>
      <c r="N70" s="56">
        <f t="shared" si="51"/>
        <v>0</v>
      </c>
      <c r="O70" s="56">
        <f t="shared" si="51"/>
        <v>0</v>
      </c>
      <c r="P70" s="56">
        <f t="shared" si="51"/>
        <v>0</v>
      </c>
      <c r="Q70" s="56">
        <f t="shared" si="51"/>
        <v>0</v>
      </c>
      <c r="R70" s="56">
        <f t="shared" si="51"/>
        <v>0</v>
      </c>
      <c r="S70" s="56">
        <f t="shared" si="51"/>
        <v>0</v>
      </c>
      <c r="T70" s="56">
        <f t="shared" si="51"/>
        <v>0</v>
      </c>
    </row>
    <row r="71" spans="1:20">
      <c r="A71" s="98"/>
      <c r="B71" s="98"/>
      <c r="C71" s="98" t="s">
        <v>17</v>
      </c>
      <c r="D71" s="757">
        <f>D65+D68+D69+D70</f>
        <v>0</v>
      </c>
      <c r="E71" s="757">
        <f t="shared" ref="E71:T71" si="52">E65+E68+E69+E70</f>
        <v>0</v>
      </c>
      <c r="F71" s="757">
        <f t="shared" si="52"/>
        <v>0</v>
      </c>
      <c r="G71" s="757">
        <f t="shared" si="52"/>
        <v>0</v>
      </c>
      <c r="H71" s="757">
        <f t="shared" si="52"/>
        <v>0</v>
      </c>
      <c r="I71" s="98">
        <f t="shared" si="52"/>
        <v>0</v>
      </c>
      <c r="J71" s="98">
        <f t="shared" si="52"/>
        <v>0</v>
      </c>
      <c r="K71" s="98">
        <f t="shared" si="52"/>
        <v>0</v>
      </c>
      <c r="L71" s="98">
        <f t="shared" si="52"/>
        <v>0</v>
      </c>
      <c r="M71" s="98">
        <f t="shared" si="52"/>
        <v>0</v>
      </c>
      <c r="N71" s="98">
        <f t="shared" si="52"/>
        <v>0</v>
      </c>
      <c r="O71" s="98">
        <f t="shared" si="52"/>
        <v>0</v>
      </c>
      <c r="P71" s="98">
        <f t="shared" si="52"/>
        <v>0</v>
      </c>
      <c r="Q71" s="98">
        <f t="shared" si="52"/>
        <v>0</v>
      </c>
      <c r="R71" s="98">
        <f t="shared" si="52"/>
        <v>0</v>
      </c>
      <c r="S71" s="98">
        <f t="shared" si="52"/>
        <v>0</v>
      </c>
      <c r="T71" s="98">
        <f t="shared" si="52"/>
        <v>0</v>
      </c>
    </row>
    <row r="72" spans="1:20">
      <c r="A72" s="56" t="s">
        <v>165</v>
      </c>
      <c r="B72" s="56"/>
      <c r="C72" s="56" t="s">
        <v>209</v>
      </c>
      <c r="D72" s="756">
        <f t="shared" ref="D72:M78" si="53">IFERROR(SUMIF($A$89:$A$418,$A72,INDEX($D$89:$EE$418,0,MATCH(D$11,$D$84:$EF$84,0))),0)*Input_unit</f>
        <v>0</v>
      </c>
      <c r="E72" s="756">
        <f t="shared" si="53"/>
        <v>0</v>
      </c>
      <c r="F72" s="756">
        <f t="shared" si="53"/>
        <v>0</v>
      </c>
      <c r="G72" s="756">
        <f>IFERROR(SUMIF($A$89:$A$418,$A72,INDEX($D$89:$EE$418,0,MATCH(G$11,$D$84:$EF$84,0))),0)*Input_unit</f>
        <v>0</v>
      </c>
      <c r="H72" s="756">
        <f t="shared" si="53"/>
        <v>0</v>
      </c>
      <c r="I72" s="56">
        <f t="shared" si="53"/>
        <v>0</v>
      </c>
      <c r="J72" s="56">
        <f t="shared" si="53"/>
        <v>0</v>
      </c>
      <c r="K72" s="56">
        <f t="shared" si="53"/>
        <v>0</v>
      </c>
      <c r="L72" s="56">
        <f t="shared" si="53"/>
        <v>0</v>
      </c>
      <c r="M72" s="56">
        <f t="shared" si="53"/>
        <v>0</v>
      </c>
      <c r="N72" s="56">
        <f t="shared" ref="N72:T78" si="54">IFERROR(SUMIF($A$89:$A$418,$A72,INDEX($D$89:$EE$418,0,MATCH(N$11,$D$84:$EF$84,0))),0)*Input_unit</f>
        <v>0</v>
      </c>
      <c r="O72" s="56">
        <f t="shared" si="54"/>
        <v>0</v>
      </c>
      <c r="P72" s="56">
        <f t="shared" si="54"/>
        <v>0</v>
      </c>
      <c r="Q72" s="56">
        <f t="shared" si="54"/>
        <v>0</v>
      </c>
      <c r="R72" s="56">
        <f t="shared" si="54"/>
        <v>0</v>
      </c>
      <c r="S72" s="56">
        <f t="shared" si="54"/>
        <v>0</v>
      </c>
      <c r="T72" s="56">
        <f t="shared" si="54"/>
        <v>0</v>
      </c>
    </row>
    <row r="73" spans="1:20">
      <c r="A73" s="102" t="s">
        <v>592</v>
      </c>
      <c r="B73" s="102"/>
      <c r="C73" s="56" t="s">
        <v>239</v>
      </c>
      <c r="D73" s="756">
        <f t="shared" si="53"/>
        <v>0</v>
      </c>
      <c r="E73" s="756">
        <f t="shared" si="53"/>
        <v>0</v>
      </c>
      <c r="F73" s="756">
        <f t="shared" si="53"/>
        <v>0</v>
      </c>
      <c r="G73" s="756">
        <f t="shared" si="53"/>
        <v>0</v>
      </c>
      <c r="H73" s="756">
        <f t="shared" si="53"/>
        <v>0</v>
      </c>
      <c r="I73" s="56">
        <f t="shared" si="53"/>
        <v>0</v>
      </c>
      <c r="J73" s="56">
        <f t="shared" si="53"/>
        <v>0</v>
      </c>
      <c r="K73" s="56">
        <f t="shared" si="53"/>
        <v>0</v>
      </c>
      <c r="L73" s="56">
        <f t="shared" si="53"/>
        <v>0</v>
      </c>
      <c r="M73" s="56">
        <f t="shared" si="53"/>
        <v>0</v>
      </c>
      <c r="N73" s="56">
        <f t="shared" si="54"/>
        <v>0</v>
      </c>
      <c r="O73" s="56">
        <f t="shared" si="54"/>
        <v>0</v>
      </c>
      <c r="P73" s="56">
        <f t="shared" si="54"/>
        <v>0</v>
      </c>
      <c r="Q73" s="56">
        <f t="shared" si="54"/>
        <v>0</v>
      </c>
      <c r="R73" s="56">
        <f t="shared" si="54"/>
        <v>0</v>
      </c>
      <c r="S73" s="56">
        <f t="shared" si="54"/>
        <v>0</v>
      </c>
      <c r="T73" s="56">
        <f t="shared" si="54"/>
        <v>0</v>
      </c>
    </row>
    <row r="74" spans="1:20">
      <c r="A74" s="102" t="s">
        <v>593</v>
      </c>
      <c r="B74" s="102"/>
      <c r="C74" s="56" t="s">
        <v>240</v>
      </c>
      <c r="D74" s="756">
        <f t="shared" si="53"/>
        <v>0</v>
      </c>
      <c r="E74" s="756">
        <f t="shared" si="53"/>
        <v>0</v>
      </c>
      <c r="F74" s="756">
        <f t="shared" si="53"/>
        <v>0</v>
      </c>
      <c r="G74" s="756">
        <f t="shared" si="53"/>
        <v>0</v>
      </c>
      <c r="H74" s="756">
        <f t="shared" si="53"/>
        <v>0</v>
      </c>
      <c r="I74" s="56">
        <f t="shared" si="53"/>
        <v>0</v>
      </c>
      <c r="J74" s="56">
        <f t="shared" si="53"/>
        <v>0</v>
      </c>
      <c r="K74" s="56">
        <f t="shared" si="53"/>
        <v>0</v>
      </c>
      <c r="L74" s="56">
        <f t="shared" si="53"/>
        <v>0</v>
      </c>
      <c r="M74" s="56">
        <f t="shared" si="53"/>
        <v>0</v>
      </c>
      <c r="N74" s="56">
        <f t="shared" si="54"/>
        <v>0</v>
      </c>
      <c r="O74" s="56">
        <f t="shared" si="54"/>
        <v>0</v>
      </c>
      <c r="P74" s="56">
        <f t="shared" si="54"/>
        <v>0</v>
      </c>
      <c r="Q74" s="56">
        <f t="shared" si="54"/>
        <v>0</v>
      </c>
      <c r="R74" s="56">
        <f t="shared" si="54"/>
        <v>0</v>
      </c>
      <c r="S74" s="56">
        <f t="shared" si="54"/>
        <v>0</v>
      </c>
      <c r="T74" s="56">
        <f t="shared" si="54"/>
        <v>0</v>
      </c>
    </row>
    <row r="75" spans="1:20">
      <c r="A75" s="102" t="s">
        <v>594</v>
      </c>
      <c r="B75" s="102"/>
      <c r="C75" s="56" t="s">
        <v>241</v>
      </c>
      <c r="D75" s="756">
        <f t="shared" si="53"/>
        <v>0</v>
      </c>
      <c r="E75" s="756">
        <f t="shared" si="53"/>
        <v>0</v>
      </c>
      <c r="F75" s="756">
        <f t="shared" si="53"/>
        <v>0</v>
      </c>
      <c r="G75" s="756">
        <f t="shared" si="53"/>
        <v>0</v>
      </c>
      <c r="H75" s="756">
        <f t="shared" si="53"/>
        <v>0</v>
      </c>
      <c r="I75" s="56">
        <f t="shared" si="53"/>
        <v>0</v>
      </c>
      <c r="J75" s="56">
        <f t="shared" si="53"/>
        <v>0</v>
      </c>
      <c r="K75" s="56">
        <f t="shared" si="53"/>
        <v>0</v>
      </c>
      <c r="L75" s="56">
        <f t="shared" si="53"/>
        <v>0</v>
      </c>
      <c r="M75" s="56">
        <f t="shared" si="53"/>
        <v>0</v>
      </c>
      <c r="N75" s="56">
        <f t="shared" si="54"/>
        <v>0</v>
      </c>
      <c r="O75" s="56">
        <f t="shared" si="54"/>
        <v>0</v>
      </c>
      <c r="P75" s="56">
        <f t="shared" si="54"/>
        <v>0</v>
      </c>
      <c r="Q75" s="56">
        <f t="shared" si="54"/>
        <v>0</v>
      </c>
      <c r="R75" s="56">
        <f t="shared" si="54"/>
        <v>0</v>
      </c>
      <c r="S75" s="56">
        <f t="shared" si="54"/>
        <v>0</v>
      </c>
      <c r="T75" s="56">
        <f t="shared" si="54"/>
        <v>0</v>
      </c>
    </row>
    <row r="76" spans="1:20">
      <c r="A76" s="102" t="s">
        <v>595</v>
      </c>
      <c r="B76" s="102"/>
      <c r="C76" s="56" t="s">
        <v>596</v>
      </c>
      <c r="D76" s="756">
        <f t="shared" si="53"/>
        <v>0</v>
      </c>
      <c r="E76" s="756">
        <f t="shared" si="53"/>
        <v>0</v>
      </c>
      <c r="F76" s="756">
        <f t="shared" si="53"/>
        <v>0</v>
      </c>
      <c r="G76" s="756">
        <f t="shared" si="53"/>
        <v>0</v>
      </c>
      <c r="H76" s="756">
        <f t="shared" si="53"/>
        <v>0</v>
      </c>
      <c r="I76" s="56">
        <f t="shared" si="53"/>
        <v>0</v>
      </c>
      <c r="J76" s="56">
        <f t="shared" si="53"/>
        <v>0</v>
      </c>
      <c r="K76" s="56">
        <f t="shared" si="53"/>
        <v>0</v>
      </c>
      <c r="L76" s="56">
        <f t="shared" si="53"/>
        <v>0</v>
      </c>
      <c r="M76" s="56">
        <f t="shared" si="53"/>
        <v>0</v>
      </c>
      <c r="N76" s="56">
        <f t="shared" si="54"/>
        <v>0</v>
      </c>
      <c r="O76" s="56">
        <f t="shared" si="54"/>
        <v>0</v>
      </c>
      <c r="P76" s="56">
        <f t="shared" si="54"/>
        <v>0</v>
      </c>
      <c r="Q76" s="56">
        <f t="shared" si="54"/>
        <v>0</v>
      </c>
      <c r="R76" s="56">
        <f t="shared" si="54"/>
        <v>0</v>
      </c>
      <c r="S76" s="56">
        <f t="shared" si="54"/>
        <v>0</v>
      </c>
      <c r="T76" s="56">
        <f t="shared" si="54"/>
        <v>0</v>
      </c>
    </row>
    <row r="77" spans="1:20">
      <c r="A77" s="102" t="s">
        <v>597</v>
      </c>
      <c r="B77" s="102"/>
      <c r="C77" s="56" t="s">
        <v>242</v>
      </c>
      <c r="D77" s="756">
        <f t="shared" si="53"/>
        <v>0</v>
      </c>
      <c r="E77" s="756">
        <f t="shared" si="53"/>
        <v>0</v>
      </c>
      <c r="F77" s="756">
        <f t="shared" si="53"/>
        <v>0</v>
      </c>
      <c r="G77" s="756">
        <f t="shared" si="53"/>
        <v>0</v>
      </c>
      <c r="H77" s="756">
        <f t="shared" si="53"/>
        <v>0</v>
      </c>
      <c r="I77" s="56">
        <f t="shared" si="53"/>
        <v>0</v>
      </c>
      <c r="J77" s="56">
        <f t="shared" si="53"/>
        <v>0</v>
      </c>
      <c r="K77" s="56">
        <f t="shared" si="53"/>
        <v>0</v>
      </c>
      <c r="L77" s="56">
        <f t="shared" si="53"/>
        <v>0</v>
      </c>
      <c r="M77" s="56">
        <f t="shared" si="53"/>
        <v>0</v>
      </c>
      <c r="N77" s="56">
        <f t="shared" si="54"/>
        <v>0</v>
      </c>
      <c r="O77" s="56">
        <f t="shared" si="54"/>
        <v>0</v>
      </c>
      <c r="P77" s="56">
        <f t="shared" si="54"/>
        <v>0</v>
      </c>
      <c r="Q77" s="56">
        <f t="shared" si="54"/>
        <v>0</v>
      </c>
      <c r="R77" s="56">
        <f t="shared" si="54"/>
        <v>0</v>
      </c>
      <c r="S77" s="56">
        <f t="shared" si="54"/>
        <v>0</v>
      </c>
      <c r="T77" s="56">
        <f t="shared" si="54"/>
        <v>0</v>
      </c>
    </row>
    <row r="78" spans="1:20">
      <c r="A78" s="102" t="s">
        <v>129</v>
      </c>
      <c r="B78" s="102"/>
      <c r="C78" s="56" t="s">
        <v>598</v>
      </c>
      <c r="D78" s="756">
        <f t="shared" si="53"/>
        <v>0</v>
      </c>
      <c r="E78" s="756">
        <f t="shared" si="53"/>
        <v>0</v>
      </c>
      <c r="F78" s="756">
        <f t="shared" si="53"/>
        <v>0</v>
      </c>
      <c r="G78" s="756">
        <f t="shared" si="53"/>
        <v>0</v>
      </c>
      <c r="H78" s="756">
        <f t="shared" si="53"/>
        <v>0</v>
      </c>
      <c r="I78" s="56">
        <f t="shared" si="53"/>
        <v>0</v>
      </c>
      <c r="J78" s="56">
        <f t="shared" si="53"/>
        <v>0</v>
      </c>
      <c r="K78" s="56">
        <f t="shared" si="53"/>
        <v>0</v>
      </c>
      <c r="L78" s="56">
        <f t="shared" si="53"/>
        <v>0</v>
      </c>
      <c r="M78" s="56">
        <f t="shared" si="53"/>
        <v>0</v>
      </c>
      <c r="N78" s="56">
        <f t="shared" si="54"/>
        <v>0</v>
      </c>
      <c r="O78" s="56">
        <f t="shared" si="54"/>
        <v>0</v>
      </c>
      <c r="P78" s="56">
        <f t="shared" si="54"/>
        <v>0</v>
      </c>
      <c r="Q78" s="56">
        <f t="shared" si="54"/>
        <v>0</v>
      </c>
      <c r="R78" s="56">
        <f t="shared" si="54"/>
        <v>0</v>
      </c>
      <c r="S78" s="56">
        <f t="shared" si="54"/>
        <v>0</v>
      </c>
      <c r="T78" s="56">
        <f t="shared" si="54"/>
        <v>0</v>
      </c>
    </row>
    <row r="79" spans="1:20">
      <c r="A79" s="98"/>
      <c r="B79" s="98"/>
      <c r="C79" s="98" t="s">
        <v>243</v>
      </c>
      <c r="D79" s="757">
        <f>SUM(D72:D78)</f>
        <v>0</v>
      </c>
      <c r="E79" s="757">
        <f t="shared" ref="E79:T79" si="55">SUM(E72:E78)</f>
        <v>0</v>
      </c>
      <c r="F79" s="757">
        <f t="shared" si="55"/>
        <v>0</v>
      </c>
      <c r="G79" s="757">
        <f t="shared" si="55"/>
        <v>0</v>
      </c>
      <c r="H79" s="757">
        <f>SUM(H72:H78)</f>
        <v>0</v>
      </c>
      <c r="I79" s="98">
        <f t="shared" si="55"/>
        <v>0</v>
      </c>
      <c r="J79" s="98">
        <f t="shared" si="55"/>
        <v>0</v>
      </c>
      <c r="K79" s="98">
        <f t="shared" si="55"/>
        <v>0</v>
      </c>
      <c r="L79" s="98">
        <f t="shared" si="55"/>
        <v>0</v>
      </c>
      <c r="M79" s="98">
        <f t="shared" si="55"/>
        <v>0</v>
      </c>
      <c r="N79" s="98">
        <f t="shared" si="55"/>
        <v>0</v>
      </c>
      <c r="O79" s="98">
        <f t="shared" si="55"/>
        <v>0</v>
      </c>
      <c r="P79" s="98">
        <f t="shared" si="55"/>
        <v>0</v>
      </c>
      <c r="Q79" s="98">
        <f t="shared" si="55"/>
        <v>0</v>
      </c>
      <c r="R79" s="98">
        <f t="shared" si="55"/>
        <v>0</v>
      </c>
      <c r="S79" s="98">
        <f t="shared" si="55"/>
        <v>0</v>
      </c>
      <c r="T79" s="98">
        <f t="shared" si="55"/>
        <v>0</v>
      </c>
    </row>
    <row r="80" spans="1:20">
      <c r="A80" s="98"/>
      <c r="B80" s="98"/>
      <c r="C80" s="98" t="s">
        <v>244</v>
      </c>
      <c r="D80" s="757">
        <f>D71+D79</f>
        <v>0</v>
      </c>
      <c r="E80" s="757">
        <f t="shared" ref="E80:T80" si="56">E71+E79</f>
        <v>0</v>
      </c>
      <c r="F80" s="757">
        <f t="shared" si="56"/>
        <v>0</v>
      </c>
      <c r="G80" s="757">
        <f t="shared" si="56"/>
        <v>0</v>
      </c>
      <c r="H80" s="757">
        <f t="shared" si="56"/>
        <v>0</v>
      </c>
      <c r="I80" s="98">
        <f t="shared" si="56"/>
        <v>0</v>
      </c>
      <c r="J80" s="98">
        <f t="shared" si="56"/>
        <v>0</v>
      </c>
      <c r="K80" s="98">
        <f t="shared" si="56"/>
        <v>0</v>
      </c>
      <c r="L80" s="98">
        <f t="shared" si="56"/>
        <v>0</v>
      </c>
      <c r="M80" s="98">
        <f t="shared" si="56"/>
        <v>0</v>
      </c>
      <c r="N80" s="98">
        <f t="shared" si="56"/>
        <v>0</v>
      </c>
      <c r="O80" s="98">
        <f t="shared" si="56"/>
        <v>0</v>
      </c>
      <c r="P80" s="98">
        <f t="shared" si="56"/>
        <v>0</v>
      </c>
      <c r="Q80" s="98">
        <f t="shared" si="56"/>
        <v>0</v>
      </c>
      <c r="R80" s="98">
        <f t="shared" si="56"/>
        <v>0</v>
      </c>
      <c r="S80" s="98">
        <f t="shared" si="56"/>
        <v>0</v>
      </c>
      <c r="T80" s="98">
        <f t="shared" si="56"/>
        <v>0</v>
      </c>
    </row>
    <row r="81" spans="1:16" ht="15.15" thickBot="1"/>
    <row r="82" spans="1:16" ht="16.600000000000001">
      <c r="C82" s="126" t="s">
        <v>40</v>
      </c>
      <c r="D82" s="127"/>
      <c r="E82" s="128"/>
      <c r="F82" s="128"/>
      <c r="G82" s="128"/>
      <c r="H82" s="1"/>
      <c r="I82" s="1"/>
      <c r="J82" s="1"/>
      <c r="K82" s="1"/>
      <c r="L82" s="1"/>
      <c r="M82" s="1"/>
      <c r="N82" s="1"/>
      <c r="O82" s="1"/>
      <c r="P82" s="1"/>
    </row>
    <row r="83" spans="1:16" ht="16.600000000000001">
      <c r="C83" s="129" t="s">
        <v>981</v>
      </c>
      <c r="D83" s="336">
        <v>41640</v>
      </c>
      <c r="E83" s="130">
        <v>42005</v>
      </c>
      <c r="F83" s="130">
        <v>42370</v>
      </c>
      <c r="G83" s="130">
        <v>42736</v>
      </c>
      <c r="H83" s="29">
        <v>42736</v>
      </c>
      <c r="I83" s="29">
        <v>43101</v>
      </c>
      <c r="J83" s="1"/>
      <c r="K83" s="1"/>
      <c r="L83" s="1"/>
      <c r="M83" s="1"/>
      <c r="N83" s="1"/>
      <c r="O83" s="1"/>
      <c r="P83" s="1"/>
    </row>
    <row r="84" spans="1:16" ht="16.600000000000001">
      <c r="C84" s="131" t="s">
        <v>982</v>
      </c>
      <c r="D84" s="337">
        <v>42004</v>
      </c>
      <c r="E84" s="337">
        <v>42369</v>
      </c>
      <c r="F84" s="337">
        <v>42735</v>
      </c>
      <c r="G84" s="337">
        <v>42916</v>
      </c>
      <c r="H84" s="29">
        <v>43100</v>
      </c>
      <c r="I84" s="29">
        <v>43465</v>
      </c>
      <c r="J84" s="1"/>
      <c r="K84" s="1"/>
      <c r="L84" s="1"/>
      <c r="M84" s="1"/>
      <c r="N84" s="1"/>
      <c r="O84" s="1"/>
      <c r="P84" s="1"/>
    </row>
    <row r="85" spans="1:16" ht="16.600000000000001">
      <c r="C85" s="131" t="s">
        <v>983</v>
      </c>
      <c r="D85" s="133">
        <f t="shared" ref="D85:I85" si="57">MONTH(D84-D83)</f>
        <v>12</v>
      </c>
      <c r="E85" s="133">
        <f t="shared" si="57"/>
        <v>12</v>
      </c>
      <c r="F85" s="133">
        <f t="shared" si="57"/>
        <v>12</v>
      </c>
      <c r="G85" s="133">
        <f t="shared" si="57"/>
        <v>6</v>
      </c>
      <c r="H85" s="133">
        <f t="shared" si="57"/>
        <v>12</v>
      </c>
      <c r="I85" s="133">
        <f t="shared" si="57"/>
        <v>12</v>
      </c>
      <c r="J85" s="1"/>
      <c r="K85" s="1"/>
      <c r="L85" s="1"/>
      <c r="M85" s="1"/>
      <c r="N85" s="1"/>
      <c r="O85" s="1"/>
      <c r="P85" s="1"/>
    </row>
    <row r="86" spans="1:16" ht="16.600000000000001">
      <c r="C86" s="131" t="s">
        <v>690</v>
      </c>
      <c r="D86" s="134">
        <f t="shared" ref="D86:I86" si="58">YEAR(D84)</f>
        <v>2014</v>
      </c>
      <c r="E86" s="134">
        <f t="shared" si="58"/>
        <v>2015</v>
      </c>
      <c r="F86" s="134">
        <f t="shared" si="58"/>
        <v>2016</v>
      </c>
      <c r="G86" s="134">
        <f t="shared" si="58"/>
        <v>2017</v>
      </c>
      <c r="H86" s="134">
        <f t="shared" si="58"/>
        <v>2017</v>
      </c>
      <c r="I86" s="134">
        <f t="shared" si="58"/>
        <v>2018</v>
      </c>
      <c r="J86" s="1"/>
      <c r="K86" s="1"/>
      <c r="L86" s="1"/>
      <c r="M86" s="1"/>
      <c r="N86" s="1"/>
      <c r="O86" s="1"/>
      <c r="P86" s="1"/>
    </row>
    <row r="87" spans="1:16" ht="16.600000000000001">
      <c r="C87" s="131" t="s">
        <v>984</v>
      </c>
      <c r="D87" s="133">
        <f>ROUNDUP(MONTH(D84)/3,0)</f>
        <v>4</v>
      </c>
      <c r="E87" s="133">
        <f>ROUNDUP(MONTH(E84)/3,0)</f>
        <v>4</v>
      </c>
      <c r="F87" s="133">
        <f>ROUNDUP(MONTH(F84)/3,0)</f>
        <v>4</v>
      </c>
      <c r="G87" s="133">
        <f>ROUNDUP(MONTH(G84)/3,0)</f>
        <v>2</v>
      </c>
      <c r="H87" s="133">
        <f>ROUNDUP(MONTH(H84)/3,0)</f>
        <v>4</v>
      </c>
      <c r="I87" s="1">
        <v>4</v>
      </c>
      <c r="J87" s="1"/>
      <c r="K87" s="1"/>
      <c r="L87" s="1"/>
      <c r="M87" s="1"/>
      <c r="N87" s="1"/>
      <c r="O87" s="1"/>
      <c r="P87" s="1"/>
    </row>
    <row r="88" spans="1:16" ht="16.600000000000001">
      <c r="C88" s="131" t="s">
        <v>1749</v>
      </c>
      <c r="D88" s="133" t="s">
        <v>1750</v>
      </c>
      <c r="E88" s="133" t="s">
        <v>1750</v>
      </c>
      <c r="F88" s="133" t="s">
        <v>1750</v>
      </c>
      <c r="G88" s="133" t="s">
        <v>1750</v>
      </c>
      <c r="H88" s="1" t="s">
        <v>1751</v>
      </c>
      <c r="I88" s="133" t="s">
        <v>1750</v>
      </c>
      <c r="J88" s="1"/>
      <c r="K88" s="1"/>
      <c r="L88" s="1"/>
      <c r="M88" s="1"/>
      <c r="N88" s="1"/>
      <c r="O88" s="1"/>
      <c r="P88" s="1"/>
    </row>
    <row r="89" spans="1:16" ht="17.3" thickBot="1">
      <c r="B89" s="135" t="s">
        <v>248</v>
      </c>
      <c r="C89" s="414" t="s">
        <v>1591</v>
      </c>
      <c r="D89" s="415" t="s">
        <v>1592</v>
      </c>
      <c r="E89" s="415" t="s">
        <v>1593</v>
      </c>
      <c r="F89" s="415" t="s">
        <v>1594</v>
      </c>
      <c r="G89" s="415" t="s">
        <v>1595</v>
      </c>
      <c r="H89" s="1"/>
      <c r="I89" s="1"/>
      <c r="J89" s="1"/>
      <c r="K89" s="1"/>
      <c r="L89" s="1"/>
      <c r="M89" s="1"/>
      <c r="N89" s="1"/>
      <c r="O89" s="1"/>
      <c r="P89" s="1"/>
    </row>
    <row r="90" spans="1:16" ht="16.600000000000001">
      <c r="A90" s="1" t="s">
        <v>1633</v>
      </c>
      <c r="B90" s="135" t="s">
        <v>249</v>
      </c>
      <c r="C90" s="416" t="s">
        <v>5</v>
      </c>
      <c r="D90" s="416"/>
      <c r="E90" s="416"/>
      <c r="F90" s="416"/>
      <c r="G90" s="416"/>
      <c r="H90" s="1"/>
      <c r="I90" s="754"/>
      <c r="J90" s="1"/>
      <c r="K90" s="1"/>
      <c r="L90" s="1"/>
      <c r="M90" s="1"/>
      <c r="N90" s="1"/>
      <c r="O90" s="1"/>
      <c r="P90" s="1"/>
    </row>
    <row r="91" spans="1:16" ht="16.600000000000001">
      <c r="A91" s="1" t="s">
        <v>1661</v>
      </c>
      <c r="B91" s="135" t="s">
        <v>250</v>
      </c>
      <c r="C91" s="416" t="s">
        <v>1596</v>
      </c>
      <c r="D91" s="416"/>
      <c r="E91" s="416"/>
      <c r="F91" s="416"/>
      <c r="G91" s="416"/>
      <c r="H91" s="1"/>
      <c r="I91" s="754"/>
      <c r="J91" s="1"/>
      <c r="K91" s="1"/>
      <c r="L91" s="1"/>
      <c r="M91" s="1"/>
      <c r="N91" s="1"/>
      <c r="O91" s="1"/>
      <c r="P91" s="1"/>
    </row>
    <row r="92" spans="1:16" ht="16.600000000000001">
      <c r="A92" s="1" t="s">
        <v>1662</v>
      </c>
      <c r="B92" s="135" t="s">
        <v>251</v>
      </c>
      <c r="C92" s="416" t="s">
        <v>1597</v>
      </c>
      <c r="D92" s="416"/>
      <c r="E92" s="416"/>
      <c r="F92" s="416"/>
      <c r="G92" s="416"/>
      <c r="H92" s="1"/>
      <c r="I92" s="754"/>
      <c r="J92" s="1"/>
      <c r="K92" s="1"/>
      <c r="L92" s="1"/>
      <c r="M92" s="1"/>
      <c r="N92" s="1"/>
      <c r="O92" s="1"/>
      <c r="P92" s="1"/>
    </row>
    <row r="93" spans="1:16" ht="16.600000000000001">
      <c r="A93" s="1" t="s">
        <v>1663</v>
      </c>
      <c r="B93" s="135" t="s">
        <v>252</v>
      </c>
      <c r="C93" s="416" t="s">
        <v>1598</v>
      </c>
      <c r="D93" s="416"/>
      <c r="E93" s="416"/>
      <c r="F93" s="416"/>
      <c r="G93" s="416"/>
      <c r="H93" s="1"/>
      <c r="I93" s="754"/>
      <c r="J93" s="1"/>
      <c r="K93" s="1"/>
      <c r="L93" s="1"/>
      <c r="M93" s="1"/>
      <c r="N93" s="1"/>
      <c r="O93" s="1"/>
      <c r="P93" s="1"/>
    </row>
    <row r="94" spans="1:16" ht="16.600000000000001">
      <c r="A94" s="1" t="s">
        <v>1664</v>
      </c>
      <c r="B94" s="135" t="s">
        <v>253</v>
      </c>
      <c r="C94" s="416" t="s">
        <v>6</v>
      </c>
      <c r="D94" s="416"/>
      <c r="E94" s="416"/>
      <c r="F94" s="416"/>
      <c r="G94" s="416"/>
      <c r="H94" s="1"/>
      <c r="I94" s="754"/>
      <c r="J94" s="1"/>
      <c r="K94" s="1"/>
      <c r="L94" s="1"/>
      <c r="M94" s="1"/>
      <c r="N94" s="1"/>
      <c r="O94" s="1"/>
      <c r="P94" s="1"/>
    </row>
    <row r="95" spans="1:16" ht="16.600000000000001">
      <c r="A95" s="1" t="s">
        <v>1665</v>
      </c>
      <c r="B95" s="135" t="s">
        <v>254</v>
      </c>
      <c r="C95" s="416" t="s">
        <v>1599</v>
      </c>
      <c r="D95" s="416"/>
      <c r="E95" s="416"/>
      <c r="F95" s="416"/>
      <c r="G95" s="416"/>
      <c r="H95" s="666"/>
      <c r="I95" s="754"/>
      <c r="J95" s="1"/>
      <c r="K95" s="1"/>
      <c r="L95" s="1"/>
      <c r="M95" s="1"/>
      <c r="N95" s="1"/>
      <c r="O95" s="1"/>
      <c r="P95" s="1"/>
    </row>
    <row r="96" spans="1:16" ht="16.600000000000001">
      <c r="A96" s="1" t="s">
        <v>1666</v>
      </c>
      <c r="B96" s="135" t="s">
        <v>255</v>
      </c>
      <c r="C96" s="416" t="s">
        <v>1600</v>
      </c>
      <c r="D96" s="416"/>
      <c r="E96" s="416"/>
      <c r="F96" s="416"/>
      <c r="G96" s="416"/>
      <c r="H96" s="666"/>
      <c r="I96" s="754"/>
      <c r="J96" s="1"/>
      <c r="K96" s="1"/>
      <c r="L96" s="1"/>
      <c r="M96" s="1"/>
      <c r="N96" s="1"/>
      <c r="O96" s="1"/>
      <c r="P96" s="1"/>
    </row>
    <row r="97" spans="1:16" ht="16.600000000000001">
      <c r="B97" s="135" t="s">
        <v>256</v>
      </c>
      <c r="C97" s="417" t="s">
        <v>1601</v>
      </c>
      <c r="D97" s="417">
        <f t="shared" ref="D97:I97" si="59">SUM(D90:D96)</f>
        <v>0</v>
      </c>
      <c r="E97" s="417">
        <f t="shared" si="59"/>
        <v>0</v>
      </c>
      <c r="F97" s="423">
        <f t="shared" si="59"/>
        <v>0</v>
      </c>
      <c r="G97" s="417">
        <f t="shared" si="59"/>
        <v>0</v>
      </c>
      <c r="H97" s="417">
        <f t="shared" si="59"/>
        <v>0</v>
      </c>
      <c r="I97" s="417">
        <f t="shared" si="59"/>
        <v>0</v>
      </c>
      <c r="J97" s="1"/>
      <c r="K97" s="1"/>
      <c r="L97" s="1"/>
      <c r="M97" s="1"/>
      <c r="N97" s="1"/>
      <c r="O97" s="1"/>
      <c r="P97" s="1"/>
    </row>
    <row r="98" spans="1:16" ht="16.600000000000001">
      <c r="A98" s="1" t="s">
        <v>1667</v>
      </c>
      <c r="B98" s="135" t="s">
        <v>257</v>
      </c>
      <c r="C98" s="416" t="s">
        <v>1602</v>
      </c>
      <c r="D98" s="416"/>
      <c r="E98" s="416"/>
      <c r="F98" s="416"/>
      <c r="G98" s="416"/>
      <c r="H98" s="666"/>
      <c r="I98" s="754"/>
      <c r="J98" s="1"/>
      <c r="K98" s="1"/>
      <c r="L98" s="1"/>
      <c r="M98" s="1"/>
      <c r="N98" s="1"/>
      <c r="O98" s="1"/>
      <c r="P98" s="1"/>
    </row>
    <row r="99" spans="1:16" ht="16.600000000000001">
      <c r="A99" s="1" t="s">
        <v>1668</v>
      </c>
      <c r="B99" s="135" t="s">
        <v>258</v>
      </c>
      <c r="C99" s="416" t="s">
        <v>1603</v>
      </c>
      <c r="D99" s="416"/>
      <c r="E99" s="416"/>
      <c r="F99" s="416"/>
      <c r="G99" s="416"/>
      <c r="H99" s="1"/>
      <c r="I99" s="754"/>
      <c r="J99" s="1"/>
      <c r="K99" s="1"/>
      <c r="L99" s="1"/>
      <c r="M99" s="1"/>
      <c r="N99" s="1"/>
      <c r="O99" s="1"/>
      <c r="P99" s="1"/>
    </row>
    <row r="100" spans="1:16" ht="16.600000000000001">
      <c r="A100" s="1" t="s">
        <v>1669</v>
      </c>
      <c r="B100" s="135" t="s">
        <v>259</v>
      </c>
      <c r="C100" s="416" t="s">
        <v>1604</v>
      </c>
      <c r="D100" s="416"/>
      <c r="E100" s="416"/>
      <c r="F100" s="416"/>
      <c r="G100" s="416"/>
      <c r="H100" s="1"/>
      <c r="I100" s="754"/>
      <c r="J100" s="1"/>
      <c r="K100" s="1"/>
      <c r="L100" s="1"/>
      <c r="M100" s="1"/>
      <c r="N100" s="1"/>
      <c r="O100" s="1"/>
      <c r="P100" s="1"/>
    </row>
    <row r="101" spans="1:16" ht="16.600000000000001">
      <c r="B101" s="135" t="s">
        <v>576</v>
      </c>
      <c r="C101" s="418" t="s">
        <v>1604</v>
      </c>
      <c r="D101" s="419">
        <v>0</v>
      </c>
      <c r="E101" s="419">
        <v>0</v>
      </c>
      <c r="F101" s="419">
        <v>0</v>
      </c>
      <c r="G101" s="419"/>
      <c r="H101" s="1"/>
      <c r="I101" s="754"/>
      <c r="J101" s="1"/>
      <c r="K101" s="1"/>
      <c r="L101" s="1"/>
      <c r="M101" s="1"/>
      <c r="N101" s="1"/>
      <c r="O101" s="1"/>
      <c r="P101" s="1"/>
    </row>
    <row r="102" spans="1:16" ht="16.600000000000001">
      <c r="B102" s="135" t="s">
        <v>260</v>
      </c>
      <c r="C102" s="420" t="s">
        <v>1605</v>
      </c>
      <c r="D102" s="421"/>
      <c r="E102" s="421"/>
      <c r="F102" s="421"/>
      <c r="G102" s="421"/>
      <c r="H102" s="1"/>
      <c r="I102" s="754"/>
      <c r="J102" s="1"/>
      <c r="K102" s="1"/>
      <c r="L102" s="1"/>
      <c r="M102" s="1"/>
      <c r="N102" s="1"/>
      <c r="O102" s="1"/>
      <c r="P102" s="1"/>
    </row>
    <row r="103" spans="1:16" ht="16.600000000000001">
      <c r="A103" s="1" t="s">
        <v>1670</v>
      </c>
      <c r="B103" s="135" t="s">
        <v>261</v>
      </c>
      <c r="C103" s="416" t="s">
        <v>1606</v>
      </c>
      <c r="D103" s="416"/>
      <c r="E103" s="416"/>
      <c r="F103" s="416"/>
      <c r="G103" s="416"/>
      <c r="H103" s="666"/>
      <c r="I103" s="754"/>
      <c r="J103" s="1"/>
      <c r="K103" s="1"/>
      <c r="L103" s="1"/>
      <c r="M103" s="1"/>
      <c r="N103" s="1"/>
      <c r="O103" s="1"/>
      <c r="P103" s="1"/>
    </row>
    <row r="104" spans="1:16" ht="16.600000000000001">
      <c r="A104" s="1" t="s">
        <v>1669</v>
      </c>
      <c r="B104" s="135" t="s">
        <v>262</v>
      </c>
      <c r="C104" s="416" t="s">
        <v>1607</v>
      </c>
      <c r="D104" s="416"/>
      <c r="E104" s="416"/>
      <c r="F104" s="416"/>
      <c r="G104" s="416"/>
      <c r="H104" s="666"/>
      <c r="I104" s="754"/>
      <c r="J104" s="1"/>
      <c r="K104" s="1"/>
      <c r="L104" s="1"/>
      <c r="M104" s="1"/>
      <c r="N104" s="1"/>
      <c r="O104" s="1"/>
      <c r="P104" s="1"/>
    </row>
    <row r="105" spans="1:16" ht="16.600000000000001">
      <c r="B105" s="135" t="s">
        <v>263</v>
      </c>
      <c r="C105" s="417" t="s">
        <v>1608</v>
      </c>
      <c r="D105" s="417">
        <f t="shared" ref="D105:I105" si="60">SUM(D98:D100,D103,D104)</f>
        <v>0</v>
      </c>
      <c r="E105" s="417">
        <f t="shared" si="60"/>
        <v>0</v>
      </c>
      <c r="F105" s="423">
        <f t="shared" si="60"/>
        <v>0</v>
      </c>
      <c r="G105" s="417">
        <f t="shared" si="60"/>
        <v>0</v>
      </c>
      <c r="H105" s="417">
        <f t="shared" si="60"/>
        <v>0</v>
      </c>
      <c r="I105" s="417">
        <f t="shared" si="60"/>
        <v>0</v>
      </c>
      <c r="J105" s="1"/>
      <c r="K105" s="1"/>
      <c r="L105" s="1"/>
      <c r="M105" s="1"/>
      <c r="N105" s="1"/>
      <c r="O105" s="1"/>
      <c r="P105" s="1"/>
    </row>
    <row r="106" spans="1:16" ht="17.3" thickBot="1">
      <c r="B106" s="135" t="s">
        <v>264</v>
      </c>
      <c r="C106" s="422" t="s">
        <v>1609</v>
      </c>
      <c r="D106" s="422"/>
      <c r="E106" s="422"/>
      <c r="F106" s="422">
        <f>F105+F97</f>
        <v>0</v>
      </c>
      <c r="G106" s="422">
        <f t="shared" ref="G106:I106" si="61">SUM(G97,G105)</f>
        <v>0</v>
      </c>
      <c r="H106" s="422">
        <f t="shared" si="61"/>
        <v>0</v>
      </c>
      <c r="I106" s="422">
        <f t="shared" si="61"/>
        <v>0</v>
      </c>
      <c r="J106" s="1"/>
      <c r="K106" s="1"/>
      <c r="L106" s="1"/>
      <c r="M106" s="1"/>
      <c r="N106" s="1"/>
      <c r="O106" s="1"/>
      <c r="P106" s="1"/>
    </row>
    <row r="107" spans="1:16" ht="16.600000000000001">
      <c r="A107" s="1" t="s">
        <v>1671</v>
      </c>
      <c r="B107" s="135" t="s">
        <v>265</v>
      </c>
      <c r="C107" s="416" t="s">
        <v>1610</v>
      </c>
      <c r="D107" s="416"/>
      <c r="E107" s="416"/>
      <c r="F107" s="416"/>
      <c r="G107" s="416"/>
      <c r="H107" s="666"/>
      <c r="I107" s="1"/>
      <c r="J107" s="1"/>
      <c r="K107" s="1"/>
      <c r="L107" s="1"/>
      <c r="M107" s="1"/>
      <c r="N107" s="1"/>
      <c r="O107" s="1"/>
      <c r="P107" s="1"/>
    </row>
    <row r="108" spans="1:16" ht="16.600000000000001">
      <c r="A108" s="1" t="s">
        <v>1672</v>
      </c>
      <c r="B108" s="135" t="s">
        <v>266</v>
      </c>
      <c r="C108" s="416" t="s">
        <v>1611</v>
      </c>
      <c r="D108" s="416"/>
      <c r="E108" s="416"/>
      <c r="F108" s="416"/>
      <c r="G108" s="416"/>
      <c r="H108" s="1"/>
      <c r="I108" s="1"/>
      <c r="J108" s="1"/>
      <c r="K108" s="1"/>
      <c r="L108" s="1"/>
      <c r="M108" s="1"/>
      <c r="N108" s="1"/>
      <c r="O108" s="1"/>
      <c r="P108" s="1"/>
    </row>
    <row r="109" spans="1:16" ht="16.600000000000001">
      <c r="A109" s="1" t="s">
        <v>1673</v>
      </c>
      <c r="B109" s="135" t="s">
        <v>267</v>
      </c>
      <c r="C109" s="416" t="s">
        <v>1612</v>
      </c>
      <c r="D109" s="416"/>
      <c r="E109" s="416"/>
      <c r="F109" s="416"/>
      <c r="G109" s="416"/>
      <c r="H109" s="1"/>
      <c r="I109" s="1"/>
      <c r="J109" s="1"/>
      <c r="K109" s="1"/>
      <c r="L109" s="1"/>
      <c r="M109" s="1"/>
      <c r="N109" s="1"/>
      <c r="O109" s="1"/>
      <c r="P109" s="1"/>
    </row>
    <row r="110" spans="1:16" ht="16.600000000000001">
      <c r="A110" s="1" t="s">
        <v>1674</v>
      </c>
      <c r="B110" s="135" t="s">
        <v>268</v>
      </c>
      <c r="C110" s="416" t="s">
        <v>1613</v>
      </c>
      <c r="D110" s="416"/>
      <c r="E110" s="416"/>
      <c r="F110" s="416"/>
      <c r="G110" s="416"/>
      <c r="H110" s="1"/>
      <c r="I110" s="1"/>
      <c r="J110" s="1"/>
      <c r="K110" s="1"/>
      <c r="L110" s="1"/>
      <c r="M110" s="1"/>
      <c r="N110" s="1"/>
      <c r="O110" s="1"/>
      <c r="P110" s="1"/>
    </row>
    <row r="111" spans="1:16" ht="16.600000000000001">
      <c r="A111" s="1" t="s">
        <v>1674</v>
      </c>
      <c r="B111" s="135" t="s">
        <v>269</v>
      </c>
      <c r="C111" s="416" t="s">
        <v>1614</v>
      </c>
      <c r="D111" s="416"/>
      <c r="E111" s="416"/>
      <c r="F111" s="416"/>
      <c r="G111" s="416"/>
      <c r="H111" s="1"/>
      <c r="I111" s="1"/>
      <c r="J111" s="1"/>
      <c r="K111" s="1"/>
      <c r="L111" s="1"/>
      <c r="M111" s="1"/>
      <c r="N111" s="1"/>
      <c r="O111" s="1"/>
      <c r="P111" s="1"/>
    </row>
    <row r="112" spans="1:16" ht="16.600000000000001">
      <c r="A112" s="1" t="s">
        <v>1675</v>
      </c>
      <c r="B112" s="135" t="s">
        <v>270</v>
      </c>
      <c r="C112" s="416" t="s">
        <v>1615</v>
      </c>
      <c r="D112" s="416"/>
      <c r="E112" s="416"/>
      <c r="F112" s="416"/>
      <c r="G112" s="416"/>
      <c r="H112" s="1"/>
      <c r="I112" s="1"/>
      <c r="J112" s="1"/>
      <c r="K112" s="1"/>
      <c r="L112" s="1"/>
      <c r="M112" s="1"/>
      <c r="N112" s="1"/>
      <c r="O112" s="1"/>
      <c r="P112" s="1"/>
    </row>
    <row r="113" spans="1:16" ht="16.600000000000001">
      <c r="A113" s="1" t="s">
        <v>1676</v>
      </c>
      <c r="B113" s="135" t="s">
        <v>271</v>
      </c>
      <c r="C113" s="416" t="s">
        <v>1616</v>
      </c>
      <c r="D113" s="416"/>
      <c r="E113" s="416"/>
      <c r="F113" s="416"/>
      <c r="G113" s="416"/>
      <c r="H113" s="666"/>
      <c r="I113" s="1"/>
      <c r="J113" s="1"/>
      <c r="K113" s="1"/>
      <c r="L113" s="1"/>
      <c r="M113" s="1"/>
      <c r="N113" s="1"/>
      <c r="O113" s="1"/>
      <c r="P113" s="1"/>
    </row>
    <row r="114" spans="1:16" ht="16.600000000000001">
      <c r="A114" s="1" t="s">
        <v>1676</v>
      </c>
      <c r="B114" s="135" t="s">
        <v>272</v>
      </c>
      <c r="C114" s="416" t="s">
        <v>1617</v>
      </c>
      <c r="D114" s="416"/>
      <c r="E114" s="416"/>
      <c r="F114" s="416"/>
      <c r="G114" s="416"/>
      <c r="H114" s="666"/>
      <c r="I114" s="1"/>
      <c r="J114" s="1"/>
      <c r="K114" s="1"/>
      <c r="L114" s="1"/>
      <c r="M114" s="1"/>
      <c r="N114" s="1"/>
      <c r="O114" s="1"/>
      <c r="P114" s="1"/>
    </row>
    <row r="115" spans="1:16" ht="16.600000000000001">
      <c r="A115" s="1" t="s">
        <v>1676</v>
      </c>
      <c r="B115" s="135" t="s">
        <v>273</v>
      </c>
      <c r="C115" s="416" t="s">
        <v>1618</v>
      </c>
      <c r="D115" s="416"/>
      <c r="E115" s="416"/>
      <c r="F115" s="416"/>
      <c r="G115" s="416"/>
      <c r="H115" s="666"/>
      <c r="I115" s="1"/>
      <c r="J115" s="1"/>
      <c r="K115" s="1"/>
      <c r="L115" s="1"/>
      <c r="M115" s="1"/>
      <c r="N115" s="1"/>
      <c r="O115" s="1"/>
      <c r="P115" s="1"/>
    </row>
    <row r="116" spans="1:16" ht="16.600000000000001">
      <c r="B116" s="135" t="s">
        <v>274</v>
      </c>
      <c r="C116" s="417" t="s">
        <v>1619</v>
      </c>
      <c r="D116" s="417"/>
      <c r="E116" s="417"/>
      <c r="F116" s="417"/>
      <c r="G116" s="417">
        <f t="shared" ref="G116:I116" si="62">SUM(G107:G115)</f>
        <v>0</v>
      </c>
      <c r="H116" s="417">
        <f t="shared" si="62"/>
        <v>0</v>
      </c>
      <c r="I116" s="417">
        <f t="shared" si="62"/>
        <v>0</v>
      </c>
      <c r="J116" s="1"/>
      <c r="K116" s="1"/>
      <c r="L116" s="1"/>
      <c r="M116" s="1"/>
      <c r="N116" s="1"/>
      <c r="O116" s="1"/>
      <c r="P116" s="1"/>
    </row>
    <row r="117" spans="1:16" ht="16.600000000000001">
      <c r="A117" s="1" t="s">
        <v>1677</v>
      </c>
      <c r="B117" s="135" t="s">
        <v>275</v>
      </c>
      <c r="C117" s="416" t="s">
        <v>1620</v>
      </c>
      <c r="D117" s="416"/>
      <c r="E117" s="416"/>
      <c r="F117" s="416"/>
      <c r="G117" s="416"/>
      <c r="H117" s="666"/>
      <c r="I117" s="1"/>
      <c r="J117" s="1"/>
      <c r="K117" s="1"/>
      <c r="L117" s="1"/>
      <c r="M117" s="1"/>
      <c r="N117" s="1"/>
      <c r="O117" s="1"/>
      <c r="P117" s="1"/>
    </row>
    <row r="118" spans="1:16" ht="16.600000000000001">
      <c r="A118" s="1" t="s">
        <v>1764</v>
      </c>
      <c r="B118" s="135"/>
      <c r="C118" s="416" t="s">
        <v>1765</v>
      </c>
      <c r="D118" s="416"/>
      <c r="E118" s="416"/>
      <c r="F118" s="416"/>
      <c r="G118" s="416"/>
      <c r="H118" s="666"/>
      <c r="I118" s="1"/>
      <c r="J118" s="1"/>
      <c r="K118" s="1"/>
      <c r="L118" s="1"/>
      <c r="M118" s="1"/>
      <c r="N118" s="1"/>
      <c r="O118" s="1"/>
      <c r="P118" s="1"/>
    </row>
    <row r="119" spans="1:16" ht="16.600000000000001">
      <c r="A119" s="1" t="s">
        <v>1678</v>
      </c>
      <c r="B119" s="135" t="s">
        <v>276</v>
      </c>
      <c r="C119" s="416" t="s">
        <v>1617</v>
      </c>
      <c r="D119" s="416"/>
      <c r="E119" s="416"/>
      <c r="F119" s="416"/>
      <c r="G119" s="416"/>
      <c r="H119" s="666"/>
      <c r="I119" s="1"/>
      <c r="J119" s="1"/>
      <c r="K119" s="1"/>
      <c r="L119" s="1"/>
      <c r="M119" s="1"/>
      <c r="N119" s="1"/>
      <c r="O119" s="1"/>
      <c r="P119" s="1"/>
    </row>
    <row r="120" spans="1:16" ht="16.600000000000001">
      <c r="B120" s="135" t="s">
        <v>277</v>
      </c>
      <c r="C120" s="417" t="s">
        <v>1621</v>
      </c>
      <c r="D120" s="417"/>
      <c r="E120" s="417"/>
      <c r="F120" s="417"/>
      <c r="G120" s="417">
        <f t="shared" ref="G120:H120" si="63">SUM(G117:G119)</f>
        <v>0</v>
      </c>
      <c r="H120" s="417">
        <f t="shared" si="63"/>
        <v>0</v>
      </c>
      <c r="I120" s="417">
        <f>SUM(I117:I119)</f>
        <v>0</v>
      </c>
      <c r="J120" s="1"/>
      <c r="K120" s="1"/>
      <c r="L120" s="1"/>
      <c r="M120" s="1"/>
      <c r="N120" s="1"/>
      <c r="O120" s="1"/>
      <c r="P120" s="1"/>
    </row>
    <row r="121" spans="1:16" ht="16.600000000000001">
      <c r="B121" s="135" t="s">
        <v>278</v>
      </c>
      <c r="C121" s="423" t="s">
        <v>1622</v>
      </c>
      <c r="D121" s="423"/>
      <c r="E121" s="423"/>
      <c r="F121" s="423"/>
      <c r="G121" s="423">
        <f t="shared" ref="G121:I121" si="64">SUM(G116,G120)</f>
        <v>0</v>
      </c>
      <c r="H121" s="423">
        <f t="shared" si="64"/>
        <v>0</v>
      </c>
      <c r="I121" s="423">
        <f t="shared" si="64"/>
        <v>0</v>
      </c>
      <c r="J121" s="1"/>
      <c r="K121" s="1"/>
      <c r="L121" s="1"/>
      <c r="M121" s="1"/>
      <c r="N121" s="1"/>
      <c r="O121" s="1"/>
      <c r="P121" s="1"/>
    </row>
    <row r="122" spans="1:16" ht="16.600000000000001">
      <c r="B122" s="135" t="s">
        <v>279</v>
      </c>
      <c r="C122" s="424"/>
      <c r="D122" s="424"/>
      <c r="E122" s="424"/>
      <c r="F122" s="424"/>
      <c r="G122" s="424"/>
      <c r="H122" s="1"/>
      <c r="I122" s="1"/>
      <c r="J122" s="1"/>
      <c r="K122" s="1"/>
      <c r="L122" s="1"/>
      <c r="M122" s="1"/>
      <c r="N122" s="1"/>
      <c r="O122" s="1"/>
      <c r="P122" s="1"/>
    </row>
    <row r="123" spans="1:16" ht="17.3" thickBot="1">
      <c r="B123" s="135" t="s">
        <v>280</v>
      </c>
      <c r="C123" s="422" t="s">
        <v>1623</v>
      </c>
      <c r="D123" s="422">
        <f t="shared" ref="D123:H123" si="65">D106-D121</f>
        <v>0</v>
      </c>
      <c r="E123" s="422">
        <f t="shared" si="65"/>
        <v>0</v>
      </c>
      <c r="F123" s="422">
        <f t="shared" si="65"/>
        <v>0</v>
      </c>
      <c r="G123" s="422">
        <f t="shared" si="65"/>
        <v>0</v>
      </c>
      <c r="H123" s="422">
        <f t="shared" si="65"/>
        <v>0</v>
      </c>
      <c r="I123" s="422">
        <f>I106-I121</f>
        <v>0</v>
      </c>
      <c r="J123" s="1"/>
      <c r="K123" s="1"/>
      <c r="L123" s="1"/>
      <c r="M123" s="1"/>
      <c r="N123" s="1"/>
      <c r="O123" s="1"/>
      <c r="P123" s="1"/>
    </row>
    <row r="124" spans="1:16" ht="16.600000000000001">
      <c r="B124" s="135" t="s">
        <v>281</v>
      </c>
      <c r="C124" s="425"/>
      <c r="D124" s="425"/>
      <c r="E124" s="425"/>
      <c r="F124" s="425"/>
      <c r="G124" s="425"/>
      <c r="H124" s="1"/>
      <c r="I124" s="1"/>
      <c r="J124" s="1"/>
      <c r="K124" s="1"/>
      <c r="L124" s="1"/>
      <c r="M124" s="1"/>
      <c r="N124" s="1"/>
      <c r="O124" s="1"/>
      <c r="P124" s="1"/>
    </row>
    <row r="125" spans="1:16" ht="16.600000000000001">
      <c r="A125" s="1" t="s">
        <v>1769</v>
      </c>
      <c r="B125" s="135" t="s">
        <v>282</v>
      </c>
      <c r="C125" s="426" t="s">
        <v>1624</v>
      </c>
      <c r="D125" s="426"/>
      <c r="E125" s="426"/>
      <c r="F125" s="426"/>
      <c r="G125" s="416"/>
      <c r="H125" s="666"/>
      <c r="I125" s="1"/>
      <c r="J125" s="1"/>
      <c r="K125" s="1"/>
      <c r="L125" s="1"/>
      <c r="M125" s="1"/>
      <c r="N125" s="1"/>
      <c r="O125" s="1"/>
      <c r="P125" s="1"/>
    </row>
    <row r="126" spans="1:16" ht="16.600000000000001">
      <c r="A126" s="1" t="s">
        <v>1768</v>
      </c>
      <c r="B126" s="135" t="s">
        <v>283</v>
      </c>
      <c r="C126" s="416" t="s">
        <v>1625</v>
      </c>
      <c r="D126" s="416"/>
      <c r="E126" s="416"/>
      <c r="F126" s="416"/>
      <c r="G126" s="416"/>
      <c r="H126" s="666"/>
      <c r="I126" s="1"/>
      <c r="J126" s="1"/>
      <c r="K126" s="1"/>
      <c r="L126" s="1"/>
      <c r="M126" s="1"/>
      <c r="N126" s="1"/>
      <c r="O126" s="1"/>
      <c r="P126" s="1"/>
    </row>
    <row r="127" spans="1:16" ht="16.600000000000001">
      <c r="A127" s="102" t="s">
        <v>1768</v>
      </c>
      <c r="B127" s="135" t="s">
        <v>284</v>
      </c>
      <c r="C127" s="416" t="s">
        <v>1626</v>
      </c>
      <c r="D127" s="416"/>
      <c r="E127" s="416"/>
      <c r="F127" s="416"/>
      <c r="G127" s="416"/>
      <c r="H127" s="666"/>
      <c r="I127" s="1"/>
      <c r="J127" s="1"/>
      <c r="K127" s="1"/>
      <c r="L127" s="1"/>
      <c r="M127" s="1"/>
      <c r="N127" s="1"/>
      <c r="O127" s="1"/>
      <c r="P127" s="1"/>
    </row>
    <row r="128" spans="1:16" ht="16.600000000000001">
      <c r="A128" s="1" t="s">
        <v>1767</v>
      </c>
      <c r="B128" s="135" t="s">
        <v>285</v>
      </c>
      <c r="C128" s="416" t="s">
        <v>1627</v>
      </c>
      <c r="D128" s="416"/>
      <c r="E128" s="416"/>
      <c r="F128" s="416"/>
      <c r="G128" s="416"/>
      <c r="H128" s="666"/>
      <c r="I128" s="1"/>
      <c r="J128" s="1"/>
      <c r="K128" s="1"/>
      <c r="L128" s="1"/>
      <c r="M128" s="1"/>
      <c r="N128" s="1"/>
      <c r="O128" s="1"/>
      <c r="P128" s="1"/>
    </row>
    <row r="129" spans="1:16" ht="16.600000000000001">
      <c r="A129" s="1" t="s">
        <v>1770</v>
      </c>
      <c r="B129" s="135" t="s">
        <v>286</v>
      </c>
      <c r="C129" s="416" t="s">
        <v>1628</v>
      </c>
      <c r="D129" s="416"/>
      <c r="E129" s="416"/>
      <c r="F129" s="416"/>
      <c r="G129" s="416"/>
      <c r="H129" s="666"/>
      <c r="I129" s="1"/>
      <c r="J129" s="1"/>
      <c r="K129" s="1"/>
      <c r="L129" s="1"/>
      <c r="M129" s="1"/>
      <c r="N129" s="1"/>
      <c r="O129" s="1"/>
      <c r="P129" s="1"/>
    </row>
    <row r="130" spans="1:16" ht="16.600000000000001">
      <c r="B130" s="135" t="s">
        <v>287</v>
      </c>
      <c r="C130" s="417" t="s">
        <v>1629</v>
      </c>
      <c r="D130" s="417"/>
      <c r="E130" s="417"/>
      <c r="F130" s="417"/>
      <c r="G130" s="417">
        <f t="shared" ref="G130" si="66">SUM(G125:G129)</f>
        <v>0</v>
      </c>
      <c r="H130" s="1"/>
      <c r="I130" s="417">
        <f>SUM(I125:I129)</f>
        <v>0</v>
      </c>
      <c r="J130" s="1"/>
      <c r="K130" s="1"/>
      <c r="L130" s="1"/>
      <c r="M130" s="1"/>
      <c r="N130" s="1"/>
      <c r="O130" s="1"/>
      <c r="P130" s="1"/>
    </row>
    <row r="131" spans="1:16" ht="16.600000000000001">
      <c r="A131" s="56" t="s">
        <v>165</v>
      </c>
      <c r="B131" s="135" t="s">
        <v>288</v>
      </c>
      <c r="C131" s="416" t="s">
        <v>1630</v>
      </c>
      <c r="D131" s="416"/>
      <c r="E131" s="416"/>
      <c r="F131" s="416"/>
      <c r="G131" s="416"/>
      <c r="H131" s="666"/>
      <c r="I131" s="1"/>
      <c r="J131" s="1"/>
      <c r="K131" s="1"/>
      <c r="L131" s="1"/>
      <c r="M131" s="1"/>
      <c r="N131" s="1"/>
      <c r="O131" s="1"/>
      <c r="P131" s="1"/>
    </row>
    <row r="132" spans="1:16" ht="16.600000000000001">
      <c r="B132" s="135" t="s">
        <v>289</v>
      </c>
      <c r="C132" s="423" t="s">
        <v>1631</v>
      </c>
      <c r="D132" s="423"/>
      <c r="E132" s="423"/>
      <c r="F132" s="423"/>
      <c r="G132" s="423">
        <f t="shared" ref="G132" si="67">SUM(G130,G131)</f>
        <v>0</v>
      </c>
      <c r="H132" s="1"/>
      <c r="I132" s="423">
        <f>SUM(I130,I131)</f>
        <v>0</v>
      </c>
      <c r="J132" s="1"/>
      <c r="K132" s="1"/>
      <c r="L132" s="1"/>
      <c r="M132" s="1"/>
      <c r="N132" s="1"/>
      <c r="O132" s="1"/>
      <c r="P132" s="1"/>
    </row>
    <row r="133" spans="1:16" ht="17.3" thickBot="1">
      <c r="B133" s="135" t="s">
        <v>290</v>
      </c>
      <c r="C133" s="422" t="s">
        <v>1632</v>
      </c>
      <c r="D133" s="422"/>
      <c r="E133" s="422"/>
      <c r="F133" s="422"/>
      <c r="G133" s="422">
        <f t="shared" ref="G133" si="68">SUM(G121,G132)</f>
        <v>0</v>
      </c>
      <c r="H133" s="1"/>
      <c r="I133" s="422">
        <f t="shared" ref="I133" si="69">SUM(I121,I132)</f>
        <v>0</v>
      </c>
      <c r="J133" s="1"/>
      <c r="K133" s="1"/>
      <c r="L133" s="1"/>
      <c r="M133" s="1"/>
      <c r="N133" s="1"/>
      <c r="O133" s="1"/>
      <c r="P133" s="1"/>
    </row>
    <row r="134" spans="1:16" ht="17.3" thickBot="1">
      <c r="B134" s="135" t="s">
        <v>291</v>
      </c>
      <c r="C134" s="427" t="s">
        <v>1591</v>
      </c>
      <c r="D134" s="428" t="s">
        <v>1634</v>
      </c>
      <c r="E134" s="428" t="s">
        <v>1635</v>
      </c>
      <c r="F134" s="428" t="s">
        <v>1636</v>
      </c>
      <c r="G134" s="429" t="s">
        <v>1637</v>
      </c>
      <c r="H134" s="1"/>
      <c r="I134" s="428" t="s">
        <v>1763</v>
      </c>
      <c r="J134" s="1"/>
      <c r="K134" s="1"/>
      <c r="L134" s="1"/>
      <c r="M134" s="1"/>
      <c r="N134" s="1"/>
      <c r="O134" s="1"/>
      <c r="P134" s="1"/>
    </row>
    <row r="135" spans="1:16" ht="16.600000000000001">
      <c r="A135" s="1" t="s">
        <v>1679</v>
      </c>
      <c r="B135" s="135" t="s">
        <v>292</v>
      </c>
      <c r="C135" s="430" t="s">
        <v>1638</v>
      </c>
      <c r="D135" s="430"/>
      <c r="E135" s="430"/>
      <c r="F135" s="430"/>
      <c r="G135" s="431"/>
      <c r="H135" s="1"/>
      <c r="I135" s="1"/>
      <c r="K135" s="1"/>
      <c r="L135" s="1"/>
      <c r="M135" s="1"/>
      <c r="N135" s="1"/>
      <c r="O135" s="1"/>
      <c r="P135" s="1"/>
    </row>
    <row r="136" spans="1:16" ht="16.600000000000001">
      <c r="B136" s="135" t="s">
        <v>293</v>
      </c>
      <c r="C136" s="432" t="s">
        <v>1639</v>
      </c>
      <c r="D136" s="432"/>
      <c r="E136" s="432">
        <v>0.16840505149213203</v>
      </c>
      <c r="F136" s="432">
        <v>7.6695566546866711E-2</v>
      </c>
      <c r="G136" s="433">
        <v>4.953461529227976E-2</v>
      </c>
      <c r="H136" s="1"/>
      <c r="I136" s="1"/>
      <c r="J136" s="1"/>
      <c r="K136" s="1"/>
      <c r="L136" s="1"/>
      <c r="M136" s="1"/>
      <c r="N136" s="1"/>
      <c r="O136" s="1"/>
      <c r="P136" s="1"/>
    </row>
    <row r="137" spans="1:16" ht="16.600000000000001">
      <c r="A137" s="1" t="s">
        <v>1680</v>
      </c>
      <c r="B137" s="135" t="s">
        <v>294</v>
      </c>
      <c r="C137" s="430" t="s">
        <v>1640</v>
      </c>
      <c r="D137" s="430"/>
      <c r="E137" s="430"/>
      <c r="F137" s="430"/>
      <c r="G137" s="431"/>
      <c r="H137" s="754"/>
      <c r="I137" s="754"/>
      <c r="J137" s="1" t="s">
        <v>1722</v>
      </c>
      <c r="K137" s="754"/>
      <c r="L137" s="1"/>
      <c r="M137" s="1"/>
      <c r="N137" s="1"/>
      <c r="O137" s="1"/>
      <c r="P137" s="1"/>
    </row>
    <row r="138" spans="1:16" ht="16.600000000000001">
      <c r="B138" s="135" t="s">
        <v>295</v>
      </c>
      <c r="C138" s="434" t="s">
        <v>1641</v>
      </c>
      <c r="D138" s="434"/>
      <c r="E138" s="434"/>
      <c r="F138" s="434"/>
      <c r="G138" s="435"/>
      <c r="H138" s="435">
        <f>H135-H137</f>
        <v>0</v>
      </c>
      <c r="I138" s="435">
        <f>I135-I137</f>
        <v>0</v>
      </c>
      <c r="J138" s="1"/>
      <c r="K138" s="1"/>
      <c r="L138" s="1"/>
      <c r="M138" s="1"/>
      <c r="N138" s="1"/>
      <c r="O138" s="1"/>
      <c r="P138" s="1"/>
    </row>
    <row r="139" spans="1:16" ht="16.600000000000001">
      <c r="B139" s="135" t="s">
        <v>296</v>
      </c>
      <c r="C139" s="432" t="s">
        <v>1642</v>
      </c>
      <c r="D139" s="432">
        <v>0.3307329623733356</v>
      </c>
      <c r="E139" s="432">
        <v>0.34132532372762492</v>
      </c>
      <c r="F139" s="432">
        <v>0.38973174982178099</v>
      </c>
      <c r="G139" s="433">
        <v>0.40465646066630279</v>
      </c>
      <c r="H139" s="785"/>
      <c r="I139" s="432" t="e">
        <f>I138/I135</f>
        <v>#DIV/0!</v>
      </c>
      <c r="J139" s="1"/>
      <c r="K139" s="1"/>
      <c r="L139" s="1"/>
      <c r="M139" s="1"/>
      <c r="N139" s="1"/>
      <c r="O139" s="1"/>
      <c r="P139" s="1"/>
    </row>
    <row r="140" spans="1:16" ht="16.600000000000001">
      <c r="A140" s="1" t="s">
        <v>1681</v>
      </c>
      <c r="B140" s="135" t="s">
        <v>297</v>
      </c>
      <c r="C140" s="430" t="s">
        <v>1643</v>
      </c>
      <c r="D140" s="430"/>
      <c r="E140" s="430"/>
      <c r="F140" s="430"/>
      <c r="G140" s="431"/>
      <c r="H140" s="785"/>
      <c r="I140" s="785"/>
      <c r="J140" s="1"/>
      <c r="K140" s="1"/>
      <c r="L140" s="1"/>
      <c r="M140" s="1"/>
      <c r="N140" s="1"/>
      <c r="O140" s="1"/>
      <c r="P140" s="1"/>
    </row>
    <row r="141" spans="1:16" ht="16.600000000000001">
      <c r="A141" s="1" t="s">
        <v>1682</v>
      </c>
      <c r="B141" s="135" t="s">
        <v>298</v>
      </c>
      <c r="C141" s="436" t="s">
        <v>1644</v>
      </c>
      <c r="D141" s="430"/>
      <c r="E141" s="430"/>
      <c r="F141" s="430"/>
      <c r="G141" s="431"/>
      <c r="H141" s="785"/>
      <c r="I141" s="785"/>
      <c r="J141" s="1"/>
      <c r="K141" s="1"/>
      <c r="L141" s="1"/>
      <c r="M141" s="1"/>
      <c r="N141" s="1"/>
      <c r="O141" s="1"/>
      <c r="P141" s="1"/>
    </row>
    <row r="142" spans="1:16" ht="16.600000000000001">
      <c r="A142" s="1" t="s">
        <v>1681</v>
      </c>
      <c r="B142" s="135" t="s">
        <v>299</v>
      </c>
      <c r="C142" s="436" t="s">
        <v>1645</v>
      </c>
      <c r="D142" s="430"/>
      <c r="E142" s="430"/>
      <c r="F142" s="430"/>
      <c r="G142" s="431"/>
      <c r="H142" s="785"/>
      <c r="I142" s="785"/>
      <c r="J142" s="1" t="s">
        <v>1722</v>
      </c>
      <c r="K142" s="1"/>
      <c r="L142" s="1"/>
      <c r="M142" s="1"/>
      <c r="N142" s="1"/>
      <c r="O142" s="1"/>
      <c r="P142" s="1"/>
    </row>
    <row r="143" spans="1:16" ht="16.600000000000001">
      <c r="A143" s="1" t="s">
        <v>1683</v>
      </c>
      <c r="B143" s="135" t="s">
        <v>300</v>
      </c>
      <c r="C143" s="436" t="s">
        <v>1646</v>
      </c>
      <c r="D143" s="430"/>
      <c r="E143" s="430"/>
      <c r="F143" s="430"/>
      <c r="G143" s="431"/>
      <c r="H143" s="785"/>
      <c r="I143" s="785"/>
      <c r="J143" s="1" t="s">
        <v>1722</v>
      </c>
      <c r="K143" s="1"/>
      <c r="L143" s="1"/>
      <c r="M143" s="1"/>
      <c r="N143" s="1"/>
      <c r="O143" s="1"/>
      <c r="P143" s="1"/>
    </row>
    <row r="144" spans="1:16" ht="16.600000000000001">
      <c r="A144" s="1" t="s">
        <v>1684</v>
      </c>
      <c r="B144" s="135" t="s">
        <v>301</v>
      </c>
      <c r="C144" s="436" t="s">
        <v>1647</v>
      </c>
      <c r="D144" s="430"/>
      <c r="E144" s="430"/>
      <c r="F144" s="430"/>
      <c r="G144" s="431"/>
      <c r="H144" s="785"/>
      <c r="I144" s="785"/>
      <c r="J144" s="796" t="s">
        <v>1771</v>
      </c>
      <c r="K144" s="786"/>
      <c r="L144" s="786"/>
      <c r="M144" s="1"/>
      <c r="N144" s="1"/>
      <c r="O144" s="1"/>
      <c r="P144" s="1"/>
    </row>
    <row r="145" spans="1:16" ht="16.600000000000001">
      <c r="B145" s="135" t="s">
        <v>302</v>
      </c>
      <c r="C145" s="434" t="s">
        <v>1648</v>
      </c>
      <c r="D145" s="434"/>
      <c r="E145" s="434"/>
      <c r="F145" s="434"/>
      <c r="G145" s="435"/>
      <c r="H145" s="667">
        <f>H138+H141-H142-H143-H144-H140</f>
        <v>0</v>
      </c>
      <c r="I145" s="667">
        <f>I138+I141-I142-I143</f>
        <v>0</v>
      </c>
      <c r="J145" s="796"/>
      <c r="K145" s="787"/>
      <c r="L145" s="786"/>
      <c r="M145" s="1"/>
      <c r="N145" s="1"/>
      <c r="O145" s="1"/>
      <c r="P145" s="1"/>
    </row>
    <row r="146" spans="1:16" ht="16.600000000000001">
      <c r="B146" s="135" t="s">
        <v>303</v>
      </c>
      <c r="C146" s="432" t="s">
        <v>1649</v>
      </c>
      <c r="D146" s="432">
        <v>0.22832512800278748</v>
      </c>
      <c r="E146" s="432">
        <v>0.23836756597835509</v>
      </c>
      <c r="F146" s="432">
        <v>0.28883848400422663</v>
      </c>
      <c r="G146" s="433">
        <v>0.31037044568341093</v>
      </c>
      <c r="H146" s="1"/>
      <c r="I146" s="755" t="e">
        <f>I145/I135</f>
        <v>#DIV/0!</v>
      </c>
      <c r="J146" s="796"/>
      <c r="K146" s="787"/>
      <c r="L146" s="786"/>
      <c r="M146" s="1"/>
      <c r="N146" s="1"/>
      <c r="O146" s="1"/>
      <c r="P146" s="1"/>
    </row>
    <row r="147" spans="1:16" ht="16.600000000000001">
      <c r="A147" s="1" t="s">
        <v>1685</v>
      </c>
      <c r="B147" s="135" t="s">
        <v>304</v>
      </c>
      <c r="C147" s="430" t="s">
        <v>1650</v>
      </c>
      <c r="D147" s="430"/>
      <c r="E147" s="430"/>
      <c r="F147" s="430"/>
      <c r="G147" s="431"/>
      <c r="H147" s="1"/>
      <c r="I147" s="754"/>
      <c r="J147" s="796"/>
      <c r="K147" s="788">
        <f>SUM(I161:I162)</f>
        <v>0</v>
      </c>
      <c r="L147" s="786"/>
      <c r="M147" s="1"/>
      <c r="N147" s="1"/>
      <c r="O147" s="1"/>
      <c r="P147" s="1"/>
    </row>
    <row r="148" spans="1:16" ht="16.600000000000001">
      <c r="A148" s="1" t="s">
        <v>1685</v>
      </c>
      <c r="B148" s="135" t="s">
        <v>305</v>
      </c>
      <c r="C148" s="430" t="s">
        <v>1651</v>
      </c>
      <c r="D148" s="430"/>
      <c r="E148" s="430"/>
      <c r="F148" s="430"/>
      <c r="G148" s="431"/>
      <c r="H148" s="1"/>
      <c r="I148" s="754"/>
      <c r="J148" s="1"/>
      <c r="K148" s="754">
        <f>K147+K146+K145+K144+L144</f>
        <v>0</v>
      </c>
      <c r="L148" s="1"/>
      <c r="M148" s="1"/>
      <c r="N148" s="1"/>
      <c r="O148" s="1"/>
      <c r="P148" s="1"/>
    </row>
    <row r="149" spans="1:16" ht="16.600000000000001">
      <c r="B149" s="135" t="s">
        <v>306</v>
      </c>
      <c r="C149" s="437" t="s">
        <v>1651</v>
      </c>
      <c r="D149" s="438"/>
      <c r="E149" s="438"/>
      <c r="F149" s="438"/>
      <c r="G149" s="439"/>
      <c r="H149" s="1"/>
      <c r="I149" s="754"/>
      <c r="J149" s="1"/>
      <c r="L149" s="1"/>
      <c r="M149" s="1"/>
      <c r="N149" s="1"/>
      <c r="O149" s="1"/>
      <c r="P149" s="1"/>
    </row>
    <row r="150" spans="1:16" ht="16.600000000000001">
      <c r="B150" s="135" t="s">
        <v>307</v>
      </c>
      <c r="C150" s="440" t="s">
        <v>1652</v>
      </c>
      <c r="D150" s="436"/>
      <c r="E150" s="436"/>
      <c r="F150" s="436"/>
      <c r="G150" s="441"/>
      <c r="H150" s="1"/>
      <c r="I150" s="754"/>
      <c r="J150" s="1"/>
      <c r="K150" s="1"/>
      <c r="L150" s="1"/>
      <c r="M150" s="1"/>
      <c r="N150" s="1"/>
      <c r="O150" s="1"/>
      <c r="P150" s="1"/>
    </row>
    <row r="151" spans="1:16" ht="16.600000000000001">
      <c r="B151" s="135" t="s">
        <v>308</v>
      </c>
      <c r="C151" s="440" t="s">
        <v>1653</v>
      </c>
      <c r="D151" s="436"/>
      <c r="E151" s="436"/>
      <c r="F151" s="436"/>
      <c r="G151" s="441"/>
      <c r="H151" s="1"/>
      <c r="I151" s="754"/>
      <c r="J151" s="1"/>
      <c r="K151" s="1"/>
      <c r="L151" s="1"/>
      <c r="M151" s="1"/>
      <c r="N151" s="1"/>
      <c r="O151" s="1"/>
      <c r="P151" s="1"/>
    </row>
    <row r="152" spans="1:16" ht="16.600000000000001">
      <c r="B152" s="135" t="s">
        <v>309</v>
      </c>
      <c r="C152" s="442" t="s">
        <v>1654</v>
      </c>
      <c r="D152" s="443"/>
      <c r="E152" s="443"/>
      <c r="F152" s="443"/>
      <c r="G152" s="444"/>
      <c r="H152" s="1"/>
      <c r="I152" s="754"/>
      <c r="J152" s="1"/>
      <c r="K152" s="1"/>
      <c r="L152" s="1"/>
      <c r="M152" s="1"/>
      <c r="N152" s="1"/>
      <c r="O152" s="1"/>
      <c r="P152" s="1"/>
    </row>
    <row r="153" spans="1:16" ht="16.600000000000001">
      <c r="A153" s="1" t="s">
        <v>1686</v>
      </c>
      <c r="B153" s="135" t="s">
        <v>310</v>
      </c>
      <c r="C153" s="430" t="s">
        <v>1655</v>
      </c>
      <c r="D153" s="436"/>
      <c r="E153" s="436"/>
      <c r="F153" s="436"/>
      <c r="G153" s="441"/>
      <c r="H153" s="1"/>
      <c r="I153" s="754"/>
      <c r="J153" s="1"/>
      <c r="K153" s="1"/>
      <c r="L153" s="1"/>
      <c r="M153" s="1"/>
      <c r="N153" s="1"/>
      <c r="O153" s="1"/>
      <c r="P153" s="1"/>
    </row>
    <row r="154" spans="1:16" ht="16.600000000000001">
      <c r="B154" s="135" t="s">
        <v>311</v>
      </c>
      <c r="C154" s="437" t="s">
        <v>1656</v>
      </c>
      <c r="D154" s="438"/>
      <c r="E154" s="438"/>
      <c r="F154" s="438"/>
      <c r="G154" s="439"/>
      <c r="H154" s="1"/>
      <c r="I154" s="754"/>
      <c r="J154" s="1"/>
      <c r="K154" s="1"/>
      <c r="L154" s="1"/>
      <c r="M154" s="1"/>
      <c r="N154" s="1"/>
      <c r="O154" s="1"/>
      <c r="P154" s="1"/>
    </row>
    <row r="155" spans="1:16" ht="16.600000000000001">
      <c r="B155" s="135" t="s">
        <v>312</v>
      </c>
      <c r="C155" s="442" t="s">
        <v>1655</v>
      </c>
      <c r="D155" s="443"/>
      <c r="E155" s="443"/>
      <c r="F155" s="443"/>
      <c r="G155" s="444"/>
      <c r="H155" s="1"/>
      <c r="I155" s="754"/>
      <c r="J155" s="1"/>
      <c r="K155" s="1"/>
      <c r="L155" s="1"/>
      <c r="M155" s="1"/>
      <c r="N155" s="1"/>
      <c r="O155" s="1"/>
      <c r="P155" s="1"/>
    </row>
    <row r="156" spans="1:16" ht="16.600000000000001">
      <c r="A156" s="1" t="s">
        <v>1687</v>
      </c>
      <c r="B156" s="135" t="s">
        <v>313</v>
      </c>
      <c r="C156" s="430" t="s">
        <v>1657</v>
      </c>
      <c r="D156" s="430"/>
      <c r="E156" s="430"/>
      <c r="F156" s="430"/>
      <c r="G156" s="431"/>
      <c r="H156" s="1"/>
      <c r="I156" s="754"/>
      <c r="J156" s="1"/>
      <c r="K156" s="1"/>
      <c r="L156" s="1"/>
      <c r="M156" s="1"/>
      <c r="N156" s="1"/>
      <c r="O156" s="1"/>
      <c r="P156" s="1"/>
    </row>
    <row r="157" spans="1:16" ht="16.600000000000001">
      <c r="B157" s="135" t="s">
        <v>314</v>
      </c>
      <c r="C157" s="434" t="s">
        <v>1658</v>
      </c>
      <c r="D157" s="434"/>
      <c r="E157" s="434"/>
      <c r="F157" s="434"/>
      <c r="G157" s="435"/>
      <c r="H157" s="667"/>
      <c r="I157" s="754"/>
      <c r="J157" s="1"/>
      <c r="K157" s="1"/>
      <c r="L157" s="754"/>
      <c r="M157" s="1"/>
      <c r="N157" s="1"/>
      <c r="O157" s="1"/>
      <c r="P157" s="1"/>
    </row>
    <row r="158" spans="1:16" ht="16.600000000000001">
      <c r="A158" s="1" t="s">
        <v>1688</v>
      </c>
      <c r="B158" s="135" t="s">
        <v>315</v>
      </c>
      <c r="C158" s="430" t="s">
        <v>1659</v>
      </c>
      <c r="D158" s="430"/>
      <c r="E158" s="430"/>
      <c r="F158" s="430"/>
      <c r="G158" s="431"/>
      <c r="H158" s="667"/>
      <c r="I158" s="754"/>
      <c r="J158" s="1"/>
      <c r="K158" s="1"/>
      <c r="L158" s="1"/>
      <c r="M158" s="1"/>
      <c r="N158" s="1"/>
      <c r="O158" s="1"/>
      <c r="P158" s="1"/>
    </row>
    <row r="159" spans="1:16" ht="17.3" thickBot="1">
      <c r="B159" s="135" t="s">
        <v>316</v>
      </c>
      <c r="C159" s="445" t="s">
        <v>1660</v>
      </c>
      <c r="D159" s="445"/>
      <c r="E159" s="445"/>
      <c r="F159" s="445"/>
      <c r="G159" s="446"/>
      <c r="H159" s="667"/>
      <c r="I159" s="754"/>
      <c r="J159" s="1"/>
      <c r="K159" s="754">
        <f>J159-I159</f>
        <v>0</v>
      </c>
      <c r="L159" s="1"/>
      <c r="M159" s="1"/>
      <c r="N159" s="1"/>
      <c r="O159" s="1"/>
      <c r="P159" s="1"/>
    </row>
    <row r="160" spans="1:16" ht="16.600000000000001">
      <c r="B160" s="135" t="s">
        <v>317</v>
      </c>
      <c r="C160" s="447" t="s">
        <v>1689</v>
      </c>
      <c r="D160" s="448"/>
      <c r="E160" s="448"/>
      <c r="F160" s="448"/>
      <c r="G160" s="448"/>
      <c r="H160" s="667"/>
      <c r="I160" s="448">
        <f>I159+I158-I148</f>
        <v>0</v>
      </c>
      <c r="J160" s="1"/>
      <c r="K160" s="1"/>
      <c r="L160" s="1"/>
      <c r="M160" s="1"/>
      <c r="N160" s="1"/>
      <c r="O160" s="1"/>
      <c r="P160" s="1"/>
    </row>
    <row r="161" spans="1:16" ht="16.600000000000001">
      <c r="A161" s="1" t="s">
        <v>1693</v>
      </c>
      <c r="B161" s="135" t="s">
        <v>318</v>
      </c>
      <c r="C161" s="449" t="s">
        <v>1690</v>
      </c>
      <c r="D161" s="450"/>
      <c r="E161" s="450"/>
      <c r="F161" s="450"/>
      <c r="G161" s="451"/>
      <c r="H161" s="1"/>
      <c r="I161" s="754"/>
      <c r="J161" s="1"/>
      <c r="K161" s="1"/>
      <c r="L161" s="1"/>
      <c r="M161" s="1"/>
      <c r="N161" s="1"/>
      <c r="O161" s="1"/>
      <c r="P161" s="1"/>
    </row>
    <row r="162" spans="1:16" ht="16.600000000000001">
      <c r="A162" s="1" t="s">
        <v>1694</v>
      </c>
      <c r="B162" s="135" t="s">
        <v>319</v>
      </c>
      <c r="C162" s="449" t="s">
        <v>1691</v>
      </c>
      <c r="D162" s="450"/>
      <c r="E162" s="450"/>
      <c r="F162" s="450"/>
      <c r="G162" s="451"/>
      <c r="H162" s="1"/>
      <c r="I162" s="754"/>
      <c r="J162" s="1"/>
      <c r="K162" s="1"/>
      <c r="L162" s="1"/>
      <c r="M162" s="1"/>
      <c r="N162" s="1"/>
      <c r="O162" s="1"/>
      <c r="P162" s="1"/>
    </row>
    <row r="163" spans="1:16" ht="16.600000000000001">
      <c r="B163" s="135" t="s">
        <v>320</v>
      </c>
      <c r="C163" s="452" t="s">
        <v>1692</v>
      </c>
      <c r="D163" s="453"/>
      <c r="E163" s="453"/>
      <c r="F163" s="453"/>
      <c r="G163" s="453"/>
      <c r="H163" s="667"/>
      <c r="I163" s="453">
        <f>I160+I161+I162</f>
        <v>0</v>
      </c>
      <c r="J163" s="1"/>
      <c r="K163" s="1"/>
      <c r="L163" s="1"/>
      <c r="M163" s="1"/>
      <c r="N163" s="1"/>
      <c r="O163" s="1"/>
      <c r="P163" s="1"/>
    </row>
    <row r="164" spans="1:16" ht="16.600000000000001">
      <c r="B164" s="135" t="s">
        <v>321</v>
      </c>
      <c r="C164" s="136"/>
      <c r="D164" s="137"/>
      <c r="E164" s="137"/>
      <c r="F164" s="137"/>
      <c r="G164" s="1"/>
      <c r="H164" s="1"/>
      <c r="I164" s="1"/>
      <c r="J164" s="1"/>
      <c r="K164" s="1"/>
      <c r="L164" s="1"/>
      <c r="M164" s="1"/>
      <c r="N164" s="1"/>
      <c r="O164" s="1"/>
      <c r="P164" s="1"/>
    </row>
    <row r="165" spans="1:16" ht="16.600000000000001">
      <c r="B165" s="135" t="s">
        <v>322</v>
      </c>
      <c r="C165" s="656" t="s">
        <v>1723</v>
      </c>
      <c r="D165" s="137"/>
      <c r="E165" s="137"/>
      <c r="F165" s="137"/>
      <c r="G165" s="1"/>
      <c r="H165" s="1"/>
      <c r="I165" s="1"/>
      <c r="J165" s="1"/>
      <c r="K165" s="1"/>
      <c r="L165" s="1"/>
      <c r="M165" s="1"/>
      <c r="N165" s="1"/>
      <c r="O165" s="1"/>
      <c r="P165" s="1"/>
    </row>
    <row r="166" spans="1:16" ht="16.600000000000001">
      <c r="B166" s="135" t="s">
        <v>323</v>
      </c>
      <c r="C166" s="136" t="s">
        <v>1724</v>
      </c>
      <c r="D166" s="137"/>
      <c r="E166" s="137"/>
      <c r="F166" s="137"/>
      <c r="G166" s="1"/>
      <c r="H166" s="1"/>
      <c r="I166" s="1"/>
      <c r="J166" s="1"/>
      <c r="K166" s="1"/>
      <c r="L166" s="1"/>
      <c r="M166" s="1"/>
      <c r="N166" s="1"/>
      <c r="O166" s="1"/>
      <c r="P166" s="1"/>
    </row>
    <row r="167" spans="1:16" ht="16.600000000000001">
      <c r="B167" s="135" t="s">
        <v>324</v>
      </c>
      <c r="C167" s="136" t="s">
        <v>1725</v>
      </c>
      <c r="D167" s="137"/>
      <c r="E167" s="137"/>
      <c r="F167" s="137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ht="16.600000000000001">
      <c r="B168" s="135" t="s">
        <v>325</v>
      </c>
      <c r="C168" s="136" t="s">
        <v>1726</v>
      </c>
      <c r="D168" s="137"/>
      <c r="E168" s="137"/>
      <c r="F168" s="137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ht="16.600000000000001">
      <c r="B169" s="135" t="s">
        <v>326</v>
      </c>
      <c r="C169" s="136" t="s">
        <v>1727</v>
      </c>
      <c r="D169" s="657"/>
      <c r="E169" s="657"/>
      <c r="F169" s="657"/>
      <c r="G169" s="657"/>
      <c r="H169" s="1"/>
      <c r="I169" s="1"/>
      <c r="J169" s="1"/>
      <c r="K169" s="1"/>
      <c r="L169" s="1"/>
      <c r="M169" s="1"/>
      <c r="N169" s="1"/>
      <c r="O169" s="1"/>
      <c r="P169" s="1"/>
    </row>
    <row r="170" spans="1:16" ht="16.600000000000001">
      <c r="B170" s="135" t="s">
        <v>327</v>
      </c>
      <c r="C170" s="136"/>
      <c r="D170" s="136"/>
      <c r="E170" s="136"/>
      <c r="F170" s="136"/>
      <c r="G170" s="1"/>
      <c r="H170" s="1"/>
      <c r="I170" s="1"/>
      <c r="J170" s="1"/>
      <c r="K170" s="1"/>
      <c r="L170" s="1"/>
      <c r="M170" s="1"/>
      <c r="N170" s="1"/>
      <c r="O170" s="1"/>
      <c r="P170" s="1"/>
    </row>
    <row r="171" spans="1:16" ht="16.600000000000001">
      <c r="B171" s="135" t="s">
        <v>328</v>
      </c>
      <c r="C171" s="136"/>
      <c r="D171" s="136"/>
      <c r="E171" s="136"/>
      <c r="F171" s="136"/>
      <c r="G171" s="1"/>
      <c r="H171" s="1"/>
      <c r="I171" s="1"/>
      <c r="J171" s="1"/>
      <c r="K171" s="1"/>
      <c r="L171" s="1"/>
      <c r="M171" s="1"/>
      <c r="N171" s="1"/>
      <c r="O171" s="1"/>
      <c r="P171" s="1"/>
    </row>
    <row r="172" spans="1:16" ht="16.600000000000001">
      <c r="B172" s="135" t="s">
        <v>329</v>
      </c>
      <c r="C172" s="136"/>
      <c r="D172" s="136"/>
      <c r="E172" s="136"/>
      <c r="F172" s="136"/>
      <c r="G172" s="1"/>
      <c r="H172" s="1"/>
      <c r="I172" s="1"/>
      <c r="J172" s="1"/>
      <c r="K172" s="1"/>
      <c r="L172" s="1"/>
      <c r="M172" s="1"/>
      <c r="N172" s="1"/>
      <c r="O172" s="1"/>
      <c r="P172" s="1"/>
    </row>
    <row r="173" spans="1:16" ht="16.600000000000001">
      <c r="B173" s="135" t="s">
        <v>330</v>
      </c>
      <c r="C173" s="136"/>
      <c r="D173" s="137"/>
      <c r="E173" s="137"/>
      <c r="F173" s="137"/>
      <c r="G173" s="1"/>
      <c r="H173" s="1"/>
      <c r="I173" s="1"/>
      <c r="J173" s="1"/>
      <c r="K173" s="1"/>
      <c r="L173" s="1"/>
      <c r="M173" s="1"/>
      <c r="N173" s="1"/>
      <c r="O173" s="1"/>
      <c r="P173" s="1"/>
    </row>
    <row r="174" spans="1:16" ht="16.600000000000001">
      <c r="B174" s="135" t="s">
        <v>331</v>
      </c>
      <c r="C174" s="135"/>
      <c r="D174" s="137"/>
      <c r="E174" s="137"/>
      <c r="F174" s="137"/>
      <c r="G174" s="1"/>
      <c r="H174" s="1"/>
      <c r="I174" s="1"/>
      <c r="J174" s="1"/>
      <c r="K174" s="1"/>
      <c r="L174" s="1"/>
      <c r="M174" s="1"/>
      <c r="N174" s="1"/>
      <c r="O174" s="1"/>
      <c r="P174" s="1"/>
    </row>
    <row r="175" spans="1:16" ht="16.600000000000001">
      <c r="B175" s="135" t="s">
        <v>332</v>
      </c>
      <c r="C175" s="136"/>
      <c r="D175" s="136"/>
      <c r="E175" s="136"/>
      <c r="F175" s="136"/>
      <c r="G175" s="1"/>
      <c r="H175" s="1"/>
      <c r="I175" s="1"/>
      <c r="J175" s="1"/>
      <c r="K175" s="1"/>
      <c r="L175" s="1"/>
      <c r="M175" s="1"/>
      <c r="N175" s="1"/>
      <c r="O175" s="1"/>
      <c r="P175" s="1"/>
    </row>
    <row r="176" spans="1:16" ht="16.600000000000001">
      <c r="B176" s="135" t="s">
        <v>333</v>
      </c>
      <c r="C176" s="136"/>
      <c r="D176" s="137"/>
      <c r="E176" s="137"/>
      <c r="F176" s="137"/>
      <c r="G176" s="1"/>
      <c r="H176" s="1"/>
      <c r="I176" s="1"/>
      <c r="J176" s="1"/>
      <c r="K176" s="1"/>
      <c r="L176" s="1"/>
      <c r="M176" s="1"/>
      <c r="N176" s="1"/>
      <c r="O176" s="1"/>
      <c r="P176" s="1"/>
    </row>
    <row r="177" spans="2:16" ht="16.600000000000001">
      <c r="B177" s="135" t="s">
        <v>334</v>
      </c>
      <c r="C177" s="136"/>
      <c r="D177" s="137"/>
      <c r="E177" s="137"/>
      <c r="F177" s="136"/>
      <c r="G177" s="1"/>
      <c r="H177" s="1"/>
      <c r="I177" s="1"/>
      <c r="J177" s="1"/>
      <c r="K177" s="1"/>
      <c r="L177" s="1"/>
      <c r="M177" s="1"/>
      <c r="N177" s="1"/>
      <c r="O177" s="1"/>
      <c r="P177" s="1"/>
    </row>
    <row r="178" spans="2:16" ht="16.600000000000001">
      <c r="B178" s="135" t="s">
        <v>335</v>
      </c>
      <c r="C178" s="135"/>
      <c r="D178" s="136"/>
      <c r="E178" s="136"/>
      <c r="F178" s="136"/>
      <c r="G178" s="1"/>
      <c r="H178" s="1"/>
      <c r="I178" s="1"/>
      <c r="J178" s="1"/>
      <c r="K178" s="1"/>
      <c r="L178" s="1"/>
      <c r="M178" s="1"/>
      <c r="N178" s="1"/>
      <c r="O178" s="1"/>
      <c r="P178" s="1"/>
    </row>
    <row r="179" spans="2:16" ht="16.600000000000001">
      <c r="B179" s="135" t="s">
        <v>336</v>
      </c>
      <c r="C179" s="136"/>
      <c r="D179" s="136"/>
      <c r="E179" s="136"/>
      <c r="F179" s="136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2:16" ht="16.600000000000001">
      <c r="B180" s="135" t="s">
        <v>337</v>
      </c>
      <c r="C180" s="135"/>
      <c r="D180" s="137"/>
      <c r="E180" s="137"/>
      <c r="F180" s="137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2:16" ht="16.600000000000001">
      <c r="B181" s="135" t="s">
        <v>338</v>
      </c>
      <c r="C181" s="136"/>
      <c r="D181" s="137"/>
      <c r="E181" s="137"/>
      <c r="F181" s="137"/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2:16" ht="16.600000000000001">
      <c r="B182" s="135" t="s">
        <v>339</v>
      </c>
      <c r="C182" s="136"/>
      <c r="D182" s="136"/>
      <c r="E182" s="136"/>
      <c r="F182" s="136"/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2:16" ht="16.600000000000001">
      <c r="B183" s="135" t="s">
        <v>340</v>
      </c>
      <c r="C183" s="136"/>
      <c r="D183" s="137"/>
      <c r="E183" s="137"/>
      <c r="F183" s="137"/>
      <c r="G183" s="1"/>
      <c r="H183" s="1"/>
      <c r="I183" s="1"/>
      <c r="J183" s="1"/>
      <c r="K183" s="1"/>
      <c r="L183" s="1"/>
      <c r="M183" s="1"/>
      <c r="N183" s="1"/>
      <c r="O183" s="1"/>
      <c r="P183" s="1"/>
    </row>
    <row r="184" spans="2:16" ht="16.600000000000001">
      <c r="B184" s="135" t="s">
        <v>341</v>
      </c>
      <c r="C184" s="136"/>
      <c r="D184" s="137"/>
      <c r="E184" s="137"/>
      <c r="F184" s="137"/>
      <c r="G184" s="1"/>
      <c r="H184" s="1"/>
      <c r="I184" s="1"/>
      <c r="J184" s="1"/>
      <c r="K184" s="1"/>
      <c r="L184" s="1"/>
      <c r="M184" s="1"/>
      <c r="N184" s="1"/>
      <c r="O184" s="1"/>
      <c r="P184" s="1"/>
    </row>
    <row r="185" spans="2:16" ht="16.600000000000001">
      <c r="B185" s="135" t="s">
        <v>342</v>
      </c>
      <c r="C185" s="136"/>
      <c r="D185" s="137"/>
      <c r="E185" s="137"/>
      <c r="F185" s="137"/>
      <c r="G185" s="1"/>
      <c r="H185" s="1"/>
      <c r="I185" s="1"/>
      <c r="J185" s="1"/>
      <c r="K185" s="1"/>
      <c r="L185" s="1"/>
      <c r="M185" s="1"/>
      <c r="N185" s="1"/>
      <c r="O185" s="1"/>
      <c r="P185" s="1"/>
    </row>
    <row r="186" spans="2:16" ht="16.600000000000001">
      <c r="B186" s="135" t="s">
        <v>343</v>
      </c>
      <c r="C186" s="136"/>
      <c r="D186" s="137"/>
      <c r="E186" s="137"/>
      <c r="F186" s="137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2:16" ht="16.600000000000001">
      <c r="B187" s="135" t="s">
        <v>344</v>
      </c>
      <c r="C187" s="135"/>
      <c r="D187" s="137"/>
      <c r="E187" s="137"/>
      <c r="F187" s="137"/>
      <c r="G187" s="1"/>
      <c r="H187" s="1"/>
      <c r="I187" s="1"/>
      <c r="J187" s="1"/>
      <c r="K187" s="1"/>
      <c r="L187" s="1"/>
      <c r="M187" s="1"/>
      <c r="N187" s="1"/>
      <c r="O187" s="1"/>
      <c r="P187" s="1"/>
    </row>
    <row r="188" spans="2:16" ht="16.600000000000001">
      <c r="B188" s="135" t="s">
        <v>345</v>
      </c>
      <c r="C188" s="136"/>
      <c r="D188" s="137"/>
      <c r="E188" s="137"/>
      <c r="F188" s="137"/>
      <c r="G188" s="1"/>
      <c r="H188" s="1"/>
      <c r="I188" s="1"/>
      <c r="J188" s="1"/>
      <c r="K188" s="1"/>
      <c r="L188" s="1"/>
      <c r="M188" s="1"/>
      <c r="N188" s="1"/>
      <c r="O188" s="1"/>
      <c r="P188" s="1"/>
    </row>
    <row r="189" spans="2:16" ht="16.600000000000001">
      <c r="B189" s="135" t="s">
        <v>346</v>
      </c>
      <c r="C189" s="136"/>
      <c r="D189" s="137"/>
      <c r="E189" s="137"/>
      <c r="F189" s="137"/>
      <c r="G189" s="1"/>
      <c r="H189" s="1"/>
      <c r="I189" s="1"/>
      <c r="J189" s="1"/>
      <c r="K189" s="1"/>
      <c r="L189" s="1"/>
      <c r="M189" s="1"/>
      <c r="N189" s="1"/>
      <c r="O189" s="1"/>
      <c r="P189" s="1"/>
    </row>
    <row r="190" spans="2:16" ht="16.600000000000001">
      <c r="B190" s="135" t="s">
        <v>347</v>
      </c>
      <c r="C190" s="136"/>
      <c r="D190" s="137"/>
      <c r="E190" s="137"/>
      <c r="F190" s="137"/>
      <c r="G190" s="1"/>
      <c r="H190" s="1"/>
      <c r="I190" s="1"/>
      <c r="J190" s="1"/>
      <c r="K190" s="1"/>
      <c r="L190" s="1"/>
      <c r="M190" s="1"/>
      <c r="N190" s="1"/>
      <c r="O190" s="1"/>
      <c r="P190" s="1"/>
    </row>
    <row r="191" spans="2:16" ht="16.600000000000001">
      <c r="B191" s="135" t="s">
        <v>348</v>
      </c>
      <c r="C191" s="136"/>
      <c r="D191" s="137"/>
      <c r="E191" s="137"/>
      <c r="F191" s="137"/>
      <c r="G191" s="1"/>
      <c r="H191" s="1"/>
      <c r="I191" s="1"/>
      <c r="J191" s="1"/>
      <c r="K191" s="1"/>
      <c r="L191" s="1"/>
      <c r="M191" s="1"/>
      <c r="N191" s="1"/>
      <c r="O191" s="1"/>
      <c r="P191" s="1"/>
    </row>
    <row r="192" spans="2:16" ht="16.600000000000001">
      <c r="B192" s="135" t="s">
        <v>349</v>
      </c>
      <c r="C192" s="136"/>
      <c r="D192" s="136"/>
      <c r="E192" s="136"/>
      <c r="F192" s="136"/>
      <c r="G192" s="1"/>
      <c r="H192" s="1"/>
      <c r="I192" s="1"/>
      <c r="J192" s="1"/>
      <c r="K192" s="1"/>
      <c r="L192" s="1"/>
      <c r="M192" s="1"/>
      <c r="N192" s="1"/>
      <c r="O192" s="1"/>
      <c r="P192" s="1"/>
    </row>
    <row r="193" spans="2:16" ht="16.600000000000001">
      <c r="B193" s="135" t="s">
        <v>350</v>
      </c>
      <c r="C193" s="136"/>
      <c r="D193" s="136"/>
      <c r="E193" s="136"/>
      <c r="F193" s="136"/>
      <c r="G193" s="1"/>
      <c r="H193" s="1"/>
      <c r="I193" s="1"/>
      <c r="J193" s="1"/>
      <c r="K193" s="1"/>
      <c r="L193" s="1"/>
      <c r="M193" s="1"/>
      <c r="N193" s="1"/>
      <c r="O193" s="1"/>
      <c r="P193" s="1"/>
    </row>
    <row r="194" spans="2:16" ht="16.600000000000001">
      <c r="B194" s="135" t="s">
        <v>351</v>
      </c>
      <c r="C194" s="136"/>
      <c r="D194" s="136"/>
      <c r="E194" s="136"/>
      <c r="F194" s="136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2:16" ht="16.600000000000001">
      <c r="B195" s="135" t="s">
        <v>352</v>
      </c>
      <c r="C195" s="136"/>
      <c r="D195" s="136"/>
      <c r="E195" s="136"/>
      <c r="F195" s="136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2:16" ht="16.600000000000001">
      <c r="B196" s="135" t="s">
        <v>353</v>
      </c>
      <c r="C196" s="136"/>
      <c r="D196" s="137"/>
      <c r="E196" s="137"/>
      <c r="F196" s="137"/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2:16" ht="16.600000000000001">
      <c r="B197" s="135" t="s">
        <v>354</v>
      </c>
      <c r="C197" s="136"/>
      <c r="D197" s="136"/>
      <c r="E197" s="136"/>
      <c r="F197" s="136"/>
      <c r="G197" s="1"/>
      <c r="H197" s="1"/>
      <c r="I197" s="1"/>
      <c r="J197" s="1"/>
      <c r="K197" s="1"/>
      <c r="L197" s="1"/>
      <c r="M197" s="1"/>
      <c r="N197" s="1"/>
      <c r="O197" s="1"/>
      <c r="P197" s="1"/>
    </row>
    <row r="198" spans="2:16" ht="16.600000000000001">
      <c r="B198" s="135" t="s">
        <v>355</v>
      </c>
      <c r="C198" s="136"/>
      <c r="D198" s="137"/>
      <c r="E198" s="137"/>
      <c r="F198" s="137"/>
      <c r="G198" s="1"/>
      <c r="H198" s="1"/>
      <c r="I198" s="1"/>
      <c r="J198" s="1"/>
      <c r="K198" s="1"/>
      <c r="L198" s="1"/>
      <c r="M198" s="1"/>
      <c r="N198" s="1"/>
      <c r="O198" s="1"/>
      <c r="P198" s="1"/>
    </row>
    <row r="199" spans="2:16" ht="16.600000000000001">
      <c r="B199" s="135" t="s">
        <v>356</v>
      </c>
      <c r="C199" s="136"/>
      <c r="D199" s="136"/>
      <c r="E199" s="136"/>
      <c r="F199" s="137"/>
      <c r="G199" s="137"/>
      <c r="H199" s="1"/>
      <c r="I199" s="1"/>
      <c r="J199" s="1"/>
      <c r="K199" s="1"/>
      <c r="L199" s="1"/>
      <c r="M199" s="1"/>
      <c r="N199" s="1"/>
      <c r="O199" s="1"/>
      <c r="P199" s="1"/>
    </row>
    <row r="200" spans="2:16" ht="16.600000000000001">
      <c r="B200" s="135" t="s">
        <v>357</v>
      </c>
      <c r="C200" s="135"/>
      <c r="D200" s="137"/>
      <c r="E200" s="137"/>
      <c r="F200" s="137"/>
      <c r="G200" s="137"/>
      <c r="H200" s="1"/>
      <c r="I200" s="1"/>
      <c r="J200" s="1"/>
      <c r="K200" s="1"/>
      <c r="L200" s="1"/>
      <c r="M200" s="1"/>
      <c r="N200" s="1"/>
      <c r="O200" s="1"/>
      <c r="P200" s="1"/>
    </row>
    <row r="201" spans="2:16" ht="16.600000000000001">
      <c r="B201" s="135" t="s">
        <v>358</v>
      </c>
      <c r="C201" s="135"/>
      <c r="D201" s="136"/>
      <c r="E201" s="136"/>
      <c r="F201" s="136"/>
      <c r="G201" s="137"/>
      <c r="H201" s="1"/>
      <c r="I201" s="1"/>
      <c r="J201" s="1"/>
      <c r="K201" s="1"/>
      <c r="L201" s="1"/>
      <c r="M201" s="1"/>
      <c r="N201" s="1"/>
      <c r="O201" s="1"/>
      <c r="P201" s="1"/>
    </row>
    <row r="202" spans="2:16" ht="16.600000000000001">
      <c r="B202" s="135" t="s">
        <v>359</v>
      </c>
      <c r="C202" s="135"/>
      <c r="D202" s="136"/>
      <c r="E202" s="136"/>
      <c r="F202" s="136"/>
      <c r="G202" s="137"/>
      <c r="H202" s="1"/>
      <c r="I202" s="1"/>
      <c r="J202" s="1"/>
      <c r="K202" s="1"/>
      <c r="L202" s="1"/>
      <c r="M202" s="1"/>
      <c r="N202" s="1"/>
      <c r="O202" s="1"/>
      <c r="P202" s="1"/>
    </row>
    <row r="203" spans="2:16" ht="16.600000000000001">
      <c r="B203" s="135" t="s">
        <v>360</v>
      </c>
      <c r="C203" s="136"/>
      <c r="D203" s="137"/>
      <c r="E203" s="137"/>
      <c r="F203" s="137"/>
      <c r="G203" s="137"/>
      <c r="H203" s="1"/>
      <c r="I203" s="1"/>
      <c r="J203" s="1"/>
      <c r="K203" s="1"/>
      <c r="L203" s="1"/>
      <c r="M203" s="1"/>
      <c r="N203" s="1"/>
      <c r="O203" s="1"/>
      <c r="P203" s="1"/>
    </row>
    <row r="204" spans="2:16" ht="16.600000000000001">
      <c r="B204" s="135" t="s">
        <v>361</v>
      </c>
      <c r="C204" s="136"/>
      <c r="D204" s="137"/>
      <c r="E204" s="137"/>
      <c r="F204" s="137"/>
      <c r="G204" s="136"/>
      <c r="H204" s="1"/>
      <c r="I204" s="1"/>
      <c r="J204" s="1"/>
      <c r="K204" s="1"/>
      <c r="L204" s="1"/>
      <c r="M204" s="1"/>
      <c r="N204" s="1"/>
      <c r="O204" s="1"/>
      <c r="P204" s="1"/>
    </row>
    <row r="205" spans="2:16" ht="16.600000000000001">
      <c r="B205" s="135" t="s">
        <v>362</v>
      </c>
      <c r="C205" s="136"/>
      <c r="D205" s="137"/>
      <c r="E205" s="137"/>
      <c r="F205" s="137"/>
      <c r="G205" s="136"/>
      <c r="H205" s="1"/>
      <c r="I205" s="1"/>
      <c r="J205" s="1"/>
      <c r="K205" s="1"/>
      <c r="L205" s="1"/>
      <c r="M205" s="1"/>
      <c r="N205" s="1"/>
      <c r="O205" s="1"/>
      <c r="P205" s="1"/>
    </row>
    <row r="206" spans="2:16" ht="16.600000000000001">
      <c r="B206" s="135" t="s">
        <v>363</v>
      </c>
      <c r="C206" s="136"/>
      <c r="D206" s="137"/>
      <c r="E206" s="137"/>
      <c r="F206" s="137"/>
      <c r="G206" s="136"/>
      <c r="H206" s="1"/>
      <c r="I206" s="1"/>
      <c r="J206" s="1"/>
      <c r="K206" s="1"/>
      <c r="L206" s="1"/>
      <c r="M206" s="1"/>
      <c r="N206" s="1"/>
      <c r="O206" s="1"/>
      <c r="P206" s="1"/>
    </row>
    <row r="207" spans="2:16" ht="16.600000000000001">
      <c r="B207" s="135" t="s">
        <v>364</v>
      </c>
      <c r="C207" s="136"/>
      <c r="D207" s="137"/>
      <c r="E207" s="137"/>
      <c r="F207" s="137"/>
      <c r="G207" s="136"/>
      <c r="H207" s="1"/>
      <c r="I207" s="1"/>
      <c r="J207" s="1"/>
      <c r="K207" s="1"/>
      <c r="L207" s="1"/>
      <c r="M207" s="1"/>
      <c r="N207" s="1"/>
      <c r="O207" s="1"/>
      <c r="P207" s="1"/>
    </row>
    <row r="208" spans="2:16" ht="16.600000000000001">
      <c r="B208" s="135" t="s">
        <v>365</v>
      </c>
      <c r="C208" s="136"/>
      <c r="D208" s="136"/>
      <c r="E208" s="136"/>
      <c r="F208" s="136"/>
      <c r="G208" s="136"/>
      <c r="H208" s="1"/>
      <c r="I208" s="1"/>
      <c r="J208" s="1"/>
      <c r="K208" s="1"/>
      <c r="L208" s="1"/>
      <c r="M208" s="1"/>
      <c r="N208" s="1"/>
      <c r="O208" s="1"/>
      <c r="P208" s="1"/>
    </row>
    <row r="209" spans="2:16" ht="16.600000000000001">
      <c r="B209" s="135" t="s">
        <v>366</v>
      </c>
      <c r="C209" s="136"/>
      <c r="D209" s="136"/>
      <c r="E209" s="136"/>
      <c r="F209" s="136"/>
      <c r="G209" s="137"/>
      <c r="H209" s="1"/>
      <c r="I209" s="1"/>
      <c r="J209" s="1"/>
      <c r="K209" s="1"/>
      <c r="L209" s="1"/>
      <c r="M209" s="1"/>
      <c r="N209" s="1"/>
      <c r="O209" s="1"/>
      <c r="P209" s="1"/>
    </row>
    <row r="210" spans="2:16" ht="16.600000000000001">
      <c r="B210" s="135" t="s">
        <v>367</v>
      </c>
      <c r="C210" s="136"/>
      <c r="D210" s="136"/>
      <c r="E210" s="136"/>
      <c r="F210" s="136"/>
      <c r="G210" s="137"/>
      <c r="H210" s="1"/>
      <c r="I210" s="1"/>
      <c r="J210" s="1"/>
      <c r="K210" s="1"/>
      <c r="L210" s="1"/>
      <c r="M210" s="1"/>
      <c r="N210" s="1"/>
      <c r="O210" s="1"/>
      <c r="P210" s="1"/>
    </row>
    <row r="211" spans="2:16" ht="16.600000000000001">
      <c r="B211" s="135" t="s">
        <v>368</v>
      </c>
      <c r="C211" s="136"/>
      <c r="D211" s="136"/>
      <c r="E211" s="136"/>
      <c r="F211" s="136"/>
      <c r="G211" s="136"/>
      <c r="H211" s="1"/>
      <c r="I211" s="1"/>
      <c r="J211" s="1"/>
      <c r="K211" s="1"/>
      <c r="L211" s="1"/>
      <c r="M211" s="1"/>
      <c r="N211" s="1"/>
      <c r="O211" s="1"/>
      <c r="P211" s="1"/>
    </row>
    <row r="212" spans="2:16" ht="16.600000000000001">
      <c r="B212" s="135" t="s">
        <v>369</v>
      </c>
      <c r="C212" s="136"/>
      <c r="D212" s="136"/>
      <c r="E212" s="136"/>
      <c r="F212" s="136"/>
      <c r="G212" s="136"/>
      <c r="H212" s="1"/>
      <c r="I212" s="1"/>
      <c r="J212" s="1"/>
      <c r="K212" s="1"/>
      <c r="L212" s="1"/>
      <c r="M212" s="1"/>
      <c r="N212" s="1"/>
      <c r="O212" s="1"/>
      <c r="P212" s="1"/>
    </row>
    <row r="213" spans="2:16" ht="16.600000000000001">
      <c r="B213" s="135" t="s">
        <v>370</v>
      </c>
      <c r="C213" s="136"/>
      <c r="D213" s="137"/>
      <c r="E213" s="137"/>
      <c r="F213" s="137"/>
      <c r="G213" s="136"/>
      <c r="H213" s="1"/>
      <c r="I213" s="1"/>
      <c r="J213" s="1"/>
      <c r="K213" s="1"/>
      <c r="L213" s="1"/>
      <c r="M213" s="1"/>
      <c r="N213" s="1"/>
      <c r="O213" s="1"/>
      <c r="P213" s="1"/>
    </row>
    <row r="214" spans="2:16" ht="16.600000000000001">
      <c r="B214" s="135" t="s">
        <v>371</v>
      </c>
      <c r="C214" s="136"/>
      <c r="D214" s="137"/>
      <c r="E214" s="137"/>
      <c r="F214" s="137"/>
      <c r="G214" s="136"/>
      <c r="H214" s="1"/>
      <c r="I214" s="1"/>
      <c r="J214" s="1"/>
      <c r="K214" s="1"/>
      <c r="L214" s="1"/>
      <c r="M214" s="1"/>
      <c r="N214" s="1"/>
      <c r="O214" s="1"/>
      <c r="P214" s="1"/>
    </row>
    <row r="215" spans="2:16" ht="16.600000000000001">
      <c r="B215" s="135" t="s">
        <v>372</v>
      </c>
      <c r="C215" s="136"/>
      <c r="D215" s="136"/>
      <c r="E215" s="136"/>
      <c r="F215" s="136"/>
      <c r="G215" s="136"/>
      <c r="H215" s="1"/>
      <c r="I215" s="1"/>
      <c r="J215" s="1"/>
      <c r="K215" s="1"/>
      <c r="L215" s="1"/>
      <c r="M215" s="1"/>
      <c r="N215" s="1"/>
      <c r="O215" s="1"/>
      <c r="P215" s="1"/>
    </row>
    <row r="216" spans="2:16" ht="16.600000000000001">
      <c r="B216" s="135" t="s">
        <v>373</v>
      </c>
      <c r="C216" s="136"/>
      <c r="D216" s="136"/>
      <c r="E216" s="136"/>
      <c r="F216" s="136"/>
      <c r="G216" s="137"/>
      <c r="H216" s="1"/>
      <c r="I216" s="1"/>
      <c r="J216" s="1"/>
      <c r="K216" s="1"/>
      <c r="L216" s="1"/>
      <c r="M216" s="1"/>
      <c r="N216" s="1"/>
      <c r="O216" s="1"/>
      <c r="P216" s="1"/>
    </row>
    <row r="217" spans="2:16" ht="16.600000000000001">
      <c r="B217" s="135" t="s">
        <v>374</v>
      </c>
      <c r="C217" s="136"/>
      <c r="D217" s="136"/>
      <c r="E217" s="136"/>
      <c r="F217" s="136"/>
      <c r="G217" s="137"/>
      <c r="H217" s="1"/>
      <c r="I217" s="1"/>
      <c r="J217" s="1"/>
      <c r="K217" s="1"/>
      <c r="L217" s="1"/>
      <c r="M217" s="1"/>
      <c r="N217" s="1"/>
      <c r="O217" s="1"/>
      <c r="P217" s="1"/>
    </row>
    <row r="218" spans="2:16" ht="16.600000000000001">
      <c r="B218" s="135" t="s">
        <v>375</v>
      </c>
      <c r="C218" s="136"/>
      <c r="D218" s="136"/>
      <c r="E218" s="136"/>
      <c r="F218" s="136"/>
      <c r="G218" s="136"/>
      <c r="H218" s="1"/>
      <c r="I218" s="1"/>
      <c r="J218" s="1"/>
      <c r="K218" s="1"/>
      <c r="L218" s="1"/>
      <c r="M218" s="1"/>
      <c r="N218" s="1"/>
      <c r="O218" s="1"/>
      <c r="P218" s="1"/>
    </row>
    <row r="219" spans="2:16" ht="16.600000000000001">
      <c r="B219" s="135" t="s">
        <v>376</v>
      </c>
      <c r="C219" s="136"/>
      <c r="D219" s="136"/>
      <c r="E219" s="136"/>
      <c r="F219" s="136"/>
      <c r="G219" s="137"/>
      <c r="H219" s="1"/>
      <c r="I219" s="1"/>
      <c r="J219" s="1"/>
      <c r="K219" s="1"/>
      <c r="L219" s="1"/>
      <c r="M219" s="1"/>
      <c r="N219" s="1"/>
      <c r="O219" s="1"/>
      <c r="P219" s="1"/>
    </row>
    <row r="220" spans="2:16" ht="16.600000000000001">
      <c r="B220" s="135" t="s">
        <v>377</v>
      </c>
      <c r="C220" s="136"/>
      <c r="D220" s="137"/>
      <c r="E220" s="137"/>
      <c r="F220" s="137"/>
      <c r="G220" s="137"/>
      <c r="H220" s="1"/>
      <c r="I220" s="1"/>
      <c r="J220" s="1"/>
      <c r="K220" s="1"/>
      <c r="L220" s="1"/>
      <c r="M220" s="1"/>
      <c r="N220" s="1"/>
      <c r="O220" s="1"/>
      <c r="P220" s="1"/>
    </row>
    <row r="221" spans="2:16" ht="16.600000000000001">
      <c r="B221" s="135" t="s">
        <v>378</v>
      </c>
      <c r="C221" s="136"/>
      <c r="D221" s="137"/>
      <c r="E221" s="137"/>
      <c r="F221" s="137"/>
      <c r="G221" s="137"/>
      <c r="H221" s="1"/>
      <c r="I221" s="1"/>
      <c r="J221" s="1"/>
      <c r="K221" s="1"/>
      <c r="L221" s="1"/>
      <c r="M221" s="1"/>
      <c r="N221" s="1"/>
      <c r="O221" s="1"/>
      <c r="P221" s="1"/>
    </row>
    <row r="222" spans="2:16" ht="16.600000000000001">
      <c r="B222" s="135" t="s">
        <v>379</v>
      </c>
      <c r="C222" s="136"/>
      <c r="D222" s="137"/>
      <c r="E222" s="137"/>
      <c r="F222" s="137"/>
      <c r="G222" s="137"/>
      <c r="H222" s="1"/>
      <c r="I222" s="1"/>
      <c r="J222" s="1"/>
      <c r="K222" s="1"/>
      <c r="L222" s="1"/>
      <c r="M222" s="1"/>
      <c r="N222" s="1"/>
      <c r="O222" s="1"/>
      <c r="P222" s="1"/>
    </row>
    <row r="223" spans="2:16" ht="16.600000000000001">
      <c r="B223" s="135" t="s">
        <v>380</v>
      </c>
      <c r="C223" s="136"/>
      <c r="D223" s="137"/>
      <c r="E223" s="137"/>
      <c r="F223" s="137"/>
      <c r="G223" s="137"/>
      <c r="H223" s="1"/>
      <c r="I223" s="1"/>
      <c r="J223" s="1"/>
      <c r="K223" s="1"/>
      <c r="L223" s="1"/>
      <c r="M223" s="1"/>
      <c r="N223" s="1"/>
      <c r="O223" s="1"/>
      <c r="P223" s="1"/>
    </row>
    <row r="224" spans="2:16" ht="16.600000000000001">
      <c r="B224" s="135" t="s">
        <v>381</v>
      </c>
      <c r="C224" s="136"/>
      <c r="D224" s="137"/>
      <c r="E224" s="137"/>
      <c r="F224" s="137"/>
      <c r="G224" s="136"/>
      <c r="H224" s="1"/>
      <c r="I224" s="1"/>
      <c r="J224" s="1"/>
      <c r="K224" s="1"/>
      <c r="L224" s="1"/>
      <c r="M224" s="1"/>
      <c r="N224" s="1"/>
      <c r="O224" s="1"/>
      <c r="P224" s="1"/>
    </row>
    <row r="225" spans="2:16" ht="16.600000000000001">
      <c r="B225" s="135" t="s">
        <v>382</v>
      </c>
      <c r="C225" s="136"/>
      <c r="D225" s="137"/>
      <c r="E225" s="137"/>
      <c r="F225" s="137"/>
      <c r="G225" s="137"/>
      <c r="H225" s="1"/>
      <c r="I225" s="1"/>
      <c r="J225" s="1"/>
      <c r="K225" s="1"/>
      <c r="L225" s="1"/>
      <c r="M225" s="1"/>
      <c r="N225" s="1"/>
      <c r="O225" s="1"/>
      <c r="P225" s="1"/>
    </row>
    <row r="226" spans="2:16" ht="16.600000000000001">
      <c r="B226" s="135" t="s">
        <v>383</v>
      </c>
      <c r="C226" s="136"/>
      <c r="D226" s="137"/>
      <c r="E226" s="137"/>
      <c r="F226" s="137"/>
      <c r="G226" s="137"/>
      <c r="H226" s="1"/>
      <c r="I226" s="1"/>
      <c r="J226" s="1"/>
      <c r="K226" s="1"/>
      <c r="L226" s="1"/>
      <c r="M226" s="1"/>
      <c r="N226" s="1"/>
      <c r="O226" s="1"/>
      <c r="P226" s="1"/>
    </row>
    <row r="227" spans="2:16" ht="16.600000000000001">
      <c r="B227" s="135" t="s">
        <v>384</v>
      </c>
      <c r="C227" s="136"/>
      <c r="D227" s="137"/>
      <c r="E227" s="137"/>
      <c r="F227" s="137"/>
      <c r="G227" s="137"/>
      <c r="H227" s="1"/>
      <c r="I227" s="1"/>
      <c r="J227" s="1"/>
      <c r="K227" s="1"/>
      <c r="L227" s="1"/>
      <c r="M227" s="1"/>
      <c r="N227" s="1"/>
      <c r="O227" s="1"/>
      <c r="P227" s="1"/>
    </row>
    <row r="228" spans="2:16" ht="16.600000000000001">
      <c r="B228" s="135" t="s">
        <v>385</v>
      </c>
      <c r="C228" s="136"/>
      <c r="D228" s="136"/>
      <c r="E228" s="136"/>
      <c r="F228" s="136"/>
      <c r="G228" s="137"/>
      <c r="H228" s="1"/>
      <c r="I228" s="1"/>
      <c r="J228" s="1"/>
      <c r="K228" s="1"/>
      <c r="L228" s="1"/>
      <c r="M228" s="1"/>
      <c r="N228" s="1"/>
      <c r="O228" s="1"/>
      <c r="P228" s="1"/>
    </row>
    <row r="229" spans="2:16" ht="16.600000000000001">
      <c r="B229" s="135" t="s">
        <v>386</v>
      </c>
      <c r="C229" s="136"/>
      <c r="D229" s="137"/>
      <c r="E229" s="137"/>
      <c r="F229" s="137"/>
      <c r="G229" s="136"/>
      <c r="H229" s="1"/>
      <c r="I229" s="1"/>
      <c r="J229" s="1"/>
      <c r="K229" s="1"/>
      <c r="L229" s="1"/>
      <c r="M229" s="1"/>
      <c r="N229" s="1"/>
      <c r="O229" s="1"/>
      <c r="P229" s="1"/>
    </row>
    <row r="230" spans="2:16" ht="16.600000000000001">
      <c r="B230" s="135" t="s">
        <v>387</v>
      </c>
      <c r="C230" s="136"/>
      <c r="D230" s="137"/>
      <c r="E230" s="137"/>
      <c r="F230" s="137"/>
      <c r="G230" s="137"/>
      <c r="H230" s="1"/>
      <c r="I230" s="1"/>
      <c r="J230" s="1"/>
      <c r="K230" s="1"/>
      <c r="L230" s="1"/>
      <c r="M230" s="1"/>
      <c r="N230" s="1"/>
      <c r="O230" s="1"/>
      <c r="P230" s="1"/>
    </row>
    <row r="231" spans="2:16" ht="16.600000000000001">
      <c r="B231" s="135" t="s">
        <v>388</v>
      </c>
      <c r="C231" s="136"/>
      <c r="D231" s="137"/>
      <c r="E231" s="137"/>
      <c r="F231" s="137"/>
      <c r="G231" s="136"/>
      <c r="H231" s="1"/>
      <c r="I231" s="1"/>
      <c r="J231" s="1"/>
      <c r="K231" s="1"/>
      <c r="L231" s="1"/>
      <c r="M231" s="1"/>
      <c r="N231" s="1"/>
      <c r="O231" s="1"/>
      <c r="P231" s="1"/>
    </row>
    <row r="232" spans="2:16" ht="16.600000000000001">
      <c r="B232" s="135" t="s">
        <v>389</v>
      </c>
      <c r="C232" s="136"/>
      <c r="D232" s="137"/>
      <c r="E232" s="137"/>
      <c r="F232" s="137"/>
      <c r="G232" s="136"/>
      <c r="H232" s="1"/>
      <c r="I232" s="1"/>
      <c r="J232" s="1"/>
      <c r="K232" s="1"/>
      <c r="L232" s="1"/>
      <c r="M232" s="1"/>
      <c r="N232" s="1"/>
      <c r="O232" s="1"/>
      <c r="P232" s="1"/>
    </row>
    <row r="233" spans="2:16" ht="16.600000000000001">
      <c r="B233" s="135" t="s">
        <v>390</v>
      </c>
      <c r="C233" s="136"/>
      <c r="D233" s="136"/>
      <c r="E233" s="136"/>
      <c r="F233" s="136"/>
      <c r="G233" s="136"/>
      <c r="H233" s="1"/>
      <c r="I233" s="1"/>
      <c r="J233" s="1"/>
      <c r="K233" s="1"/>
      <c r="L233" s="1"/>
      <c r="M233" s="1"/>
      <c r="N233" s="1"/>
      <c r="O233" s="1"/>
      <c r="P233" s="1"/>
    </row>
    <row r="234" spans="2:16" ht="16.600000000000001">
      <c r="B234" s="135" t="s">
        <v>391</v>
      </c>
      <c r="C234" s="136"/>
      <c r="D234" s="137"/>
      <c r="E234" s="137"/>
      <c r="F234" s="137"/>
      <c r="G234" s="136"/>
      <c r="H234" s="1"/>
      <c r="I234" s="1"/>
      <c r="J234" s="1"/>
      <c r="K234" s="1"/>
      <c r="L234" s="1"/>
      <c r="M234" s="1"/>
      <c r="N234" s="1"/>
      <c r="O234" s="1"/>
      <c r="P234" s="1"/>
    </row>
    <row r="235" spans="2:16" ht="16.600000000000001">
      <c r="B235" s="135" t="s">
        <v>392</v>
      </c>
      <c r="C235" s="135"/>
      <c r="D235" s="136"/>
      <c r="E235" s="136"/>
      <c r="F235" s="136"/>
      <c r="G235" s="136"/>
      <c r="H235" s="1"/>
      <c r="I235" s="1"/>
      <c r="J235" s="1"/>
      <c r="K235" s="1"/>
      <c r="L235" s="1"/>
      <c r="M235" s="1"/>
      <c r="N235" s="1"/>
      <c r="O235" s="1"/>
      <c r="P235" s="1"/>
    </row>
    <row r="236" spans="2:16" ht="16.600000000000001">
      <c r="B236" s="135" t="s">
        <v>393</v>
      </c>
      <c r="C236" s="135"/>
      <c r="D236" s="136"/>
      <c r="E236" s="136"/>
      <c r="F236" s="136"/>
      <c r="G236" s="137"/>
      <c r="H236" s="1"/>
      <c r="I236" s="1"/>
      <c r="J236" s="1"/>
      <c r="K236" s="1"/>
      <c r="L236" s="1"/>
      <c r="M236" s="1"/>
      <c r="N236" s="1"/>
      <c r="O236" s="1"/>
      <c r="P236" s="1"/>
    </row>
    <row r="237" spans="2:16" ht="16.600000000000001">
      <c r="B237" s="135" t="s">
        <v>394</v>
      </c>
      <c r="C237" s="136"/>
      <c r="D237" s="137"/>
      <c r="E237" s="136"/>
      <c r="F237" s="136"/>
      <c r="G237" s="137"/>
      <c r="H237" s="1"/>
      <c r="I237" s="1"/>
      <c r="J237" s="1"/>
      <c r="K237" s="1"/>
      <c r="L237" s="1"/>
      <c r="M237" s="1"/>
      <c r="N237" s="1"/>
      <c r="O237" s="1"/>
      <c r="P237" s="1"/>
    </row>
    <row r="238" spans="2:16" ht="16.600000000000001">
      <c r="B238" s="135" t="s">
        <v>395</v>
      </c>
      <c r="C238" s="136"/>
      <c r="D238" s="136"/>
      <c r="E238" s="136"/>
      <c r="F238" s="136"/>
      <c r="G238" s="136"/>
      <c r="H238" s="1"/>
      <c r="I238" s="1"/>
      <c r="J238" s="1"/>
      <c r="K238" s="1"/>
      <c r="L238" s="1"/>
      <c r="M238" s="1"/>
      <c r="N238" s="1"/>
      <c r="O238" s="1"/>
      <c r="P238" s="1"/>
    </row>
    <row r="239" spans="2:16" ht="16.600000000000001">
      <c r="B239" s="135" t="s">
        <v>396</v>
      </c>
      <c r="C239" s="136"/>
      <c r="D239" s="136"/>
      <c r="E239" s="136"/>
      <c r="F239" s="136"/>
      <c r="G239" s="137"/>
      <c r="H239" s="1"/>
      <c r="I239" s="1"/>
      <c r="J239" s="1"/>
      <c r="K239" s="1"/>
      <c r="L239" s="1"/>
      <c r="M239" s="1"/>
      <c r="N239" s="1"/>
      <c r="O239" s="1"/>
      <c r="P239" s="1"/>
    </row>
    <row r="240" spans="2:16" ht="16.600000000000001">
      <c r="B240" s="135" t="s">
        <v>397</v>
      </c>
      <c r="C240" s="136"/>
      <c r="D240" s="137"/>
      <c r="E240" s="137"/>
      <c r="F240" s="137"/>
      <c r="G240" s="137"/>
      <c r="H240" s="1"/>
      <c r="I240" s="1"/>
      <c r="J240" s="1"/>
      <c r="K240" s="1"/>
      <c r="L240" s="1"/>
      <c r="M240" s="1"/>
      <c r="N240" s="1"/>
      <c r="O240" s="1"/>
      <c r="P240" s="1"/>
    </row>
    <row r="241" spans="2:16" ht="16.600000000000001">
      <c r="B241" s="135" t="s">
        <v>398</v>
      </c>
      <c r="C241" s="136"/>
      <c r="D241" s="137"/>
      <c r="E241" s="137"/>
      <c r="F241" s="137"/>
      <c r="G241" s="137"/>
      <c r="H241" s="1"/>
      <c r="I241" s="1"/>
      <c r="J241" s="1"/>
      <c r="K241" s="1"/>
      <c r="L241" s="1"/>
      <c r="M241" s="1"/>
      <c r="N241" s="1"/>
      <c r="O241" s="1"/>
      <c r="P241" s="1"/>
    </row>
    <row r="242" spans="2:16" ht="16.600000000000001">
      <c r="B242" s="135" t="s">
        <v>399</v>
      </c>
      <c r="C242" s="136"/>
      <c r="D242" s="136"/>
      <c r="E242" s="136"/>
      <c r="F242" s="136"/>
      <c r="G242" s="136"/>
      <c r="H242" s="1"/>
      <c r="I242" s="1"/>
      <c r="J242" s="1"/>
      <c r="K242" s="1"/>
      <c r="L242" s="1"/>
      <c r="M242" s="1"/>
      <c r="N242" s="1"/>
      <c r="O242" s="1"/>
      <c r="P242" s="1"/>
    </row>
    <row r="243" spans="2:16" ht="16.600000000000001">
      <c r="B243" s="135" t="s">
        <v>400</v>
      </c>
      <c r="C243" s="136"/>
      <c r="D243" s="137"/>
      <c r="E243" s="137"/>
      <c r="F243" s="137"/>
      <c r="G243" s="136"/>
      <c r="H243" s="1"/>
      <c r="I243" s="1"/>
      <c r="J243" s="1"/>
      <c r="K243" s="1"/>
      <c r="L243" s="1"/>
      <c r="M243" s="1"/>
      <c r="N243" s="1"/>
      <c r="O243" s="1"/>
      <c r="P243" s="1"/>
    </row>
    <row r="244" spans="2:16" ht="16.600000000000001">
      <c r="B244" s="135" t="s">
        <v>401</v>
      </c>
      <c r="C244" s="136"/>
      <c r="D244" s="137"/>
      <c r="E244" s="137"/>
      <c r="F244" s="137"/>
      <c r="G244" s="136"/>
      <c r="H244" s="1"/>
      <c r="I244" s="1"/>
      <c r="J244" s="1"/>
      <c r="K244" s="1"/>
      <c r="L244" s="1"/>
      <c r="M244" s="1"/>
      <c r="N244" s="1"/>
      <c r="O244" s="1"/>
      <c r="P244" s="1"/>
    </row>
    <row r="245" spans="2:16" ht="16.600000000000001">
      <c r="B245" s="135" t="s">
        <v>402</v>
      </c>
      <c r="C245" s="136"/>
      <c r="D245" s="137"/>
      <c r="E245" s="137"/>
      <c r="F245" s="137"/>
      <c r="G245" s="136"/>
      <c r="H245" s="1"/>
      <c r="I245" s="1"/>
      <c r="J245" s="1"/>
      <c r="K245" s="1"/>
      <c r="L245" s="1"/>
      <c r="M245" s="1"/>
      <c r="N245" s="1"/>
      <c r="O245" s="1"/>
      <c r="P245" s="1"/>
    </row>
    <row r="246" spans="2:16" ht="16.600000000000001">
      <c r="B246" s="135" t="s">
        <v>403</v>
      </c>
      <c r="C246" s="136"/>
      <c r="D246" s="136"/>
      <c r="E246" s="136"/>
      <c r="F246" s="136"/>
      <c r="G246" s="136"/>
      <c r="H246" s="1"/>
      <c r="I246" s="1"/>
      <c r="J246" s="1"/>
      <c r="K246" s="1"/>
      <c r="L246" s="1"/>
      <c r="M246" s="1"/>
      <c r="N246" s="1"/>
      <c r="O246" s="1"/>
      <c r="P246" s="1"/>
    </row>
    <row r="247" spans="2:16" ht="16.600000000000001">
      <c r="B247" s="135" t="s">
        <v>404</v>
      </c>
      <c r="C247" s="136"/>
      <c r="D247" s="136"/>
      <c r="E247" s="137"/>
      <c r="F247" s="136"/>
      <c r="G247" s="136"/>
      <c r="H247" s="1"/>
      <c r="I247" s="1"/>
      <c r="J247" s="1"/>
      <c r="K247" s="1"/>
      <c r="L247" s="1"/>
      <c r="M247" s="1"/>
      <c r="N247" s="1"/>
      <c r="O247" s="1"/>
      <c r="P247" s="1"/>
    </row>
    <row r="248" spans="2:16" ht="16.600000000000001">
      <c r="B248" s="135" t="s">
        <v>405</v>
      </c>
      <c r="C248" s="136"/>
      <c r="D248" s="136"/>
      <c r="E248" s="136"/>
      <c r="F248" s="136"/>
      <c r="G248" s="136"/>
      <c r="H248" s="1"/>
      <c r="I248" s="1"/>
      <c r="J248" s="1"/>
      <c r="K248" s="1"/>
      <c r="L248" s="1"/>
      <c r="M248" s="1"/>
      <c r="N248" s="1"/>
      <c r="O248" s="1"/>
      <c r="P248" s="1"/>
    </row>
    <row r="249" spans="2:16" ht="16.600000000000001">
      <c r="B249" s="135" t="s">
        <v>406</v>
      </c>
      <c r="C249" s="136"/>
      <c r="D249" s="136"/>
      <c r="E249" s="136"/>
      <c r="F249" s="136"/>
      <c r="G249" s="136"/>
      <c r="H249" s="1"/>
      <c r="I249" s="1"/>
      <c r="J249" s="1"/>
      <c r="K249" s="1"/>
      <c r="L249" s="1"/>
      <c r="M249" s="1"/>
      <c r="N249" s="1"/>
      <c r="O249" s="1"/>
      <c r="P249" s="1"/>
    </row>
    <row r="250" spans="2:16" ht="16.600000000000001">
      <c r="B250" s="135" t="s">
        <v>407</v>
      </c>
      <c r="C250" s="136"/>
      <c r="D250" s="136"/>
      <c r="E250" s="136"/>
      <c r="F250" s="136"/>
      <c r="G250" s="136"/>
      <c r="H250" s="1"/>
      <c r="I250" s="1"/>
      <c r="J250" s="1"/>
      <c r="K250" s="1"/>
      <c r="L250" s="1"/>
      <c r="M250" s="1"/>
      <c r="N250" s="1"/>
      <c r="O250" s="1"/>
      <c r="P250" s="1"/>
    </row>
    <row r="251" spans="2:16" ht="16.600000000000001">
      <c r="B251" s="135" t="s">
        <v>408</v>
      </c>
      <c r="C251" s="136"/>
      <c r="D251" s="136"/>
      <c r="E251" s="136"/>
      <c r="F251" s="136"/>
      <c r="G251" s="136"/>
      <c r="H251" s="1"/>
      <c r="I251" s="1"/>
      <c r="J251" s="1"/>
      <c r="K251" s="1"/>
      <c r="L251" s="1"/>
      <c r="M251" s="1"/>
      <c r="N251" s="1"/>
      <c r="O251" s="1"/>
      <c r="P251" s="1"/>
    </row>
    <row r="252" spans="2:16" ht="16.600000000000001">
      <c r="B252" s="135" t="s">
        <v>409</v>
      </c>
      <c r="C252" s="136"/>
      <c r="D252" s="137"/>
      <c r="E252" s="137"/>
      <c r="F252" s="136"/>
      <c r="G252" s="136"/>
      <c r="H252" s="1"/>
      <c r="I252" s="1"/>
      <c r="J252" s="1"/>
      <c r="K252" s="1"/>
      <c r="L252" s="1"/>
      <c r="M252" s="1"/>
      <c r="N252" s="1"/>
      <c r="O252" s="1"/>
      <c r="P252" s="1"/>
    </row>
    <row r="253" spans="2:16" ht="16.600000000000001">
      <c r="B253" s="135" t="s">
        <v>410</v>
      </c>
      <c r="C253" s="136"/>
      <c r="D253" s="136"/>
      <c r="E253" s="136"/>
      <c r="F253" s="136"/>
      <c r="G253" s="137"/>
      <c r="H253" s="1"/>
      <c r="I253" s="1"/>
      <c r="J253" s="1"/>
      <c r="K253" s="1"/>
      <c r="L253" s="1"/>
      <c r="M253" s="1"/>
      <c r="N253" s="1"/>
      <c r="O253" s="1"/>
      <c r="P253" s="1"/>
    </row>
    <row r="254" spans="2:16" ht="16.600000000000001">
      <c r="B254" s="135" t="s">
        <v>411</v>
      </c>
      <c r="C254" s="136"/>
      <c r="D254" s="136"/>
      <c r="E254" s="136"/>
      <c r="F254" s="136"/>
      <c r="G254" s="137"/>
      <c r="H254" s="1"/>
      <c r="I254" s="1"/>
      <c r="J254" s="1"/>
      <c r="K254" s="1"/>
      <c r="L254" s="1"/>
      <c r="M254" s="1"/>
      <c r="N254" s="1"/>
      <c r="O254" s="1"/>
      <c r="P254" s="1"/>
    </row>
    <row r="255" spans="2:16" ht="16.600000000000001">
      <c r="B255" s="135" t="s">
        <v>412</v>
      </c>
      <c r="C255" s="136"/>
      <c r="D255" s="136"/>
      <c r="E255" s="136"/>
      <c r="F255" s="136"/>
      <c r="G255" s="137"/>
      <c r="H255" s="1"/>
      <c r="I255" s="1"/>
      <c r="J255" s="1"/>
      <c r="K255" s="1"/>
      <c r="L255" s="1"/>
      <c r="M255" s="1"/>
      <c r="N255" s="1"/>
      <c r="O255" s="1"/>
      <c r="P255" s="1"/>
    </row>
    <row r="256" spans="2:16" ht="16.600000000000001">
      <c r="B256" s="135" t="s">
        <v>413</v>
      </c>
      <c r="C256" s="136"/>
      <c r="D256" s="136"/>
      <c r="E256" s="136"/>
      <c r="F256" s="136"/>
      <c r="G256" s="137"/>
      <c r="H256" s="1"/>
      <c r="I256" s="1"/>
      <c r="J256" s="1"/>
      <c r="K256" s="1"/>
      <c r="L256" s="1"/>
      <c r="M256" s="1"/>
      <c r="N256" s="1"/>
      <c r="O256" s="1"/>
      <c r="P256" s="1"/>
    </row>
    <row r="257" spans="2:16" ht="16.600000000000001">
      <c r="B257" s="135" t="s">
        <v>414</v>
      </c>
      <c r="C257" s="136"/>
      <c r="D257" s="137"/>
      <c r="E257" s="137"/>
      <c r="F257" s="137"/>
      <c r="G257" s="136"/>
      <c r="H257" s="1"/>
      <c r="I257" s="1"/>
      <c r="J257" s="1"/>
      <c r="K257" s="1"/>
      <c r="L257" s="1"/>
      <c r="M257" s="1"/>
      <c r="N257" s="1"/>
      <c r="O257" s="1"/>
      <c r="P257" s="1"/>
    </row>
    <row r="258" spans="2:16" ht="16.600000000000001">
      <c r="B258" s="135" t="s">
        <v>415</v>
      </c>
      <c r="C258" s="136"/>
      <c r="D258" s="136"/>
      <c r="E258" s="136"/>
      <c r="F258" s="136"/>
      <c r="G258" s="137"/>
      <c r="H258" s="1"/>
      <c r="I258" s="1"/>
      <c r="J258" s="1"/>
      <c r="K258" s="1"/>
      <c r="L258" s="1"/>
      <c r="M258" s="1"/>
      <c r="N258" s="1"/>
      <c r="O258" s="1"/>
      <c r="P258" s="1"/>
    </row>
    <row r="259" spans="2:16" ht="16.600000000000001">
      <c r="B259" s="135" t="s">
        <v>416</v>
      </c>
      <c r="C259" s="136"/>
      <c r="D259" s="137"/>
      <c r="E259" s="137"/>
      <c r="F259" s="137"/>
      <c r="G259" s="137"/>
      <c r="H259" s="1"/>
      <c r="I259" s="1"/>
      <c r="J259" s="1"/>
      <c r="K259" s="1"/>
      <c r="L259" s="1"/>
      <c r="M259" s="1"/>
      <c r="N259" s="1"/>
      <c r="O259" s="1"/>
      <c r="P259" s="1"/>
    </row>
    <row r="260" spans="2:16" ht="16.600000000000001">
      <c r="B260" s="135" t="s">
        <v>417</v>
      </c>
      <c r="C260" s="136"/>
      <c r="D260" s="137"/>
      <c r="E260" s="137"/>
      <c r="F260" s="137"/>
      <c r="G260" s="136"/>
      <c r="H260" s="1"/>
      <c r="I260" s="1"/>
      <c r="J260" s="1"/>
      <c r="K260" s="1"/>
      <c r="L260" s="1"/>
      <c r="M260" s="1"/>
      <c r="N260" s="1"/>
      <c r="O260" s="1"/>
      <c r="P260" s="1"/>
    </row>
    <row r="261" spans="2:16" ht="16.600000000000001">
      <c r="B261" s="135" t="s">
        <v>418</v>
      </c>
      <c r="C261" s="136"/>
      <c r="D261" s="136"/>
      <c r="E261" s="136"/>
      <c r="F261" s="136"/>
      <c r="G261" s="136"/>
      <c r="H261" s="1"/>
      <c r="I261" s="1"/>
      <c r="J261" s="1"/>
      <c r="K261" s="1"/>
      <c r="L261" s="1"/>
      <c r="M261" s="1"/>
      <c r="N261" s="1"/>
      <c r="O261" s="1"/>
      <c r="P261" s="1"/>
    </row>
    <row r="262" spans="2:16" ht="16.600000000000001">
      <c r="B262" s="135" t="s">
        <v>419</v>
      </c>
      <c r="C262" s="136"/>
      <c r="D262" s="137"/>
      <c r="E262" s="137"/>
      <c r="F262" s="137"/>
      <c r="G262" s="137"/>
      <c r="H262" s="1"/>
      <c r="I262" s="1"/>
      <c r="J262" s="1"/>
      <c r="K262" s="1"/>
      <c r="L262" s="1"/>
      <c r="M262" s="1"/>
      <c r="N262" s="1"/>
      <c r="O262" s="1"/>
      <c r="P262" s="1"/>
    </row>
    <row r="263" spans="2:16" ht="16.600000000000001">
      <c r="B263" s="135" t="s">
        <v>420</v>
      </c>
      <c r="C263" s="136"/>
      <c r="D263" s="136"/>
      <c r="E263" s="137"/>
      <c r="F263" s="136"/>
      <c r="G263" s="136"/>
      <c r="H263" s="1"/>
      <c r="I263" s="1"/>
      <c r="J263" s="1"/>
      <c r="K263" s="1"/>
      <c r="L263" s="1"/>
      <c r="M263" s="1"/>
      <c r="N263" s="1"/>
      <c r="O263" s="1"/>
      <c r="P263" s="1"/>
    </row>
    <row r="264" spans="2:16" ht="16.600000000000001">
      <c r="B264" s="135" t="s">
        <v>421</v>
      </c>
      <c r="C264" s="136"/>
      <c r="D264" s="136"/>
      <c r="E264" s="137"/>
      <c r="F264" s="136"/>
      <c r="G264" s="137"/>
      <c r="H264" s="1"/>
      <c r="I264" s="1"/>
      <c r="J264" s="1"/>
      <c r="K264" s="1"/>
      <c r="L264" s="1"/>
      <c r="M264" s="1"/>
      <c r="N264" s="1"/>
      <c r="O264" s="1"/>
      <c r="P264" s="1"/>
    </row>
    <row r="265" spans="2:16" ht="16.600000000000001">
      <c r="B265" s="135" t="s">
        <v>422</v>
      </c>
      <c r="C265" s="136"/>
      <c r="D265" s="136"/>
      <c r="E265" s="136"/>
      <c r="F265" s="136"/>
      <c r="G265" s="137"/>
      <c r="H265" s="1"/>
      <c r="I265" s="1"/>
      <c r="J265" s="1"/>
      <c r="K265" s="1"/>
      <c r="L265" s="1"/>
      <c r="M265" s="1"/>
      <c r="N265" s="1"/>
      <c r="O265" s="1"/>
      <c r="P265" s="1"/>
    </row>
    <row r="266" spans="2:16" ht="16.600000000000001">
      <c r="B266" s="135" t="s">
        <v>423</v>
      </c>
      <c r="C266" s="136"/>
      <c r="D266" s="136"/>
      <c r="E266" s="136"/>
      <c r="F266" s="136"/>
      <c r="G266" s="137"/>
      <c r="H266" s="1"/>
      <c r="I266" s="1"/>
      <c r="J266" s="1"/>
      <c r="K266" s="1"/>
      <c r="L266" s="1"/>
      <c r="M266" s="1"/>
      <c r="N266" s="1"/>
      <c r="O266" s="1"/>
      <c r="P266" s="1"/>
    </row>
    <row r="267" spans="2:16" ht="16.600000000000001">
      <c r="B267" s="135" t="s">
        <v>424</v>
      </c>
      <c r="C267" s="136"/>
      <c r="D267" s="136"/>
      <c r="E267" s="136"/>
      <c r="F267" s="136"/>
      <c r="G267" s="136"/>
      <c r="H267" s="1"/>
      <c r="I267" s="1"/>
      <c r="J267" s="1"/>
      <c r="K267" s="1"/>
      <c r="L267" s="1"/>
      <c r="M267" s="1"/>
      <c r="N267" s="1"/>
      <c r="O267" s="1"/>
      <c r="P267" s="1"/>
    </row>
    <row r="268" spans="2:16" ht="16.600000000000001">
      <c r="B268" s="135" t="s">
        <v>425</v>
      </c>
      <c r="C268" s="136"/>
      <c r="D268" s="137"/>
      <c r="E268" s="137"/>
      <c r="F268" s="137"/>
      <c r="G268" s="137"/>
      <c r="H268" s="1"/>
      <c r="I268" s="1"/>
      <c r="J268" s="1"/>
      <c r="K268" s="1"/>
      <c r="L268" s="1"/>
      <c r="M268" s="1"/>
      <c r="N268" s="1"/>
      <c r="O268" s="1"/>
      <c r="P268" s="1"/>
    </row>
    <row r="269" spans="2:16" ht="16.600000000000001">
      <c r="B269" s="135" t="s">
        <v>426</v>
      </c>
      <c r="C269" s="136"/>
      <c r="D269" s="137"/>
      <c r="E269" s="137"/>
      <c r="F269" s="137"/>
      <c r="G269" s="137"/>
      <c r="H269" s="1"/>
      <c r="I269" s="1"/>
      <c r="J269" s="1"/>
      <c r="K269" s="1"/>
      <c r="L269" s="1"/>
      <c r="M269" s="1"/>
      <c r="N269" s="1"/>
      <c r="O269" s="1"/>
      <c r="P269" s="1"/>
    </row>
    <row r="270" spans="2:16" ht="16.600000000000001">
      <c r="B270" s="135" t="s">
        <v>427</v>
      </c>
      <c r="C270" s="136"/>
      <c r="D270" s="137"/>
      <c r="E270" s="137"/>
      <c r="F270" s="137"/>
      <c r="G270" s="137"/>
      <c r="H270" s="1"/>
      <c r="I270" s="1"/>
      <c r="J270" s="1"/>
      <c r="K270" s="1"/>
      <c r="L270" s="1"/>
      <c r="M270" s="1"/>
      <c r="N270" s="1"/>
      <c r="O270" s="1"/>
      <c r="P270" s="1"/>
    </row>
    <row r="271" spans="2:16" ht="16.600000000000001">
      <c r="B271" s="135" t="s">
        <v>428</v>
      </c>
      <c r="C271" s="136"/>
      <c r="D271" s="136"/>
      <c r="E271" s="136"/>
      <c r="F271" s="136"/>
      <c r="G271" s="136"/>
      <c r="H271" s="1"/>
      <c r="I271" s="1"/>
      <c r="J271" s="1"/>
      <c r="K271" s="1"/>
      <c r="L271" s="1"/>
      <c r="M271" s="1"/>
      <c r="N271" s="1"/>
      <c r="O271" s="1"/>
      <c r="P271" s="1"/>
    </row>
    <row r="272" spans="2:16" ht="16.600000000000001">
      <c r="B272" s="135" t="s">
        <v>429</v>
      </c>
      <c r="C272" s="136"/>
      <c r="D272" s="137"/>
      <c r="E272" s="137"/>
      <c r="F272" s="137"/>
      <c r="G272" s="137"/>
      <c r="H272" s="1"/>
      <c r="I272" s="1"/>
      <c r="J272" s="1"/>
      <c r="K272" s="1"/>
      <c r="L272" s="1"/>
      <c r="M272" s="1"/>
      <c r="N272" s="1"/>
      <c r="O272" s="1"/>
      <c r="P272" s="1"/>
    </row>
    <row r="273" spans="2:16" ht="16.600000000000001">
      <c r="B273" s="135" t="s">
        <v>430</v>
      </c>
      <c r="C273" s="136"/>
      <c r="D273" s="137"/>
      <c r="E273" s="137"/>
      <c r="F273" s="137"/>
      <c r="G273" s="136"/>
      <c r="H273" s="1"/>
      <c r="I273" s="1"/>
      <c r="J273" s="1"/>
      <c r="K273" s="1"/>
      <c r="L273" s="1"/>
      <c r="M273" s="1"/>
      <c r="N273" s="1"/>
      <c r="O273" s="1"/>
      <c r="P273" s="1"/>
    </row>
    <row r="274" spans="2:16" ht="16.600000000000001">
      <c r="B274" s="135" t="s">
        <v>431</v>
      </c>
      <c r="C274" s="136"/>
      <c r="D274" s="137"/>
      <c r="E274" s="137"/>
      <c r="F274" s="137"/>
      <c r="G274" s="137"/>
      <c r="H274" s="1"/>
      <c r="I274" s="1"/>
      <c r="J274" s="1"/>
      <c r="K274" s="1"/>
      <c r="L274" s="1"/>
      <c r="M274" s="1"/>
      <c r="N274" s="1"/>
      <c r="O274" s="1"/>
      <c r="P274" s="1"/>
    </row>
    <row r="275" spans="2:16" ht="16.600000000000001">
      <c r="B275" s="135" t="s">
        <v>432</v>
      </c>
      <c r="C275" s="136"/>
      <c r="D275" s="136"/>
      <c r="E275" s="136"/>
      <c r="F275" s="137"/>
      <c r="G275" s="137"/>
      <c r="H275" s="1"/>
      <c r="I275" s="1"/>
      <c r="J275" s="1"/>
      <c r="K275" s="1"/>
      <c r="L275" s="1"/>
      <c r="M275" s="1"/>
      <c r="N275" s="1"/>
      <c r="O275" s="1"/>
      <c r="P275" s="1"/>
    </row>
    <row r="276" spans="2:16" ht="16.600000000000001">
      <c r="B276" s="135" t="s">
        <v>433</v>
      </c>
      <c r="C276" s="136"/>
      <c r="D276" s="137"/>
      <c r="E276" s="137"/>
      <c r="F276" s="137"/>
      <c r="G276" s="137"/>
      <c r="H276" s="1"/>
      <c r="I276" s="1"/>
      <c r="J276" s="1"/>
      <c r="K276" s="1"/>
      <c r="L276" s="1"/>
      <c r="M276" s="1"/>
      <c r="N276" s="1"/>
      <c r="O276" s="1"/>
      <c r="P276" s="1"/>
    </row>
    <row r="277" spans="2:16" ht="16.600000000000001">
      <c r="B277" s="135" t="s">
        <v>434</v>
      </c>
      <c r="C277" s="136"/>
      <c r="D277" s="136"/>
      <c r="E277" s="136"/>
      <c r="F277" s="136"/>
      <c r="G277" s="137"/>
      <c r="H277" s="1"/>
      <c r="I277" s="1"/>
      <c r="J277" s="1"/>
      <c r="K277" s="1"/>
      <c r="L277" s="1"/>
      <c r="M277" s="1"/>
      <c r="N277" s="1"/>
      <c r="O277" s="1"/>
      <c r="P277" s="1"/>
    </row>
    <row r="278" spans="2:16" ht="16.600000000000001">
      <c r="B278" s="135" t="s">
        <v>435</v>
      </c>
      <c r="C278" s="136"/>
      <c r="D278" s="137"/>
      <c r="E278" s="137"/>
      <c r="F278" s="137"/>
      <c r="G278" s="136"/>
      <c r="H278" s="1"/>
      <c r="I278" s="1"/>
      <c r="J278" s="1"/>
      <c r="K278" s="1"/>
      <c r="L278" s="1"/>
      <c r="M278" s="1"/>
      <c r="N278" s="1"/>
      <c r="O278" s="1"/>
      <c r="P278" s="1"/>
    </row>
    <row r="279" spans="2:16" ht="16.600000000000001">
      <c r="B279" s="135" t="s">
        <v>436</v>
      </c>
      <c r="C279" s="136"/>
      <c r="D279" s="137"/>
      <c r="E279" s="137"/>
      <c r="F279" s="137"/>
      <c r="G279" s="136"/>
      <c r="H279" s="1"/>
      <c r="I279" s="1"/>
      <c r="J279" s="1"/>
      <c r="K279" s="1"/>
      <c r="L279" s="1"/>
      <c r="M279" s="1"/>
      <c r="N279" s="1"/>
      <c r="O279" s="1"/>
      <c r="P279" s="1"/>
    </row>
    <row r="280" spans="2:16" ht="16.600000000000001">
      <c r="B280" s="135" t="s">
        <v>437</v>
      </c>
      <c r="C280" s="136"/>
      <c r="D280" s="137"/>
      <c r="E280" s="137"/>
      <c r="F280" s="137"/>
      <c r="G280" s="137"/>
      <c r="H280" s="1"/>
      <c r="I280" s="1"/>
      <c r="J280" s="1"/>
      <c r="K280" s="1"/>
      <c r="L280" s="1"/>
      <c r="M280" s="1"/>
      <c r="N280" s="1"/>
      <c r="O280" s="1"/>
      <c r="P280" s="1"/>
    </row>
    <row r="281" spans="2:16" ht="16.600000000000001">
      <c r="B281" s="135" t="s">
        <v>438</v>
      </c>
      <c r="C281" s="136"/>
      <c r="D281" s="137"/>
      <c r="E281" s="137"/>
      <c r="F281" s="137"/>
      <c r="G281" s="137"/>
      <c r="H281" s="1"/>
      <c r="I281" s="1"/>
      <c r="J281" s="1"/>
      <c r="K281" s="1"/>
      <c r="L281" s="1"/>
      <c r="M281" s="1"/>
      <c r="N281" s="1"/>
      <c r="O281" s="1"/>
      <c r="P281" s="1"/>
    </row>
    <row r="282" spans="2:16" ht="16.600000000000001">
      <c r="B282" s="135" t="s">
        <v>439</v>
      </c>
      <c r="C282" s="136"/>
      <c r="D282" s="136"/>
      <c r="E282" s="136"/>
      <c r="F282" s="136"/>
      <c r="G282" s="136"/>
      <c r="H282" s="1"/>
      <c r="I282" s="1"/>
      <c r="J282" s="1"/>
      <c r="K282" s="1"/>
      <c r="L282" s="1"/>
      <c r="M282" s="1"/>
      <c r="N282" s="1"/>
      <c r="O282" s="1"/>
      <c r="P282" s="1"/>
    </row>
    <row r="283" spans="2:16" ht="16.600000000000001">
      <c r="B283" s="135" t="s">
        <v>440</v>
      </c>
      <c r="C283" s="136"/>
      <c r="D283" s="136"/>
      <c r="E283" s="136"/>
      <c r="F283" s="136"/>
      <c r="G283" s="137"/>
      <c r="H283" s="1"/>
      <c r="I283" s="1"/>
      <c r="J283" s="1"/>
      <c r="K283" s="1"/>
      <c r="L283" s="1"/>
      <c r="M283" s="1"/>
      <c r="N283" s="1"/>
      <c r="O283" s="1"/>
      <c r="P283" s="1"/>
    </row>
    <row r="284" spans="2:16" ht="16.600000000000001">
      <c r="B284" s="135" t="s">
        <v>441</v>
      </c>
      <c r="C284" s="136"/>
      <c r="D284" s="137"/>
      <c r="E284" s="137"/>
      <c r="F284" s="137"/>
      <c r="G284" s="136"/>
      <c r="H284" s="1"/>
      <c r="I284" s="1"/>
      <c r="J284" s="1"/>
      <c r="K284" s="1"/>
      <c r="L284" s="1"/>
      <c r="M284" s="1"/>
      <c r="N284" s="1"/>
      <c r="O284" s="1"/>
      <c r="P284" s="1"/>
    </row>
    <row r="285" spans="2:16" ht="16.600000000000001">
      <c r="B285" s="135" t="s">
        <v>442</v>
      </c>
      <c r="C285" s="135"/>
      <c r="D285" s="137"/>
      <c r="E285" s="137"/>
      <c r="F285" s="137"/>
      <c r="G285" s="136"/>
      <c r="H285" s="1"/>
      <c r="I285" s="1"/>
      <c r="J285" s="1"/>
      <c r="K285" s="1"/>
      <c r="L285" s="1"/>
      <c r="M285" s="1"/>
      <c r="N285" s="1"/>
      <c r="O285" s="1"/>
      <c r="P285" s="1"/>
    </row>
    <row r="286" spans="2:16" ht="16.600000000000001">
      <c r="B286" s="135" t="s">
        <v>443</v>
      </c>
      <c r="C286" s="135"/>
      <c r="D286" s="136"/>
      <c r="E286" s="136"/>
      <c r="F286" s="136"/>
      <c r="G286" s="136"/>
      <c r="H286" s="1"/>
      <c r="I286" s="1"/>
      <c r="J286" s="1"/>
      <c r="K286" s="1"/>
      <c r="L286" s="1"/>
      <c r="M286" s="1"/>
      <c r="N286" s="1"/>
      <c r="O286" s="1"/>
      <c r="P286" s="1"/>
    </row>
    <row r="287" spans="2:16" ht="16.600000000000001">
      <c r="B287" s="135" t="s">
        <v>444</v>
      </c>
      <c r="C287" s="135"/>
      <c r="D287" s="137"/>
      <c r="E287" s="137"/>
      <c r="F287" s="137"/>
      <c r="G287" s="136"/>
      <c r="H287" s="1"/>
      <c r="I287" s="1"/>
      <c r="J287" s="1"/>
      <c r="K287" s="1"/>
      <c r="L287" s="1"/>
      <c r="M287" s="1"/>
      <c r="N287" s="1"/>
      <c r="O287" s="1"/>
      <c r="P287" s="1"/>
    </row>
    <row r="288" spans="2:16" ht="16.600000000000001">
      <c r="B288" s="135" t="s">
        <v>445</v>
      </c>
      <c r="C288" s="135"/>
      <c r="D288" s="136"/>
      <c r="E288" s="136"/>
      <c r="F288" s="136"/>
      <c r="G288" s="137"/>
      <c r="H288" s="1"/>
      <c r="I288" s="1"/>
      <c r="J288" s="1"/>
      <c r="K288" s="1"/>
      <c r="L288" s="1"/>
      <c r="M288" s="1"/>
      <c r="N288" s="1"/>
      <c r="O288" s="1"/>
      <c r="P288" s="1"/>
    </row>
    <row r="289" spans="2:16" ht="16.600000000000001">
      <c r="B289" s="135" t="s">
        <v>446</v>
      </c>
      <c r="C289" s="135"/>
      <c r="D289" s="136"/>
      <c r="E289" s="136"/>
      <c r="F289" s="136"/>
      <c r="G289" s="136"/>
      <c r="H289" s="1"/>
      <c r="I289" s="1"/>
      <c r="J289" s="1"/>
      <c r="K289" s="1"/>
      <c r="L289" s="1"/>
      <c r="M289" s="1"/>
      <c r="N289" s="1"/>
      <c r="O289" s="1"/>
      <c r="P289" s="1"/>
    </row>
    <row r="290" spans="2:16" ht="16.600000000000001">
      <c r="B290" s="135" t="s">
        <v>447</v>
      </c>
      <c r="C290" s="135"/>
      <c r="D290" s="136"/>
      <c r="E290" s="136"/>
      <c r="F290" s="136"/>
      <c r="G290" s="137"/>
      <c r="H290" s="1"/>
      <c r="I290" s="1"/>
      <c r="J290" s="1"/>
      <c r="K290" s="1"/>
      <c r="L290" s="1"/>
      <c r="M290" s="1"/>
      <c r="N290" s="1"/>
      <c r="O290" s="1"/>
      <c r="P290" s="1"/>
    </row>
    <row r="291" spans="2:16" ht="16.600000000000001">
      <c r="B291" s="135" t="s">
        <v>448</v>
      </c>
      <c r="C291" s="135"/>
      <c r="D291" s="137"/>
      <c r="E291" s="137"/>
      <c r="F291" s="137"/>
      <c r="G291" s="137"/>
      <c r="H291" s="1"/>
      <c r="I291" s="1"/>
      <c r="J291" s="1"/>
      <c r="K291" s="1"/>
      <c r="L291" s="1"/>
      <c r="M291" s="1"/>
      <c r="N291" s="1"/>
      <c r="O291" s="1"/>
      <c r="P291" s="1"/>
    </row>
    <row r="292" spans="2:16" ht="16.600000000000001">
      <c r="B292" s="135" t="s">
        <v>449</v>
      </c>
      <c r="C292" s="135"/>
      <c r="D292" s="137"/>
      <c r="E292" s="137"/>
      <c r="F292" s="137"/>
      <c r="G292" s="137"/>
      <c r="H292" s="1"/>
      <c r="I292" s="1"/>
      <c r="J292" s="1"/>
      <c r="K292" s="1"/>
      <c r="L292" s="1"/>
      <c r="M292" s="1"/>
      <c r="N292" s="1"/>
      <c r="O292" s="1"/>
      <c r="P292" s="1"/>
    </row>
    <row r="293" spans="2:16" ht="16.600000000000001">
      <c r="B293" s="135" t="s">
        <v>450</v>
      </c>
      <c r="C293" s="135"/>
      <c r="D293" s="136"/>
      <c r="E293" s="136"/>
      <c r="F293" s="136"/>
      <c r="G293" s="137"/>
      <c r="H293" s="1"/>
      <c r="I293" s="1"/>
      <c r="J293" s="1"/>
      <c r="K293" s="1"/>
      <c r="L293" s="1"/>
      <c r="M293" s="1"/>
      <c r="N293" s="1"/>
      <c r="O293" s="1"/>
      <c r="P293" s="1"/>
    </row>
    <row r="294" spans="2:16" ht="16.600000000000001">
      <c r="B294" s="135" t="s">
        <v>451</v>
      </c>
      <c r="C294" s="135"/>
      <c r="D294" s="137"/>
      <c r="E294" s="137"/>
      <c r="F294" s="137"/>
      <c r="G294" s="137"/>
      <c r="H294" s="1"/>
      <c r="I294" s="1"/>
      <c r="J294" s="1"/>
      <c r="K294" s="1"/>
      <c r="L294" s="1"/>
      <c r="M294" s="1"/>
      <c r="N294" s="1"/>
      <c r="O294" s="1"/>
      <c r="P294" s="1"/>
    </row>
    <row r="295" spans="2:16" ht="16.600000000000001">
      <c r="B295" s="135" t="s">
        <v>452</v>
      </c>
      <c r="C295" s="135"/>
      <c r="D295" s="137"/>
      <c r="E295" s="137"/>
      <c r="F295" s="137"/>
      <c r="G295" s="136"/>
      <c r="H295" s="1"/>
      <c r="I295" s="1"/>
      <c r="J295" s="1"/>
      <c r="K295" s="1"/>
      <c r="L295" s="1"/>
      <c r="M295" s="1"/>
      <c r="N295" s="1"/>
      <c r="O295" s="1"/>
      <c r="P295" s="1"/>
    </row>
    <row r="296" spans="2:16" ht="16.600000000000001">
      <c r="B296" s="135" t="s">
        <v>453</v>
      </c>
      <c r="C296" s="135"/>
      <c r="D296" s="137"/>
      <c r="E296" s="137"/>
      <c r="F296" s="137"/>
      <c r="G296" s="137"/>
      <c r="H296" s="1"/>
      <c r="I296" s="1"/>
      <c r="J296" s="1"/>
      <c r="K296" s="1"/>
      <c r="L296" s="1"/>
      <c r="M296" s="1"/>
      <c r="N296" s="1"/>
      <c r="O296" s="1"/>
      <c r="P296" s="1"/>
    </row>
    <row r="297" spans="2:16" ht="16.600000000000001">
      <c r="B297" s="135" t="s">
        <v>454</v>
      </c>
      <c r="C297" s="135"/>
      <c r="D297" s="137"/>
      <c r="E297" s="137"/>
      <c r="F297" s="137"/>
      <c r="G297" s="137"/>
      <c r="H297" s="1"/>
      <c r="I297" s="1"/>
      <c r="J297" s="1"/>
      <c r="K297" s="1"/>
      <c r="L297" s="1"/>
      <c r="M297" s="1"/>
      <c r="N297" s="1"/>
      <c r="O297" s="1"/>
      <c r="P297" s="1"/>
    </row>
    <row r="298" spans="2:16" ht="16.600000000000001">
      <c r="B298" s="135" t="s">
        <v>455</v>
      </c>
      <c r="C298" s="135"/>
      <c r="D298" s="137"/>
      <c r="E298" s="137"/>
      <c r="F298" s="137"/>
      <c r="G298" s="136"/>
      <c r="H298" s="1"/>
      <c r="I298" s="1"/>
      <c r="J298" s="1"/>
      <c r="K298" s="1"/>
      <c r="L298" s="1"/>
      <c r="M298" s="1"/>
      <c r="N298" s="1"/>
      <c r="O298" s="1"/>
      <c r="P298" s="1"/>
    </row>
    <row r="299" spans="2:16" ht="16.600000000000001">
      <c r="B299" s="135" t="s">
        <v>456</v>
      </c>
      <c r="C299" s="135"/>
      <c r="D299" s="136"/>
      <c r="E299" s="136"/>
      <c r="F299" s="136"/>
      <c r="G299" s="136"/>
      <c r="H299" s="1"/>
      <c r="I299" s="1"/>
      <c r="J299" s="1"/>
      <c r="K299" s="1"/>
      <c r="L299" s="1"/>
      <c r="M299" s="1"/>
      <c r="N299" s="1"/>
      <c r="O299" s="1"/>
      <c r="P299" s="1"/>
    </row>
    <row r="300" spans="2:16" ht="16.600000000000001">
      <c r="B300" s="135" t="s">
        <v>457</v>
      </c>
      <c r="C300" s="135"/>
      <c r="D300" s="137"/>
      <c r="E300" s="137"/>
      <c r="F300" s="137"/>
      <c r="G300" s="137"/>
      <c r="H300" s="1"/>
      <c r="I300" s="1"/>
      <c r="J300" s="1"/>
      <c r="K300" s="1"/>
      <c r="L300" s="1"/>
      <c r="M300" s="1"/>
      <c r="N300" s="1"/>
      <c r="O300" s="1"/>
      <c r="P300" s="1"/>
    </row>
    <row r="301" spans="2:16" ht="16.600000000000001">
      <c r="B301" s="135" t="s">
        <v>458</v>
      </c>
      <c r="C301" s="135"/>
      <c r="D301" s="137"/>
      <c r="E301" s="137"/>
      <c r="F301" s="137"/>
      <c r="G301" s="136"/>
      <c r="H301" s="1"/>
      <c r="I301" s="1"/>
      <c r="J301" s="1"/>
      <c r="K301" s="1"/>
      <c r="L301" s="1"/>
      <c r="M301" s="1"/>
      <c r="N301" s="1"/>
      <c r="O301" s="1"/>
      <c r="P301" s="1"/>
    </row>
    <row r="302" spans="2:16" ht="16.600000000000001">
      <c r="B302" s="135" t="s">
        <v>459</v>
      </c>
      <c r="C302" s="135"/>
      <c r="D302" s="136"/>
      <c r="E302" s="136"/>
      <c r="F302" s="136"/>
      <c r="G302" s="137"/>
      <c r="H302" s="1"/>
      <c r="I302" s="1"/>
      <c r="J302" s="1"/>
      <c r="K302" s="1"/>
      <c r="L302" s="1"/>
      <c r="M302" s="1"/>
      <c r="N302" s="1"/>
      <c r="O302" s="1"/>
      <c r="P302" s="1"/>
    </row>
    <row r="303" spans="2:16" ht="16.600000000000001">
      <c r="B303" s="135" t="s">
        <v>460</v>
      </c>
      <c r="C303" s="135"/>
      <c r="D303" s="136"/>
      <c r="E303" s="136"/>
      <c r="F303" s="136"/>
      <c r="G303" s="136"/>
      <c r="H303" s="1"/>
      <c r="I303" s="1"/>
      <c r="J303" s="1"/>
      <c r="K303" s="1"/>
      <c r="L303" s="1"/>
      <c r="M303" s="1"/>
      <c r="N303" s="1"/>
      <c r="O303" s="1"/>
      <c r="P303" s="1"/>
    </row>
    <row r="304" spans="2:16" ht="16.600000000000001">
      <c r="B304" s="135" t="s">
        <v>461</v>
      </c>
      <c r="C304" s="135"/>
      <c r="D304" s="137"/>
      <c r="E304" s="137"/>
      <c r="F304" s="137"/>
      <c r="G304" s="137"/>
      <c r="H304" s="1"/>
      <c r="I304" s="1"/>
      <c r="J304" s="1"/>
      <c r="K304" s="1"/>
      <c r="L304" s="1"/>
      <c r="M304" s="1"/>
      <c r="N304" s="1"/>
      <c r="O304" s="1"/>
      <c r="P304" s="1"/>
    </row>
    <row r="305" spans="2:16" ht="16.600000000000001">
      <c r="B305" s="135" t="s">
        <v>462</v>
      </c>
      <c r="C305" s="135"/>
      <c r="D305" s="136"/>
      <c r="E305" s="136"/>
      <c r="F305" s="136"/>
      <c r="G305" s="137"/>
      <c r="H305" s="1"/>
      <c r="I305" s="1"/>
      <c r="J305" s="1"/>
      <c r="K305" s="1"/>
      <c r="L305" s="1"/>
      <c r="M305" s="1"/>
      <c r="N305" s="1"/>
      <c r="O305" s="1"/>
      <c r="P305" s="1"/>
    </row>
    <row r="306" spans="2:16" ht="16.600000000000001">
      <c r="B306" s="135" t="s">
        <v>463</v>
      </c>
      <c r="C306" s="135"/>
      <c r="D306" s="137"/>
      <c r="E306" s="137"/>
      <c r="F306" s="137"/>
      <c r="G306" s="137"/>
      <c r="H306" s="1"/>
      <c r="I306" s="1"/>
      <c r="J306" s="1"/>
      <c r="K306" s="1"/>
      <c r="L306" s="1"/>
      <c r="M306" s="1"/>
      <c r="N306" s="1"/>
      <c r="O306" s="1"/>
      <c r="P306" s="1"/>
    </row>
    <row r="307" spans="2:16" ht="16.600000000000001">
      <c r="B307" s="135" t="s">
        <v>464</v>
      </c>
      <c r="C307" s="135"/>
      <c r="D307" s="136"/>
      <c r="E307" s="136"/>
      <c r="F307" s="136"/>
      <c r="G307" s="137"/>
      <c r="H307" s="1"/>
      <c r="I307" s="1"/>
      <c r="J307" s="1"/>
      <c r="K307" s="1"/>
      <c r="L307" s="1"/>
      <c r="M307" s="1"/>
      <c r="N307" s="1"/>
      <c r="O307" s="1"/>
      <c r="P307" s="1"/>
    </row>
    <row r="308" spans="2:16" ht="16.600000000000001">
      <c r="B308" s="135" t="s">
        <v>465</v>
      </c>
      <c r="C308" s="135"/>
      <c r="D308" s="136"/>
      <c r="E308" s="137"/>
      <c r="F308" s="137"/>
      <c r="G308" s="137"/>
      <c r="H308" s="1"/>
      <c r="I308" s="1"/>
      <c r="J308" s="1"/>
      <c r="K308" s="1"/>
      <c r="L308" s="1"/>
      <c r="M308" s="1"/>
      <c r="N308" s="1"/>
      <c r="O308" s="1"/>
      <c r="P308" s="1"/>
    </row>
    <row r="309" spans="2:16" ht="16.600000000000001">
      <c r="B309" s="135" t="s">
        <v>466</v>
      </c>
      <c r="C309" s="135"/>
      <c r="D309" s="137"/>
      <c r="E309" s="137"/>
      <c r="F309" s="137"/>
      <c r="G309" s="136"/>
      <c r="H309" s="1"/>
      <c r="I309" s="1"/>
      <c r="J309" s="1"/>
      <c r="K309" s="1"/>
      <c r="L309" s="1"/>
      <c r="M309" s="1"/>
      <c r="N309" s="1"/>
      <c r="O309" s="1"/>
      <c r="P309" s="1"/>
    </row>
    <row r="310" spans="2:16" ht="16.600000000000001">
      <c r="B310" s="135" t="s">
        <v>467</v>
      </c>
      <c r="C310" s="135"/>
      <c r="D310" s="137"/>
      <c r="E310" s="137"/>
      <c r="F310" s="137"/>
      <c r="G310" s="137"/>
      <c r="H310" s="1"/>
      <c r="I310" s="1"/>
      <c r="J310" s="1"/>
      <c r="K310" s="1"/>
      <c r="L310" s="1"/>
      <c r="M310" s="1"/>
      <c r="N310" s="1"/>
      <c r="O310" s="1"/>
      <c r="P310" s="1"/>
    </row>
    <row r="311" spans="2:16" ht="16.600000000000001">
      <c r="B311" s="135" t="s">
        <v>468</v>
      </c>
      <c r="C311" s="135"/>
      <c r="D311" s="137"/>
      <c r="E311" s="137"/>
      <c r="F311" s="137"/>
      <c r="G311" s="137"/>
      <c r="H311" s="1"/>
      <c r="I311" s="1"/>
      <c r="J311" s="1"/>
      <c r="K311" s="1"/>
      <c r="L311" s="1"/>
      <c r="M311" s="1"/>
      <c r="N311" s="1"/>
      <c r="O311" s="1"/>
      <c r="P311" s="1"/>
    </row>
    <row r="312" spans="2:16" ht="16.600000000000001">
      <c r="B312" s="135" t="s">
        <v>469</v>
      </c>
      <c r="C312" s="135"/>
      <c r="D312" s="137"/>
      <c r="E312" s="136"/>
      <c r="F312" s="136"/>
      <c r="G312" s="137"/>
      <c r="H312" s="1"/>
      <c r="I312" s="1"/>
      <c r="J312" s="1"/>
      <c r="K312" s="1"/>
      <c r="L312" s="1"/>
      <c r="M312" s="1"/>
      <c r="N312" s="1"/>
      <c r="O312" s="1"/>
      <c r="P312" s="1"/>
    </row>
    <row r="313" spans="2:16" ht="16.600000000000001">
      <c r="B313" s="135" t="s">
        <v>470</v>
      </c>
      <c r="C313" s="135"/>
      <c r="D313" s="136"/>
      <c r="E313" s="136"/>
      <c r="F313" s="136"/>
      <c r="G313" s="137"/>
      <c r="H313" s="1"/>
      <c r="I313" s="1"/>
      <c r="J313" s="1"/>
      <c r="K313" s="1"/>
      <c r="L313" s="1"/>
      <c r="M313" s="1"/>
      <c r="N313" s="1"/>
      <c r="O313" s="1"/>
      <c r="P313" s="1"/>
    </row>
    <row r="314" spans="2:16" ht="16.600000000000001">
      <c r="B314" s="135" t="s">
        <v>471</v>
      </c>
      <c r="C314" s="135"/>
      <c r="D314" s="137"/>
      <c r="E314" s="136"/>
      <c r="F314" s="136"/>
      <c r="G314" s="136"/>
      <c r="H314" s="1"/>
      <c r="I314" s="1"/>
      <c r="J314" s="1"/>
      <c r="K314" s="1"/>
      <c r="L314" s="1"/>
      <c r="M314" s="1"/>
      <c r="N314" s="1"/>
      <c r="O314" s="1"/>
      <c r="P314" s="1"/>
    </row>
    <row r="315" spans="2:16" ht="16.600000000000001">
      <c r="B315" s="135" t="s">
        <v>472</v>
      </c>
      <c r="C315" s="135"/>
      <c r="D315" s="137"/>
      <c r="E315" s="137"/>
      <c r="F315" s="137"/>
      <c r="G315" s="137"/>
      <c r="H315" s="1"/>
      <c r="I315" s="1"/>
      <c r="J315" s="1"/>
      <c r="K315" s="1"/>
      <c r="L315" s="1"/>
      <c r="M315" s="1"/>
      <c r="N315" s="1"/>
      <c r="O315" s="1"/>
      <c r="P315" s="1"/>
    </row>
    <row r="316" spans="2:16" ht="16.600000000000001">
      <c r="B316" s="135" t="s">
        <v>473</v>
      </c>
      <c r="C316" s="135"/>
      <c r="D316" s="137"/>
      <c r="E316" s="137"/>
      <c r="F316" s="137"/>
      <c r="G316" s="136"/>
      <c r="H316" s="1"/>
      <c r="I316" s="1"/>
      <c r="J316" s="1"/>
      <c r="K316" s="1"/>
      <c r="L316" s="1"/>
      <c r="M316" s="1"/>
      <c r="N316" s="1"/>
      <c r="O316" s="1"/>
      <c r="P316" s="1"/>
    </row>
    <row r="317" spans="2:16" ht="16.600000000000001">
      <c r="B317" s="135" t="s">
        <v>474</v>
      </c>
      <c r="C317" s="135"/>
      <c r="D317" s="137"/>
      <c r="E317" s="137"/>
      <c r="F317" s="137"/>
      <c r="G317" s="137"/>
      <c r="H317" s="1"/>
      <c r="I317" s="1"/>
      <c r="J317" s="1"/>
      <c r="K317" s="1"/>
      <c r="L317" s="1"/>
      <c r="M317" s="1"/>
      <c r="N317" s="1"/>
      <c r="O317" s="1"/>
      <c r="P317" s="1"/>
    </row>
    <row r="318" spans="2:16" ht="16.600000000000001">
      <c r="B318" s="135" t="s">
        <v>475</v>
      </c>
      <c r="C318" s="135"/>
      <c r="D318" s="137"/>
      <c r="E318" s="136"/>
      <c r="F318" s="136"/>
      <c r="G318" s="136"/>
      <c r="H318" s="1"/>
      <c r="I318" s="1"/>
      <c r="J318" s="1"/>
      <c r="K318" s="1"/>
      <c r="L318" s="1"/>
      <c r="M318" s="1"/>
      <c r="N318" s="1"/>
      <c r="O318" s="1"/>
      <c r="P318" s="1"/>
    </row>
    <row r="319" spans="2:16" ht="16.600000000000001">
      <c r="B319" s="135" t="s">
        <v>476</v>
      </c>
      <c r="C319" s="135"/>
      <c r="D319" s="137"/>
      <c r="E319" s="137"/>
      <c r="F319" s="137"/>
      <c r="G319" s="137"/>
      <c r="H319" s="1"/>
      <c r="I319" s="1"/>
      <c r="J319" s="1"/>
      <c r="K319" s="1"/>
      <c r="L319" s="1"/>
      <c r="M319" s="1"/>
      <c r="N319" s="1"/>
      <c r="O319" s="1"/>
      <c r="P319" s="1"/>
    </row>
    <row r="320" spans="2:16" ht="16.600000000000001">
      <c r="B320" s="135" t="s">
        <v>477</v>
      </c>
      <c r="C320" s="135"/>
      <c r="D320" s="136"/>
      <c r="E320" s="136"/>
      <c r="F320" s="136"/>
      <c r="G320" s="137"/>
      <c r="H320" s="1"/>
      <c r="I320" s="1"/>
      <c r="J320" s="1"/>
      <c r="K320" s="1"/>
      <c r="L320" s="1"/>
      <c r="M320" s="1"/>
      <c r="N320" s="1"/>
      <c r="O320" s="1"/>
      <c r="P320" s="1"/>
    </row>
    <row r="321" spans="2:16" ht="16.600000000000001">
      <c r="B321" s="135" t="s">
        <v>478</v>
      </c>
      <c r="C321" s="135"/>
      <c r="D321" s="137"/>
      <c r="E321" s="137"/>
      <c r="F321" s="137"/>
      <c r="G321" s="137"/>
      <c r="H321" s="1"/>
      <c r="I321" s="1"/>
      <c r="J321" s="1"/>
      <c r="K321" s="1"/>
      <c r="L321" s="1"/>
      <c r="M321" s="1"/>
      <c r="N321" s="1"/>
      <c r="O321" s="1"/>
      <c r="P321" s="1"/>
    </row>
    <row r="322" spans="2:16" ht="16.600000000000001">
      <c r="B322" s="135" t="s">
        <v>479</v>
      </c>
      <c r="C322" s="135"/>
      <c r="D322" s="136"/>
      <c r="E322" s="136"/>
      <c r="F322" s="136"/>
      <c r="G322" s="137"/>
      <c r="H322" s="1"/>
      <c r="I322" s="1"/>
      <c r="J322" s="1"/>
      <c r="K322" s="1"/>
      <c r="L322" s="1"/>
      <c r="M322" s="1"/>
      <c r="N322" s="1"/>
      <c r="O322" s="1"/>
      <c r="P322" s="1"/>
    </row>
    <row r="323" spans="2:16" ht="16.600000000000001">
      <c r="B323" s="135" t="s">
        <v>480</v>
      </c>
      <c r="C323" s="135"/>
      <c r="D323" s="137"/>
      <c r="E323" s="137"/>
      <c r="F323" s="137"/>
      <c r="G323" s="136"/>
      <c r="H323" s="1"/>
      <c r="I323" s="1"/>
      <c r="J323" s="1"/>
      <c r="K323" s="1"/>
      <c r="L323" s="1"/>
      <c r="M323" s="1"/>
      <c r="N323" s="1"/>
      <c r="O323" s="1"/>
      <c r="P323" s="1"/>
    </row>
    <row r="324" spans="2:16" ht="16.600000000000001">
      <c r="B324" s="135" t="s">
        <v>481</v>
      </c>
      <c r="C324" s="135"/>
      <c r="D324" s="137"/>
      <c r="E324" s="137"/>
      <c r="F324" s="137"/>
      <c r="G324" s="136"/>
      <c r="H324" s="1"/>
      <c r="I324" s="1"/>
      <c r="J324" s="1"/>
      <c r="K324" s="1"/>
      <c r="L324" s="1"/>
      <c r="M324" s="1"/>
      <c r="N324" s="1"/>
      <c r="O324" s="1"/>
      <c r="P324" s="1"/>
    </row>
    <row r="325" spans="2:16" ht="16.600000000000001">
      <c r="B325" s="135" t="s">
        <v>482</v>
      </c>
      <c r="C325" s="135"/>
      <c r="D325" s="137"/>
      <c r="E325" s="137"/>
      <c r="F325" s="137"/>
      <c r="G325" s="137"/>
      <c r="H325" s="1"/>
      <c r="I325" s="1"/>
      <c r="J325" s="1"/>
      <c r="K325" s="1"/>
      <c r="L325" s="1"/>
      <c r="M325" s="1"/>
      <c r="N325" s="1"/>
      <c r="O325" s="1"/>
      <c r="P325" s="1"/>
    </row>
    <row r="326" spans="2:16" ht="16.600000000000001">
      <c r="B326" s="135" t="s">
        <v>483</v>
      </c>
      <c r="C326" s="135"/>
      <c r="D326" s="137"/>
      <c r="E326" s="137"/>
      <c r="F326" s="137"/>
      <c r="G326" s="136"/>
      <c r="H326" s="1"/>
      <c r="I326" s="1"/>
      <c r="J326" s="1"/>
      <c r="K326" s="1"/>
      <c r="L326" s="1"/>
      <c r="M326" s="1"/>
      <c r="N326" s="1"/>
      <c r="O326" s="1"/>
      <c r="P326" s="1"/>
    </row>
    <row r="327" spans="2:16" ht="16.600000000000001">
      <c r="B327" s="135" t="s">
        <v>484</v>
      </c>
      <c r="C327" s="135"/>
      <c r="D327" s="136"/>
      <c r="E327" s="136"/>
      <c r="F327" s="137"/>
      <c r="G327" s="136"/>
      <c r="H327" s="1"/>
      <c r="I327" s="1"/>
      <c r="J327" s="1"/>
      <c r="K327" s="1"/>
      <c r="L327" s="1"/>
      <c r="M327" s="1"/>
      <c r="N327" s="1"/>
      <c r="O327" s="1"/>
      <c r="P327" s="1"/>
    </row>
    <row r="328" spans="2:16" ht="16.600000000000001">
      <c r="B328" s="135" t="s">
        <v>485</v>
      </c>
      <c r="C328" s="135"/>
      <c r="D328" s="136"/>
      <c r="E328" s="137"/>
      <c r="F328" s="137"/>
      <c r="G328" s="136"/>
      <c r="H328" s="1"/>
      <c r="I328" s="1"/>
      <c r="J328" s="1"/>
      <c r="K328" s="1"/>
      <c r="L328" s="1"/>
      <c r="M328" s="1"/>
      <c r="N328" s="1"/>
      <c r="O328" s="1"/>
      <c r="P328" s="1"/>
    </row>
    <row r="329" spans="2:16" ht="16.600000000000001">
      <c r="B329" s="135" t="s">
        <v>486</v>
      </c>
      <c r="C329" s="135"/>
      <c r="D329" s="137"/>
      <c r="E329" s="137"/>
      <c r="F329" s="137"/>
      <c r="G329" s="137"/>
      <c r="H329" s="1"/>
      <c r="I329" s="1"/>
      <c r="J329" s="1"/>
      <c r="K329" s="1"/>
      <c r="L329" s="1"/>
      <c r="M329" s="1"/>
      <c r="N329" s="1"/>
      <c r="O329" s="1"/>
      <c r="P329" s="1"/>
    </row>
    <row r="330" spans="2:16" ht="16.600000000000001">
      <c r="B330" s="135" t="s">
        <v>487</v>
      </c>
      <c r="C330" s="135"/>
      <c r="D330" s="136"/>
      <c r="E330" s="136"/>
      <c r="F330" s="136"/>
      <c r="G330" s="137"/>
      <c r="H330" s="1"/>
      <c r="I330" s="1"/>
      <c r="J330" s="1"/>
      <c r="K330" s="1"/>
      <c r="L330" s="1"/>
      <c r="M330" s="1"/>
      <c r="N330" s="1"/>
      <c r="O330" s="1"/>
      <c r="P330" s="1"/>
    </row>
    <row r="331" spans="2:16" ht="16.600000000000001">
      <c r="B331" s="135" t="s">
        <v>488</v>
      </c>
      <c r="C331" s="135"/>
      <c r="D331" s="136"/>
      <c r="E331" s="136"/>
      <c r="F331" s="136"/>
      <c r="G331" s="136"/>
      <c r="H331" s="1"/>
      <c r="I331" s="1"/>
      <c r="J331" s="1"/>
      <c r="K331" s="1"/>
      <c r="L331" s="1"/>
      <c r="M331" s="1"/>
      <c r="N331" s="1"/>
      <c r="O331" s="1"/>
      <c r="P331" s="1"/>
    </row>
    <row r="332" spans="2:16" ht="16.600000000000001">
      <c r="B332" s="135" t="s">
        <v>489</v>
      </c>
      <c r="C332" s="135"/>
      <c r="D332" s="136"/>
      <c r="E332" s="136"/>
      <c r="F332" s="136"/>
      <c r="G332" s="137"/>
      <c r="H332" s="1"/>
      <c r="I332" s="1"/>
      <c r="J332" s="1"/>
      <c r="K332" s="1"/>
      <c r="L332" s="1"/>
      <c r="M332" s="1"/>
      <c r="N332" s="1"/>
      <c r="O332" s="1"/>
      <c r="P332" s="1"/>
    </row>
    <row r="333" spans="2:16" ht="16.600000000000001">
      <c r="B333" s="135" t="s">
        <v>490</v>
      </c>
      <c r="C333" s="135"/>
      <c r="D333" s="137"/>
      <c r="E333" s="137"/>
      <c r="F333" s="137"/>
      <c r="G333" s="136"/>
      <c r="H333" s="1"/>
      <c r="I333" s="1"/>
      <c r="J333" s="1"/>
      <c r="K333" s="1"/>
      <c r="L333" s="1"/>
      <c r="M333" s="1"/>
      <c r="N333" s="1"/>
      <c r="O333" s="1"/>
      <c r="P333" s="1"/>
    </row>
    <row r="334" spans="2:16" ht="16.600000000000001">
      <c r="B334" s="135" t="s">
        <v>491</v>
      </c>
      <c r="C334" s="135"/>
      <c r="D334" s="137"/>
      <c r="E334" s="137"/>
      <c r="F334" s="137"/>
      <c r="G334" s="137"/>
      <c r="H334" s="1"/>
      <c r="I334" s="1"/>
      <c r="J334" s="1"/>
      <c r="K334" s="1"/>
      <c r="L334" s="1"/>
      <c r="M334" s="1"/>
      <c r="N334" s="1"/>
      <c r="O334" s="1"/>
      <c r="P334" s="1"/>
    </row>
    <row r="335" spans="2:16" ht="16.600000000000001">
      <c r="B335" s="135" t="s">
        <v>492</v>
      </c>
      <c r="C335" s="135"/>
      <c r="D335" s="136"/>
      <c r="E335" s="137"/>
      <c r="F335" s="136"/>
      <c r="G335" s="136"/>
      <c r="H335" s="1"/>
      <c r="I335" s="1"/>
      <c r="J335" s="1"/>
      <c r="K335" s="1"/>
      <c r="L335" s="1"/>
      <c r="M335" s="1"/>
      <c r="N335" s="1"/>
      <c r="O335" s="1"/>
      <c r="P335" s="1"/>
    </row>
    <row r="336" spans="2:16" ht="16.600000000000001">
      <c r="B336" s="135" t="s">
        <v>493</v>
      </c>
      <c r="C336" s="135"/>
      <c r="D336" s="137"/>
      <c r="E336" s="137"/>
      <c r="F336" s="137"/>
      <c r="G336" s="136"/>
      <c r="H336" s="1"/>
      <c r="I336" s="1"/>
      <c r="J336" s="1"/>
      <c r="K336" s="1"/>
      <c r="L336" s="1"/>
      <c r="M336" s="1"/>
      <c r="N336" s="1"/>
      <c r="O336" s="1"/>
      <c r="P336" s="1"/>
    </row>
    <row r="337" spans="2:16" ht="16.600000000000001">
      <c r="B337" s="135" t="s">
        <v>494</v>
      </c>
      <c r="C337" s="135"/>
      <c r="D337" s="136"/>
      <c r="E337" s="136"/>
      <c r="F337" s="136"/>
      <c r="G337" s="137"/>
      <c r="H337" s="1"/>
      <c r="I337" s="1"/>
      <c r="J337" s="1"/>
      <c r="K337" s="1"/>
      <c r="L337" s="1"/>
      <c r="M337" s="1"/>
      <c r="N337" s="1"/>
      <c r="O337" s="1"/>
      <c r="P337" s="1"/>
    </row>
    <row r="338" spans="2:16" ht="16.600000000000001">
      <c r="B338" s="135" t="s">
        <v>495</v>
      </c>
      <c r="C338" s="135"/>
      <c r="D338" s="136"/>
      <c r="E338" s="136"/>
      <c r="F338" s="137"/>
      <c r="G338" s="136"/>
      <c r="H338" s="1"/>
      <c r="I338" s="1"/>
      <c r="J338" s="1"/>
      <c r="K338" s="1"/>
      <c r="L338" s="1"/>
      <c r="M338" s="1"/>
      <c r="N338" s="1"/>
      <c r="O338" s="1"/>
      <c r="P338" s="1"/>
    </row>
    <row r="339" spans="2:16" ht="16.600000000000001">
      <c r="B339" s="135" t="s">
        <v>496</v>
      </c>
      <c r="C339" s="135"/>
      <c r="D339" s="136"/>
      <c r="E339" s="136"/>
      <c r="F339" s="136"/>
      <c r="G339" s="136"/>
      <c r="H339" s="1"/>
      <c r="I339" s="1"/>
      <c r="J339" s="1"/>
      <c r="K339" s="1"/>
      <c r="L339" s="1"/>
      <c r="M339" s="1"/>
      <c r="N339" s="1"/>
      <c r="O339" s="1"/>
      <c r="P339" s="1"/>
    </row>
    <row r="340" spans="2:16" ht="16.600000000000001">
      <c r="B340" s="135" t="s">
        <v>497</v>
      </c>
      <c r="C340" s="135"/>
      <c r="D340" s="136"/>
      <c r="E340" s="136"/>
      <c r="F340" s="136"/>
      <c r="G340" s="136"/>
      <c r="H340" s="1"/>
      <c r="I340" s="1"/>
      <c r="J340" s="1"/>
      <c r="K340" s="1"/>
      <c r="L340" s="1"/>
      <c r="M340" s="1"/>
      <c r="N340" s="1"/>
      <c r="O340" s="1"/>
      <c r="P340" s="1"/>
    </row>
    <row r="341" spans="2:16" ht="16.600000000000001">
      <c r="B341" s="135" t="s">
        <v>498</v>
      </c>
      <c r="C341" s="135"/>
      <c r="D341" s="136"/>
      <c r="E341" s="136"/>
      <c r="F341" s="136"/>
      <c r="G341" s="136"/>
      <c r="H341" s="1"/>
      <c r="I341" s="1"/>
      <c r="J341" s="1"/>
      <c r="K341" s="1"/>
      <c r="L341" s="1"/>
      <c r="M341" s="1"/>
      <c r="N341" s="1"/>
      <c r="O341" s="1"/>
      <c r="P341" s="1"/>
    </row>
    <row r="342" spans="2:16" ht="16.600000000000001">
      <c r="B342" s="135" t="s">
        <v>499</v>
      </c>
      <c r="C342" s="135"/>
      <c r="D342" s="136"/>
      <c r="E342" s="136"/>
      <c r="F342" s="136"/>
      <c r="G342" s="137"/>
      <c r="H342" s="1"/>
      <c r="I342" s="1"/>
      <c r="J342" s="1"/>
      <c r="K342" s="1"/>
      <c r="L342" s="1"/>
      <c r="M342" s="1"/>
      <c r="N342" s="1"/>
      <c r="O342" s="1"/>
      <c r="P342" s="1"/>
    </row>
    <row r="343" spans="2:16" ht="16.600000000000001">
      <c r="B343" s="135" t="s">
        <v>500</v>
      </c>
      <c r="C343" s="135"/>
      <c r="D343" s="137"/>
      <c r="E343" s="137"/>
      <c r="F343" s="137"/>
      <c r="G343" s="137"/>
      <c r="H343" s="1"/>
      <c r="I343" s="1"/>
      <c r="J343" s="1"/>
      <c r="K343" s="1"/>
      <c r="L343" s="1"/>
      <c r="M343" s="1"/>
      <c r="N343" s="1"/>
      <c r="O343" s="1"/>
      <c r="P343" s="1"/>
    </row>
    <row r="344" spans="2:16" ht="16.600000000000001">
      <c r="B344" s="135" t="s">
        <v>501</v>
      </c>
      <c r="C344" s="135"/>
      <c r="D344" s="136"/>
      <c r="E344" s="136"/>
      <c r="F344" s="136"/>
      <c r="G344" s="137"/>
      <c r="H344" s="1"/>
      <c r="I344" s="1"/>
      <c r="J344" s="1"/>
      <c r="K344" s="1"/>
      <c r="L344" s="1"/>
      <c r="M344" s="1"/>
      <c r="N344" s="1"/>
      <c r="O344" s="1"/>
      <c r="P344" s="1"/>
    </row>
    <row r="345" spans="2:16" ht="16.600000000000001">
      <c r="B345" s="135" t="s">
        <v>502</v>
      </c>
      <c r="C345" s="135"/>
      <c r="D345" s="136"/>
      <c r="E345" s="136"/>
      <c r="F345" s="136"/>
      <c r="G345" s="137"/>
      <c r="H345" s="1"/>
      <c r="I345" s="1"/>
      <c r="J345" s="1"/>
      <c r="K345" s="1"/>
      <c r="L345" s="1"/>
      <c r="M345" s="1"/>
      <c r="N345" s="1"/>
      <c r="O345" s="1"/>
      <c r="P345" s="1"/>
    </row>
    <row r="346" spans="2:16" ht="16.600000000000001">
      <c r="B346" s="135" t="s">
        <v>503</v>
      </c>
      <c r="C346" s="135"/>
      <c r="D346" s="137"/>
      <c r="E346" s="137"/>
      <c r="F346" s="137"/>
      <c r="G346" s="137"/>
      <c r="H346" s="1"/>
      <c r="I346" s="1"/>
      <c r="J346" s="1"/>
      <c r="K346" s="1"/>
      <c r="L346" s="1"/>
      <c r="M346" s="1"/>
      <c r="N346" s="1"/>
      <c r="O346" s="1"/>
      <c r="P346" s="1"/>
    </row>
    <row r="347" spans="2:16" ht="16.600000000000001">
      <c r="B347" s="135" t="s">
        <v>504</v>
      </c>
      <c r="C347" s="135"/>
      <c r="D347" s="137"/>
      <c r="E347" s="137"/>
      <c r="F347" s="137"/>
      <c r="G347" s="136"/>
      <c r="H347" s="1"/>
      <c r="I347" s="1"/>
      <c r="J347" s="1"/>
      <c r="K347" s="1"/>
      <c r="L347" s="1"/>
      <c r="M347" s="1"/>
      <c r="N347" s="1"/>
      <c r="O347" s="1"/>
      <c r="P347" s="1"/>
    </row>
    <row r="348" spans="2:16" ht="16.600000000000001">
      <c r="B348" s="135" t="s">
        <v>505</v>
      </c>
      <c r="C348" s="135"/>
      <c r="D348" s="137"/>
      <c r="E348" s="137"/>
      <c r="F348" s="137"/>
      <c r="G348" s="136"/>
      <c r="H348" s="1"/>
      <c r="I348" s="1"/>
      <c r="J348" s="1"/>
      <c r="K348" s="1"/>
      <c r="L348" s="1"/>
      <c r="M348" s="1"/>
      <c r="N348" s="1"/>
      <c r="O348" s="1"/>
      <c r="P348" s="1"/>
    </row>
    <row r="349" spans="2:16" ht="16.600000000000001">
      <c r="B349" s="135" t="s">
        <v>506</v>
      </c>
      <c r="C349" s="135"/>
      <c r="D349" s="137"/>
      <c r="E349" s="137"/>
      <c r="F349" s="137"/>
      <c r="G349" s="136"/>
      <c r="H349" s="1"/>
      <c r="I349" s="1"/>
      <c r="J349" s="1"/>
      <c r="K349" s="1"/>
      <c r="L349" s="1"/>
      <c r="M349" s="1"/>
      <c r="N349" s="1"/>
      <c r="O349" s="1"/>
      <c r="P349" s="1"/>
    </row>
    <row r="350" spans="2:16" ht="16.600000000000001">
      <c r="B350" s="135" t="s">
        <v>507</v>
      </c>
      <c r="C350" s="135"/>
      <c r="D350" s="137"/>
      <c r="E350" s="137"/>
      <c r="F350" s="137"/>
      <c r="G350" s="137"/>
      <c r="H350" s="1"/>
      <c r="I350" s="1"/>
      <c r="J350" s="1"/>
      <c r="K350" s="1"/>
      <c r="L350" s="1"/>
      <c r="M350" s="1"/>
      <c r="N350" s="1"/>
      <c r="O350" s="1"/>
      <c r="P350" s="1"/>
    </row>
    <row r="351" spans="2:16" ht="16.600000000000001">
      <c r="B351" s="135" t="s">
        <v>508</v>
      </c>
      <c r="C351" s="135"/>
      <c r="D351" s="137"/>
      <c r="E351" s="137"/>
      <c r="F351" s="136"/>
      <c r="G351" s="137"/>
      <c r="H351" s="1"/>
      <c r="I351" s="1"/>
      <c r="J351" s="1"/>
      <c r="K351" s="1"/>
      <c r="L351" s="1"/>
      <c r="M351" s="1"/>
      <c r="N351" s="1"/>
      <c r="O351" s="1"/>
      <c r="P351" s="1"/>
    </row>
    <row r="352" spans="2:16" ht="16.600000000000001">
      <c r="B352" s="135" t="s">
        <v>509</v>
      </c>
      <c r="C352" s="135"/>
      <c r="D352" s="136"/>
      <c r="E352" s="136"/>
      <c r="F352" s="136"/>
      <c r="G352" s="136"/>
      <c r="H352" s="1"/>
      <c r="I352" s="1"/>
      <c r="J352" s="1"/>
      <c r="K352" s="1"/>
      <c r="L352" s="1"/>
      <c r="M352" s="1"/>
      <c r="N352" s="1"/>
      <c r="O352" s="1"/>
      <c r="P352" s="1"/>
    </row>
    <row r="353" spans="2:16" ht="16.600000000000001">
      <c r="B353" s="135" t="s">
        <v>510</v>
      </c>
      <c r="C353" s="135"/>
      <c r="D353" s="136"/>
      <c r="E353" s="136"/>
      <c r="F353" s="136"/>
      <c r="G353" s="136"/>
      <c r="H353" s="1"/>
      <c r="I353" s="1"/>
      <c r="J353" s="1"/>
      <c r="K353" s="1"/>
      <c r="L353" s="1"/>
      <c r="M353" s="1"/>
      <c r="N353" s="1"/>
      <c r="O353" s="1"/>
      <c r="P353" s="1"/>
    </row>
    <row r="354" spans="2:16" ht="16.600000000000001">
      <c r="B354" s="135" t="s">
        <v>511</v>
      </c>
      <c r="C354" s="135"/>
      <c r="D354" s="137"/>
      <c r="E354" s="137"/>
      <c r="F354" s="137"/>
      <c r="G354" s="137"/>
      <c r="H354" s="1"/>
      <c r="I354" s="1"/>
      <c r="J354" s="1"/>
      <c r="K354" s="1"/>
      <c r="L354" s="1"/>
      <c r="M354" s="1"/>
      <c r="N354" s="1"/>
      <c r="O354" s="1"/>
      <c r="P354" s="1"/>
    </row>
    <row r="355" spans="2:16" ht="16.600000000000001">
      <c r="B355" s="135" t="s">
        <v>512</v>
      </c>
      <c r="C355" s="135"/>
      <c r="D355" s="137"/>
      <c r="E355" s="137"/>
      <c r="F355" s="137"/>
      <c r="G355" s="137"/>
      <c r="H355" s="1"/>
      <c r="I355" s="1"/>
      <c r="J355" s="1"/>
      <c r="K355" s="1"/>
      <c r="L355" s="1"/>
      <c r="M355" s="1"/>
      <c r="N355" s="1"/>
      <c r="O355" s="1"/>
      <c r="P355" s="1"/>
    </row>
    <row r="356" spans="2:16" ht="16.600000000000001">
      <c r="B356" s="135" t="s">
        <v>513</v>
      </c>
      <c r="C356" s="135"/>
      <c r="D356" s="137"/>
      <c r="E356" s="137"/>
      <c r="F356" s="136"/>
      <c r="G356" s="136"/>
      <c r="H356" s="1"/>
      <c r="I356" s="1"/>
      <c r="J356" s="1"/>
      <c r="K356" s="1"/>
      <c r="L356" s="1"/>
      <c r="M356" s="1"/>
      <c r="N356" s="1"/>
      <c r="O356" s="1"/>
      <c r="P356" s="1"/>
    </row>
    <row r="357" spans="2:16" ht="16.600000000000001">
      <c r="B357" s="135" t="s">
        <v>514</v>
      </c>
      <c r="C357" s="135"/>
      <c r="D357" s="136"/>
      <c r="E357" s="136"/>
      <c r="F357" s="136"/>
      <c r="G357" s="137"/>
      <c r="H357" s="1"/>
      <c r="I357" s="1"/>
      <c r="J357" s="1"/>
      <c r="K357" s="1"/>
      <c r="L357" s="1"/>
      <c r="M357" s="1"/>
      <c r="N357" s="1"/>
      <c r="O357" s="1"/>
      <c r="P357" s="1"/>
    </row>
    <row r="358" spans="2:16" ht="16.600000000000001">
      <c r="B358" s="135" t="s">
        <v>515</v>
      </c>
      <c r="C358" s="135"/>
      <c r="D358" s="137"/>
      <c r="E358" s="137"/>
      <c r="F358" s="137"/>
      <c r="G358" s="137"/>
      <c r="H358" s="1"/>
      <c r="I358" s="1"/>
      <c r="J358" s="1"/>
      <c r="K358" s="1"/>
      <c r="L358" s="1"/>
      <c r="M358" s="1"/>
      <c r="N358" s="1"/>
      <c r="O358" s="1"/>
      <c r="P358" s="1"/>
    </row>
    <row r="359" spans="2:16" ht="16.600000000000001">
      <c r="B359" s="135" t="s">
        <v>516</v>
      </c>
      <c r="C359" s="135"/>
      <c r="D359" s="136"/>
      <c r="E359" s="137"/>
      <c r="F359" s="137"/>
      <c r="G359" s="137"/>
      <c r="H359" s="1"/>
      <c r="I359" s="1"/>
      <c r="J359" s="1"/>
      <c r="K359" s="1"/>
      <c r="L359" s="1"/>
      <c r="M359" s="1"/>
      <c r="N359" s="1"/>
      <c r="O359" s="1"/>
      <c r="P359" s="1"/>
    </row>
    <row r="360" spans="2:16" ht="16.600000000000001">
      <c r="B360" s="135" t="s">
        <v>517</v>
      </c>
      <c r="C360" s="135"/>
      <c r="D360" s="137"/>
      <c r="E360" s="136"/>
      <c r="F360" s="136"/>
      <c r="G360" s="136"/>
      <c r="H360" s="1"/>
      <c r="I360" s="1"/>
      <c r="J360" s="1"/>
      <c r="K360" s="1"/>
      <c r="L360" s="1"/>
      <c r="M360" s="1"/>
      <c r="N360" s="1"/>
      <c r="O360" s="1"/>
      <c r="P360" s="1"/>
    </row>
    <row r="361" spans="2:16" ht="16.600000000000001">
      <c r="B361" s="135" t="s">
        <v>518</v>
      </c>
      <c r="C361" s="135"/>
      <c r="D361" s="137"/>
      <c r="E361" s="137"/>
      <c r="F361" s="137"/>
      <c r="G361" s="137"/>
      <c r="H361" s="1"/>
      <c r="I361" s="1"/>
      <c r="J361" s="1"/>
      <c r="K361" s="1"/>
      <c r="L361" s="1"/>
      <c r="M361" s="1"/>
      <c r="N361" s="1"/>
      <c r="O361" s="1"/>
      <c r="P361" s="1"/>
    </row>
    <row r="362" spans="2:16" ht="16.600000000000001">
      <c r="B362" s="135" t="s">
        <v>519</v>
      </c>
      <c r="C362" s="135"/>
      <c r="D362" s="137"/>
      <c r="E362" s="137"/>
      <c r="F362" s="137"/>
      <c r="G362" s="137"/>
      <c r="H362" s="1"/>
      <c r="I362" s="1"/>
      <c r="J362" s="1"/>
      <c r="K362" s="1"/>
      <c r="L362" s="1"/>
      <c r="M362" s="1"/>
      <c r="N362" s="1"/>
      <c r="O362" s="1"/>
      <c r="P362" s="1"/>
    </row>
    <row r="363" spans="2:16" ht="16.600000000000001">
      <c r="B363" s="135" t="s">
        <v>520</v>
      </c>
      <c r="C363" s="135"/>
      <c r="D363" s="137"/>
      <c r="E363" s="137"/>
      <c r="F363" s="137"/>
      <c r="G363" s="137"/>
      <c r="H363" s="1"/>
      <c r="I363" s="1"/>
      <c r="J363" s="1"/>
      <c r="K363" s="1"/>
      <c r="L363" s="1"/>
      <c r="M363" s="1"/>
      <c r="N363" s="1"/>
      <c r="O363" s="1"/>
      <c r="P363" s="1"/>
    </row>
    <row r="364" spans="2:16" ht="16.600000000000001">
      <c r="B364" s="135" t="s">
        <v>521</v>
      </c>
      <c r="C364" s="135"/>
      <c r="D364" s="136"/>
      <c r="E364" s="136"/>
      <c r="F364" s="136"/>
      <c r="G364" s="136"/>
      <c r="H364" s="1"/>
      <c r="I364" s="1"/>
      <c r="J364" s="1"/>
      <c r="K364" s="1"/>
      <c r="L364" s="1"/>
      <c r="M364" s="1"/>
      <c r="N364" s="1"/>
      <c r="O364" s="1"/>
      <c r="P364" s="1"/>
    </row>
    <row r="365" spans="2:16" ht="16.600000000000001">
      <c r="B365" s="135" t="s">
        <v>522</v>
      </c>
      <c r="C365" s="135"/>
      <c r="D365" s="137"/>
      <c r="E365" s="137"/>
      <c r="F365" s="137"/>
      <c r="G365" s="137"/>
      <c r="H365" s="1"/>
      <c r="I365" s="1"/>
      <c r="J365" s="1"/>
      <c r="K365" s="1"/>
      <c r="L365" s="1"/>
      <c r="M365" s="1"/>
      <c r="N365" s="1"/>
      <c r="O365" s="1"/>
      <c r="P365" s="1"/>
    </row>
    <row r="366" spans="2:16" ht="16.600000000000001">
      <c r="B366" s="135" t="s">
        <v>523</v>
      </c>
      <c r="C366" s="135"/>
      <c r="D366" s="137"/>
      <c r="E366" s="137"/>
      <c r="F366" s="137"/>
      <c r="G366" s="137"/>
      <c r="H366" s="1"/>
      <c r="I366" s="1"/>
      <c r="J366" s="1"/>
      <c r="K366" s="1"/>
      <c r="L366" s="1"/>
      <c r="M366" s="1"/>
      <c r="N366" s="1"/>
      <c r="O366" s="1"/>
      <c r="P366" s="1"/>
    </row>
    <row r="367" spans="2:16" ht="16.600000000000001">
      <c r="B367" s="135" t="s">
        <v>524</v>
      </c>
      <c r="C367" s="135"/>
      <c r="D367" s="137"/>
      <c r="E367" s="137"/>
      <c r="F367" s="137"/>
      <c r="G367" s="137"/>
      <c r="H367" s="1"/>
      <c r="I367" s="1"/>
      <c r="J367" s="1"/>
      <c r="K367" s="1"/>
      <c r="L367" s="1"/>
      <c r="M367" s="1"/>
      <c r="N367" s="1"/>
      <c r="O367" s="1"/>
      <c r="P367" s="1"/>
    </row>
    <row r="368" spans="2:16" ht="16.600000000000001">
      <c r="B368" s="135" t="s">
        <v>525</v>
      </c>
      <c r="C368" s="135"/>
      <c r="D368" s="136"/>
      <c r="E368" s="136"/>
      <c r="F368" s="136"/>
      <c r="G368" s="136"/>
      <c r="H368" s="1"/>
      <c r="I368" s="1"/>
      <c r="J368" s="1"/>
      <c r="K368" s="1"/>
      <c r="L368" s="1"/>
      <c r="M368" s="1"/>
      <c r="N368" s="1"/>
      <c r="O368" s="1"/>
      <c r="P368" s="1"/>
    </row>
    <row r="369" spans="2:16" ht="16.600000000000001">
      <c r="B369" s="135" t="s">
        <v>526</v>
      </c>
      <c r="C369" s="135"/>
      <c r="D369" s="137"/>
      <c r="E369" s="137"/>
      <c r="F369" s="137"/>
      <c r="G369" s="136"/>
      <c r="H369" s="1"/>
      <c r="I369" s="1"/>
      <c r="J369" s="1"/>
      <c r="K369" s="1"/>
      <c r="L369" s="1"/>
      <c r="M369" s="1"/>
      <c r="N369" s="1"/>
      <c r="O369" s="1"/>
      <c r="P369" s="1"/>
    </row>
    <row r="370" spans="2:16" ht="16.600000000000001">
      <c r="B370" s="135" t="s">
        <v>527</v>
      </c>
      <c r="C370" s="135"/>
      <c r="D370" s="137"/>
      <c r="E370" s="137"/>
      <c r="F370" s="137"/>
      <c r="G370" s="136"/>
      <c r="H370" s="1"/>
      <c r="I370" s="1"/>
      <c r="J370" s="1"/>
      <c r="K370" s="1"/>
      <c r="L370" s="1"/>
      <c r="M370" s="1"/>
      <c r="N370" s="1"/>
      <c r="O370" s="1"/>
      <c r="P370" s="1"/>
    </row>
    <row r="371" spans="2:16" ht="16.600000000000001">
      <c r="B371" s="135" t="s">
        <v>528</v>
      </c>
      <c r="C371" s="135"/>
      <c r="D371" s="137"/>
      <c r="E371" s="137"/>
      <c r="F371" s="137"/>
      <c r="G371" s="137"/>
      <c r="H371" s="1"/>
      <c r="I371" s="1"/>
      <c r="J371" s="1"/>
      <c r="K371" s="1"/>
      <c r="L371" s="1"/>
      <c r="M371" s="1"/>
      <c r="N371" s="1"/>
      <c r="O371" s="1"/>
      <c r="P371" s="1"/>
    </row>
    <row r="372" spans="2:16" ht="16.600000000000001">
      <c r="B372" s="135" t="s">
        <v>529</v>
      </c>
      <c r="C372" s="135"/>
      <c r="D372" s="136"/>
      <c r="E372" s="136"/>
      <c r="F372" s="136"/>
      <c r="G372" s="137"/>
      <c r="H372" s="1"/>
      <c r="I372" s="1"/>
      <c r="J372" s="1"/>
      <c r="K372" s="1"/>
      <c r="L372" s="1"/>
      <c r="M372" s="1"/>
      <c r="N372" s="1"/>
      <c r="O372" s="1"/>
      <c r="P372" s="1"/>
    </row>
    <row r="373" spans="2:16" ht="16.600000000000001">
      <c r="B373" s="135" t="s">
        <v>530</v>
      </c>
      <c r="C373" s="135"/>
      <c r="D373" s="136"/>
      <c r="E373" s="137"/>
      <c r="F373" s="137"/>
      <c r="G373" s="137"/>
      <c r="H373" s="1"/>
      <c r="I373" s="1"/>
      <c r="J373" s="1"/>
      <c r="K373" s="1"/>
      <c r="L373" s="1"/>
      <c r="M373" s="1"/>
      <c r="N373" s="1"/>
      <c r="O373" s="1"/>
      <c r="P373" s="1"/>
    </row>
    <row r="374" spans="2:16" ht="16.600000000000001">
      <c r="B374" s="135" t="s">
        <v>531</v>
      </c>
      <c r="C374" s="135"/>
      <c r="D374" s="136"/>
      <c r="E374" s="136"/>
      <c r="F374" s="136"/>
      <c r="G374" s="137"/>
      <c r="H374" s="1"/>
      <c r="I374" s="1"/>
      <c r="J374" s="1"/>
      <c r="K374" s="1"/>
      <c r="L374" s="1"/>
      <c r="M374" s="1"/>
      <c r="N374" s="1"/>
      <c r="O374" s="1"/>
      <c r="P374" s="1"/>
    </row>
    <row r="375" spans="2:16" ht="16.600000000000001">
      <c r="B375" s="135" t="s">
        <v>532</v>
      </c>
      <c r="C375" s="135"/>
      <c r="D375" s="137"/>
      <c r="E375" s="137"/>
      <c r="F375" s="137"/>
      <c r="G375" s="137"/>
      <c r="H375" s="1"/>
      <c r="I375" s="1"/>
      <c r="J375" s="1"/>
      <c r="K375" s="1"/>
      <c r="L375" s="1"/>
      <c r="M375" s="1"/>
      <c r="N375" s="1"/>
      <c r="O375" s="1"/>
      <c r="P375" s="1"/>
    </row>
    <row r="376" spans="2:16" ht="16.600000000000001">
      <c r="B376" s="135" t="s">
        <v>533</v>
      </c>
      <c r="C376" s="135"/>
      <c r="D376" s="137"/>
      <c r="E376" s="137"/>
      <c r="F376" s="137"/>
      <c r="G376" s="136"/>
      <c r="H376" s="1"/>
      <c r="I376" s="1"/>
      <c r="J376" s="1"/>
      <c r="K376" s="1"/>
      <c r="L376" s="1"/>
      <c r="M376" s="1"/>
      <c r="N376" s="1"/>
      <c r="O376" s="1"/>
      <c r="P376" s="1"/>
    </row>
    <row r="377" spans="2:16" ht="16.600000000000001">
      <c r="B377" s="135" t="s">
        <v>534</v>
      </c>
      <c r="C377" s="135"/>
      <c r="D377" s="137"/>
      <c r="E377" s="136"/>
      <c r="F377" s="137"/>
      <c r="G377" s="137"/>
      <c r="H377" s="1"/>
      <c r="I377" s="1"/>
      <c r="J377" s="1"/>
      <c r="K377" s="1"/>
      <c r="L377" s="1"/>
      <c r="M377" s="1"/>
      <c r="N377" s="1"/>
      <c r="O377" s="1"/>
      <c r="P377" s="1"/>
    </row>
    <row r="378" spans="2:16" ht="16.600000000000001">
      <c r="B378" s="135" t="s">
        <v>535</v>
      </c>
      <c r="C378" s="135"/>
      <c r="D378" s="137"/>
      <c r="E378" s="137"/>
      <c r="F378" s="137"/>
      <c r="G378" s="137"/>
      <c r="H378" s="1"/>
      <c r="I378" s="1"/>
      <c r="J378" s="1"/>
      <c r="K378" s="1"/>
      <c r="L378" s="1"/>
      <c r="M378" s="1"/>
      <c r="N378" s="1"/>
      <c r="O378" s="1"/>
      <c r="P378" s="1"/>
    </row>
    <row r="379" spans="2:16" ht="16.600000000000001">
      <c r="B379" s="135" t="s">
        <v>536</v>
      </c>
      <c r="C379" s="135"/>
      <c r="D379" s="137"/>
      <c r="E379" s="137"/>
      <c r="F379" s="137"/>
      <c r="G379" s="137"/>
      <c r="H379" s="1"/>
      <c r="I379" s="1"/>
      <c r="J379" s="1"/>
      <c r="K379" s="1"/>
      <c r="L379" s="1"/>
      <c r="M379" s="1"/>
      <c r="N379" s="1"/>
      <c r="O379" s="1"/>
      <c r="P379" s="1"/>
    </row>
    <row r="380" spans="2:16" ht="16.600000000000001">
      <c r="B380" s="135" t="s">
        <v>537</v>
      </c>
      <c r="C380" s="135"/>
      <c r="D380" s="136"/>
      <c r="E380" s="136"/>
      <c r="F380" s="136"/>
      <c r="G380" s="137"/>
      <c r="H380" s="1"/>
      <c r="I380" s="1"/>
      <c r="J380" s="1"/>
      <c r="K380" s="1"/>
      <c r="L380" s="1"/>
      <c r="M380" s="1"/>
      <c r="N380" s="1"/>
      <c r="O380" s="1"/>
      <c r="P380" s="1"/>
    </row>
    <row r="381" spans="2:16" ht="16.600000000000001">
      <c r="B381" s="135" t="s">
        <v>538</v>
      </c>
      <c r="C381" s="135"/>
      <c r="D381" s="137"/>
      <c r="E381" s="137"/>
      <c r="F381" s="137"/>
      <c r="G381" s="137"/>
      <c r="H381" s="1"/>
      <c r="I381" s="1"/>
      <c r="J381" s="1"/>
      <c r="K381" s="1"/>
      <c r="L381" s="1"/>
      <c r="M381" s="1"/>
      <c r="N381" s="1"/>
      <c r="O381" s="1"/>
      <c r="P381" s="1"/>
    </row>
    <row r="382" spans="2:16" ht="16.600000000000001">
      <c r="B382" s="135" t="s">
        <v>539</v>
      </c>
      <c r="C382" s="135"/>
      <c r="D382" s="137"/>
      <c r="E382" s="137"/>
      <c r="F382" s="137"/>
      <c r="G382" s="137"/>
      <c r="H382" s="1"/>
      <c r="I382" s="1"/>
      <c r="J382" s="1"/>
      <c r="K382" s="1"/>
      <c r="L382" s="1"/>
      <c r="M382" s="1"/>
      <c r="N382" s="1"/>
      <c r="O382" s="1"/>
      <c r="P382" s="1"/>
    </row>
    <row r="383" spans="2:16" ht="16.600000000000001">
      <c r="B383" s="135" t="s">
        <v>540</v>
      </c>
      <c r="C383" s="135"/>
      <c r="D383" s="136"/>
      <c r="E383" s="136"/>
      <c r="F383" s="136"/>
      <c r="G383" s="136"/>
      <c r="H383" s="1"/>
      <c r="I383" s="1"/>
      <c r="J383" s="1"/>
      <c r="K383" s="1"/>
      <c r="L383" s="1"/>
      <c r="M383" s="1"/>
      <c r="N383" s="1"/>
      <c r="O383" s="1"/>
      <c r="P383" s="1"/>
    </row>
    <row r="384" spans="2:16" ht="16.600000000000001">
      <c r="B384" s="135" t="s">
        <v>541</v>
      </c>
      <c r="C384" s="135"/>
      <c r="D384" s="137"/>
      <c r="E384" s="137"/>
      <c r="F384" s="136"/>
      <c r="G384" s="137"/>
      <c r="H384" s="1"/>
      <c r="I384" s="1"/>
      <c r="J384" s="1"/>
      <c r="K384" s="1"/>
      <c r="L384" s="1"/>
      <c r="M384" s="1"/>
      <c r="N384" s="1"/>
      <c r="O384" s="1"/>
      <c r="P384" s="1"/>
    </row>
    <row r="385" spans="2:16" ht="16.600000000000001">
      <c r="B385" s="135" t="s">
        <v>542</v>
      </c>
      <c r="C385" s="135"/>
      <c r="D385" s="137"/>
      <c r="E385" s="137"/>
      <c r="F385" s="137"/>
      <c r="G385" s="137"/>
      <c r="H385" s="1"/>
      <c r="I385" s="1"/>
      <c r="J385" s="1"/>
      <c r="K385" s="1"/>
      <c r="L385" s="1"/>
      <c r="M385" s="1"/>
      <c r="N385" s="1"/>
      <c r="O385" s="1"/>
      <c r="P385" s="1"/>
    </row>
    <row r="386" spans="2:16" ht="16.600000000000001">
      <c r="B386" s="135" t="s">
        <v>543</v>
      </c>
      <c r="C386" s="135"/>
      <c r="D386" s="137"/>
      <c r="E386" s="137"/>
      <c r="F386" s="137"/>
      <c r="G386" s="137"/>
      <c r="H386" s="1"/>
      <c r="I386" s="1"/>
      <c r="J386" s="1"/>
      <c r="K386" s="1"/>
      <c r="L386" s="1"/>
      <c r="M386" s="1"/>
      <c r="N386" s="1"/>
      <c r="O386" s="1"/>
      <c r="P386" s="1"/>
    </row>
    <row r="387" spans="2:16" ht="16.600000000000001">
      <c r="B387" s="135" t="s">
        <v>544</v>
      </c>
      <c r="C387" s="135"/>
      <c r="D387" s="136"/>
      <c r="E387" s="136"/>
      <c r="F387" s="136"/>
      <c r="G387" s="136"/>
      <c r="H387" s="1"/>
      <c r="I387" s="1"/>
      <c r="J387" s="1"/>
      <c r="K387" s="1"/>
      <c r="L387" s="1"/>
      <c r="M387" s="1"/>
      <c r="N387" s="1"/>
      <c r="O387" s="1"/>
      <c r="P387" s="1"/>
    </row>
    <row r="388" spans="2:16" ht="16.600000000000001">
      <c r="B388" s="135" t="s">
        <v>545</v>
      </c>
      <c r="C388" s="135"/>
      <c r="D388" s="137"/>
      <c r="E388" s="137"/>
      <c r="F388" s="137"/>
      <c r="G388" s="136"/>
      <c r="H388" s="1"/>
      <c r="I388" s="1"/>
      <c r="J388" s="1"/>
      <c r="K388" s="1"/>
      <c r="L388" s="1"/>
      <c r="M388" s="1"/>
      <c r="N388" s="1"/>
      <c r="O388" s="1"/>
      <c r="P388" s="1"/>
    </row>
    <row r="389" spans="2:16" ht="16.600000000000001">
      <c r="B389" s="135" t="s">
        <v>546</v>
      </c>
      <c r="C389" s="135"/>
      <c r="D389" s="137"/>
      <c r="E389" s="137"/>
      <c r="F389" s="137"/>
      <c r="G389" s="137"/>
      <c r="H389" s="1"/>
      <c r="I389" s="1"/>
      <c r="J389" s="1"/>
      <c r="K389" s="1"/>
      <c r="L389" s="1"/>
      <c r="M389" s="1"/>
      <c r="N389" s="1"/>
      <c r="O389" s="1"/>
      <c r="P389" s="1"/>
    </row>
    <row r="390" spans="2:16" ht="16.600000000000001">
      <c r="B390" s="135" t="s">
        <v>547</v>
      </c>
      <c r="C390" s="135"/>
      <c r="D390" s="137"/>
      <c r="E390" s="137"/>
      <c r="F390" s="137"/>
      <c r="G390" s="137"/>
      <c r="H390" s="1"/>
      <c r="I390" s="1"/>
      <c r="J390" s="1"/>
      <c r="K390" s="1"/>
      <c r="L390" s="1"/>
      <c r="M390" s="1"/>
      <c r="N390" s="1"/>
      <c r="O390" s="1"/>
      <c r="P390" s="1"/>
    </row>
    <row r="391" spans="2:16" ht="16.600000000000001">
      <c r="B391" s="135" t="s">
        <v>548</v>
      </c>
      <c r="C391" s="135"/>
      <c r="D391" s="136"/>
      <c r="E391" s="136"/>
      <c r="F391" s="136"/>
      <c r="G391" s="137"/>
      <c r="H391" s="1"/>
      <c r="I391" s="1"/>
      <c r="J391" s="1"/>
      <c r="K391" s="1"/>
      <c r="L391" s="1"/>
      <c r="M391" s="1"/>
      <c r="N391" s="1"/>
      <c r="O391" s="1"/>
      <c r="P391" s="1"/>
    </row>
    <row r="392" spans="2:16" ht="16.600000000000001">
      <c r="B392" s="135" t="s">
        <v>549</v>
      </c>
      <c r="C392" s="135"/>
      <c r="D392" s="137"/>
      <c r="E392" s="137"/>
      <c r="F392" s="136"/>
      <c r="G392" s="136"/>
      <c r="H392" s="1"/>
      <c r="I392" s="1"/>
      <c r="J392" s="1"/>
      <c r="K392" s="1"/>
      <c r="L392" s="1"/>
      <c r="M392" s="1"/>
      <c r="N392" s="1"/>
      <c r="O392" s="1"/>
      <c r="P392" s="1"/>
    </row>
    <row r="393" spans="2:16" ht="16.600000000000001">
      <c r="B393" s="135" t="s">
        <v>550</v>
      </c>
      <c r="C393" s="135"/>
      <c r="D393" s="137"/>
      <c r="E393" s="136"/>
      <c r="F393" s="137"/>
      <c r="G393" s="136"/>
      <c r="H393" s="1"/>
      <c r="I393" s="1"/>
      <c r="J393" s="1"/>
      <c r="K393" s="1"/>
      <c r="L393" s="1"/>
      <c r="M393" s="1"/>
      <c r="N393" s="1"/>
      <c r="O393" s="1"/>
      <c r="P393" s="1"/>
    </row>
    <row r="394" spans="2:16" ht="16.600000000000001">
      <c r="B394" s="135" t="s">
        <v>551</v>
      </c>
      <c r="C394" s="135"/>
      <c r="D394" s="137"/>
      <c r="E394" s="137"/>
      <c r="F394" s="137"/>
      <c r="G394" s="137"/>
      <c r="H394" s="1"/>
      <c r="I394" s="1"/>
      <c r="J394" s="1"/>
      <c r="K394" s="1"/>
      <c r="L394" s="1"/>
      <c r="M394" s="1"/>
      <c r="N394" s="1"/>
      <c r="O394" s="1"/>
      <c r="P394" s="1"/>
    </row>
    <row r="395" spans="2:16" ht="16.600000000000001">
      <c r="B395" s="135" t="s">
        <v>552</v>
      </c>
      <c r="C395" s="135"/>
      <c r="D395" s="137"/>
      <c r="E395" s="137"/>
      <c r="F395" s="137"/>
      <c r="G395" s="136"/>
      <c r="H395" s="1"/>
      <c r="I395" s="1"/>
      <c r="J395" s="1"/>
      <c r="K395" s="1"/>
      <c r="L395" s="1"/>
      <c r="M395" s="1"/>
      <c r="N395" s="1"/>
      <c r="O395" s="1"/>
      <c r="P395" s="1"/>
    </row>
    <row r="396" spans="2:16" ht="16.600000000000001">
      <c r="B396" s="135" t="s">
        <v>553</v>
      </c>
      <c r="C396" s="135"/>
      <c r="D396" s="136"/>
      <c r="E396" s="136"/>
      <c r="F396" s="136"/>
      <c r="G396" s="137"/>
      <c r="H396" s="1"/>
      <c r="I396" s="1"/>
      <c r="J396" s="1"/>
      <c r="K396" s="1"/>
      <c r="L396" s="1"/>
      <c r="M396" s="1"/>
      <c r="N396" s="1"/>
      <c r="O396" s="1"/>
      <c r="P396" s="1"/>
    </row>
    <row r="397" spans="2:16" ht="16.600000000000001">
      <c r="B397" s="135" t="s">
        <v>554</v>
      </c>
      <c r="C397" s="135"/>
      <c r="D397" s="136"/>
      <c r="E397" s="136"/>
      <c r="F397" s="136"/>
      <c r="G397" s="137"/>
      <c r="H397" s="1"/>
      <c r="I397" s="1"/>
      <c r="J397" s="1"/>
      <c r="K397" s="1"/>
      <c r="L397" s="1"/>
      <c r="M397" s="1"/>
      <c r="N397" s="1"/>
      <c r="O397" s="1"/>
      <c r="P397" s="1"/>
    </row>
    <row r="398" spans="2:16" ht="16.600000000000001">
      <c r="B398" s="135" t="s">
        <v>555</v>
      </c>
      <c r="C398" s="135"/>
      <c r="D398" s="137"/>
      <c r="E398" s="136"/>
      <c r="F398" s="136"/>
      <c r="G398" s="136"/>
      <c r="H398" s="1"/>
      <c r="I398" s="1"/>
      <c r="J398" s="1"/>
      <c r="K398" s="1"/>
      <c r="L398" s="1"/>
      <c r="M398" s="1"/>
      <c r="N398" s="1"/>
      <c r="O398" s="1"/>
      <c r="P398" s="1"/>
    </row>
    <row r="399" spans="2:16" ht="16.600000000000001">
      <c r="B399" s="135" t="s">
        <v>556</v>
      </c>
      <c r="C399" s="135"/>
      <c r="D399" s="137"/>
      <c r="E399" s="137"/>
      <c r="F399" s="136"/>
      <c r="G399" s="136"/>
      <c r="H399" s="1"/>
      <c r="I399" s="1"/>
      <c r="J399" s="1"/>
      <c r="K399" s="1"/>
      <c r="L399" s="1"/>
      <c r="M399" s="1"/>
      <c r="N399" s="1"/>
      <c r="O399" s="1"/>
      <c r="P399" s="1"/>
    </row>
    <row r="400" spans="2:16" ht="16.600000000000001">
      <c r="B400" s="135" t="s">
        <v>557</v>
      </c>
      <c r="C400" s="135"/>
      <c r="D400" s="137"/>
      <c r="E400" s="137"/>
      <c r="F400" s="137"/>
      <c r="G400" s="136"/>
      <c r="H400" s="1"/>
      <c r="I400" s="1"/>
      <c r="J400" s="1"/>
      <c r="K400" s="1"/>
      <c r="L400" s="1"/>
      <c r="M400" s="1"/>
      <c r="N400" s="1"/>
      <c r="O400" s="1"/>
      <c r="P400" s="1"/>
    </row>
    <row r="401" spans="2:16" ht="16.600000000000001">
      <c r="B401" s="135" t="s">
        <v>558</v>
      </c>
      <c r="C401" s="135"/>
      <c r="D401" s="137"/>
      <c r="E401" s="137"/>
      <c r="F401" s="137"/>
      <c r="G401" s="137"/>
      <c r="H401" s="1"/>
      <c r="I401" s="1"/>
      <c r="J401" s="1"/>
      <c r="K401" s="1"/>
      <c r="L401" s="1"/>
      <c r="M401" s="1"/>
      <c r="N401" s="1"/>
      <c r="O401" s="1"/>
      <c r="P401" s="1"/>
    </row>
    <row r="402" spans="2:16" ht="16.600000000000001">
      <c r="B402" s="135" t="s">
        <v>559</v>
      </c>
      <c r="C402" s="135"/>
      <c r="D402" s="136"/>
      <c r="E402" s="136"/>
      <c r="F402" s="136"/>
      <c r="G402" s="136"/>
      <c r="H402" s="1"/>
      <c r="I402" s="1"/>
      <c r="J402" s="1"/>
      <c r="K402" s="1"/>
      <c r="L402" s="1"/>
      <c r="M402" s="1"/>
      <c r="N402" s="1"/>
      <c r="O402" s="1"/>
      <c r="P402" s="1"/>
    </row>
    <row r="403" spans="2:16" ht="16.600000000000001">
      <c r="B403" s="135" t="s">
        <v>560</v>
      </c>
      <c r="C403" s="135"/>
      <c r="D403" s="136"/>
      <c r="E403" s="136"/>
      <c r="F403" s="136"/>
      <c r="G403" s="136"/>
      <c r="H403" s="1"/>
      <c r="I403" s="1"/>
      <c r="J403" s="1"/>
      <c r="K403" s="1"/>
      <c r="L403" s="1"/>
      <c r="M403" s="1"/>
      <c r="N403" s="1"/>
      <c r="O403" s="1"/>
      <c r="P403" s="1"/>
    </row>
    <row r="404" spans="2:16" ht="16.600000000000001">
      <c r="B404" s="135" t="s">
        <v>561</v>
      </c>
      <c r="C404" s="135"/>
      <c r="D404" s="136"/>
      <c r="E404" s="136"/>
      <c r="F404" s="136"/>
      <c r="G404" s="136"/>
      <c r="H404" s="1"/>
      <c r="I404" s="1"/>
      <c r="J404" s="1"/>
      <c r="K404" s="1"/>
      <c r="L404" s="1"/>
      <c r="M404" s="1"/>
      <c r="N404" s="1"/>
      <c r="O404" s="1"/>
      <c r="P404" s="1"/>
    </row>
    <row r="405" spans="2:16" ht="16.600000000000001">
      <c r="B405" s="135" t="s">
        <v>562</v>
      </c>
      <c r="C405" s="135"/>
      <c r="D405" s="137"/>
      <c r="E405" s="137"/>
      <c r="F405" s="137"/>
      <c r="G405" s="137"/>
      <c r="H405" s="1"/>
      <c r="I405" s="1"/>
      <c r="J405" s="1"/>
      <c r="K405" s="1"/>
      <c r="L405" s="1"/>
      <c r="M405" s="1"/>
      <c r="N405" s="1"/>
      <c r="O405" s="1"/>
      <c r="P405" s="1"/>
    </row>
    <row r="406" spans="2:16" ht="16.600000000000001">
      <c r="B406" s="135" t="s">
        <v>563</v>
      </c>
      <c r="C406" s="135"/>
      <c r="D406" s="136"/>
      <c r="E406" s="136"/>
      <c r="F406" s="136"/>
      <c r="G406" s="136"/>
      <c r="H406" s="1"/>
      <c r="I406" s="1"/>
      <c r="J406" s="1"/>
      <c r="K406" s="1"/>
      <c r="L406" s="1"/>
      <c r="M406" s="1"/>
      <c r="N406" s="1"/>
      <c r="O406" s="1"/>
      <c r="P406" s="1"/>
    </row>
    <row r="407" spans="2:16" ht="16.600000000000001">
      <c r="B407" s="135" t="s">
        <v>564</v>
      </c>
      <c r="C407" s="135"/>
      <c r="D407" s="136"/>
      <c r="E407" s="137"/>
      <c r="F407" s="136"/>
      <c r="G407" s="137"/>
      <c r="H407" s="1"/>
      <c r="I407" s="1"/>
      <c r="J407" s="1"/>
      <c r="K407" s="1"/>
      <c r="L407" s="1"/>
      <c r="M407" s="1"/>
      <c r="N407" s="1"/>
      <c r="O407" s="1"/>
      <c r="P407" s="1"/>
    </row>
    <row r="408" spans="2:16" ht="16.600000000000001">
      <c r="B408" s="135" t="s">
        <v>565</v>
      </c>
      <c r="C408" s="135"/>
      <c r="D408" s="136"/>
      <c r="E408" s="136"/>
      <c r="F408" s="136"/>
      <c r="G408" s="137"/>
      <c r="H408" s="1"/>
      <c r="I408" s="1"/>
      <c r="J408" s="1"/>
      <c r="K408" s="1"/>
      <c r="L408" s="1"/>
      <c r="M408" s="1"/>
      <c r="N408" s="1"/>
      <c r="O408" s="1"/>
      <c r="P408" s="1"/>
    </row>
    <row r="409" spans="2:16" ht="16.600000000000001">
      <c r="B409" s="135" t="s">
        <v>566</v>
      </c>
      <c r="C409" s="135"/>
      <c r="D409" s="137"/>
      <c r="E409" s="137"/>
      <c r="F409" s="137"/>
      <c r="G409" s="137"/>
      <c r="H409" s="1"/>
      <c r="I409" s="1"/>
      <c r="J409" s="1"/>
      <c r="K409" s="1"/>
      <c r="L409" s="1"/>
      <c r="M409" s="1"/>
      <c r="N409" s="1"/>
      <c r="O409" s="1"/>
      <c r="P409" s="1"/>
    </row>
    <row r="410" spans="2:16" ht="16.600000000000001">
      <c r="B410" s="135" t="s">
        <v>567</v>
      </c>
      <c r="C410" s="135"/>
      <c r="D410" s="136"/>
      <c r="E410" s="136"/>
      <c r="F410" s="136"/>
      <c r="G410" s="137"/>
      <c r="H410" s="1"/>
      <c r="I410" s="1"/>
      <c r="J410" s="1"/>
      <c r="K410" s="1"/>
      <c r="L410" s="1"/>
      <c r="M410" s="1"/>
      <c r="N410" s="1"/>
      <c r="O410" s="1"/>
      <c r="P410" s="1"/>
    </row>
    <row r="411" spans="2:16" ht="16.600000000000001">
      <c r="B411" s="135" t="s">
        <v>568</v>
      </c>
      <c r="C411" s="135"/>
      <c r="D411" s="137"/>
      <c r="E411" s="137"/>
      <c r="F411" s="137"/>
      <c r="G411" s="137"/>
      <c r="H411" s="1"/>
      <c r="I411" s="1"/>
      <c r="J411" s="1"/>
      <c r="K411" s="1"/>
      <c r="L411" s="1"/>
      <c r="M411" s="1"/>
      <c r="N411" s="1"/>
      <c r="O411" s="1"/>
      <c r="P411" s="1"/>
    </row>
    <row r="412" spans="2:16" ht="16.600000000000001">
      <c r="B412" s="135" t="s">
        <v>569</v>
      </c>
      <c r="C412" s="135"/>
      <c r="D412" s="137"/>
      <c r="E412" s="137"/>
      <c r="F412" s="137"/>
      <c r="G412" s="137"/>
      <c r="H412" s="1"/>
      <c r="I412" s="1"/>
      <c r="J412" s="1"/>
      <c r="K412" s="1"/>
      <c r="L412" s="1"/>
      <c r="M412" s="1"/>
      <c r="N412" s="1"/>
      <c r="O412" s="1"/>
      <c r="P412" s="1"/>
    </row>
    <row r="413" spans="2:16" ht="16.600000000000001">
      <c r="B413" s="135" t="s">
        <v>570</v>
      </c>
      <c r="C413" s="135"/>
      <c r="D413" s="137"/>
      <c r="E413" s="137"/>
      <c r="F413" s="137"/>
      <c r="G413" s="137"/>
      <c r="H413" s="1"/>
      <c r="I413" s="1"/>
      <c r="J413" s="1"/>
      <c r="K413" s="1"/>
      <c r="L413" s="1"/>
      <c r="M413" s="1"/>
      <c r="N413" s="1"/>
      <c r="O413" s="1"/>
      <c r="P413" s="1"/>
    </row>
    <row r="414" spans="2:16" ht="17.3" thickBot="1">
      <c r="B414" s="135" t="s">
        <v>571</v>
      </c>
      <c r="C414" s="135"/>
      <c r="D414" s="137"/>
      <c r="E414" s="137"/>
      <c r="F414" s="137"/>
      <c r="G414" s="140"/>
      <c r="H414" s="1"/>
      <c r="I414" s="1"/>
      <c r="J414" s="1"/>
      <c r="K414" s="1"/>
      <c r="L414" s="1"/>
      <c r="M414" s="1"/>
      <c r="N414" s="1"/>
      <c r="O414" s="1"/>
      <c r="P414" s="1"/>
    </row>
    <row r="415" spans="2:16" ht="16.600000000000001">
      <c r="B415" s="135" t="s">
        <v>572</v>
      </c>
      <c r="C415" s="135"/>
      <c r="D415" s="137"/>
      <c r="E415" s="137"/>
      <c r="F415" s="137"/>
      <c r="K415" s="1"/>
      <c r="L415" s="1"/>
      <c r="M415" s="1"/>
      <c r="N415" s="1"/>
      <c r="O415" s="1"/>
      <c r="P415" s="1"/>
    </row>
    <row r="416" spans="2:16" ht="16.600000000000001">
      <c r="B416" s="135" t="s">
        <v>573</v>
      </c>
      <c r="C416" s="135"/>
      <c r="D416" s="137"/>
      <c r="E416" s="137"/>
      <c r="F416" s="137"/>
      <c r="K416" s="1"/>
      <c r="L416" s="1"/>
      <c r="M416" s="1"/>
      <c r="N416" s="1"/>
      <c r="O416" s="1"/>
      <c r="P416" s="1"/>
    </row>
    <row r="417" spans="2:16" ht="16.600000000000001">
      <c r="B417" s="135" t="s">
        <v>574</v>
      </c>
      <c r="C417" s="135"/>
      <c r="D417" s="137"/>
      <c r="E417" s="137"/>
      <c r="F417" s="137"/>
      <c r="K417" s="1"/>
      <c r="L417" s="1"/>
      <c r="M417" s="1"/>
      <c r="N417" s="1"/>
      <c r="O417" s="1"/>
      <c r="P417" s="1"/>
    </row>
    <row r="418" spans="2:16" ht="17.3" thickBot="1">
      <c r="B418" s="138" t="s">
        <v>575</v>
      </c>
      <c r="C418" s="138"/>
      <c r="D418" s="139"/>
      <c r="E418" s="139"/>
      <c r="F418" s="140"/>
      <c r="K418" s="1"/>
      <c r="L418" s="1"/>
      <c r="M418" s="1"/>
      <c r="N418" s="1"/>
      <c r="O418" s="1"/>
      <c r="P418" s="1"/>
    </row>
  </sheetData>
  <autoFilter ref="A82:L418"/>
  <mergeCells count="1">
    <mergeCell ref="J144:J147"/>
  </mergeCells>
  <phoneticPr fontId="2" type="noConversion"/>
  <conditionalFormatting sqref="D6:T7">
    <cfRule type="cellIs" dxfId="1" priority="1" operator="equal">
      <formula>TRUE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4" r:id="rId3" name="Drop Down 4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448056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tabColor theme="6"/>
  </sheetPr>
  <dimension ref="A1:AJ416"/>
  <sheetViews>
    <sheetView topLeftCell="A61" workbookViewId="0">
      <selection activeCell="E19" sqref="E19"/>
    </sheetView>
  </sheetViews>
  <sheetFormatPr defaultColWidth="9.140625" defaultRowHeight="14.4" outlineLevelCol="1"/>
  <cols>
    <col min="1" max="1" width="12" style="1" customWidth="1"/>
    <col min="2" max="2" width="53.5703125" style="1" hidden="1" customWidth="1" outlineLevel="1"/>
    <col min="3" max="3" width="77.140625" style="1" customWidth="1" collapsed="1"/>
    <col min="4" max="4" width="16.5703125" style="1" customWidth="1"/>
    <col min="5" max="5" width="13.28515625" style="125" customWidth="1"/>
    <col min="6" max="6" width="14.7109375" style="125" customWidth="1"/>
    <col min="7" max="7" width="13.28515625" style="125" customWidth="1"/>
    <col min="8" max="8" width="11.140625" style="1" customWidth="1"/>
    <col min="9" max="20" width="10.42578125" style="1" customWidth="1"/>
    <col min="21" max="16384" width="9.140625" style="1"/>
  </cols>
  <sheetData>
    <row r="1" spans="1:36" s="209" customFormat="1" ht="14.6" customHeight="1">
      <c r="C1" s="209" t="s">
        <v>870</v>
      </c>
      <c r="D1" s="209">
        <f>'Control Panel'!B12</f>
        <v>2019</v>
      </c>
      <c r="F1" s="209" t="s">
        <v>689</v>
      </c>
      <c r="G1" s="304">
        <f>'Control Panel'!B11</f>
        <v>43466</v>
      </c>
      <c r="I1" s="209" t="s">
        <v>691</v>
      </c>
      <c r="J1" s="304">
        <f>'Control Panel'!B9</f>
        <v>43465</v>
      </c>
      <c r="L1" s="209" t="s">
        <v>705</v>
      </c>
      <c r="M1" s="209">
        <f>'Control Panel'!B13-'Control Panel'!B12+1</f>
        <v>6</v>
      </c>
    </row>
    <row r="2" spans="1:36" s="209" customFormat="1" ht="14.6" customHeight="1">
      <c r="C2" s="209" t="s">
        <v>871</v>
      </c>
      <c r="D2" s="209">
        <f>'Financial summary'!E5</f>
        <v>1</v>
      </c>
      <c r="E2" s="209">
        <f>INDEX(D18:D21,D2)</f>
        <v>0</v>
      </c>
      <c r="I2" s="209" t="s">
        <v>693</v>
      </c>
      <c r="J2" s="209">
        <f>'Control Panel'!B5</f>
        <v>5</v>
      </c>
    </row>
    <row r="3" spans="1:36">
      <c r="B3" s="28"/>
      <c r="E3" s="1"/>
      <c r="F3" s="1"/>
      <c r="G3" s="1"/>
    </row>
    <row r="4" spans="1:36">
      <c r="B4" s="28"/>
      <c r="C4" s="180" t="s">
        <v>692</v>
      </c>
      <c r="D4" s="180">
        <v>1</v>
      </c>
      <c r="E4" s="180">
        <f>D4+1</f>
        <v>2</v>
      </c>
      <c r="F4" s="180">
        <f t="shared" ref="F4:T4" si="0">E4+1</f>
        <v>3</v>
      </c>
      <c r="G4" s="180">
        <f t="shared" si="0"/>
        <v>4</v>
      </c>
      <c r="H4" s="180">
        <f t="shared" si="0"/>
        <v>5</v>
      </c>
      <c r="I4" s="180">
        <f t="shared" si="0"/>
        <v>6</v>
      </c>
      <c r="J4" s="180">
        <f t="shared" si="0"/>
        <v>7</v>
      </c>
      <c r="K4" s="180">
        <f t="shared" si="0"/>
        <v>8</v>
      </c>
      <c r="L4" s="180">
        <f t="shared" si="0"/>
        <v>9</v>
      </c>
      <c r="M4" s="180">
        <f t="shared" si="0"/>
        <v>10</v>
      </c>
      <c r="N4" s="180">
        <f t="shared" si="0"/>
        <v>11</v>
      </c>
      <c r="O4" s="180">
        <f t="shared" si="0"/>
        <v>12</v>
      </c>
      <c r="P4" s="180">
        <f t="shared" si="0"/>
        <v>13</v>
      </c>
      <c r="Q4" s="180">
        <f t="shared" si="0"/>
        <v>14</v>
      </c>
      <c r="R4" s="180">
        <f t="shared" si="0"/>
        <v>15</v>
      </c>
      <c r="S4" s="180">
        <f t="shared" si="0"/>
        <v>16</v>
      </c>
      <c r="T4" s="180">
        <f t="shared" si="0"/>
        <v>17</v>
      </c>
    </row>
    <row r="5" spans="1:36" s="34" customFormat="1" ht="14.6" customHeight="1">
      <c r="B5" s="28"/>
      <c r="C5" s="307" t="s">
        <v>719</v>
      </c>
      <c r="D5" s="307">
        <f>DATE('Control Panel'!B4,'Control Panel'!B6,'Control Panel'!B7)</f>
        <v>42004</v>
      </c>
      <c r="E5" s="307">
        <f>E6*EOMONTH(D5,12)+E7*$J$1</f>
        <v>42369</v>
      </c>
      <c r="F5" s="307">
        <f t="shared" ref="F5:Q5" si="1">F6*EOMONTH(E5,12)+F7*$J$1</f>
        <v>42735</v>
      </c>
      <c r="G5" s="307">
        <f t="shared" si="1"/>
        <v>43100</v>
      </c>
      <c r="H5" s="307">
        <f t="shared" si="1"/>
        <v>43465</v>
      </c>
      <c r="I5" s="307">
        <f t="shared" si="1"/>
        <v>0</v>
      </c>
      <c r="J5" s="307">
        <f t="shared" si="1"/>
        <v>0</v>
      </c>
      <c r="K5" s="307">
        <f t="shared" si="1"/>
        <v>0</v>
      </c>
      <c r="L5" s="307">
        <f t="shared" si="1"/>
        <v>0</v>
      </c>
      <c r="M5" s="307">
        <f t="shared" si="1"/>
        <v>0</v>
      </c>
      <c r="N5" s="307">
        <f t="shared" si="1"/>
        <v>0</v>
      </c>
      <c r="O5" s="307">
        <f t="shared" si="1"/>
        <v>0</v>
      </c>
      <c r="P5" s="307">
        <f t="shared" si="1"/>
        <v>0</v>
      </c>
      <c r="Q5" s="307">
        <f t="shared" si="1"/>
        <v>0</v>
      </c>
      <c r="R5" s="307">
        <f t="shared" ref="R5" si="2">R6*EOMONTH(Q5,12)+R7*$J$1</f>
        <v>0</v>
      </c>
      <c r="S5" s="307">
        <f t="shared" ref="S5" si="3">S6*EOMONTH(R5,12)+S7*$J$1</f>
        <v>0</v>
      </c>
      <c r="T5" s="307">
        <f t="shared" ref="T5" si="4">T6*EOMONTH(S5,12)+T7*$J$1</f>
        <v>0</v>
      </c>
      <c r="U5" s="307"/>
      <c r="V5" s="307"/>
      <c r="W5" s="307"/>
      <c r="X5" s="307"/>
      <c r="Y5" s="307"/>
      <c r="Z5" s="307"/>
      <c r="AA5" s="307"/>
      <c r="AB5" s="307"/>
      <c r="AC5" s="307"/>
      <c r="AD5" s="307"/>
      <c r="AE5" s="307"/>
      <c r="AF5" s="307"/>
      <c r="AG5" s="307"/>
      <c r="AH5" s="307"/>
      <c r="AI5" s="307"/>
      <c r="AJ5" s="307"/>
    </row>
    <row r="6" spans="1:36">
      <c r="B6" s="28"/>
      <c r="C6" s="28" t="s">
        <v>686</v>
      </c>
      <c r="D6" s="28" t="b">
        <f>D4&lt;=$J$2</f>
        <v>1</v>
      </c>
      <c r="E6" s="28" t="b">
        <f t="shared" ref="E6" si="5">E4&lt;=$J$2</f>
        <v>1</v>
      </c>
      <c r="F6" s="28" t="b">
        <f t="shared" ref="F6:Q6" si="6">F4&lt;=$J$2</f>
        <v>1</v>
      </c>
      <c r="G6" s="28" t="b">
        <f t="shared" si="6"/>
        <v>1</v>
      </c>
      <c r="H6" s="28" t="b">
        <f t="shared" si="6"/>
        <v>1</v>
      </c>
      <c r="I6" s="28" t="b">
        <f t="shared" si="6"/>
        <v>0</v>
      </c>
      <c r="J6" s="28" t="b">
        <f t="shared" si="6"/>
        <v>0</v>
      </c>
      <c r="K6" s="28" t="b">
        <f t="shared" si="6"/>
        <v>0</v>
      </c>
      <c r="L6" s="28" t="b">
        <f t="shared" si="6"/>
        <v>0</v>
      </c>
      <c r="M6" s="28" t="b">
        <f t="shared" si="6"/>
        <v>0</v>
      </c>
      <c r="N6" s="28" t="b">
        <f t="shared" si="6"/>
        <v>0</v>
      </c>
      <c r="O6" s="28" t="b">
        <f t="shared" si="6"/>
        <v>0</v>
      </c>
      <c r="P6" s="28" t="b">
        <f t="shared" si="6"/>
        <v>0</v>
      </c>
      <c r="Q6" s="28" t="b">
        <f t="shared" si="6"/>
        <v>0</v>
      </c>
      <c r="R6" s="28" t="b">
        <f t="shared" ref="R6:T6" si="7">R4&lt;=$J$2</f>
        <v>0</v>
      </c>
      <c r="S6" s="28" t="b">
        <f t="shared" si="7"/>
        <v>0</v>
      </c>
      <c r="T6" s="28" t="b">
        <f t="shared" si="7"/>
        <v>0</v>
      </c>
    </row>
    <row r="7" spans="1:36">
      <c r="B7" s="28"/>
      <c r="C7" s="28" t="s">
        <v>687</v>
      </c>
      <c r="D7" s="28" t="b">
        <f t="shared" ref="D7:Q7" si="8">(D4=$J$2+1)*stub_switch=1</f>
        <v>0</v>
      </c>
      <c r="E7" s="28" t="b">
        <f t="shared" si="8"/>
        <v>0</v>
      </c>
      <c r="F7" s="28" t="b">
        <f t="shared" si="8"/>
        <v>0</v>
      </c>
      <c r="G7" s="28" t="b">
        <f t="shared" si="8"/>
        <v>0</v>
      </c>
      <c r="H7" s="28" t="b">
        <f t="shared" si="8"/>
        <v>0</v>
      </c>
      <c r="I7" s="28" t="b">
        <f t="shared" si="8"/>
        <v>0</v>
      </c>
      <c r="J7" s="28" t="b">
        <f t="shared" si="8"/>
        <v>0</v>
      </c>
      <c r="K7" s="28" t="b">
        <f t="shared" si="8"/>
        <v>0</v>
      </c>
      <c r="L7" s="28" t="b">
        <f t="shared" si="8"/>
        <v>0</v>
      </c>
      <c r="M7" s="28" t="b">
        <f t="shared" si="8"/>
        <v>0</v>
      </c>
      <c r="N7" s="28" t="b">
        <f t="shared" si="8"/>
        <v>0</v>
      </c>
      <c r="O7" s="28" t="b">
        <f t="shared" si="8"/>
        <v>0</v>
      </c>
      <c r="P7" s="28" t="b">
        <f t="shared" si="8"/>
        <v>0</v>
      </c>
      <c r="Q7" s="28" t="b">
        <f t="shared" si="8"/>
        <v>0</v>
      </c>
      <c r="R7" s="28" t="b">
        <f t="shared" ref="R7:T7" si="9">(R4=$J$2+1)*stub_switch=1</f>
        <v>0</v>
      </c>
      <c r="S7" s="28" t="b">
        <f t="shared" si="9"/>
        <v>0</v>
      </c>
      <c r="T7" s="28" t="b">
        <f t="shared" si="9"/>
        <v>0</v>
      </c>
    </row>
    <row r="8" spans="1:36">
      <c r="A8" s="113"/>
      <c r="B8" s="113"/>
      <c r="C8" s="114"/>
      <c r="D8" s="113"/>
      <c r="E8" s="113"/>
      <c r="F8" s="113"/>
      <c r="G8" s="113"/>
    </row>
    <row r="9" spans="1:36">
      <c r="A9" s="113" t="s">
        <v>193</v>
      </c>
      <c r="B9" s="113"/>
      <c r="C9" s="113" t="s">
        <v>194</v>
      </c>
      <c r="D9" s="115">
        <f>D11</f>
        <v>42004</v>
      </c>
      <c r="E9" s="115">
        <f>E11</f>
        <v>42369</v>
      </c>
      <c r="F9" s="115">
        <f>F11</f>
        <v>42735</v>
      </c>
      <c r="G9" s="115">
        <f>G11</f>
        <v>43100</v>
      </c>
      <c r="H9" s="115">
        <f t="shared" ref="H9:T9" si="10">H11</f>
        <v>43465</v>
      </c>
      <c r="I9" s="115">
        <f t="shared" si="10"/>
        <v>0</v>
      </c>
      <c r="J9" s="115">
        <f t="shared" si="10"/>
        <v>0</v>
      </c>
      <c r="K9" s="115">
        <f t="shared" si="10"/>
        <v>0</v>
      </c>
      <c r="L9" s="115">
        <f t="shared" si="10"/>
        <v>0</v>
      </c>
      <c r="M9" s="115">
        <f t="shared" si="10"/>
        <v>0</v>
      </c>
      <c r="N9" s="115">
        <f t="shared" si="10"/>
        <v>0</v>
      </c>
      <c r="O9" s="115">
        <f t="shared" si="10"/>
        <v>0</v>
      </c>
      <c r="P9" s="115">
        <f t="shared" si="10"/>
        <v>0</v>
      </c>
      <c r="Q9" s="115">
        <f t="shared" si="10"/>
        <v>0</v>
      </c>
      <c r="R9" s="115">
        <f t="shared" si="10"/>
        <v>0</v>
      </c>
      <c r="S9" s="115">
        <f t="shared" si="10"/>
        <v>0</v>
      </c>
      <c r="T9" s="115">
        <f t="shared" si="10"/>
        <v>0</v>
      </c>
    </row>
    <row r="10" spans="1:36">
      <c r="A10" s="113" t="s">
        <v>195</v>
      </c>
      <c r="B10" s="113"/>
      <c r="C10" s="113" t="s">
        <v>196</v>
      </c>
      <c r="D10" s="113">
        <v>365</v>
      </c>
      <c r="E10" s="116">
        <f>E11-D11</f>
        <v>365</v>
      </c>
      <c r="F10" s="116">
        <f>F11-E11</f>
        <v>366</v>
      </c>
      <c r="G10" s="116">
        <f>G11-F11</f>
        <v>365</v>
      </c>
      <c r="H10" s="116">
        <f t="shared" ref="H10:T10" si="11">H11-G11</f>
        <v>365</v>
      </c>
      <c r="I10" s="116">
        <f t="shared" si="11"/>
        <v>-43465</v>
      </c>
      <c r="J10" s="116">
        <f t="shared" si="11"/>
        <v>0</v>
      </c>
      <c r="K10" s="116">
        <f t="shared" si="11"/>
        <v>0</v>
      </c>
      <c r="L10" s="116">
        <f t="shared" si="11"/>
        <v>0</v>
      </c>
      <c r="M10" s="116">
        <f t="shared" si="11"/>
        <v>0</v>
      </c>
      <c r="N10" s="116">
        <f t="shared" si="11"/>
        <v>0</v>
      </c>
      <c r="O10" s="116">
        <f t="shared" si="11"/>
        <v>0</v>
      </c>
      <c r="P10" s="116">
        <f t="shared" si="11"/>
        <v>0</v>
      </c>
      <c r="Q10" s="116">
        <f t="shared" si="11"/>
        <v>0</v>
      </c>
      <c r="R10" s="116">
        <f t="shared" si="11"/>
        <v>0</v>
      </c>
      <c r="S10" s="116">
        <f t="shared" si="11"/>
        <v>0</v>
      </c>
      <c r="T10" s="116">
        <f t="shared" si="11"/>
        <v>0</v>
      </c>
    </row>
    <row r="11" spans="1:36">
      <c r="A11" s="113" t="s">
        <v>197</v>
      </c>
      <c r="B11" s="113"/>
      <c r="C11" s="113" t="s">
        <v>198</v>
      </c>
      <c r="D11" s="117">
        <f>D5</f>
        <v>42004</v>
      </c>
      <c r="E11" s="117">
        <f t="shared" ref="E11:T11" si="12">E5</f>
        <v>42369</v>
      </c>
      <c r="F11" s="117">
        <f t="shared" si="12"/>
        <v>42735</v>
      </c>
      <c r="G11" s="117">
        <f t="shared" si="12"/>
        <v>43100</v>
      </c>
      <c r="H11" s="117">
        <f t="shared" si="12"/>
        <v>43465</v>
      </c>
      <c r="I11" s="117">
        <f t="shared" si="12"/>
        <v>0</v>
      </c>
      <c r="J11" s="117">
        <f t="shared" si="12"/>
        <v>0</v>
      </c>
      <c r="K11" s="117">
        <f t="shared" si="12"/>
        <v>0</v>
      </c>
      <c r="L11" s="117">
        <f t="shared" si="12"/>
        <v>0</v>
      </c>
      <c r="M11" s="117">
        <f t="shared" si="12"/>
        <v>0</v>
      </c>
      <c r="N11" s="117">
        <f t="shared" si="12"/>
        <v>0</v>
      </c>
      <c r="O11" s="117">
        <f t="shared" si="12"/>
        <v>0</v>
      </c>
      <c r="P11" s="117">
        <f t="shared" si="12"/>
        <v>0</v>
      </c>
      <c r="Q11" s="117">
        <f t="shared" si="12"/>
        <v>0</v>
      </c>
      <c r="R11" s="117">
        <f t="shared" si="12"/>
        <v>0</v>
      </c>
      <c r="S11" s="117">
        <f t="shared" si="12"/>
        <v>0</v>
      </c>
      <c r="T11" s="117">
        <f t="shared" si="12"/>
        <v>0</v>
      </c>
    </row>
    <row r="12" spans="1:36">
      <c r="A12" s="113" t="s">
        <v>199</v>
      </c>
      <c r="B12" s="113"/>
      <c r="C12" s="113" t="s">
        <v>977</v>
      </c>
      <c r="D12" s="118" t="s">
        <v>978</v>
      </c>
      <c r="E12" s="118" t="s">
        <v>978</v>
      </c>
      <c r="F12" s="118" t="s">
        <v>978</v>
      </c>
      <c r="G12" s="118" t="s">
        <v>978</v>
      </c>
      <c r="H12" s="118" t="s">
        <v>978</v>
      </c>
      <c r="I12" s="118" t="s">
        <v>978</v>
      </c>
      <c r="J12" s="118" t="s">
        <v>978</v>
      </c>
      <c r="K12" s="118" t="s">
        <v>978</v>
      </c>
      <c r="L12" s="118" t="s">
        <v>978</v>
      </c>
      <c r="M12" s="118" t="s">
        <v>978</v>
      </c>
      <c r="N12" s="118" t="s">
        <v>978</v>
      </c>
      <c r="O12" s="118" t="s">
        <v>978</v>
      </c>
      <c r="P12" s="118" t="s">
        <v>978</v>
      </c>
      <c r="Q12" s="118" t="s">
        <v>978</v>
      </c>
      <c r="R12" s="118" t="s">
        <v>978</v>
      </c>
      <c r="S12" s="118" t="s">
        <v>978</v>
      </c>
      <c r="T12" s="118" t="s">
        <v>978</v>
      </c>
    </row>
    <row r="13" spans="1:36" ht="15.15" thickBot="1">
      <c r="A13" s="119" t="s">
        <v>200</v>
      </c>
      <c r="B13" s="119"/>
      <c r="C13" s="119" t="s">
        <v>979</v>
      </c>
      <c r="D13" s="120">
        <f>D9</f>
        <v>42004</v>
      </c>
      <c r="E13" s="120">
        <f>E9</f>
        <v>42369</v>
      </c>
      <c r="F13" s="120">
        <f>F9</f>
        <v>42735</v>
      </c>
      <c r="G13" s="120">
        <f>G9</f>
        <v>43100</v>
      </c>
      <c r="H13" s="120">
        <f t="shared" ref="H13:T13" si="13">H9</f>
        <v>43465</v>
      </c>
      <c r="I13" s="120">
        <f t="shared" si="13"/>
        <v>0</v>
      </c>
      <c r="J13" s="120">
        <f t="shared" si="13"/>
        <v>0</v>
      </c>
      <c r="K13" s="120">
        <f t="shared" si="13"/>
        <v>0</v>
      </c>
      <c r="L13" s="120">
        <f t="shared" si="13"/>
        <v>0</v>
      </c>
      <c r="M13" s="120">
        <f t="shared" si="13"/>
        <v>0</v>
      </c>
      <c r="N13" s="120">
        <f t="shared" si="13"/>
        <v>0</v>
      </c>
      <c r="O13" s="120">
        <f t="shared" si="13"/>
        <v>0</v>
      </c>
      <c r="P13" s="120">
        <f t="shared" si="13"/>
        <v>0</v>
      </c>
      <c r="Q13" s="120">
        <f t="shared" si="13"/>
        <v>0</v>
      </c>
      <c r="R13" s="120">
        <f t="shared" si="13"/>
        <v>0</v>
      </c>
      <c r="S13" s="120">
        <f t="shared" si="13"/>
        <v>0</v>
      </c>
      <c r="T13" s="120">
        <f t="shared" si="13"/>
        <v>0</v>
      </c>
    </row>
    <row r="14" spans="1:36">
      <c r="A14" s="111" t="s">
        <v>169</v>
      </c>
      <c r="B14" s="111"/>
      <c r="C14" s="111" t="s">
        <v>170</v>
      </c>
      <c r="D14" s="111">
        <f t="shared" ref="D14:T14" si="14">IFERROR(SUMIF($A$88:$A$416,$A14,INDEX($D$88:$EE$416,0,MATCH(D$11,$D$84:$EF$84,0))),0)*Input_unit</f>
        <v>0</v>
      </c>
      <c r="E14" s="111">
        <f t="shared" si="14"/>
        <v>0</v>
      </c>
      <c r="F14" s="111">
        <f t="shared" si="14"/>
        <v>0</v>
      </c>
      <c r="G14" s="111">
        <f t="shared" si="14"/>
        <v>0</v>
      </c>
      <c r="H14" s="111">
        <f t="shared" si="14"/>
        <v>0</v>
      </c>
      <c r="I14" s="111">
        <f t="shared" si="14"/>
        <v>0</v>
      </c>
      <c r="J14" s="111">
        <f t="shared" si="14"/>
        <v>0</v>
      </c>
      <c r="K14" s="111">
        <f t="shared" si="14"/>
        <v>0</v>
      </c>
      <c r="L14" s="111">
        <f t="shared" si="14"/>
        <v>0</v>
      </c>
      <c r="M14" s="111">
        <f t="shared" si="14"/>
        <v>0</v>
      </c>
      <c r="N14" s="111">
        <f t="shared" si="14"/>
        <v>0</v>
      </c>
      <c r="O14" s="111">
        <f t="shared" si="14"/>
        <v>0</v>
      </c>
      <c r="P14" s="111">
        <f t="shared" si="14"/>
        <v>0</v>
      </c>
      <c r="Q14" s="111">
        <f t="shared" si="14"/>
        <v>0</v>
      </c>
      <c r="R14" s="111">
        <f t="shared" si="14"/>
        <v>0</v>
      </c>
      <c r="S14" s="111">
        <f t="shared" si="14"/>
        <v>0</v>
      </c>
      <c r="T14" s="111">
        <f t="shared" si="14"/>
        <v>0</v>
      </c>
    </row>
    <row r="15" spans="1:36">
      <c r="A15" s="56" t="s">
        <v>180</v>
      </c>
      <c r="B15" s="56"/>
      <c r="C15" s="56" t="s">
        <v>968</v>
      </c>
      <c r="D15" s="56">
        <f t="shared" ref="D15:T15" si="15">-IFERROR(SUMIF($A$88:$A$416,$A15,INDEX($D$88:$EE$416,0,MATCH(D$11,$D$84:$EF$84,0))),0)*Input_unit</f>
        <v>0</v>
      </c>
      <c r="E15" s="56">
        <f t="shared" si="15"/>
        <v>0</v>
      </c>
      <c r="F15" s="56">
        <f t="shared" si="15"/>
        <v>0</v>
      </c>
      <c r="G15" s="56">
        <f t="shared" si="15"/>
        <v>0</v>
      </c>
      <c r="H15" s="56">
        <f t="shared" si="15"/>
        <v>0</v>
      </c>
      <c r="I15" s="56">
        <f t="shared" si="15"/>
        <v>0</v>
      </c>
      <c r="J15" s="56">
        <f t="shared" si="15"/>
        <v>0</v>
      </c>
      <c r="K15" s="56">
        <f t="shared" si="15"/>
        <v>0</v>
      </c>
      <c r="L15" s="56">
        <f t="shared" si="15"/>
        <v>0</v>
      </c>
      <c r="M15" s="56">
        <f t="shared" si="15"/>
        <v>0</v>
      </c>
      <c r="N15" s="56">
        <f t="shared" si="15"/>
        <v>0</v>
      </c>
      <c r="O15" s="56">
        <f t="shared" si="15"/>
        <v>0</v>
      </c>
      <c r="P15" s="56">
        <f t="shared" si="15"/>
        <v>0</v>
      </c>
      <c r="Q15" s="56">
        <f t="shared" si="15"/>
        <v>0</v>
      </c>
      <c r="R15" s="56">
        <f t="shared" si="15"/>
        <v>0</v>
      </c>
      <c r="S15" s="56">
        <f t="shared" si="15"/>
        <v>0</v>
      </c>
      <c r="T15" s="56">
        <f t="shared" si="15"/>
        <v>0</v>
      </c>
    </row>
    <row r="16" spans="1:36">
      <c r="A16" s="98"/>
      <c r="B16" s="98"/>
      <c r="C16" s="98" t="s">
        <v>969</v>
      </c>
      <c r="D16" s="98">
        <f>SUM(D14:D15)</f>
        <v>0</v>
      </c>
      <c r="E16" s="98">
        <f t="shared" ref="E16:T16" si="16">SUM(E14:E15)</f>
        <v>0</v>
      </c>
      <c r="F16" s="98">
        <f t="shared" si="16"/>
        <v>0</v>
      </c>
      <c r="G16" s="98">
        <f t="shared" si="16"/>
        <v>0</v>
      </c>
      <c r="H16" s="98">
        <f t="shared" si="16"/>
        <v>0</v>
      </c>
      <c r="I16" s="98">
        <f t="shared" si="16"/>
        <v>0</v>
      </c>
      <c r="J16" s="98">
        <f t="shared" si="16"/>
        <v>0</v>
      </c>
      <c r="K16" s="98">
        <f t="shared" si="16"/>
        <v>0</v>
      </c>
      <c r="L16" s="98">
        <f t="shared" si="16"/>
        <v>0</v>
      </c>
      <c r="M16" s="98">
        <f t="shared" si="16"/>
        <v>0</v>
      </c>
      <c r="N16" s="98">
        <f t="shared" si="16"/>
        <v>0</v>
      </c>
      <c r="O16" s="98">
        <f t="shared" si="16"/>
        <v>0</v>
      </c>
      <c r="P16" s="98">
        <f t="shared" si="16"/>
        <v>0</v>
      </c>
      <c r="Q16" s="98">
        <f t="shared" si="16"/>
        <v>0</v>
      </c>
      <c r="R16" s="98">
        <f t="shared" si="16"/>
        <v>0</v>
      </c>
      <c r="S16" s="98">
        <f t="shared" si="16"/>
        <v>0</v>
      </c>
      <c r="T16" s="98">
        <f t="shared" si="16"/>
        <v>0</v>
      </c>
    </row>
    <row r="17" spans="1:20">
      <c r="A17" s="56" t="s">
        <v>182</v>
      </c>
      <c r="B17" s="56"/>
      <c r="C17" s="56" t="s">
        <v>201</v>
      </c>
      <c r="D17" s="56">
        <f t="shared" ref="D17:M19" si="17">-IFERROR(SUMIF($A$88:$A$416,$A17,INDEX($D$88:$EE$416,0,MATCH(D$11,$D$84:$EF$84,0))),0)*Input_unit</f>
        <v>0</v>
      </c>
      <c r="E17" s="56">
        <f t="shared" si="17"/>
        <v>0</v>
      </c>
      <c r="F17" s="56">
        <f t="shared" si="17"/>
        <v>0</v>
      </c>
      <c r="G17" s="56">
        <f t="shared" si="17"/>
        <v>0</v>
      </c>
      <c r="H17" s="56">
        <f t="shared" si="17"/>
        <v>0</v>
      </c>
      <c r="I17" s="56">
        <f t="shared" si="17"/>
        <v>0</v>
      </c>
      <c r="J17" s="56">
        <f t="shared" si="17"/>
        <v>0</v>
      </c>
      <c r="K17" s="56">
        <f t="shared" si="17"/>
        <v>0</v>
      </c>
      <c r="L17" s="56">
        <f t="shared" si="17"/>
        <v>0</v>
      </c>
      <c r="M17" s="56">
        <f t="shared" si="17"/>
        <v>0</v>
      </c>
      <c r="N17" s="56">
        <f t="shared" ref="N17:T19" si="18">-IFERROR(SUMIF($A$88:$A$416,$A17,INDEX($D$88:$EE$416,0,MATCH(N$11,$D$84:$EF$84,0))),0)*Input_unit</f>
        <v>0</v>
      </c>
      <c r="O17" s="56">
        <f t="shared" si="18"/>
        <v>0</v>
      </c>
      <c r="P17" s="56">
        <f t="shared" si="18"/>
        <v>0</v>
      </c>
      <c r="Q17" s="56">
        <f t="shared" si="18"/>
        <v>0</v>
      </c>
      <c r="R17" s="56">
        <f t="shared" si="18"/>
        <v>0</v>
      </c>
      <c r="S17" s="56">
        <f t="shared" si="18"/>
        <v>0</v>
      </c>
      <c r="T17" s="56">
        <f t="shared" si="18"/>
        <v>0</v>
      </c>
    </row>
    <row r="18" spans="1:20">
      <c r="A18" s="56" t="s">
        <v>608</v>
      </c>
      <c r="B18" s="56"/>
      <c r="C18" s="56" t="s">
        <v>970</v>
      </c>
      <c r="D18" s="56">
        <f t="shared" si="17"/>
        <v>0</v>
      </c>
      <c r="E18" s="56">
        <f t="shared" si="17"/>
        <v>0</v>
      </c>
      <c r="F18" s="56">
        <f t="shared" si="17"/>
        <v>0</v>
      </c>
      <c r="G18" s="56">
        <f t="shared" si="17"/>
        <v>0</v>
      </c>
      <c r="H18" s="56">
        <f t="shared" si="17"/>
        <v>0</v>
      </c>
      <c r="I18" s="56">
        <f t="shared" si="17"/>
        <v>0</v>
      </c>
      <c r="J18" s="56">
        <f t="shared" si="17"/>
        <v>0</v>
      </c>
      <c r="K18" s="56">
        <f t="shared" si="17"/>
        <v>0</v>
      </c>
      <c r="L18" s="56">
        <f t="shared" si="17"/>
        <v>0</v>
      </c>
      <c r="M18" s="56">
        <f t="shared" si="17"/>
        <v>0</v>
      </c>
      <c r="N18" s="56">
        <f t="shared" si="18"/>
        <v>0</v>
      </c>
      <c r="O18" s="56">
        <f t="shared" si="18"/>
        <v>0</v>
      </c>
      <c r="P18" s="56">
        <f t="shared" si="18"/>
        <v>0</v>
      </c>
      <c r="Q18" s="56">
        <f t="shared" si="18"/>
        <v>0</v>
      </c>
      <c r="R18" s="56">
        <f t="shared" si="18"/>
        <v>0</v>
      </c>
      <c r="S18" s="56">
        <f t="shared" si="18"/>
        <v>0</v>
      </c>
      <c r="T18" s="56">
        <f t="shared" si="18"/>
        <v>0</v>
      </c>
    </row>
    <row r="19" spans="1:20">
      <c r="A19" s="56" t="s">
        <v>611</v>
      </c>
      <c r="B19" s="56"/>
      <c r="C19" s="56" t="s">
        <v>971</v>
      </c>
      <c r="D19" s="56">
        <f t="shared" si="17"/>
        <v>0</v>
      </c>
      <c r="E19" s="56">
        <f t="shared" si="17"/>
        <v>0</v>
      </c>
      <c r="F19" s="56">
        <f t="shared" si="17"/>
        <v>0</v>
      </c>
      <c r="G19" s="56">
        <f t="shared" si="17"/>
        <v>0</v>
      </c>
      <c r="H19" s="56">
        <f t="shared" si="17"/>
        <v>0</v>
      </c>
      <c r="I19" s="56">
        <f t="shared" si="17"/>
        <v>0</v>
      </c>
      <c r="J19" s="56">
        <f t="shared" si="17"/>
        <v>0</v>
      </c>
      <c r="K19" s="56">
        <f t="shared" si="17"/>
        <v>0</v>
      </c>
      <c r="L19" s="56">
        <f t="shared" si="17"/>
        <v>0</v>
      </c>
      <c r="M19" s="56">
        <f t="shared" si="17"/>
        <v>0</v>
      </c>
      <c r="N19" s="56">
        <f t="shared" si="18"/>
        <v>0</v>
      </c>
      <c r="O19" s="56">
        <f t="shared" si="18"/>
        <v>0</v>
      </c>
      <c r="P19" s="56">
        <f t="shared" si="18"/>
        <v>0</v>
      </c>
      <c r="Q19" s="56">
        <f t="shared" si="18"/>
        <v>0</v>
      </c>
      <c r="R19" s="56">
        <f t="shared" si="18"/>
        <v>0</v>
      </c>
      <c r="S19" s="56">
        <f t="shared" si="18"/>
        <v>0</v>
      </c>
      <c r="T19" s="56">
        <f t="shared" si="18"/>
        <v>0</v>
      </c>
    </row>
    <row r="20" spans="1:20">
      <c r="A20" s="56" t="s">
        <v>171</v>
      </c>
      <c r="B20" s="56"/>
      <c r="C20" s="56" t="s">
        <v>972</v>
      </c>
      <c r="D20" s="56">
        <f t="shared" ref="D20:T20" si="19">IFERROR(SUMIF($A$88:$A$416,$A20,INDEX($D$88:$EE$416,0,MATCH(D$11,$D$84:$EF$84,0))),0)*Input_unit</f>
        <v>0</v>
      </c>
      <c r="E20" s="56">
        <f t="shared" si="19"/>
        <v>0</v>
      </c>
      <c r="F20" s="56">
        <f t="shared" si="19"/>
        <v>0</v>
      </c>
      <c r="G20" s="56">
        <f t="shared" si="19"/>
        <v>0</v>
      </c>
      <c r="H20" s="56">
        <f t="shared" si="19"/>
        <v>0</v>
      </c>
      <c r="I20" s="56">
        <f t="shared" si="19"/>
        <v>0</v>
      </c>
      <c r="J20" s="56">
        <f t="shared" si="19"/>
        <v>0</v>
      </c>
      <c r="K20" s="56">
        <f t="shared" si="19"/>
        <v>0</v>
      </c>
      <c r="L20" s="56">
        <f t="shared" si="19"/>
        <v>0</v>
      </c>
      <c r="M20" s="56">
        <f t="shared" si="19"/>
        <v>0</v>
      </c>
      <c r="N20" s="56">
        <f t="shared" si="19"/>
        <v>0</v>
      </c>
      <c r="O20" s="56">
        <f t="shared" si="19"/>
        <v>0</v>
      </c>
      <c r="P20" s="56">
        <f t="shared" si="19"/>
        <v>0</v>
      </c>
      <c r="Q20" s="56">
        <f t="shared" si="19"/>
        <v>0</v>
      </c>
      <c r="R20" s="56">
        <f t="shared" si="19"/>
        <v>0</v>
      </c>
      <c r="S20" s="56">
        <f t="shared" si="19"/>
        <v>0</v>
      </c>
      <c r="T20" s="56">
        <f t="shared" si="19"/>
        <v>0</v>
      </c>
    </row>
    <row r="21" spans="1:20">
      <c r="A21" s="56"/>
      <c r="B21" s="56"/>
      <c r="C21" s="112" t="s">
        <v>973</v>
      </c>
      <c r="D21" s="112">
        <f t="shared" ref="D21" si="20">depr_inc*(-D23-D24)</f>
        <v>0</v>
      </c>
      <c r="E21" s="112">
        <f t="shared" ref="E21:T21" si="21">depr_inc*(-E23-E24)</f>
        <v>0</v>
      </c>
      <c r="F21" s="112">
        <f t="shared" si="21"/>
        <v>0</v>
      </c>
      <c r="G21" s="112">
        <f t="shared" si="21"/>
        <v>0</v>
      </c>
      <c r="H21" s="112">
        <f t="shared" si="21"/>
        <v>0</v>
      </c>
      <c r="I21" s="112">
        <f t="shared" si="21"/>
        <v>0</v>
      </c>
      <c r="J21" s="112">
        <f t="shared" si="21"/>
        <v>0</v>
      </c>
      <c r="K21" s="112">
        <f t="shared" si="21"/>
        <v>0</v>
      </c>
      <c r="L21" s="112">
        <f t="shared" si="21"/>
        <v>0</v>
      </c>
      <c r="M21" s="112">
        <f t="shared" si="21"/>
        <v>0</v>
      </c>
      <c r="N21" s="112">
        <f t="shared" si="21"/>
        <v>0</v>
      </c>
      <c r="O21" s="112">
        <f t="shared" si="21"/>
        <v>0</v>
      </c>
      <c r="P21" s="112">
        <f t="shared" si="21"/>
        <v>0</v>
      </c>
      <c r="Q21" s="112">
        <f t="shared" si="21"/>
        <v>0</v>
      </c>
      <c r="R21" s="112">
        <f t="shared" si="21"/>
        <v>0</v>
      </c>
      <c r="S21" s="112">
        <f t="shared" si="21"/>
        <v>0</v>
      </c>
      <c r="T21" s="112">
        <f t="shared" si="21"/>
        <v>0</v>
      </c>
    </row>
    <row r="22" spans="1:20">
      <c r="A22" s="56"/>
      <c r="B22" s="56"/>
      <c r="C22" s="98" t="s">
        <v>684</v>
      </c>
      <c r="D22" s="98">
        <f>SUM(D16:D21)</f>
        <v>0</v>
      </c>
      <c r="E22" s="98">
        <f t="shared" ref="E22:T22" si="22">SUM(E16:E21)</f>
        <v>0</v>
      </c>
      <c r="F22" s="98">
        <f t="shared" si="22"/>
        <v>0</v>
      </c>
      <c r="G22" s="98">
        <f t="shared" si="22"/>
        <v>0</v>
      </c>
      <c r="H22" s="98">
        <f t="shared" si="22"/>
        <v>0</v>
      </c>
      <c r="I22" s="98">
        <f t="shared" si="22"/>
        <v>0</v>
      </c>
      <c r="J22" s="98">
        <f t="shared" si="22"/>
        <v>0</v>
      </c>
      <c r="K22" s="98">
        <f t="shared" si="22"/>
        <v>0</v>
      </c>
      <c r="L22" s="98">
        <f t="shared" si="22"/>
        <v>0</v>
      </c>
      <c r="M22" s="98">
        <f t="shared" si="22"/>
        <v>0</v>
      </c>
      <c r="N22" s="98">
        <f t="shared" si="22"/>
        <v>0</v>
      </c>
      <c r="O22" s="98">
        <f t="shared" si="22"/>
        <v>0</v>
      </c>
      <c r="P22" s="98">
        <f t="shared" si="22"/>
        <v>0</v>
      </c>
      <c r="Q22" s="98">
        <f t="shared" si="22"/>
        <v>0</v>
      </c>
      <c r="R22" s="98">
        <f t="shared" si="22"/>
        <v>0</v>
      </c>
      <c r="S22" s="98">
        <f t="shared" si="22"/>
        <v>0</v>
      </c>
      <c r="T22" s="98">
        <f t="shared" si="22"/>
        <v>0</v>
      </c>
    </row>
    <row r="23" spans="1:20">
      <c r="A23" s="56" t="s">
        <v>675</v>
      </c>
      <c r="B23" s="56"/>
      <c r="C23" s="112" t="s">
        <v>202</v>
      </c>
      <c r="D23" s="112">
        <f t="shared" ref="D23:M24" si="23">-IFERROR(SUMIF($A$88:$A$416,$A23,INDEX($D$88:$EE$416,0,MATCH(D$11,$D$84:$EF$84,0))),0)*Input_unit</f>
        <v>0</v>
      </c>
      <c r="E23" s="112">
        <f t="shared" si="23"/>
        <v>0</v>
      </c>
      <c r="F23" s="112">
        <f t="shared" si="23"/>
        <v>0</v>
      </c>
      <c r="G23" s="112">
        <f t="shared" si="23"/>
        <v>0</v>
      </c>
      <c r="H23" s="112">
        <f t="shared" si="23"/>
        <v>0</v>
      </c>
      <c r="I23" s="112">
        <f t="shared" si="23"/>
        <v>0</v>
      </c>
      <c r="J23" s="112">
        <f t="shared" si="23"/>
        <v>0</v>
      </c>
      <c r="K23" s="112">
        <f t="shared" si="23"/>
        <v>0</v>
      </c>
      <c r="L23" s="112">
        <f t="shared" si="23"/>
        <v>0</v>
      </c>
      <c r="M23" s="112">
        <f t="shared" si="23"/>
        <v>0</v>
      </c>
      <c r="N23" s="112">
        <f t="shared" ref="N23:T24" si="24">-IFERROR(SUMIF($A$88:$A$416,$A23,INDEX($D$88:$EE$416,0,MATCH(N$11,$D$84:$EF$84,0))),0)*Input_unit</f>
        <v>0</v>
      </c>
      <c r="O23" s="112">
        <f t="shared" si="24"/>
        <v>0</v>
      </c>
      <c r="P23" s="112">
        <f t="shared" si="24"/>
        <v>0</v>
      </c>
      <c r="Q23" s="112">
        <f t="shared" si="24"/>
        <v>0</v>
      </c>
      <c r="R23" s="112">
        <f t="shared" si="24"/>
        <v>0</v>
      </c>
      <c r="S23" s="112">
        <f t="shared" si="24"/>
        <v>0</v>
      </c>
      <c r="T23" s="112">
        <f t="shared" si="24"/>
        <v>0</v>
      </c>
    </row>
    <row r="24" spans="1:20">
      <c r="A24" s="56" t="s">
        <v>676</v>
      </c>
      <c r="B24" s="56"/>
      <c r="C24" s="112" t="s">
        <v>203</v>
      </c>
      <c r="D24" s="112">
        <f t="shared" si="23"/>
        <v>0</v>
      </c>
      <c r="E24" s="112">
        <f t="shared" si="23"/>
        <v>0</v>
      </c>
      <c r="F24" s="112">
        <f t="shared" si="23"/>
        <v>0</v>
      </c>
      <c r="G24" s="112">
        <f t="shared" si="23"/>
        <v>0</v>
      </c>
      <c r="H24" s="112">
        <f t="shared" si="23"/>
        <v>0</v>
      </c>
      <c r="I24" s="112">
        <f t="shared" si="23"/>
        <v>0</v>
      </c>
      <c r="J24" s="112">
        <f t="shared" si="23"/>
        <v>0</v>
      </c>
      <c r="K24" s="112">
        <f t="shared" si="23"/>
        <v>0</v>
      </c>
      <c r="L24" s="112">
        <f t="shared" si="23"/>
        <v>0</v>
      </c>
      <c r="M24" s="112">
        <f t="shared" si="23"/>
        <v>0</v>
      </c>
      <c r="N24" s="112">
        <f t="shared" si="24"/>
        <v>0</v>
      </c>
      <c r="O24" s="112">
        <f t="shared" si="24"/>
        <v>0</v>
      </c>
      <c r="P24" s="112">
        <f t="shared" si="24"/>
        <v>0</v>
      </c>
      <c r="Q24" s="112">
        <f t="shared" si="24"/>
        <v>0</v>
      </c>
      <c r="R24" s="112">
        <f t="shared" si="24"/>
        <v>0</v>
      </c>
      <c r="S24" s="112">
        <f t="shared" si="24"/>
        <v>0</v>
      </c>
      <c r="T24" s="112">
        <f t="shared" si="24"/>
        <v>0</v>
      </c>
    </row>
    <row r="25" spans="1:20">
      <c r="A25" s="98"/>
      <c r="B25" s="98"/>
      <c r="C25" s="98" t="s">
        <v>204</v>
      </c>
      <c r="D25" s="98">
        <f>SUM(D22:D24)</f>
        <v>0</v>
      </c>
      <c r="E25" s="98">
        <f t="shared" ref="E25:T25" si="25">SUM(E22:E24)</f>
        <v>0</v>
      </c>
      <c r="F25" s="98">
        <f t="shared" si="25"/>
        <v>0</v>
      </c>
      <c r="G25" s="98">
        <f t="shared" si="25"/>
        <v>0</v>
      </c>
      <c r="H25" s="98">
        <f t="shared" si="25"/>
        <v>0</v>
      </c>
      <c r="I25" s="98">
        <f t="shared" si="25"/>
        <v>0</v>
      </c>
      <c r="J25" s="98">
        <f t="shared" si="25"/>
        <v>0</v>
      </c>
      <c r="K25" s="98">
        <f t="shared" si="25"/>
        <v>0</v>
      </c>
      <c r="L25" s="98">
        <f t="shared" si="25"/>
        <v>0</v>
      </c>
      <c r="M25" s="98">
        <f t="shared" si="25"/>
        <v>0</v>
      </c>
      <c r="N25" s="98">
        <f t="shared" si="25"/>
        <v>0</v>
      </c>
      <c r="O25" s="98">
        <f t="shared" si="25"/>
        <v>0</v>
      </c>
      <c r="P25" s="98">
        <f t="shared" si="25"/>
        <v>0</v>
      </c>
      <c r="Q25" s="98">
        <f t="shared" si="25"/>
        <v>0</v>
      </c>
      <c r="R25" s="98">
        <f t="shared" si="25"/>
        <v>0</v>
      </c>
      <c r="S25" s="98">
        <f t="shared" si="25"/>
        <v>0</v>
      </c>
      <c r="T25" s="98">
        <f t="shared" si="25"/>
        <v>0</v>
      </c>
    </row>
    <row r="26" spans="1:20">
      <c r="A26" s="56" t="s">
        <v>628</v>
      </c>
      <c r="B26" s="56"/>
      <c r="C26" s="56" t="s">
        <v>974</v>
      </c>
      <c r="D26" s="56">
        <f t="shared" ref="D26:T26" si="26">IFERROR(SUMIF($A$88:$A$416,$A26,INDEX($D$88:$EE$416,0,MATCH(D$11,$D$84:$EF$84,0))),0)*Input_unit</f>
        <v>0</v>
      </c>
      <c r="E26" s="56">
        <f t="shared" si="26"/>
        <v>0</v>
      </c>
      <c r="F26" s="56">
        <f t="shared" si="26"/>
        <v>0</v>
      </c>
      <c r="G26" s="56">
        <f t="shared" si="26"/>
        <v>0</v>
      </c>
      <c r="H26" s="56">
        <f t="shared" si="26"/>
        <v>0</v>
      </c>
      <c r="I26" s="56">
        <f t="shared" si="26"/>
        <v>0</v>
      </c>
      <c r="J26" s="56">
        <f t="shared" si="26"/>
        <v>0</v>
      </c>
      <c r="K26" s="56">
        <f t="shared" si="26"/>
        <v>0</v>
      </c>
      <c r="L26" s="56">
        <f t="shared" si="26"/>
        <v>0</v>
      </c>
      <c r="M26" s="56">
        <f t="shared" si="26"/>
        <v>0</v>
      </c>
      <c r="N26" s="56">
        <f t="shared" si="26"/>
        <v>0</v>
      </c>
      <c r="O26" s="56">
        <f t="shared" si="26"/>
        <v>0</v>
      </c>
      <c r="P26" s="56">
        <f t="shared" si="26"/>
        <v>0</v>
      </c>
      <c r="Q26" s="56">
        <f t="shared" si="26"/>
        <v>0</v>
      </c>
      <c r="R26" s="56">
        <f t="shared" si="26"/>
        <v>0</v>
      </c>
      <c r="S26" s="56">
        <f t="shared" si="26"/>
        <v>0</v>
      </c>
      <c r="T26" s="56">
        <f t="shared" si="26"/>
        <v>0</v>
      </c>
    </row>
    <row r="27" spans="1:20">
      <c r="A27" s="56" t="s">
        <v>641</v>
      </c>
      <c r="B27" s="56"/>
      <c r="C27" s="97" t="s">
        <v>975</v>
      </c>
      <c r="D27" s="56">
        <f t="shared" ref="D27:M28" si="27">-IFERROR(SUMIF($A$88:$A$416,$A27,INDEX($D$88:$EE$416,0,MATCH(D$11,$D$84:$EF$84,0))),0)*Input_unit</f>
        <v>0</v>
      </c>
      <c r="E27" s="56">
        <f t="shared" si="27"/>
        <v>0</v>
      </c>
      <c r="F27" s="56">
        <f t="shared" si="27"/>
        <v>0</v>
      </c>
      <c r="G27" s="56">
        <f t="shared" si="27"/>
        <v>0</v>
      </c>
      <c r="H27" s="56">
        <f t="shared" si="27"/>
        <v>0</v>
      </c>
      <c r="I27" s="56">
        <f t="shared" si="27"/>
        <v>0</v>
      </c>
      <c r="J27" s="56">
        <f t="shared" si="27"/>
        <v>0</v>
      </c>
      <c r="K27" s="56">
        <f t="shared" si="27"/>
        <v>0</v>
      </c>
      <c r="L27" s="56">
        <f t="shared" si="27"/>
        <v>0</v>
      </c>
      <c r="M27" s="56">
        <f t="shared" si="27"/>
        <v>0</v>
      </c>
      <c r="N27" s="56">
        <f t="shared" ref="N27:T28" si="28">-IFERROR(SUMIF($A$88:$A$416,$A27,INDEX($D$88:$EE$416,0,MATCH(N$11,$D$84:$EF$84,0))),0)*Input_unit</f>
        <v>0</v>
      </c>
      <c r="O27" s="56">
        <f t="shared" si="28"/>
        <v>0</v>
      </c>
      <c r="P27" s="56">
        <f t="shared" si="28"/>
        <v>0</v>
      </c>
      <c r="Q27" s="56">
        <f t="shared" si="28"/>
        <v>0</v>
      </c>
      <c r="R27" s="56">
        <f t="shared" si="28"/>
        <v>0</v>
      </c>
      <c r="S27" s="56">
        <f t="shared" si="28"/>
        <v>0</v>
      </c>
      <c r="T27" s="56">
        <f t="shared" si="28"/>
        <v>0</v>
      </c>
    </row>
    <row r="28" spans="1:20">
      <c r="A28" s="56" t="s">
        <v>76</v>
      </c>
      <c r="B28" s="56"/>
      <c r="C28" s="97" t="s">
        <v>205</v>
      </c>
      <c r="D28" s="56">
        <f t="shared" si="27"/>
        <v>0</v>
      </c>
      <c r="E28" s="56">
        <f t="shared" si="27"/>
        <v>0</v>
      </c>
      <c r="F28" s="56">
        <f t="shared" si="27"/>
        <v>0</v>
      </c>
      <c r="G28" s="56">
        <f t="shared" si="27"/>
        <v>0</v>
      </c>
      <c r="H28" s="56">
        <f t="shared" si="27"/>
        <v>0</v>
      </c>
      <c r="I28" s="56">
        <f t="shared" si="27"/>
        <v>0</v>
      </c>
      <c r="J28" s="56">
        <f t="shared" si="27"/>
        <v>0</v>
      </c>
      <c r="K28" s="56">
        <f t="shared" si="27"/>
        <v>0</v>
      </c>
      <c r="L28" s="56">
        <f t="shared" si="27"/>
        <v>0</v>
      </c>
      <c r="M28" s="56">
        <f t="shared" si="27"/>
        <v>0</v>
      </c>
      <c r="N28" s="56">
        <f t="shared" si="28"/>
        <v>0</v>
      </c>
      <c r="O28" s="56">
        <f t="shared" si="28"/>
        <v>0</v>
      </c>
      <c r="P28" s="56">
        <f t="shared" si="28"/>
        <v>0</v>
      </c>
      <c r="Q28" s="56">
        <f t="shared" si="28"/>
        <v>0</v>
      </c>
      <c r="R28" s="56">
        <f t="shared" si="28"/>
        <v>0</v>
      </c>
      <c r="S28" s="56">
        <f t="shared" si="28"/>
        <v>0</v>
      </c>
      <c r="T28" s="56">
        <f t="shared" si="28"/>
        <v>0</v>
      </c>
    </row>
    <row r="29" spans="1:20">
      <c r="A29" s="56" t="s">
        <v>616</v>
      </c>
      <c r="B29" s="56"/>
      <c r="C29" s="97" t="s">
        <v>206</v>
      </c>
      <c r="D29" s="56">
        <f t="shared" ref="D29:M30" si="29">IFERROR(SUMIF($A$88:$A$416,$A29,INDEX($D$88:$EE$416,0,MATCH(D$11,$D$84:$EF$84,0))),0)*Input_unit</f>
        <v>0</v>
      </c>
      <c r="E29" s="56">
        <f t="shared" si="29"/>
        <v>0</v>
      </c>
      <c r="F29" s="56">
        <f t="shared" si="29"/>
        <v>0</v>
      </c>
      <c r="G29" s="56">
        <f t="shared" si="29"/>
        <v>0</v>
      </c>
      <c r="H29" s="56">
        <f t="shared" si="29"/>
        <v>0</v>
      </c>
      <c r="I29" s="56">
        <f t="shared" si="29"/>
        <v>0</v>
      </c>
      <c r="J29" s="56">
        <f t="shared" si="29"/>
        <v>0</v>
      </c>
      <c r="K29" s="56">
        <f t="shared" si="29"/>
        <v>0</v>
      </c>
      <c r="L29" s="56">
        <f t="shared" si="29"/>
        <v>0</v>
      </c>
      <c r="M29" s="56">
        <f t="shared" si="29"/>
        <v>0</v>
      </c>
      <c r="N29" s="56">
        <f t="shared" ref="N29:T30" si="30">IFERROR(SUMIF($A$88:$A$416,$A29,INDEX($D$88:$EE$416,0,MATCH(N$11,$D$84:$EF$84,0))),0)*Input_unit</f>
        <v>0</v>
      </c>
      <c r="O29" s="56">
        <f t="shared" si="30"/>
        <v>0</v>
      </c>
      <c r="P29" s="56">
        <f t="shared" si="30"/>
        <v>0</v>
      </c>
      <c r="Q29" s="56">
        <f t="shared" si="30"/>
        <v>0</v>
      </c>
      <c r="R29" s="56">
        <f t="shared" si="30"/>
        <v>0</v>
      </c>
      <c r="S29" s="56">
        <f t="shared" si="30"/>
        <v>0</v>
      </c>
      <c r="T29" s="56">
        <f t="shared" si="30"/>
        <v>0</v>
      </c>
    </row>
    <row r="30" spans="1:20">
      <c r="A30" s="56" t="s">
        <v>620</v>
      </c>
      <c r="B30" s="56"/>
      <c r="C30" s="97" t="s">
        <v>976</v>
      </c>
      <c r="D30" s="56">
        <f t="shared" si="29"/>
        <v>0</v>
      </c>
      <c r="E30" s="56">
        <f t="shared" si="29"/>
        <v>0</v>
      </c>
      <c r="F30" s="56">
        <f t="shared" si="29"/>
        <v>0</v>
      </c>
      <c r="G30" s="56">
        <f t="shared" si="29"/>
        <v>0</v>
      </c>
      <c r="H30" s="56">
        <f t="shared" si="29"/>
        <v>0</v>
      </c>
      <c r="I30" s="56">
        <f t="shared" si="29"/>
        <v>0</v>
      </c>
      <c r="J30" s="56">
        <f t="shared" si="29"/>
        <v>0</v>
      </c>
      <c r="K30" s="56">
        <f t="shared" si="29"/>
        <v>0</v>
      </c>
      <c r="L30" s="56">
        <f t="shared" si="29"/>
        <v>0</v>
      </c>
      <c r="M30" s="56">
        <f t="shared" si="29"/>
        <v>0</v>
      </c>
      <c r="N30" s="56">
        <f t="shared" si="30"/>
        <v>0</v>
      </c>
      <c r="O30" s="56">
        <f t="shared" si="30"/>
        <v>0</v>
      </c>
      <c r="P30" s="56">
        <f t="shared" si="30"/>
        <v>0</v>
      </c>
      <c r="Q30" s="56">
        <f t="shared" si="30"/>
        <v>0</v>
      </c>
      <c r="R30" s="56">
        <f t="shared" si="30"/>
        <v>0</v>
      </c>
      <c r="S30" s="56">
        <f t="shared" si="30"/>
        <v>0</v>
      </c>
      <c r="T30" s="56">
        <f t="shared" si="30"/>
        <v>0</v>
      </c>
    </row>
    <row r="31" spans="1:20">
      <c r="A31" s="98"/>
      <c r="B31" s="98"/>
      <c r="C31" s="99" t="s">
        <v>207</v>
      </c>
      <c r="D31" s="98">
        <f>SUM(D25:D30)</f>
        <v>0</v>
      </c>
      <c r="E31" s="98">
        <f t="shared" ref="E31:T31" si="31">SUM(E25:E30)</f>
        <v>0</v>
      </c>
      <c r="F31" s="98">
        <f t="shared" si="31"/>
        <v>0</v>
      </c>
      <c r="G31" s="98">
        <f t="shared" si="31"/>
        <v>0</v>
      </c>
      <c r="H31" s="98">
        <f t="shared" si="31"/>
        <v>0</v>
      </c>
      <c r="I31" s="98">
        <f t="shared" si="31"/>
        <v>0</v>
      </c>
      <c r="J31" s="98">
        <f t="shared" si="31"/>
        <v>0</v>
      </c>
      <c r="K31" s="98">
        <f t="shared" si="31"/>
        <v>0</v>
      </c>
      <c r="L31" s="98">
        <f t="shared" si="31"/>
        <v>0</v>
      </c>
      <c r="M31" s="98">
        <f t="shared" si="31"/>
        <v>0</v>
      </c>
      <c r="N31" s="98">
        <f t="shared" si="31"/>
        <v>0</v>
      </c>
      <c r="O31" s="98">
        <f t="shared" si="31"/>
        <v>0</v>
      </c>
      <c r="P31" s="98">
        <f t="shared" si="31"/>
        <v>0</v>
      </c>
      <c r="Q31" s="98">
        <f t="shared" si="31"/>
        <v>0</v>
      </c>
      <c r="R31" s="98">
        <f t="shared" si="31"/>
        <v>0</v>
      </c>
      <c r="S31" s="98">
        <f t="shared" si="31"/>
        <v>0</v>
      </c>
      <c r="T31" s="98">
        <f t="shared" si="31"/>
        <v>0</v>
      </c>
    </row>
    <row r="32" spans="1:20">
      <c r="A32" s="56" t="s">
        <v>668</v>
      </c>
      <c r="B32" s="56"/>
      <c r="C32" s="56" t="s">
        <v>980</v>
      </c>
      <c r="D32" s="56">
        <f t="shared" ref="D32:T32" si="32">-IFERROR(SUMIF($A$88:$A$416,$A32,INDEX($D$88:$EE$416,0,MATCH(D$11,$D$84:$EF$84,0))),0)*Input_unit</f>
        <v>0</v>
      </c>
      <c r="E32" s="56">
        <f t="shared" si="32"/>
        <v>0</v>
      </c>
      <c r="F32" s="56">
        <f t="shared" si="32"/>
        <v>0</v>
      </c>
      <c r="G32" s="56">
        <f t="shared" si="32"/>
        <v>0</v>
      </c>
      <c r="H32" s="56">
        <f t="shared" si="32"/>
        <v>0</v>
      </c>
      <c r="I32" s="56">
        <f t="shared" si="32"/>
        <v>0</v>
      </c>
      <c r="J32" s="56">
        <f t="shared" si="32"/>
        <v>0</v>
      </c>
      <c r="K32" s="56">
        <f t="shared" si="32"/>
        <v>0</v>
      </c>
      <c r="L32" s="56">
        <f t="shared" si="32"/>
        <v>0</v>
      </c>
      <c r="M32" s="56">
        <f t="shared" si="32"/>
        <v>0</v>
      </c>
      <c r="N32" s="56">
        <f t="shared" si="32"/>
        <v>0</v>
      </c>
      <c r="O32" s="56">
        <f t="shared" si="32"/>
        <v>0</v>
      </c>
      <c r="P32" s="56">
        <f t="shared" si="32"/>
        <v>0</v>
      </c>
      <c r="Q32" s="56">
        <f t="shared" si="32"/>
        <v>0</v>
      </c>
      <c r="R32" s="56">
        <f t="shared" si="32"/>
        <v>0</v>
      </c>
      <c r="S32" s="56">
        <f t="shared" si="32"/>
        <v>0</v>
      </c>
      <c r="T32" s="56">
        <f t="shared" si="32"/>
        <v>0</v>
      </c>
    </row>
    <row r="33" spans="1:20">
      <c r="A33" s="98"/>
      <c r="B33" s="98"/>
      <c r="C33" s="98" t="s">
        <v>208</v>
      </c>
      <c r="D33" s="98">
        <f>SUM(D31:D32)</f>
        <v>0</v>
      </c>
      <c r="E33" s="98">
        <f t="shared" ref="E33:T33" si="33">SUM(E31:E32)</f>
        <v>0</v>
      </c>
      <c r="F33" s="98">
        <f t="shared" si="33"/>
        <v>0</v>
      </c>
      <c r="G33" s="98">
        <f t="shared" si="33"/>
        <v>0</v>
      </c>
      <c r="H33" s="98">
        <f t="shared" si="33"/>
        <v>0</v>
      </c>
      <c r="I33" s="98">
        <f t="shared" si="33"/>
        <v>0</v>
      </c>
      <c r="J33" s="98">
        <f t="shared" si="33"/>
        <v>0</v>
      </c>
      <c r="K33" s="98">
        <f t="shared" si="33"/>
        <v>0</v>
      </c>
      <c r="L33" s="98">
        <f t="shared" si="33"/>
        <v>0</v>
      </c>
      <c r="M33" s="98">
        <f t="shared" si="33"/>
        <v>0</v>
      </c>
      <c r="N33" s="98">
        <f t="shared" si="33"/>
        <v>0</v>
      </c>
      <c r="O33" s="98">
        <f t="shared" si="33"/>
        <v>0</v>
      </c>
      <c r="P33" s="98">
        <f t="shared" si="33"/>
        <v>0</v>
      </c>
      <c r="Q33" s="98">
        <f t="shared" si="33"/>
        <v>0</v>
      </c>
      <c r="R33" s="98">
        <f t="shared" si="33"/>
        <v>0</v>
      </c>
      <c r="S33" s="98">
        <f t="shared" si="33"/>
        <v>0</v>
      </c>
      <c r="T33" s="98">
        <f t="shared" si="33"/>
        <v>0</v>
      </c>
    </row>
    <row r="34" spans="1:20">
      <c r="A34" s="56" t="s">
        <v>672</v>
      </c>
      <c r="B34" s="56"/>
      <c r="C34" s="56" t="s">
        <v>209</v>
      </c>
      <c r="D34" s="56">
        <f t="shared" ref="D34:T34" si="34">-IFERROR(SUMIF($A$88:$A$416,$A34,INDEX($D$88:$EE$416,0,MATCH(D$11,$D$84:$EF$84,0))),0)*Input_unit</f>
        <v>0</v>
      </c>
      <c r="E34" s="56">
        <f t="shared" si="34"/>
        <v>0</v>
      </c>
      <c r="F34" s="56">
        <f t="shared" si="34"/>
        <v>0</v>
      </c>
      <c r="G34" s="56">
        <f t="shared" si="34"/>
        <v>0</v>
      </c>
      <c r="H34" s="56">
        <f t="shared" si="34"/>
        <v>0</v>
      </c>
      <c r="I34" s="56">
        <f t="shared" si="34"/>
        <v>0</v>
      </c>
      <c r="J34" s="56">
        <f t="shared" si="34"/>
        <v>0</v>
      </c>
      <c r="K34" s="56">
        <f t="shared" si="34"/>
        <v>0</v>
      </c>
      <c r="L34" s="56">
        <f t="shared" si="34"/>
        <v>0</v>
      </c>
      <c r="M34" s="56">
        <f t="shared" si="34"/>
        <v>0</v>
      </c>
      <c r="N34" s="56">
        <f t="shared" si="34"/>
        <v>0</v>
      </c>
      <c r="O34" s="56">
        <f t="shared" si="34"/>
        <v>0</v>
      </c>
      <c r="P34" s="56">
        <f t="shared" si="34"/>
        <v>0</v>
      </c>
      <c r="Q34" s="56">
        <f t="shared" si="34"/>
        <v>0</v>
      </c>
      <c r="R34" s="56">
        <f t="shared" si="34"/>
        <v>0</v>
      </c>
      <c r="S34" s="56">
        <f t="shared" si="34"/>
        <v>0</v>
      </c>
      <c r="T34" s="56">
        <f t="shared" si="34"/>
        <v>0</v>
      </c>
    </row>
    <row r="35" spans="1:20">
      <c r="A35" s="98"/>
      <c r="B35" s="98"/>
      <c r="C35" s="98" t="s">
        <v>192</v>
      </c>
      <c r="D35" s="98">
        <f>SUM(D33:D34)</f>
        <v>0</v>
      </c>
      <c r="E35" s="98">
        <f t="shared" ref="E35:T35" si="35">SUM(E33:E34)</f>
        <v>0</v>
      </c>
      <c r="F35" s="98">
        <f t="shared" si="35"/>
        <v>0</v>
      </c>
      <c r="G35" s="98">
        <f t="shared" si="35"/>
        <v>0</v>
      </c>
      <c r="H35" s="98">
        <f t="shared" si="35"/>
        <v>0</v>
      </c>
      <c r="I35" s="98">
        <f t="shared" si="35"/>
        <v>0</v>
      </c>
      <c r="J35" s="98">
        <f t="shared" si="35"/>
        <v>0</v>
      </c>
      <c r="K35" s="98">
        <f t="shared" si="35"/>
        <v>0</v>
      </c>
      <c r="L35" s="98">
        <f t="shared" si="35"/>
        <v>0</v>
      </c>
      <c r="M35" s="98">
        <f t="shared" si="35"/>
        <v>0</v>
      </c>
      <c r="N35" s="98">
        <f t="shared" si="35"/>
        <v>0</v>
      </c>
      <c r="O35" s="98">
        <f t="shared" si="35"/>
        <v>0</v>
      </c>
      <c r="P35" s="98">
        <f t="shared" si="35"/>
        <v>0</v>
      </c>
      <c r="Q35" s="98">
        <f t="shared" si="35"/>
        <v>0</v>
      </c>
      <c r="R35" s="98">
        <f t="shared" si="35"/>
        <v>0</v>
      </c>
      <c r="S35" s="98">
        <f t="shared" si="35"/>
        <v>0</v>
      </c>
      <c r="T35" s="98">
        <f t="shared" si="35"/>
        <v>0</v>
      </c>
    </row>
    <row r="36" spans="1:20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</row>
    <row r="37" spans="1:20">
      <c r="A37" s="113"/>
      <c r="B37" s="113"/>
      <c r="C37" s="113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</row>
    <row r="38" spans="1:20">
      <c r="A38" s="121" t="s">
        <v>210</v>
      </c>
      <c r="B38" s="121"/>
      <c r="C38" s="122" t="s">
        <v>581</v>
      </c>
      <c r="D38" s="121"/>
      <c r="E38" s="121"/>
      <c r="F38" s="121"/>
      <c r="G38" s="121"/>
      <c r="H38" s="121"/>
      <c r="I38" s="121"/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</row>
    <row r="39" spans="1:20" ht="15.15" thickBot="1">
      <c r="A39" s="123" t="s">
        <v>580</v>
      </c>
      <c r="B39" s="123"/>
      <c r="C39" s="123"/>
      <c r="D39" s="124">
        <f>D9</f>
        <v>42004</v>
      </c>
      <c r="E39" s="124">
        <f t="shared" ref="E39:T39" si="36">E9</f>
        <v>42369</v>
      </c>
      <c r="F39" s="124">
        <f t="shared" si="36"/>
        <v>42735</v>
      </c>
      <c r="G39" s="124">
        <f t="shared" si="36"/>
        <v>43100</v>
      </c>
      <c r="H39" s="124">
        <f t="shared" si="36"/>
        <v>43465</v>
      </c>
      <c r="I39" s="124">
        <f t="shared" si="36"/>
        <v>0</v>
      </c>
      <c r="J39" s="124">
        <f t="shared" si="36"/>
        <v>0</v>
      </c>
      <c r="K39" s="124">
        <f t="shared" si="36"/>
        <v>0</v>
      </c>
      <c r="L39" s="124">
        <f t="shared" si="36"/>
        <v>0</v>
      </c>
      <c r="M39" s="124">
        <f t="shared" si="36"/>
        <v>0</v>
      </c>
      <c r="N39" s="124">
        <f t="shared" si="36"/>
        <v>0</v>
      </c>
      <c r="O39" s="124">
        <f t="shared" si="36"/>
        <v>0</v>
      </c>
      <c r="P39" s="124">
        <f t="shared" si="36"/>
        <v>0</v>
      </c>
      <c r="Q39" s="124">
        <f t="shared" si="36"/>
        <v>0</v>
      </c>
      <c r="R39" s="124">
        <f t="shared" si="36"/>
        <v>0</v>
      </c>
      <c r="S39" s="124">
        <f t="shared" si="36"/>
        <v>0</v>
      </c>
      <c r="T39" s="124">
        <f t="shared" si="36"/>
        <v>0</v>
      </c>
    </row>
    <row r="40" spans="1:20">
      <c r="A40" s="113"/>
      <c r="B40" s="113"/>
      <c r="C40" s="113" t="s">
        <v>211</v>
      </c>
      <c r="D40" s="113">
        <f>D55-D80</f>
        <v>0</v>
      </c>
      <c r="E40" s="113">
        <f t="shared" ref="E40:T40" si="37">E55-E80</f>
        <v>0</v>
      </c>
      <c r="F40" s="113">
        <f t="shared" si="37"/>
        <v>0</v>
      </c>
      <c r="G40" s="113">
        <f t="shared" si="37"/>
        <v>0</v>
      </c>
      <c r="H40" s="113">
        <f t="shared" si="37"/>
        <v>0</v>
      </c>
      <c r="I40" s="113">
        <f t="shared" si="37"/>
        <v>0</v>
      </c>
      <c r="J40" s="113">
        <f t="shared" si="37"/>
        <v>0</v>
      </c>
      <c r="K40" s="113">
        <f t="shared" si="37"/>
        <v>0</v>
      </c>
      <c r="L40" s="113">
        <f t="shared" si="37"/>
        <v>0</v>
      </c>
      <c r="M40" s="113">
        <f t="shared" si="37"/>
        <v>0</v>
      </c>
      <c r="N40" s="113">
        <f t="shared" si="37"/>
        <v>0</v>
      </c>
      <c r="O40" s="113">
        <f t="shared" si="37"/>
        <v>0</v>
      </c>
      <c r="P40" s="113">
        <f t="shared" si="37"/>
        <v>0</v>
      </c>
      <c r="Q40" s="113">
        <f t="shared" si="37"/>
        <v>0</v>
      </c>
      <c r="R40" s="113">
        <f t="shared" si="37"/>
        <v>0</v>
      </c>
      <c r="S40" s="113">
        <f t="shared" si="37"/>
        <v>0</v>
      </c>
      <c r="T40" s="113">
        <f t="shared" si="37"/>
        <v>0</v>
      </c>
    </row>
    <row r="41" spans="1:20">
      <c r="A41" s="98" t="s">
        <v>212</v>
      </c>
      <c r="B41" s="98"/>
      <c r="C41" s="56"/>
      <c r="D41" s="56"/>
      <c r="E41" s="56"/>
      <c r="F41" s="56"/>
      <c r="G41" s="56"/>
      <c r="H41" s="56"/>
      <c r="I41" s="56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</row>
    <row r="42" spans="1:20">
      <c r="A42" s="56" t="s">
        <v>55</v>
      </c>
      <c r="B42" s="56"/>
      <c r="C42" s="56" t="s">
        <v>213</v>
      </c>
      <c r="D42" s="56">
        <f t="shared" ref="D42:M47" si="38">IFERROR(SUMIF($A$88:$A$416,$A42,INDEX($D$88:$EE$416,0,MATCH(D$11,$D$84:$EF$84,0))),0)*Input_unit</f>
        <v>0</v>
      </c>
      <c r="E42" s="56">
        <f t="shared" si="38"/>
        <v>0</v>
      </c>
      <c r="F42" s="56">
        <f t="shared" si="38"/>
        <v>0</v>
      </c>
      <c r="G42" s="56">
        <f t="shared" si="38"/>
        <v>0</v>
      </c>
      <c r="H42" s="56">
        <f t="shared" si="38"/>
        <v>0</v>
      </c>
      <c r="I42" s="56">
        <f t="shared" si="38"/>
        <v>0</v>
      </c>
      <c r="J42" s="56">
        <f t="shared" si="38"/>
        <v>0</v>
      </c>
      <c r="K42" s="56">
        <f t="shared" si="38"/>
        <v>0</v>
      </c>
      <c r="L42" s="56">
        <f t="shared" si="38"/>
        <v>0</v>
      </c>
      <c r="M42" s="56">
        <f t="shared" si="38"/>
        <v>0</v>
      </c>
      <c r="N42" s="56">
        <f t="shared" ref="N42:T47" si="39">IFERROR(SUMIF($A$88:$A$416,$A42,INDEX($D$88:$EE$416,0,MATCH(N$11,$D$84:$EF$84,0))),0)*Input_unit</f>
        <v>0</v>
      </c>
      <c r="O42" s="56">
        <f t="shared" si="39"/>
        <v>0</v>
      </c>
      <c r="P42" s="56">
        <f t="shared" si="39"/>
        <v>0</v>
      </c>
      <c r="Q42" s="56">
        <f t="shared" si="39"/>
        <v>0</v>
      </c>
      <c r="R42" s="56">
        <f t="shared" si="39"/>
        <v>0</v>
      </c>
      <c r="S42" s="56">
        <f t="shared" si="39"/>
        <v>0</v>
      </c>
      <c r="T42" s="56">
        <f t="shared" si="39"/>
        <v>0</v>
      </c>
    </row>
    <row r="43" spans="1:20">
      <c r="A43" s="56" t="s">
        <v>56</v>
      </c>
      <c r="B43" s="56"/>
      <c r="C43" s="56" t="s">
        <v>214</v>
      </c>
      <c r="D43" s="56">
        <f t="shared" si="38"/>
        <v>0</v>
      </c>
      <c r="E43" s="56">
        <f t="shared" si="38"/>
        <v>0</v>
      </c>
      <c r="F43" s="56">
        <f t="shared" si="38"/>
        <v>0</v>
      </c>
      <c r="G43" s="56">
        <f t="shared" si="38"/>
        <v>0</v>
      </c>
      <c r="H43" s="56">
        <f t="shared" si="38"/>
        <v>0</v>
      </c>
      <c r="I43" s="56">
        <f t="shared" si="38"/>
        <v>0</v>
      </c>
      <c r="J43" s="56">
        <f t="shared" si="38"/>
        <v>0</v>
      </c>
      <c r="K43" s="56">
        <f t="shared" si="38"/>
        <v>0</v>
      </c>
      <c r="L43" s="56">
        <f t="shared" si="38"/>
        <v>0</v>
      </c>
      <c r="M43" s="56">
        <f t="shared" si="38"/>
        <v>0</v>
      </c>
      <c r="N43" s="56">
        <f t="shared" si="39"/>
        <v>0</v>
      </c>
      <c r="O43" s="56">
        <f t="shared" si="39"/>
        <v>0</v>
      </c>
      <c r="P43" s="56">
        <f t="shared" si="39"/>
        <v>0</v>
      </c>
      <c r="Q43" s="56">
        <f t="shared" si="39"/>
        <v>0</v>
      </c>
      <c r="R43" s="56">
        <f t="shared" si="39"/>
        <v>0</v>
      </c>
      <c r="S43" s="56">
        <f t="shared" si="39"/>
        <v>0</v>
      </c>
      <c r="T43" s="56">
        <f t="shared" si="39"/>
        <v>0</v>
      </c>
    </row>
    <row r="44" spans="1:20">
      <c r="A44" s="56" t="s">
        <v>63</v>
      </c>
      <c r="B44" s="56"/>
      <c r="C44" s="97" t="s">
        <v>215</v>
      </c>
      <c r="D44" s="56">
        <f t="shared" si="38"/>
        <v>0</v>
      </c>
      <c r="E44" s="56">
        <f t="shared" si="38"/>
        <v>0</v>
      </c>
      <c r="F44" s="56">
        <f t="shared" si="38"/>
        <v>0</v>
      </c>
      <c r="G44" s="56">
        <f t="shared" si="38"/>
        <v>0</v>
      </c>
      <c r="H44" s="56">
        <f t="shared" si="38"/>
        <v>0</v>
      </c>
      <c r="I44" s="56">
        <f t="shared" si="38"/>
        <v>0</v>
      </c>
      <c r="J44" s="56">
        <f t="shared" si="38"/>
        <v>0</v>
      </c>
      <c r="K44" s="56">
        <f t="shared" si="38"/>
        <v>0</v>
      </c>
      <c r="L44" s="56">
        <f t="shared" si="38"/>
        <v>0</v>
      </c>
      <c r="M44" s="56">
        <f t="shared" si="38"/>
        <v>0</v>
      </c>
      <c r="N44" s="56">
        <f t="shared" si="39"/>
        <v>0</v>
      </c>
      <c r="O44" s="56">
        <f t="shared" si="39"/>
        <v>0</v>
      </c>
      <c r="P44" s="56">
        <f t="shared" si="39"/>
        <v>0</v>
      </c>
      <c r="Q44" s="56">
        <f t="shared" si="39"/>
        <v>0</v>
      </c>
      <c r="R44" s="56">
        <f t="shared" si="39"/>
        <v>0</v>
      </c>
      <c r="S44" s="56">
        <f t="shared" si="39"/>
        <v>0</v>
      </c>
      <c r="T44" s="56">
        <f t="shared" si="39"/>
        <v>0</v>
      </c>
    </row>
    <row r="45" spans="1:20">
      <c r="A45" s="56" t="s">
        <v>58</v>
      </c>
      <c r="B45" s="56"/>
      <c r="C45" s="97" t="s">
        <v>6</v>
      </c>
      <c r="D45" s="56">
        <f t="shared" si="38"/>
        <v>0</v>
      </c>
      <c r="E45" s="56">
        <f t="shared" si="38"/>
        <v>0</v>
      </c>
      <c r="F45" s="56">
        <f t="shared" si="38"/>
        <v>0</v>
      </c>
      <c r="G45" s="56">
        <f t="shared" si="38"/>
        <v>0</v>
      </c>
      <c r="H45" s="56">
        <f t="shared" si="38"/>
        <v>0</v>
      </c>
      <c r="I45" s="56">
        <f t="shared" si="38"/>
        <v>0</v>
      </c>
      <c r="J45" s="56">
        <f t="shared" si="38"/>
        <v>0</v>
      </c>
      <c r="K45" s="56">
        <f t="shared" si="38"/>
        <v>0</v>
      </c>
      <c r="L45" s="56">
        <f t="shared" si="38"/>
        <v>0</v>
      </c>
      <c r="M45" s="56">
        <f t="shared" si="38"/>
        <v>0</v>
      </c>
      <c r="N45" s="56">
        <f t="shared" si="39"/>
        <v>0</v>
      </c>
      <c r="O45" s="56">
        <f t="shared" si="39"/>
        <v>0</v>
      </c>
      <c r="P45" s="56">
        <f t="shared" si="39"/>
        <v>0</v>
      </c>
      <c r="Q45" s="56">
        <f t="shared" si="39"/>
        <v>0</v>
      </c>
      <c r="R45" s="56">
        <f t="shared" si="39"/>
        <v>0</v>
      </c>
      <c r="S45" s="56">
        <f t="shared" si="39"/>
        <v>0</v>
      </c>
      <c r="T45" s="56">
        <f t="shared" si="39"/>
        <v>0</v>
      </c>
    </row>
    <row r="46" spans="1:20">
      <c r="A46" s="56" t="s">
        <v>57</v>
      </c>
      <c r="B46" s="56"/>
      <c r="C46" s="97" t="s">
        <v>582</v>
      </c>
      <c r="D46" s="56">
        <f t="shared" si="38"/>
        <v>0</v>
      </c>
      <c r="E46" s="56">
        <f t="shared" si="38"/>
        <v>0</v>
      </c>
      <c r="F46" s="56">
        <f t="shared" si="38"/>
        <v>0</v>
      </c>
      <c r="G46" s="56">
        <f t="shared" si="38"/>
        <v>0</v>
      </c>
      <c r="H46" s="56">
        <f t="shared" si="38"/>
        <v>0</v>
      </c>
      <c r="I46" s="56">
        <f t="shared" si="38"/>
        <v>0</v>
      </c>
      <c r="J46" s="56">
        <f t="shared" si="38"/>
        <v>0</v>
      </c>
      <c r="K46" s="56">
        <f t="shared" si="38"/>
        <v>0</v>
      </c>
      <c r="L46" s="56">
        <f t="shared" si="38"/>
        <v>0</v>
      </c>
      <c r="M46" s="56">
        <f t="shared" si="38"/>
        <v>0</v>
      </c>
      <c r="N46" s="56">
        <f t="shared" si="39"/>
        <v>0</v>
      </c>
      <c r="O46" s="56">
        <f t="shared" si="39"/>
        <v>0</v>
      </c>
      <c r="P46" s="56">
        <f t="shared" si="39"/>
        <v>0</v>
      </c>
      <c r="Q46" s="56">
        <f t="shared" si="39"/>
        <v>0</v>
      </c>
      <c r="R46" s="56">
        <f t="shared" si="39"/>
        <v>0</v>
      </c>
      <c r="S46" s="56">
        <f t="shared" si="39"/>
        <v>0</v>
      </c>
      <c r="T46" s="56">
        <f t="shared" si="39"/>
        <v>0</v>
      </c>
    </row>
    <row r="47" spans="1:20">
      <c r="A47" s="56" t="s">
        <v>60</v>
      </c>
      <c r="B47" s="56"/>
      <c r="C47" s="97" t="s">
        <v>216</v>
      </c>
      <c r="D47" s="56">
        <f t="shared" si="38"/>
        <v>0</v>
      </c>
      <c r="E47" s="56">
        <f t="shared" si="38"/>
        <v>0</v>
      </c>
      <c r="F47" s="56">
        <f t="shared" si="38"/>
        <v>0</v>
      </c>
      <c r="G47" s="56">
        <f t="shared" si="38"/>
        <v>0</v>
      </c>
      <c r="H47" s="56">
        <f t="shared" si="38"/>
        <v>0</v>
      </c>
      <c r="I47" s="56">
        <f t="shared" si="38"/>
        <v>0</v>
      </c>
      <c r="J47" s="56">
        <f t="shared" si="38"/>
        <v>0</v>
      </c>
      <c r="K47" s="56">
        <f t="shared" si="38"/>
        <v>0</v>
      </c>
      <c r="L47" s="56">
        <f t="shared" si="38"/>
        <v>0</v>
      </c>
      <c r="M47" s="56">
        <f t="shared" si="38"/>
        <v>0</v>
      </c>
      <c r="N47" s="56">
        <f t="shared" si="39"/>
        <v>0</v>
      </c>
      <c r="O47" s="56">
        <f t="shared" si="39"/>
        <v>0</v>
      </c>
      <c r="P47" s="56">
        <f t="shared" si="39"/>
        <v>0</v>
      </c>
      <c r="Q47" s="56">
        <f t="shared" si="39"/>
        <v>0</v>
      </c>
      <c r="R47" s="56">
        <f t="shared" si="39"/>
        <v>0</v>
      </c>
      <c r="S47" s="56">
        <f t="shared" si="39"/>
        <v>0</v>
      </c>
      <c r="T47" s="56">
        <f t="shared" si="39"/>
        <v>0</v>
      </c>
    </row>
    <row r="48" spans="1:20">
      <c r="A48" s="98"/>
      <c r="B48" s="98"/>
      <c r="C48" s="99" t="s">
        <v>217</v>
      </c>
      <c r="D48" s="98">
        <f>SUM(D42:D47)</f>
        <v>0</v>
      </c>
      <c r="E48" s="98">
        <f t="shared" ref="E48:T48" si="40">SUM(E42:E47)</f>
        <v>0</v>
      </c>
      <c r="F48" s="98">
        <f t="shared" si="40"/>
        <v>0</v>
      </c>
      <c r="G48" s="98">
        <f t="shared" si="40"/>
        <v>0</v>
      </c>
      <c r="H48" s="98">
        <f t="shared" si="40"/>
        <v>0</v>
      </c>
      <c r="I48" s="98">
        <f t="shared" si="40"/>
        <v>0</v>
      </c>
      <c r="J48" s="98">
        <f t="shared" si="40"/>
        <v>0</v>
      </c>
      <c r="K48" s="98">
        <f t="shared" si="40"/>
        <v>0</v>
      </c>
      <c r="L48" s="98">
        <f t="shared" si="40"/>
        <v>0</v>
      </c>
      <c r="M48" s="98">
        <f t="shared" si="40"/>
        <v>0</v>
      </c>
      <c r="N48" s="98">
        <f t="shared" si="40"/>
        <v>0</v>
      </c>
      <c r="O48" s="98">
        <f t="shared" si="40"/>
        <v>0</v>
      </c>
      <c r="P48" s="98">
        <f t="shared" si="40"/>
        <v>0</v>
      </c>
      <c r="Q48" s="98">
        <f t="shared" si="40"/>
        <v>0</v>
      </c>
      <c r="R48" s="98">
        <f t="shared" si="40"/>
        <v>0</v>
      </c>
      <c r="S48" s="98">
        <f t="shared" si="40"/>
        <v>0</v>
      </c>
      <c r="T48" s="98">
        <f t="shared" si="40"/>
        <v>0</v>
      </c>
    </row>
    <row r="49" spans="1:20">
      <c r="A49" s="56" t="s">
        <v>583</v>
      </c>
      <c r="B49" s="56"/>
      <c r="C49" s="97" t="s">
        <v>218</v>
      </c>
      <c r="D49" s="56">
        <f t="shared" ref="D49:M53" si="41">IFERROR(SUMIF($A$88:$A$416,$A49,INDEX($D$88:$EE$416,0,MATCH(D$11,$D$84:$EF$84,0))),0)*Input_unit</f>
        <v>0</v>
      </c>
      <c r="E49" s="56">
        <f t="shared" si="41"/>
        <v>0</v>
      </c>
      <c r="F49" s="56">
        <f t="shared" si="41"/>
        <v>0</v>
      </c>
      <c r="G49" s="56">
        <f t="shared" si="41"/>
        <v>0</v>
      </c>
      <c r="H49" s="56">
        <f t="shared" si="41"/>
        <v>0</v>
      </c>
      <c r="I49" s="56">
        <f t="shared" si="41"/>
        <v>0</v>
      </c>
      <c r="J49" s="56">
        <f t="shared" si="41"/>
        <v>0</v>
      </c>
      <c r="K49" s="56">
        <f t="shared" si="41"/>
        <v>0</v>
      </c>
      <c r="L49" s="56">
        <f t="shared" si="41"/>
        <v>0</v>
      </c>
      <c r="M49" s="56">
        <f t="shared" si="41"/>
        <v>0</v>
      </c>
      <c r="N49" s="56">
        <f t="shared" ref="N49:T53" si="42">IFERROR(SUMIF($A$88:$A$416,$A49,INDEX($D$88:$EE$416,0,MATCH(N$11,$D$84:$EF$84,0))),0)*Input_unit</f>
        <v>0</v>
      </c>
      <c r="O49" s="56">
        <f t="shared" si="42"/>
        <v>0</v>
      </c>
      <c r="P49" s="56">
        <f t="shared" si="42"/>
        <v>0</v>
      </c>
      <c r="Q49" s="56">
        <f t="shared" si="42"/>
        <v>0</v>
      </c>
      <c r="R49" s="56">
        <f t="shared" si="42"/>
        <v>0</v>
      </c>
      <c r="S49" s="56">
        <f t="shared" si="42"/>
        <v>0</v>
      </c>
      <c r="T49" s="56">
        <f t="shared" si="42"/>
        <v>0</v>
      </c>
    </row>
    <row r="50" spans="1:20">
      <c r="A50" s="56" t="s">
        <v>584</v>
      </c>
      <c r="B50" s="56"/>
      <c r="C50" s="97" t="s">
        <v>219</v>
      </c>
      <c r="D50" s="56">
        <f t="shared" si="41"/>
        <v>0</v>
      </c>
      <c r="E50" s="56">
        <f t="shared" si="41"/>
        <v>0</v>
      </c>
      <c r="F50" s="56">
        <f t="shared" si="41"/>
        <v>0</v>
      </c>
      <c r="G50" s="56">
        <f t="shared" si="41"/>
        <v>0</v>
      </c>
      <c r="H50" s="56">
        <f t="shared" si="41"/>
        <v>0</v>
      </c>
      <c r="I50" s="56">
        <f t="shared" si="41"/>
        <v>0</v>
      </c>
      <c r="J50" s="56">
        <f t="shared" si="41"/>
        <v>0</v>
      </c>
      <c r="K50" s="56">
        <f t="shared" si="41"/>
        <v>0</v>
      </c>
      <c r="L50" s="56">
        <f t="shared" si="41"/>
        <v>0</v>
      </c>
      <c r="M50" s="56">
        <f t="shared" si="41"/>
        <v>0</v>
      </c>
      <c r="N50" s="56">
        <f t="shared" si="42"/>
        <v>0</v>
      </c>
      <c r="O50" s="56">
        <f t="shared" si="42"/>
        <v>0</v>
      </c>
      <c r="P50" s="56">
        <f t="shared" si="42"/>
        <v>0</v>
      </c>
      <c r="Q50" s="56">
        <f t="shared" si="42"/>
        <v>0</v>
      </c>
      <c r="R50" s="56">
        <f t="shared" si="42"/>
        <v>0</v>
      </c>
      <c r="S50" s="56">
        <f t="shared" si="42"/>
        <v>0</v>
      </c>
      <c r="T50" s="56">
        <f t="shared" si="42"/>
        <v>0</v>
      </c>
    </row>
    <row r="51" spans="1:20">
      <c r="A51" s="56" t="s">
        <v>66</v>
      </c>
      <c r="B51" s="56"/>
      <c r="C51" s="97" t="s">
        <v>220</v>
      </c>
      <c r="D51" s="56">
        <f t="shared" si="41"/>
        <v>0</v>
      </c>
      <c r="E51" s="56">
        <f t="shared" si="41"/>
        <v>0</v>
      </c>
      <c r="F51" s="56">
        <f t="shared" si="41"/>
        <v>0</v>
      </c>
      <c r="G51" s="56">
        <f t="shared" si="41"/>
        <v>0</v>
      </c>
      <c r="H51" s="56">
        <f t="shared" si="41"/>
        <v>0</v>
      </c>
      <c r="I51" s="56">
        <f t="shared" si="41"/>
        <v>0</v>
      </c>
      <c r="J51" s="56">
        <f t="shared" si="41"/>
        <v>0</v>
      </c>
      <c r="K51" s="56">
        <f t="shared" si="41"/>
        <v>0</v>
      </c>
      <c r="L51" s="56">
        <f t="shared" si="41"/>
        <v>0</v>
      </c>
      <c r="M51" s="56">
        <f t="shared" si="41"/>
        <v>0</v>
      </c>
      <c r="N51" s="56">
        <f t="shared" si="42"/>
        <v>0</v>
      </c>
      <c r="O51" s="56">
        <f t="shared" si="42"/>
        <v>0</v>
      </c>
      <c r="P51" s="56">
        <f t="shared" si="42"/>
        <v>0</v>
      </c>
      <c r="Q51" s="56">
        <f t="shared" si="42"/>
        <v>0</v>
      </c>
      <c r="R51" s="56">
        <f t="shared" si="42"/>
        <v>0</v>
      </c>
      <c r="S51" s="56">
        <f t="shared" si="42"/>
        <v>0</v>
      </c>
      <c r="T51" s="56">
        <f t="shared" si="42"/>
        <v>0</v>
      </c>
    </row>
    <row r="52" spans="1:20">
      <c r="A52" s="56" t="s">
        <v>585</v>
      </c>
      <c r="B52" s="56"/>
      <c r="C52" s="56" t="s">
        <v>221</v>
      </c>
      <c r="D52" s="56">
        <f t="shared" si="41"/>
        <v>0</v>
      </c>
      <c r="E52" s="56">
        <f t="shared" si="41"/>
        <v>0</v>
      </c>
      <c r="F52" s="56">
        <f t="shared" si="41"/>
        <v>0</v>
      </c>
      <c r="G52" s="56">
        <f t="shared" si="41"/>
        <v>0</v>
      </c>
      <c r="H52" s="56">
        <f t="shared" si="41"/>
        <v>0</v>
      </c>
      <c r="I52" s="56">
        <f t="shared" si="41"/>
        <v>0</v>
      </c>
      <c r="J52" s="56">
        <f t="shared" si="41"/>
        <v>0</v>
      </c>
      <c r="K52" s="56">
        <f t="shared" si="41"/>
        <v>0</v>
      </c>
      <c r="L52" s="56">
        <f t="shared" si="41"/>
        <v>0</v>
      </c>
      <c r="M52" s="56">
        <f t="shared" si="41"/>
        <v>0</v>
      </c>
      <c r="N52" s="56">
        <f t="shared" si="42"/>
        <v>0</v>
      </c>
      <c r="O52" s="56">
        <f t="shared" si="42"/>
        <v>0</v>
      </c>
      <c r="P52" s="56">
        <f t="shared" si="42"/>
        <v>0</v>
      </c>
      <c r="Q52" s="56">
        <f t="shared" si="42"/>
        <v>0</v>
      </c>
      <c r="R52" s="56">
        <f t="shared" si="42"/>
        <v>0</v>
      </c>
      <c r="S52" s="56">
        <f t="shared" si="42"/>
        <v>0</v>
      </c>
      <c r="T52" s="56">
        <f t="shared" si="42"/>
        <v>0</v>
      </c>
    </row>
    <row r="53" spans="1:20">
      <c r="A53" s="56" t="s">
        <v>82</v>
      </c>
      <c r="B53" s="56"/>
      <c r="C53" s="56" t="s">
        <v>222</v>
      </c>
      <c r="D53" s="56">
        <f t="shared" si="41"/>
        <v>0</v>
      </c>
      <c r="E53" s="56">
        <f t="shared" si="41"/>
        <v>0</v>
      </c>
      <c r="F53" s="56">
        <f t="shared" si="41"/>
        <v>0</v>
      </c>
      <c r="G53" s="56">
        <f t="shared" si="41"/>
        <v>0</v>
      </c>
      <c r="H53" s="56">
        <f t="shared" si="41"/>
        <v>0</v>
      </c>
      <c r="I53" s="56">
        <f t="shared" si="41"/>
        <v>0</v>
      </c>
      <c r="J53" s="56">
        <f t="shared" si="41"/>
        <v>0</v>
      </c>
      <c r="K53" s="56">
        <f t="shared" si="41"/>
        <v>0</v>
      </c>
      <c r="L53" s="56">
        <f t="shared" si="41"/>
        <v>0</v>
      </c>
      <c r="M53" s="56">
        <f t="shared" si="41"/>
        <v>0</v>
      </c>
      <c r="N53" s="56">
        <f t="shared" si="42"/>
        <v>0</v>
      </c>
      <c r="O53" s="56">
        <f t="shared" si="42"/>
        <v>0</v>
      </c>
      <c r="P53" s="56">
        <f t="shared" si="42"/>
        <v>0</v>
      </c>
      <c r="Q53" s="56">
        <f t="shared" si="42"/>
        <v>0</v>
      </c>
      <c r="R53" s="56">
        <f t="shared" si="42"/>
        <v>0</v>
      </c>
      <c r="S53" s="56">
        <f t="shared" si="42"/>
        <v>0</v>
      </c>
      <c r="T53" s="56">
        <f t="shared" si="42"/>
        <v>0</v>
      </c>
    </row>
    <row r="54" spans="1:20">
      <c r="A54" s="98"/>
      <c r="B54" s="98"/>
      <c r="C54" s="98" t="s">
        <v>223</v>
      </c>
      <c r="D54" s="98">
        <f>SUM(D49:D53)</f>
        <v>0</v>
      </c>
      <c r="E54" s="98">
        <f t="shared" ref="E54:T54" si="43">SUM(E49:E53)</f>
        <v>0</v>
      </c>
      <c r="F54" s="98">
        <f t="shared" si="43"/>
        <v>0</v>
      </c>
      <c r="G54" s="98">
        <f t="shared" si="43"/>
        <v>0</v>
      </c>
      <c r="H54" s="98">
        <f t="shared" si="43"/>
        <v>0</v>
      </c>
      <c r="I54" s="98">
        <f t="shared" si="43"/>
        <v>0</v>
      </c>
      <c r="J54" s="98">
        <f t="shared" si="43"/>
        <v>0</v>
      </c>
      <c r="K54" s="98">
        <f t="shared" si="43"/>
        <v>0</v>
      </c>
      <c r="L54" s="98">
        <f t="shared" si="43"/>
        <v>0</v>
      </c>
      <c r="M54" s="98">
        <f t="shared" si="43"/>
        <v>0</v>
      </c>
      <c r="N54" s="98">
        <f t="shared" si="43"/>
        <v>0</v>
      </c>
      <c r="O54" s="98">
        <f t="shared" si="43"/>
        <v>0</v>
      </c>
      <c r="P54" s="98">
        <f t="shared" si="43"/>
        <v>0</v>
      </c>
      <c r="Q54" s="98">
        <f t="shared" si="43"/>
        <v>0</v>
      </c>
      <c r="R54" s="98">
        <f t="shared" si="43"/>
        <v>0</v>
      </c>
      <c r="S54" s="98">
        <f t="shared" si="43"/>
        <v>0</v>
      </c>
      <c r="T54" s="98">
        <f t="shared" si="43"/>
        <v>0</v>
      </c>
    </row>
    <row r="55" spans="1:20">
      <c r="A55" s="98"/>
      <c r="B55" s="98"/>
      <c r="C55" s="98" t="s">
        <v>10</v>
      </c>
      <c r="D55" s="98">
        <f>D48+D54</f>
        <v>0</v>
      </c>
      <c r="E55" s="98">
        <f t="shared" ref="E55:T55" si="44">E48+E54</f>
        <v>0</v>
      </c>
      <c r="F55" s="98">
        <f t="shared" si="44"/>
        <v>0</v>
      </c>
      <c r="G55" s="98">
        <f t="shared" si="44"/>
        <v>0</v>
      </c>
      <c r="H55" s="98">
        <f t="shared" si="44"/>
        <v>0</v>
      </c>
      <c r="I55" s="98">
        <f t="shared" si="44"/>
        <v>0</v>
      </c>
      <c r="J55" s="98">
        <f t="shared" si="44"/>
        <v>0</v>
      </c>
      <c r="K55" s="98">
        <f t="shared" si="44"/>
        <v>0</v>
      </c>
      <c r="L55" s="98">
        <f t="shared" si="44"/>
        <v>0</v>
      </c>
      <c r="M55" s="98">
        <f t="shared" si="44"/>
        <v>0</v>
      </c>
      <c r="N55" s="98">
        <f t="shared" si="44"/>
        <v>0</v>
      </c>
      <c r="O55" s="98">
        <f t="shared" si="44"/>
        <v>0</v>
      </c>
      <c r="P55" s="98">
        <f t="shared" si="44"/>
        <v>0</v>
      </c>
      <c r="Q55" s="98">
        <f t="shared" si="44"/>
        <v>0</v>
      </c>
      <c r="R55" s="98">
        <f t="shared" si="44"/>
        <v>0</v>
      </c>
      <c r="S55" s="98">
        <f t="shared" si="44"/>
        <v>0</v>
      </c>
      <c r="T55" s="98">
        <f t="shared" si="44"/>
        <v>0</v>
      </c>
    </row>
    <row r="56" spans="1:20">
      <c r="A56" s="98" t="s">
        <v>224</v>
      </c>
      <c r="B56" s="98"/>
      <c r="C56" s="56"/>
      <c r="D56" s="97"/>
      <c r="E56" s="97"/>
      <c r="F56" s="97"/>
      <c r="G56" s="97"/>
      <c r="H56" s="97"/>
      <c r="I56" s="97"/>
      <c r="J56" s="97"/>
      <c r="K56" s="97"/>
      <c r="L56" s="97"/>
      <c r="M56" s="97"/>
      <c r="N56" s="97"/>
      <c r="O56" s="97"/>
      <c r="P56" s="97"/>
      <c r="Q56" s="97"/>
      <c r="R56" s="97"/>
      <c r="S56" s="97"/>
      <c r="T56" s="97"/>
    </row>
    <row r="57" spans="1:20">
      <c r="A57" s="56" t="s">
        <v>100</v>
      </c>
      <c r="B57" s="56"/>
      <c r="C57" s="56" t="s">
        <v>225</v>
      </c>
      <c r="D57" s="56">
        <f t="shared" ref="D57:M64" si="45">IFERROR(SUMIF($A$88:$A$416,$A57,INDEX($D$88:$EE$416,0,MATCH(D$11,$D$84:$EF$84,0))),0)*Input_unit</f>
        <v>0</v>
      </c>
      <c r="E57" s="56">
        <f t="shared" si="45"/>
        <v>0</v>
      </c>
      <c r="F57" s="56">
        <f t="shared" si="45"/>
        <v>0</v>
      </c>
      <c r="G57" s="56">
        <f t="shared" si="45"/>
        <v>0</v>
      </c>
      <c r="H57" s="56">
        <f t="shared" si="45"/>
        <v>0</v>
      </c>
      <c r="I57" s="56">
        <f t="shared" si="45"/>
        <v>0</v>
      </c>
      <c r="J57" s="56">
        <f t="shared" si="45"/>
        <v>0</v>
      </c>
      <c r="K57" s="56">
        <f t="shared" si="45"/>
        <v>0</v>
      </c>
      <c r="L57" s="56">
        <f t="shared" si="45"/>
        <v>0</v>
      </c>
      <c r="M57" s="56">
        <f t="shared" si="45"/>
        <v>0</v>
      </c>
      <c r="N57" s="56">
        <f t="shared" ref="N57:T64" si="46">IFERROR(SUMIF($A$88:$A$416,$A57,INDEX($D$88:$EE$416,0,MATCH(N$11,$D$84:$EF$84,0))),0)*Input_unit</f>
        <v>0</v>
      </c>
      <c r="O57" s="56">
        <f t="shared" si="46"/>
        <v>0</v>
      </c>
      <c r="P57" s="56">
        <f t="shared" si="46"/>
        <v>0</v>
      </c>
      <c r="Q57" s="56">
        <f t="shared" si="46"/>
        <v>0</v>
      </c>
      <c r="R57" s="56">
        <f t="shared" si="46"/>
        <v>0</v>
      </c>
      <c r="S57" s="56">
        <f t="shared" si="46"/>
        <v>0</v>
      </c>
      <c r="T57" s="56">
        <f t="shared" si="46"/>
        <v>0</v>
      </c>
    </row>
    <row r="58" spans="1:20">
      <c r="A58" s="56" t="s">
        <v>586</v>
      </c>
      <c r="B58" s="56"/>
      <c r="C58" s="56" t="s">
        <v>226</v>
      </c>
      <c r="D58" s="56">
        <f t="shared" si="45"/>
        <v>0</v>
      </c>
      <c r="E58" s="56">
        <f t="shared" si="45"/>
        <v>0</v>
      </c>
      <c r="F58" s="56">
        <f t="shared" si="45"/>
        <v>0</v>
      </c>
      <c r="G58" s="56">
        <f t="shared" si="45"/>
        <v>0</v>
      </c>
      <c r="H58" s="56">
        <f t="shared" si="45"/>
        <v>0</v>
      </c>
      <c r="I58" s="56">
        <f t="shared" si="45"/>
        <v>0</v>
      </c>
      <c r="J58" s="56">
        <f t="shared" si="45"/>
        <v>0</v>
      </c>
      <c r="K58" s="56">
        <f t="shared" si="45"/>
        <v>0</v>
      </c>
      <c r="L58" s="56">
        <f t="shared" si="45"/>
        <v>0</v>
      </c>
      <c r="M58" s="56">
        <f t="shared" si="45"/>
        <v>0</v>
      </c>
      <c r="N58" s="56">
        <f t="shared" si="46"/>
        <v>0</v>
      </c>
      <c r="O58" s="56">
        <f t="shared" si="46"/>
        <v>0</v>
      </c>
      <c r="P58" s="56">
        <f t="shared" si="46"/>
        <v>0</v>
      </c>
      <c r="Q58" s="56">
        <f t="shared" si="46"/>
        <v>0</v>
      </c>
      <c r="R58" s="56">
        <f t="shared" si="46"/>
        <v>0</v>
      </c>
      <c r="S58" s="56">
        <f t="shared" si="46"/>
        <v>0</v>
      </c>
      <c r="T58" s="56">
        <f t="shared" si="46"/>
        <v>0</v>
      </c>
    </row>
    <row r="59" spans="1:20">
      <c r="A59" s="56" t="s">
        <v>587</v>
      </c>
      <c r="B59" s="56"/>
      <c r="C59" s="56" t="s">
        <v>227</v>
      </c>
      <c r="D59" s="56">
        <f t="shared" si="45"/>
        <v>0</v>
      </c>
      <c r="E59" s="56">
        <f t="shared" si="45"/>
        <v>0</v>
      </c>
      <c r="F59" s="56">
        <f t="shared" si="45"/>
        <v>0</v>
      </c>
      <c r="G59" s="56">
        <f t="shared" si="45"/>
        <v>0</v>
      </c>
      <c r="H59" s="56">
        <f t="shared" si="45"/>
        <v>0</v>
      </c>
      <c r="I59" s="56">
        <f t="shared" si="45"/>
        <v>0</v>
      </c>
      <c r="J59" s="56">
        <f t="shared" si="45"/>
        <v>0</v>
      </c>
      <c r="K59" s="56">
        <f t="shared" si="45"/>
        <v>0</v>
      </c>
      <c r="L59" s="56">
        <f t="shared" si="45"/>
        <v>0</v>
      </c>
      <c r="M59" s="56">
        <f t="shared" si="45"/>
        <v>0</v>
      </c>
      <c r="N59" s="56">
        <f t="shared" si="46"/>
        <v>0</v>
      </c>
      <c r="O59" s="56">
        <f t="shared" si="46"/>
        <v>0</v>
      </c>
      <c r="P59" s="56">
        <f t="shared" si="46"/>
        <v>0</v>
      </c>
      <c r="Q59" s="56">
        <f t="shared" si="46"/>
        <v>0</v>
      </c>
      <c r="R59" s="56">
        <f t="shared" si="46"/>
        <v>0</v>
      </c>
      <c r="S59" s="56">
        <f t="shared" si="46"/>
        <v>0</v>
      </c>
      <c r="T59" s="56">
        <f t="shared" si="46"/>
        <v>0</v>
      </c>
    </row>
    <row r="60" spans="1:20">
      <c r="A60" s="56" t="s">
        <v>588</v>
      </c>
      <c r="B60" s="56"/>
      <c r="C60" s="97" t="s">
        <v>228</v>
      </c>
      <c r="D60" s="56">
        <f t="shared" si="45"/>
        <v>0</v>
      </c>
      <c r="E60" s="56">
        <f t="shared" si="45"/>
        <v>0</v>
      </c>
      <c r="F60" s="56">
        <f t="shared" si="45"/>
        <v>0</v>
      </c>
      <c r="G60" s="56">
        <f t="shared" si="45"/>
        <v>0</v>
      </c>
      <c r="H60" s="56">
        <f t="shared" si="45"/>
        <v>0</v>
      </c>
      <c r="I60" s="56">
        <f t="shared" si="45"/>
        <v>0</v>
      </c>
      <c r="J60" s="56">
        <f t="shared" si="45"/>
        <v>0</v>
      </c>
      <c r="K60" s="56">
        <f t="shared" si="45"/>
        <v>0</v>
      </c>
      <c r="L60" s="56">
        <f t="shared" si="45"/>
        <v>0</v>
      </c>
      <c r="M60" s="56">
        <f t="shared" si="45"/>
        <v>0</v>
      </c>
      <c r="N60" s="56">
        <f t="shared" si="46"/>
        <v>0</v>
      </c>
      <c r="O60" s="56">
        <f t="shared" si="46"/>
        <v>0</v>
      </c>
      <c r="P60" s="56">
        <f t="shared" si="46"/>
        <v>0</v>
      </c>
      <c r="Q60" s="56">
        <f t="shared" si="46"/>
        <v>0</v>
      </c>
      <c r="R60" s="56">
        <f t="shared" si="46"/>
        <v>0</v>
      </c>
      <c r="S60" s="56">
        <f t="shared" si="46"/>
        <v>0</v>
      </c>
      <c r="T60" s="56">
        <f t="shared" si="46"/>
        <v>0</v>
      </c>
    </row>
    <row r="61" spans="1:20">
      <c r="A61" s="56" t="s">
        <v>96</v>
      </c>
      <c r="B61" s="56"/>
      <c r="C61" s="97" t="s">
        <v>229</v>
      </c>
      <c r="D61" s="56">
        <f t="shared" si="45"/>
        <v>0</v>
      </c>
      <c r="E61" s="56">
        <f t="shared" si="45"/>
        <v>0</v>
      </c>
      <c r="F61" s="56">
        <f t="shared" si="45"/>
        <v>0</v>
      </c>
      <c r="G61" s="56">
        <f t="shared" si="45"/>
        <v>0</v>
      </c>
      <c r="H61" s="56">
        <f t="shared" si="45"/>
        <v>0</v>
      </c>
      <c r="I61" s="56">
        <f t="shared" si="45"/>
        <v>0</v>
      </c>
      <c r="J61" s="56">
        <f t="shared" si="45"/>
        <v>0</v>
      </c>
      <c r="K61" s="56">
        <f t="shared" si="45"/>
        <v>0</v>
      </c>
      <c r="L61" s="56">
        <f t="shared" si="45"/>
        <v>0</v>
      </c>
      <c r="M61" s="56">
        <f t="shared" si="45"/>
        <v>0</v>
      </c>
      <c r="N61" s="56">
        <f t="shared" si="46"/>
        <v>0</v>
      </c>
      <c r="O61" s="56">
        <f t="shared" si="46"/>
        <v>0</v>
      </c>
      <c r="P61" s="56">
        <f t="shared" si="46"/>
        <v>0</v>
      </c>
      <c r="Q61" s="56">
        <f t="shared" si="46"/>
        <v>0</v>
      </c>
      <c r="R61" s="56">
        <f t="shared" si="46"/>
        <v>0</v>
      </c>
      <c r="S61" s="56">
        <f t="shared" si="46"/>
        <v>0</v>
      </c>
      <c r="T61" s="56">
        <f t="shared" si="46"/>
        <v>0</v>
      </c>
    </row>
    <row r="62" spans="1:20">
      <c r="A62" s="56" t="s">
        <v>589</v>
      </c>
      <c r="B62" s="56"/>
      <c r="C62" s="97" t="s">
        <v>230</v>
      </c>
      <c r="D62" s="56">
        <f t="shared" si="45"/>
        <v>0</v>
      </c>
      <c r="E62" s="56">
        <f t="shared" si="45"/>
        <v>0</v>
      </c>
      <c r="F62" s="56">
        <f t="shared" si="45"/>
        <v>0</v>
      </c>
      <c r="G62" s="56">
        <f t="shared" si="45"/>
        <v>0</v>
      </c>
      <c r="H62" s="56">
        <f t="shared" si="45"/>
        <v>0</v>
      </c>
      <c r="I62" s="56">
        <f t="shared" si="45"/>
        <v>0</v>
      </c>
      <c r="J62" s="56">
        <f t="shared" si="45"/>
        <v>0</v>
      </c>
      <c r="K62" s="56">
        <f t="shared" si="45"/>
        <v>0</v>
      </c>
      <c r="L62" s="56">
        <f t="shared" si="45"/>
        <v>0</v>
      </c>
      <c r="M62" s="56">
        <f t="shared" si="45"/>
        <v>0</v>
      </c>
      <c r="N62" s="56">
        <f t="shared" si="46"/>
        <v>0</v>
      </c>
      <c r="O62" s="56">
        <f t="shared" si="46"/>
        <v>0</v>
      </c>
      <c r="P62" s="56">
        <f t="shared" si="46"/>
        <v>0</v>
      </c>
      <c r="Q62" s="56">
        <f t="shared" si="46"/>
        <v>0</v>
      </c>
      <c r="R62" s="56">
        <f t="shared" si="46"/>
        <v>0</v>
      </c>
      <c r="S62" s="56">
        <f t="shared" si="46"/>
        <v>0</v>
      </c>
      <c r="T62" s="56">
        <f t="shared" si="46"/>
        <v>0</v>
      </c>
    </row>
    <row r="63" spans="1:20">
      <c r="A63" s="100" t="s">
        <v>92</v>
      </c>
      <c r="B63" s="100"/>
      <c r="C63" s="101" t="s">
        <v>231</v>
      </c>
      <c r="D63" s="56">
        <f t="shared" si="45"/>
        <v>0</v>
      </c>
      <c r="E63" s="56">
        <f t="shared" si="45"/>
        <v>0</v>
      </c>
      <c r="F63" s="56">
        <f t="shared" si="45"/>
        <v>0</v>
      </c>
      <c r="G63" s="56">
        <f t="shared" si="45"/>
        <v>0</v>
      </c>
      <c r="H63" s="56">
        <f t="shared" si="45"/>
        <v>0</v>
      </c>
      <c r="I63" s="56">
        <f t="shared" si="45"/>
        <v>0</v>
      </c>
      <c r="J63" s="56">
        <f t="shared" si="45"/>
        <v>0</v>
      </c>
      <c r="K63" s="56">
        <f t="shared" si="45"/>
        <v>0</v>
      </c>
      <c r="L63" s="56">
        <f t="shared" si="45"/>
        <v>0</v>
      </c>
      <c r="M63" s="56">
        <f t="shared" si="45"/>
        <v>0</v>
      </c>
      <c r="N63" s="56">
        <f t="shared" si="46"/>
        <v>0</v>
      </c>
      <c r="O63" s="56">
        <f t="shared" si="46"/>
        <v>0</v>
      </c>
      <c r="P63" s="56">
        <f t="shared" si="46"/>
        <v>0</v>
      </c>
      <c r="Q63" s="56">
        <f t="shared" si="46"/>
        <v>0</v>
      </c>
      <c r="R63" s="56">
        <f t="shared" si="46"/>
        <v>0</v>
      </c>
      <c r="S63" s="56">
        <f t="shared" si="46"/>
        <v>0</v>
      </c>
      <c r="T63" s="56">
        <f t="shared" si="46"/>
        <v>0</v>
      </c>
    </row>
    <row r="64" spans="1:20">
      <c r="A64" s="56" t="s">
        <v>590</v>
      </c>
      <c r="B64" s="56"/>
      <c r="C64" s="97" t="s">
        <v>232</v>
      </c>
      <c r="D64" s="56">
        <f t="shared" si="45"/>
        <v>0</v>
      </c>
      <c r="E64" s="56">
        <f t="shared" si="45"/>
        <v>0</v>
      </c>
      <c r="F64" s="56">
        <f t="shared" si="45"/>
        <v>0</v>
      </c>
      <c r="G64" s="56">
        <f t="shared" si="45"/>
        <v>0</v>
      </c>
      <c r="H64" s="56">
        <f t="shared" si="45"/>
        <v>0</v>
      </c>
      <c r="I64" s="56">
        <f t="shared" si="45"/>
        <v>0</v>
      </c>
      <c r="J64" s="56">
        <f t="shared" si="45"/>
        <v>0</v>
      </c>
      <c r="K64" s="56">
        <f t="shared" si="45"/>
        <v>0</v>
      </c>
      <c r="L64" s="56">
        <f t="shared" si="45"/>
        <v>0</v>
      </c>
      <c r="M64" s="56">
        <f t="shared" si="45"/>
        <v>0</v>
      </c>
      <c r="N64" s="56">
        <f t="shared" si="46"/>
        <v>0</v>
      </c>
      <c r="O64" s="56">
        <f t="shared" si="46"/>
        <v>0</v>
      </c>
      <c r="P64" s="56">
        <f t="shared" si="46"/>
        <v>0</v>
      </c>
      <c r="Q64" s="56">
        <f t="shared" si="46"/>
        <v>0</v>
      </c>
      <c r="R64" s="56">
        <f t="shared" si="46"/>
        <v>0</v>
      </c>
      <c r="S64" s="56">
        <f t="shared" si="46"/>
        <v>0</v>
      </c>
      <c r="T64" s="56">
        <f t="shared" si="46"/>
        <v>0</v>
      </c>
    </row>
    <row r="65" spans="1:20">
      <c r="A65" s="98"/>
      <c r="B65" s="98"/>
      <c r="C65" s="99" t="s">
        <v>233</v>
      </c>
      <c r="D65" s="98">
        <f>SUM(D57:D64)</f>
        <v>0</v>
      </c>
      <c r="E65" s="98">
        <f t="shared" ref="E65:T65" si="47">SUM(E57:E64)</f>
        <v>0</v>
      </c>
      <c r="F65" s="98">
        <f t="shared" si="47"/>
        <v>0</v>
      </c>
      <c r="G65" s="98">
        <f t="shared" si="47"/>
        <v>0</v>
      </c>
      <c r="H65" s="98">
        <f t="shared" si="47"/>
        <v>0</v>
      </c>
      <c r="I65" s="98">
        <f t="shared" si="47"/>
        <v>0</v>
      </c>
      <c r="J65" s="98">
        <f t="shared" si="47"/>
        <v>0</v>
      </c>
      <c r="K65" s="98">
        <f t="shared" si="47"/>
        <v>0</v>
      </c>
      <c r="L65" s="98">
        <f t="shared" si="47"/>
        <v>0</v>
      </c>
      <c r="M65" s="98">
        <f t="shared" si="47"/>
        <v>0</v>
      </c>
      <c r="N65" s="98">
        <f t="shared" si="47"/>
        <v>0</v>
      </c>
      <c r="O65" s="98">
        <f t="shared" si="47"/>
        <v>0</v>
      </c>
      <c r="P65" s="98">
        <f t="shared" si="47"/>
        <v>0</v>
      </c>
      <c r="Q65" s="98">
        <f t="shared" si="47"/>
        <v>0</v>
      </c>
      <c r="R65" s="98">
        <f t="shared" si="47"/>
        <v>0</v>
      </c>
      <c r="S65" s="98">
        <f t="shared" si="47"/>
        <v>0</v>
      </c>
      <c r="T65" s="98">
        <f t="shared" si="47"/>
        <v>0</v>
      </c>
    </row>
    <row r="66" spans="1:20">
      <c r="A66" s="56"/>
      <c r="B66" s="56"/>
      <c r="C66" s="97" t="s">
        <v>234</v>
      </c>
      <c r="D66" s="56">
        <f t="shared" ref="D66:M67" si="48">IFERROR(SUMIF($A$88:$A$416,$A66,INDEX($D$88:$EE$416,0,MATCH(D$11,$D$84:$EF$84,0))),0)*Input_unit</f>
        <v>0</v>
      </c>
      <c r="E66" s="56">
        <f t="shared" si="48"/>
        <v>0</v>
      </c>
      <c r="F66" s="56">
        <f t="shared" si="48"/>
        <v>0</v>
      </c>
      <c r="G66" s="56">
        <f t="shared" si="48"/>
        <v>0</v>
      </c>
      <c r="H66" s="56">
        <f t="shared" si="48"/>
        <v>0</v>
      </c>
      <c r="I66" s="56">
        <f t="shared" si="48"/>
        <v>0</v>
      </c>
      <c r="J66" s="56">
        <f t="shared" si="48"/>
        <v>0</v>
      </c>
      <c r="K66" s="56">
        <f t="shared" si="48"/>
        <v>0</v>
      </c>
      <c r="L66" s="56">
        <f t="shared" si="48"/>
        <v>0</v>
      </c>
      <c r="M66" s="56">
        <f t="shared" si="48"/>
        <v>0</v>
      </c>
      <c r="N66" s="56">
        <f t="shared" ref="N66:T67" si="49">IFERROR(SUMIF($A$88:$A$416,$A66,INDEX($D$88:$EE$416,0,MATCH(N$11,$D$84:$EF$84,0))),0)*Input_unit</f>
        <v>0</v>
      </c>
      <c r="O66" s="56">
        <f t="shared" si="49"/>
        <v>0</v>
      </c>
      <c r="P66" s="56">
        <f t="shared" si="49"/>
        <v>0</v>
      </c>
      <c r="Q66" s="56">
        <f t="shared" si="49"/>
        <v>0</v>
      </c>
      <c r="R66" s="56">
        <f t="shared" si="49"/>
        <v>0</v>
      </c>
      <c r="S66" s="56">
        <f t="shared" si="49"/>
        <v>0</v>
      </c>
      <c r="T66" s="56">
        <f t="shared" si="49"/>
        <v>0</v>
      </c>
    </row>
    <row r="67" spans="1:20">
      <c r="A67" s="56" t="s">
        <v>118</v>
      </c>
      <c r="B67" s="56"/>
      <c r="C67" s="97" t="s">
        <v>235</v>
      </c>
      <c r="D67" s="56">
        <f t="shared" si="48"/>
        <v>0</v>
      </c>
      <c r="E67" s="56">
        <f t="shared" si="48"/>
        <v>0</v>
      </c>
      <c r="F67" s="56">
        <f t="shared" si="48"/>
        <v>0</v>
      </c>
      <c r="G67" s="56">
        <f t="shared" si="48"/>
        <v>0</v>
      </c>
      <c r="H67" s="56">
        <f t="shared" si="48"/>
        <v>0</v>
      </c>
      <c r="I67" s="56">
        <f t="shared" si="48"/>
        <v>0</v>
      </c>
      <c r="J67" s="56">
        <f t="shared" si="48"/>
        <v>0</v>
      </c>
      <c r="K67" s="56">
        <f t="shared" si="48"/>
        <v>0</v>
      </c>
      <c r="L67" s="56">
        <f t="shared" si="48"/>
        <v>0</v>
      </c>
      <c r="M67" s="56">
        <f t="shared" si="48"/>
        <v>0</v>
      </c>
      <c r="N67" s="56">
        <f t="shared" si="49"/>
        <v>0</v>
      </c>
      <c r="O67" s="56">
        <f t="shared" si="49"/>
        <v>0</v>
      </c>
      <c r="P67" s="56">
        <f t="shared" si="49"/>
        <v>0</v>
      </c>
      <c r="Q67" s="56">
        <f t="shared" si="49"/>
        <v>0</v>
      </c>
      <c r="R67" s="56">
        <f t="shared" si="49"/>
        <v>0</v>
      </c>
      <c r="S67" s="56">
        <f t="shared" si="49"/>
        <v>0</v>
      </c>
      <c r="T67" s="56">
        <f t="shared" si="49"/>
        <v>0</v>
      </c>
    </row>
    <row r="68" spans="1:20">
      <c r="A68" s="98"/>
      <c r="B68" s="98"/>
      <c r="C68" s="99" t="s">
        <v>236</v>
      </c>
      <c r="D68" s="98">
        <f>D66+D67</f>
        <v>0</v>
      </c>
      <c r="E68" s="98">
        <f t="shared" ref="E68:T68" si="50">E66+E67</f>
        <v>0</v>
      </c>
      <c r="F68" s="98">
        <f t="shared" si="50"/>
        <v>0</v>
      </c>
      <c r="G68" s="98">
        <f t="shared" si="50"/>
        <v>0</v>
      </c>
      <c r="H68" s="98">
        <f t="shared" si="50"/>
        <v>0</v>
      </c>
      <c r="I68" s="98">
        <f t="shared" si="50"/>
        <v>0</v>
      </c>
      <c r="J68" s="98">
        <f t="shared" si="50"/>
        <v>0</v>
      </c>
      <c r="K68" s="98">
        <f t="shared" si="50"/>
        <v>0</v>
      </c>
      <c r="L68" s="98">
        <f t="shared" si="50"/>
        <v>0</v>
      </c>
      <c r="M68" s="98">
        <f t="shared" si="50"/>
        <v>0</v>
      </c>
      <c r="N68" s="98">
        <f t="shared" si="50"/>
        <v>0</v>
      </c>
      <c r="O68" s="98">
        <f t="shared" si="50"/>
        <v>0</v>
      </c>
      <c r="P68" s="98">
        <f t="shared" si="50"/>
        <v>0</v>
      </c>
      <c r="Q68" s="98">
        <f t="shared" si="50"/>
        <v>0</v>
      </c>
      <c r="R68" s="98">
        <f t="shared" si="50"/>
        <v>0</v>
      </c>
      <c r="S68" s="98">
        <f t="shared" si="50"/>
        <v>0</v>
      </c>
      <c r="T68" s="98">
        <f t="shared" si="50"/>
        <v>0</v>
      </c>
    </row>
    <row r="69" spans="1:20">
      <c r="A69" s="56" t="s">
        <v>591</v>
      </c>
      <c r="B69" s="56"/>
      <c r="C69" s="56" t="s">
        <v>237</v>
      </c>
      <c r="D69" s="56">
        <f t="shared" ref="D69:M70" si="51">IFERROR(SUMIF($A$88:$A$416,$A69,INDEX($D$88:$EE$416,0,MATCH(D$11,$D$84:$EF$84,0))),0)*Input_unit</f>
        <v>0</v>
      </c>
      <c r="E69" s="56">
        <f t="shared" si="51"/>
        <v>0</v>
      </c>
      <c r="F69" s="56">
        <f t="shared" si="51"/>
        <v>0</v>
      </c>
      <c r="G69" s="56">
        <f t="shared" si="51"/>
        <v>0</v>
      </c>
      <c r="H69" s="56">
        <f t="shared" si="51"/>
        <v>0</v>
      </c>
      <c r="I69" s="56">
        <f t="shared" si="51"/>
        <v>0</v>
      </c>
      <c r="J69" s="56">
        <f t="shared" si="51"/>
        <v>0</v>
      </c>
      <c r="K69" s="56">
        <f t="shared" si="51"/>
        <v>0</v>
      </c>
      <c r="L69" s="56">
        <f t="shared" si="51"/>
        <v>0</v>
      </c>
      <c r="M69" s="56">
        <f t="shared" si="51"/>
        <v>0</v>
      </c>
      <c r="N69" s="56">
        <f t="shared" ref="N69:T70" si="52">IFERROR(SUMIF($A$88:$A$416,$A69,INDEX($D$88:$EE$416,0,MATCH(N$11,$D$84:$EF$84,0))),0)*Input_unit</f>
        <v>0</v>
      </c>
      <c r="O69" s="56">
        <f t="shared" si="52"/>
        <v>0</v>
      </c>
      <c r="P69" s="56">
        <f t="shared" si="52"/>
        <v>0</v>
      </c>
      <c r="Q69" s="56">
        <f t="shared" si="52"/>
        <v>0</v>
      </c>
      <c r="R69" s="56">
        <f t="shared" si="52"/>
        <v>0</v>
      </c>
      <c r="S69" s="56">
        <f t="shared" si="52"/>
        <v>0</v>
      </c>
      <c r="T69" s="56">
        <f t="shared" si="52"/>
        <v>0</v>
      </c>
    </row>
    <row r="70" spans="1:20">
      <c r="A70" s="56" t="s">
        <v>114</v>
      </c>
      <c r="B70" s="56"/>
      <c r="C70" s="56" t="s">
        <v>238</v>
      </c>
      <c r="D70" s="56">
        <f t="shared" si="51"/>
        <v>0</v>
      </c>
      <c r="E70" s="56">
        <f t="shared" si="51"/>
        <v>0</v>
      </c>
      <c r="F70" s="56">
        <f t="shared" si="51"/>
        <v>0</v>
      </c>
      <c r="G70" s="56">
        <f t="shared" si="51"/>
        <v>0</v>
      </c>
      <c r="H70" s="56">
        <f t="shared" si="51"/>
        <v>0</v>
      </c>
      <c r="I70" s="56">
        <f t="shared" si="51"/>
        <v>0</v>
      </c>
      <c r="J70" s="56">
        <f t="shared" si="51"/>
        <v>0</v>
      </c>
      <c r="K70" s="56">
        <f t="shared" si="51"/>
        <v>0</v>
      </c>
      <c r="L70" s="56">
        <f t="shared" si="51"/>
        <v>0</v>
      </c>
      <c r="M70" s="56">
        <f t="shared" si="51"/>
        <v>0</v>
      </c>
      <c r="N70" s="56">
        <f t="shared" si="52"/>
        <v>0</v>
      </c>
      <c r="O70" s="56">
        <f t="shared" si="52"/>
        <v>0</v>
      </c>
      <c r="P70" s="56">
        <f t="shared" si="52"/>
        <v>0</v>
      </c>
      <c r="Q70" s="56">
        <f t="shared" si="52"/>
        <v>0</v>
      </c>
      <c r="R70" s="56">
        <f t="shared" si="52"/>
        <v>0</v>
      </c>
      <c r="S70" s="56">
        <f t="shared" si="52"/>
        <v>0</v>
      </c>
      <c r="T70" s="56">
        <f t="shared" si="52"/>
        <v>0</v>
      </c>
    </row>
    <row r="71" spans="1:20">
      <c r="A71" s="98"/>
      <c r="B71" s="98"/>
      <c r="C71" s="98" t="s">
        <v>17</v>
      </c>
      <c r="D71" s="98">
        <f>D65+D68+D69+D70</f>
        <v>0</v>
      </c>
      <c r="E71" s="98">
        <f t="shared" ref="E71:T71" si="53">E65+E68+E69+E70</f>
        <v>0</v>
      </c>
      <c r="F71" s="98">
        <f t="shared" si="53"/>
        <v>0</v>
      </c>
      <c r="G71" s="98">
        <f t="shared" si="53"/>
        <v>0</v>
      </c>
      <c r="H71" s="98">
        <f t="shared" si="53"/>
        <v>0</v>
      </c>
      <c r="I71" s="98">
        <f t="shared" si="53"/>
        <v>0</v>
      </c>
      <c r="J71" s="98">
        <f t="shared" si="53"/>
        <v>0</v>
      </c>
      <c r="K71" s="98">
        <f t="shared" si="53"/>
        <v>0</v>
      </c>
      <c r="L71" s="98">
        <f t="shared" si="53"/>
        <v>0</v>
      </c>
      <c r="M71" s="98">
        <f t="shared" si="53"/>
        <v>0</v>
      </c>
      <c r="N71" s="98">
        <f t="shared" si="53"/>
        <v>0</v>
      </c>
      <c r="O71" s="98">
        <f t="shared" si="53"/>
        <v>0</v>
      </c>
      <c r="P71" s="98">
        <f t="shared" si="53"/>
        <v>0</v>
      </c>
      <c r="Q71" s="98">
        <f t="shared" si="53"/>
        <v>0</v>
      </c>
      <c r="R71" s="98">
        <f t="shared" si="53"/>
        <v>0</v>
      </c>
      <c r="S71" s="98">
        <f t="shared" si="53"/>
        <v>0</v>
      </c>
      <c r="T71" s="98">
        <f t="shared" si="53"/>
        <v>0</v>
      </c>
    </row>
    <row r="72" spans="1:20">
      <c r="A72" s="56" t="s">
        <v>165</v>
      </c>
      <c r="B72" s="56"/>
      <c r="C72" s="56" t="s">
        <v>209</v>
      </c>
      <c r="D72" s="56">
        <f t="shared" ref="D72:M78" si="54">IFERROR(SUMIF($A$88:$A$416,$A72,INDEX($D$88:$EE$416,0,MATCH(D$11,$D$84:$EF$84,0))),0)*Input_unit</f>
        <v>0</v>
      </c>
      <c r="E72" s="56">
        <f t="shared" si="54"/>
        <v>0</v>
      </c>
      <c r="F72" s="56">
        <f t="shared" si="54"/>
        <v>0</v>
      </c>
      <c r="G72" s="56">
        <f t="shared" si="54"/>
        <v>0</v>
      </c>
      <c r="H72" s="56">
        <f t="shared" si="54"/>
        <v>0</v>
      </c>
      <c r="I72" s="56">
        <f t="shared" si="54"/>
        <v>0</v>
      </c>
      <c r="J72" s="56">
        <f t="shared" si="54"/>
        <v>0</v>
      </c>
      <c r="K72" s="56">
        <f t="shared" si="54"/>
        <v>0</v>
      </c>
      <c r="L72" s="56">
        <f t="shared" si="54"/>
        <v>0</v>
      </c>
      <c r="M72" s="56">
        <f t="shared" si="54"/>
        <v>0</v>
      </c>
      <c r="N72" s="56">
        <f t="shared" ref="N72:T78" si="55">IFERROR(SUMIF($A$88:$A$416,$A72,INDEX($D$88:$EE$416,0,MATCH(N$11,$D$84:$EF$84,0))),0)*Input_unit</f>
        <v>0</v>
      </c>
      <c r="O72" s="56">
        <f t="shared" si="55"/>
        <v>0</v>
      </c>
      <c r="P72" s="56">
        <f t="shared" si="55"/>
        <v>0</v>
      </c>
      <c r="Q72" s="56">
        <f t="shared" si="55"/>
        <v>0</v>
      </c>
      <c r="R72" s="56">
        <f t="shared" si="55"/>
        <v>0</v>
      </c>
      <c r="S72" s="56">
        <f t="shared" si="55"/>
        <v>0</v>
      </c>
      <c r="T72" s="56">
        <f t="shared" si="55"/>
        <v>0</v>
      </c>
    </row>
    <row r="73" spans="1:20">
      <c r="A73" s="102" t="s">
        <v>592</v>
      </c>
      <c r="B73" s="102"/>
      <c r="C73" s="56" t="s">
        <v>239</v>
      </c>
      <c r="D73" s="56">
        <f t="shared" si="54"/>
        <v>0</v>
      </c>
      <c r="E73" s="56">
        <f t="shared" si="54"/>
        <v>0</v>
      </c>
      <c r="F73" s="56">
        <f t="shared" si="54"/>
        <v>0</v>
      </c>
      <c r="G73" s="56">
        <f t="shared" si="54"/>
        <v>0</v>
      </c>
      <c r="H73" s="56">
        <f t="shared" si="54"/>
        <v>0</v>
      </c>
      <c r="I73" s="56">
        <f t="shared" si="54"/>
        <v>0</v>
      </c>
      <c r="J73" s="56">
        <f t="shared" si="54"/>
        <v>0</v>
      </c>
      <c r="K73" s="56">
        <f t="shared" si="54"/>
        <v>0</v>
      </c>
      <c r="L73" s="56">
        <f t="shared" si="54"/>
        <v>0</v>
      </c>
      <c r="M73" s="56">
        <f t="shared" si="54"/>
        <v>0</v>
      </c>
      <c r="N73" s="56">
        <f t="shared" si="55"/>
        <v>0</v>
      </c>
      <c r="O73" s="56">
        <f t="shared" si="55"/>
        <v>0</v>
      </c>
      <c r="P73" s="56">
        <f t="shared" si="55"/>
        <v>0</v>
      </c>
      <c r="Q73" s="56">
        <f t="shared" si="55"/>
        <v>0</v>
      </c>
      <c r="R73" s="56">
        <f t="shared" si="55"/>
        <v>0</v>
      </c>
      <c r="S73" s="56">
        <f t="shared" si="55"/>
        <v>0</v>
      </c>
      <c r="T73" s="56">
        <f t="shared" si="55"/>
        <v>0</v>
      </c>
    </row>
    <row r="74" spans="1:20">
      <c r="A74" s="102" t="s">
        <v>593</v>
      </c>
      <c r="B74" s="102"/>
      <c r="C74" s="56" t="s">
        <v>240</v>
      </c>
      <c r="D74" s="56">
        <f t="shared" si="54"/>
        <v>0</v>
      </c>
      <c r="E74" s="56">
        <f t="shared" si="54"/>
        <v>0</v>
      </c>
      <c r="F74" s="56">
        <f t="shared" si="54"/>
        <v>0</v>
      </c>
      <c r="G74" s="56">
        <f t="shared" si="54"/>
        <v>0</v>
      </c>
      <c r="H74" s="56">
        <f t="shared" si="54"/>
        <v>0</v>
      </c>
      <c r="I74" s="56">
        <f t="shared" si="54"/>
        <v>0</v>
      </c>
      <c r="J74" s="56">
        <f t="shared" si="54"/>
        <v>0</v>
      </c>
      <c r="K74" s="56">
        <f t="shared" si="54"/>
        <v>0</v>
      </c>
      <c r="L74" s="56">
        <f t="shared" si="54"/>
        <v>0</v>
      </c>
      <c r="M74" s="56">
        <f t="shared" si="54"/>
        <v>0</v>
      </c>
      <c r="N74" s="56">
        <f t="shared" si="55"/>
        <v>0</v>
      </c>
      <c r="O74" s="56">
        <f t="shared" si="55"/>
        <v>0</v>
      </c>
      <c r="P74" s="56">
        <f t="shared" si="55"/>
        <v>0</v>
      </c>
      <c r="Q74" s="56">
        <f t="shared" si="55"/>
        <v>0</v>
      </c>
      <c r="R74" s="56">
        <f t="shared" si="55"/>
        <v>0</v>
      </c>
      <c r="S74" s="56">
        <f t="shared" si="55"/>
        <v>0</v>
      </c>
      <c r="T74" s="56">
        <f t="shared" si="55"/>
        <v>0</v>
      </c>
    </row>
    <row r="75" spans="1:20">
      <c r="A75" s="102" t="s">
        <v>594</v>
      </c>
      <c r="B75" s="102"/>
      <c r="C75" s="56" t="s">
        <v>241</v>
      </c>
      <c r="D75" s="56">
        <f t="shared" si="54"/>
        <v>0</v>
      </c>
      <c r="E75" s="56">
        <f t="shared" si="54"/>
        <v>0</v>
      </c>
      <c r="F75" s="56">
        <f t="shared" si="54"/>
        <v>0</v>
      </c>
      <c r="G75" s="56">
        <f t="shared" si="54"/>
        <v>0</v>
      </c>
      <c r="H75" s="56">
        <f t="shared" si="54"/>
        <v>0</v>
      </c>
      <c r="I75" s="56">
        <f t="shared" si="54"/>
        <v>0</v>
      </c>
      <c r="J75" s="56">
        <f t="shared" si="54"/>
        <v>0</v>
      </c>
      <c r="K75" s="56">
        <f t="shared" si="54"/>
        <v>0</v>
      </c>
      <c r="L75" s="56">
        <f t="shared" si="54"/>
        <v>0</v>
      </c>
      <c r="M75" s="56">
        <f t="shared" si="54"/>
        <v>0</v>
      </c>
      <c r="N75" s="56">
        <f t="shared" si="55"/>
        <v>0</v>
      </c>
      <c r="O75" s="56">
        <f t="shared" si="55"/>
        <v>0</v>
      </c>
      <c r="P75" s="56">
        <f t="shared" si="55"/>
        <v>0</v>
      </c>
      <c r="Q75" s="56">
        <f t="shared" si="55"/>
        <v>0</v>
      </c>
      <c r="R75" s="56">
        <f t="shared" si="55"/>
        <v>0</v>
      </c>
      <c r="S75" s="56">
        <f t="shared" si="55"/>
        <v>0</v>
      </c>
      <c r="T75" s="56">
        <f t="shared" si="55"/>
        <v>0</v>
      </c>
    </row>
    <row r="76" spans="1:20">
      <c r="A76" s="102" t="s">
        <v>595</v>
      </c>
      <c r="B76" s="102"/>
      <c r="C76" s="56" t="s">
        <v>596</v>
      </c>
      <c r="D76" s="56">
        <f t="shared" si="54"/>
        <v>0</v>
      </c>
      <c r="E76" s="56">
        <f t="shared" si="54"/>
        <v>0</v>
      </c>
      <c r="F76" s="56">
        <f t="shared" si="54"/>
        <v>0</v>
      </c>
      <c r="G76" s="56">
        <f t="shared" si="54"/>
        <v>0</v>
      </c>
      <c r="H76" s="56">
        <f t="shared" si="54"/>
        <v>0</v>
      </c>
      <c r="I76" s="56">
        <f t="shared" si="54"/>
        <v>0</v>
      </c>
      <c r="J76" s="56">
        <f t="shared" si="54"/>
        <v>0</v>
      </c>
      <c r="K76" s="56">
        <f t="shared" si="54"/>
        <v>0</v>
      </c>
      <c r="L76" s="56">
        <f t="shared" si="54"/>
        <v>0</v>
      </c>
      <c r="M76" s="56">
        <f t="shared" si="54"/>
        <v>0</v>
      </c>
      <c r="N76" s="56">
        <f t="shared" si="55"/>
        <v>0</v>
      </c>
      <c r="O76" s="56">
        <f t="shared" si="55"/>
        <v>0</v>
      </c>
      <c r="P76" s="56">
        <f t="shared" si="55"/>
        <v>0</v>
      </c>
      <c r="Q76" s="56">
        <f t="shared" si="55"/>
        <v>0</v>
      </c>
      <c r="R76" s="56">
        <f t="shared" si="55"/>
        <v>0</v>
      </c>
      <c r="S76" s="56">
        <f t="shared" si="55"/>
        <v>0</v>
      </c>
      <c r="T76" s="56">
        <f t="shared" si="55"/>
        <v>0</v>
      </c>
    </row>
    <row r="77" spans="1:20">
      <c r="A77" s="102" t="s">
        <v>597</v>
      </c>
      <c r="B77" s="102"/>
      <c r="C77" s="56" t="s">
        <v>242</v>
      </c>
      <c r="D77" s="56">
        <f t="shared" si="54"/>
        <v>0</v>
      </c>
      <c r="E77" s="56">
        <f t="shared" si="54"/>
        <v>0</v>
      </c>
      <c r="F77" s="56">
        <f t="shared" si="54"/>
        <v>0</v>
      </c>
      <c r="G77" s="56">
        <f t="shared" si="54"/>
        <v>0</v>
      </c>
      <c r="H77" s="56">
        <f t="shared" si="54"/>
        <v>0</v>
      </c>
      <c r="I77" s="56">
        <f t="shared" si="54"/>
        <v>0</v>
      </c>
      <c r="J77" s="56">
        <f t="shared" si="54"/>
        <v>0</v>
      </c>
      <c r="K77" s="56">
        <f t="shared" si="54"/>
        <v>0</v>
      </c>
      <c r="L77" s="56">
        <f t="shared" si="54"/>
        <v>0</v>
      </c>
      <c r="M77" s="56">
        <f t="shared" si="54"/>
        <v>0</v>
      </c>
      <c r="N77" s="56">
        <f t="shared" si="55"/>
        <v>0</v>
      </c>
      <c r="O77" s="56">
        <f t="shared" si="55"/>
        <v>0</v>
      </c>
      <c r="P77" s="56">
        <f t="shared" si="55"/>
        <v>0</v>
      </c>
      <c r="Q77" s="56">
        <f t="shared" si="55"/>
        <v>0</v>
      </c>
      <c r="R77" s="56">
        <f t="shared" si="55"/>
        <v>0</v>
      </c>
      <c r="S77" s="56">
        <f t="shared" si="55"/>
        <v>0</v>
      </c>
      <c r="T77" s="56">
        <f t="shared" si="55"/>
        <v>0</v>
      </c>
    </row>
    <row r="78" spans="1:20">
      <c r="A78" s="102" t="s">
        <v>129</v>
      </c>
      <c r="B78" s="102"/>
      <c r="C78" s="56" t="s">
        <v>598</v>
      </c>
      <c r="D78" s="56">
        <f t="shared" si="54"/>
        <v>0</v>
      </c>
      <c r="E78" s="56">
        <f t="shared" si="54"/>
        <v>0</v>
      </c>
      <c r="F78" s="56">
        <f t="shared" si="54"/>
        <v>0</v>
      </c>
      <c r="G78" s="56">
        <f t="shared" si="54"/>
        <v>0</v>
      </c>
      <c r="H78" s="56">
        <f t="shared" si="54"/>
        <v>0</v>
      </c>
      <c r="I78" s="56">
        <f t="shared" si="54"/>
        <v>0</v>
      </c>
      <c r="J78" s="56">
        <f t="shared" si="54"/>
        <v>0</v>
      </c>
      <c r="K78" s="56">
        <f t="shared" si="54"/>
        <v>0</v>
      </c>
      <c r="L78" s="56">
        <f t="shared" si="54"/>
        <v>0</v>
      </c>
      <c r="M78" s="56">
        <f t="shared" si="54"/>
        <v>0</v>
      </c>
      <c r="N78" s="56">
        <f t="shared" si="55"/>
        <v>0</v>
      </c>
      <c r="O78" s="56">
        <f t="shared" si="55"/>
        <v>0</v>
      </c>
      <c r="P78" s="56">
        <f t="shared" si="55"/>
        <v>0</v>
      </c>
      <c r="Q78" s="56">
        <f t="shared" si="55"/>
        <v>0</v>
      </c>
      <c r="R78" s="56">
        <f t="shared" si="55"/>
        <v>0</v>
      </c>
      <c r="S78" s="56">
        <f t="shared" si="55"/>
        <v>0</v>
      </c>
      <c r="T78" s="56">
        <f t="shared" si="55"/>
        <v>0</v>
      </c>
    </row>
    <row r="79" spans="1:20">
      <c r="A79" s="98"/>
      <c r="B79" s="98"/>
      <c r="C79" s="98" t="s">
        <v>243</v>
      </c>
      <c r="D79" s="98">
        <f>SUM(D72:D78)</f>
        <v>0</v>
      </c>
      <c r="E79" s="98">
        <f t="shared" ref="E79:T79" si="56">SUM(E72:E78)</f>
        <v>0</v>
      </c>
      <c r="F79" s="98">
        <f t="shared" si="56"/>
        <v>0</v>
      </c>
      <c r="G79" s="98">
        <f t="shared" si="56"/>
        <v>0</v>
      </c>
      <c r="H79" s="98">
        <f t="shared" si="56"/>
        <v>0</v>
      </c>
      <c r="I79" s="98">
        <f t="shared" si="56"/>
        <v>0</v>
      </c>
      <c r="J79" s="98">
        <f t="shared" si="56"/>
        <v>0</v>
      </c>
      <c r="K79" s="98">
        <f t="shared" si="56"/>
        <v>0</v>
      </c>
      <c r="L79" s="98">
        <f t="shared" si="56"/>
        <v>0</v>
      </c>
      <c r="M79" s="98">
        <f t="shared" si="56"/>
        <v>0</v>
      </c>
      <c r="N79" s="98">
        <f t="shared" si="56"/>
        <v>0</v>
      </c>
      <c r="O79" s="98">
        <f t="shared" si="56"/>
        <v>0</v>
      </c>
      <c r="P79" s="98">
        <f t="shared" si="56"/>
        <v>0</v>
      </c>
      <c r="Q79" s="98">
        <f t="shared" si="56"/>
        <v>0</v>
      </c>
      <c r="R79" s="98">
        <f t="shared" si="56"/>
        <v>0</v>
      </c>
      <c r="S79" s="98">
        <f t="shared" si="56"/>
        <v>0</v>
      </c>
      <c r="T79" s="98">
        <f t="shared" si="56"/>
        <v>0</v>
      </c>
    </row>
    <row r="80" spans="1:20">
      <c r="A80" s="98"/>
      <c r="B80" s="98"/>
      <c r="C80" s="98" t="s">
        <v>244</v>
      </c>
      <c r="D80" s="98">
        <f>D71+D79</f>
        <v>0</v>
      </c>
      <c r="E80" s="98">
        <f t="shared" ref="E80:T80" si="57">E71+E79</f>
        <v>0</v>
      </c>
      <c r="F80" s="98">
        <f t="shared" si="57"/>
        <v>0</v>
      </c>
      <c r="G80" s="98">
        <f t="shared" si="57"/>
        <v>0</v>
      </c>
      <c r="H80" s="98">
        <f t="shared" si="57"/>
        <v>0</v>
      </c>
      <c r="I80" s="98">
        <f t="shared" si="57"/>
        <v>0</v>
      </c>
      <c r="J80" s="98">
        <f t="shared" si="57"/>
        <v>0</v>
      </c>
      <c r="K80" s="98">
        <f t="shared" si="57"/>
        <v>0</v>
      </c>
      <c r="L80" s="98">
        <f t="shared" si="57"/>
        <v>0</v>
      </c>
      <c r="M80" s="98">
        <f t="shared" si="57"/>
        <v>0</v>
      </c>
      <c r="N80" s="98">
        <f t="shared" si="57"/>
        <v>0</v>
      </c>
      <c r="O80" s="98">
        <f t="shared" si="57"/>
        <v>0</v>
      </c>
      <c r="P80" s="98">
        <f t="shared" si="57"/>
        <v>0</v>
      </c>
      <c r="Q80" s="98">
        <f t="shared" si="57"/>
        <v>0</v>
      </c>
      <c r="R80" s="98">
        <f t="shared" si="57"/>
        <v>0</v>
      </c>
      <c r="S80" s="98">
        <f t="shared" si="57"/>
        <v>0</v>
      </c>
      <c r="T80" s="98">
        <f t="shared" si="57"/>
        <v>0</v>
      </c>
    </row>
    <row r="81" spans="1:7" ht="15.15" thickBot="1"/>
    <row r="82" spans="1:7" ht="16.600000000000001">
      <c r="C82" s="126" t="s">
        <v>40</v>
      </c>
      <c r="D82" s="127"/>
      <c r="E82" s="128"/>
      <c r="F82" s="128"/>
      <c r="G82" s="128"/>
    </row>
    <row r="83" spans="1:7" ht="16.600000000000001">
      <c r="C83" s="129" t="s">
        <v>981</v>
      </c>
      <c r="D83" s="336">
        <v>41640</v>
      </c>
      <c r="E83" s="130">
        <v>42005</v>
      </c>
      <c r="F83" s="130">
        <v>42370</v>
      </c>
      <c r="G83" s="130"/>
    </row>
    <row r="84" spans="1:7" ht="16.600000000000001">
      <c r="C84" s="131" t="s">
        <v>982</v>
      </c>
      <c r="D84" s="337">
        <v>42004</v>
      </c>
      <c r="E84" s="337">
        <v>42369</v>
      </c>
      <c r="F84" s="337">
        <v>42735</v>
      </c>
      <c r="G84" s="132"/>
    </row>
    <row r="85" spans="1:7" ht="16.600000000000001">
      <c r="C85" s="131" t="s">
        <v>983</v>
      </c>
      <c r="D85" s="133">
        <f>MONTH(D84-D83)</f>
        <v>12</v>
      </c>
      <c r="E85" s="133">
        <f>MONTH(E84-E83)</f>
        <v>12</v>
      </c>
      <c r="F85" s="133">
        <f>MONTH(F84-F83)</f>
        <v>12</v>
      </c>
      <c r="G85" s="133"/>
    </row>
    <row r="86" spans="1:7" ht="16.600000000000001">
      <c r="C86" s="131" t="s">
        <v>690</v>
      </c>
      <c r="D86" s="134">
        <f>YEAR(D84)</f>
        <v>2014</v>
      </c>
      <c r="E86" s="134">
        <f>YEAR(E84)</f>
        <v>2015</v>
      </c>
      <c r="F86" s="134">
        <f>YEAR(F84)</f>
        <v>2016</v>
      </c>
      <c r="G86" s="134"/>
    </row>
    <row r="87" spans="1:7" ht="16.600000000000001">
      <c r="C87" s="131" t="s">
        <v>984</v>
      </c>
      <c r="D87" s="133">
        <f>ROUNDUP(MONTH(D84)/3,0)</f>
        <v>4</v>
      </c>
      <c r="E87" s="133">
        <f>ROUNDUP(MONTH(E84)/3,0)</f>
        <v>4</v>
      </c>
      <c r="F87" s="133">
        <f>ROUNDUP(MONTH(F84)/3,0)</f>
        <v>4</v>
      </c>
      <c r="G87" s="133"/>
    </row>
    <row r="88" spans="1:7" ht="16.600000000000001">
      <c r="A88" s="1" t="s">
        <v>55</v>
      </c>
      <c r="B88" s="135" t="s">
        <v>248</v>
      </c>
      <c r="C88" s="136" t="s">
        <v>891</v>
      </c>
      <c r="D88" s="137"/>
      <c r="E88" s="137"/>
      <c r="F88" s="137"/>
      <c r="G88" s="137"/>
    </row>
    <row r="89" spans="1:7" ht="16.600000000000001">
      <c r="A89" s="1" t="s">
        <v>56</v>
      </c>
      <c r="B89" s="135" t="s">
        <v>249</v>
      </c>
      <c r="C89" s="135" t="s">
        <v>41</v>
      </c>
      <c r="D89" s="137"/>
      <c r="E89" s="137"/>
      <c r="F89" s="137"/>
      <c r="G89" s="137"/>
    </row>
    <row r="90" spans="1:7" ht="16.600000000000001">
      <c r="A90" s="1" t="s">
        <v>56</v>
      </c>
      <c r="B90" s="135" t="s">
        <v>250</v>
      </c>
      <c r="C90" s="136" t="s">
        <v>42</v>
      </c>
      <c r="D90" s="137"/>
      <c r="E90" s="137"/>
      <c r="F90" s="137"/>
      <c r="G90" s="137"/>
    </row>
    <row r="91" spans="1:7" ht="16.600000000000001">
      <c r="A91" s="1" t="s">
        <v>56</v>
      </c>
      <c r="B91" s="135" t="s">
        <v>251</v>
      </c>
      <c r="C91" s="136" t="s">
        <v>43</v>
      </c>
      <c r="D91" s="137"/>
      <c r="E91" s="137"/>
      <c r="F91" s="137"/>
      <c r="G91" s="137"/>
    </row>
    <row r="92" spans="1:7" ht="16.600000000000001">
      <c r="A92" s="1" t="s">
        <v>56</v>
      </c>
      <c r="B92" s="135" t="s">
        <v>252</v>
      </c>
      <c r="C92" s="136" t="s">
        <v>44</v>
      </c>
      <c r="D92" s="136"/>
      <c r="E92" s="136"/>
      <c r="F92" s="136"/>
      <c r="G92" s="137"/>
    </row>
    <row r="93" spans="1:7" ht="16.600000000000001">
      <c r="A93" s="1" t="s">
        <v>56</v>
      </c>
      <c r="B93" s="135" t="s">
        <v>253</v>
      </c>
      <c r="C93" s="136" t="s">
        <v>45</v>
      </c>
      <c r="D93" s="136"/>
      <c r="E93" s="136"/>
      <c r="F93" s="136"/>
      <c r="G93" s="136"/>
    </row>
    <row r="94" spans="1:7" ht="16.600000000000001">
      <c r="A94" s="1" t="s">
        <v>56</v>
      </c>
      <c r="B94" s="135" t="s">
        <v>254</v>
      </c>
      <c r="C94" s="136" t="s">
        <v>46</v>
      </c>
      <c r="D94" s="136"/>
      <c r="E94" s="136"/>
      <c r="F94" s="136"/>
      <c r="G94" s="136"/>
    </row>
    <row r="95" spans="1:7" ht="16.600000000000001">
      <c r="A95" s="1" t="s">
        <v>63</v>
      </c>
      <c r="B95" s="135" t="s">
        <v>255</v>
      </c>
      <c r="C95" s="136" t="s">
        <v>47</v>
      </c>
      <c r="D95" s="137"/>
      <c r="E95" s="137"/>
      <c r="F95" s="137"/>
      <c r="G95" s="137"/>
    </row>
    <row r="96" spans="1:7" ht="16.600000000000001">
      <c r="A96" s="1" t="s">
        <v>63</v>
      </c>
      <c r="B96" s="135" t="s">
        <v>256</v>
      </c>
      <c r="C96" s="136" t="s">
        <v>48</v>
      </c>
      <c r="D96" s="136"/>
      <c r="E96" s="136"/>
      <c r="F96" s="136"/>
      <c r="G96" s="136"/>
    </row>
    <row r="97" spans="1:7" ht="16.600000000000001">
      <c r="A97" s="1" t="s">
        <v>57</v>
      </c>
      <c r="B97" s="135" t="s">
        <v>257</v>
      </c>
      <c r="C97" s="136" t="s">
        <v>49</v>
      </c>
      <c r="D97" s="137"/>
      <c r="E97" s="137"/>
      <c r="F97" s="137"/>
      <c r="G97" s="137"/>
    </row>
    <row r="98" spans="1:7" ht="16.600000000000001">
      <c r="A98" s="1" t="s">
        <v>57</v>
      </c>
      <c r="B98" s="135" t="s">
        <v>258</v>
      </c>
      <c r="C98" s="136" t="s">
        <v>51</v>
      </c>
      <c r="D98" s="136"/>
      <c r="E98" s="136"/>
      <c r="F98" s="136"/>
      <c r="G98" s="137"/>
    </row>
    <row r="99" spans="1:7" ht="16.600000000000001">
      <c r="A99" s="1" t="s">
        <v>58</v>
      </c>
      <c r="B99" s="135" t="s">
        <v>259</v>
      </c>
      <c r="C99" s="136" t="s">
        <v>50</v>
      </c>
      <c r="D99" s="137"/>
      <c r="E99" s="137"/>
      <c r="F99" s="137"/>
      <c r="G99" s="137"/>
    </row>
    <row r="100" spans="1:7" ht="16.600000000000001">
      <c r="A100" s="1" t="s">
        <v>58</v>
      </c>
      <c r="B100" s="135" t="s">
        <v>576</v>
      </c>
      <c r="C100" s="136" t="s">
        <v>52</v>
      </c>
      <c r="D100" s="136"/>
      <c r="E100" s="136"/>
      <c r="F100" s="136"/>
      <c r="G100" s="136"/>
    </row>
    <row r="101" spans="1:7" ht="16.600000000000001">
      <c r="A101" s="1" t="s">
        <v>60</v>
      </c>
      <c r="B101" s="135" t="s">
        <v>260</v>
      </c>
      <c r="C101" s="136" t="s">
        <v>53</v>
      </c>
      <c r="D101" s="137"/>
      <c r="E101" s="137"/>
      <c r="F101" s="137"/>
      <c r="G101" s="137"/>
    </row>
    <row r="102" spans="1:7" ht="16.600000000000001">
      <c r="A102" s="1" t="s">
        <v>60</v>
      </c>
      <c r="B102" s="135" t="s">
        <v>261</v>
      </c>
      <c r="C102" s="136" t="s">
        <v>54</v>
      </c>
      <c r="D102" s="136"/>
      <c r="E102" s="136"/>
      <c r="F102" s="136"/>
      <c r="G102" s="136"/>
    </row>
    <row r="103" spans="1:7" ht="16.600000000000001">
      <c r="A103" s="1" t="s">
        <v>60</v>
      </c>
      <c r="B103" s="135" t="s">
        <v>262</v>
      </c>
      <c r="C103" s="136" t="s">
        <v>59</v>
      </c>
      <c r="D103" s="136"/>
      <c r="E103" s="136"/>
      <c r="F103" s="137"/>
      <c r="G103" s="136"/>
    </row>
    <row r="104" spans="1:7" ht="16.600000000000001">
      <c r="A104" s="1" t="s">
        <v>57</v>
      </c>
      <c r="B104" s="135" t="s">
        <v>263</v>
      </c>
      <c r="C104" s="136" t="s">
        <v>61</v>
      </c>
      <c r="D104" s="137"/>
      <c r="E104" s="137"/>
      <c r="F104" s="137"/>
      <c r="G104" s="137"/>
    </row>
    <row r="105" spans="1:7" ht="16.600000000000001">
      <c r="A105" s="1" t="s">
        <v>56</v>
      </c>
      <c r="B105" s="135" t="s">
        <v>264</v>
      </c>
      <c r="C105" s="136" t="s">
        <v>62</v>
      </c>
      <c r="D105" s="137"/>
      <c r="E105" s="137"/>
      <c r="F105" s="137"/>
      <c r="G105" s="137"/>
    </row>
    <row r="106" spans="1:7" ht="16.600000000000001">
      <c r="A106" s="1" t="s">
        <v>60</v>
      </c>
      <c r="B106" s="135" t="s">
        <v>265</v>
      </c>
      <c r="C106" s="136" t="s">
        <v>64</v>
      </c>
      <c r="D106" s="137"/>
      <c r="E106" s="137"/>
      <c r="F106" s="137"/>
      <c r="G106" s="137"/>
    </row>
    <row r="107" spans="1:7" ht="16.600000000000001">
      <c r="B107" s="135" t="s">
        <v>266</v>
      </c>
      <c r="C107" s="136" t="s">
        <v>65</v>
      </c>
      <c r="D107" s="137"/>
      <c r="E107" s="137"/>
      <c r="F107" s="137"/>
      <c r="G107" s="137"/>
    </row>
    <row r="108" spans="1:7" ht="16.600000000000001">
      <c r="A108" s="1" t="s">
        <v>66</v>
      </c>
      <c r="B108" s="135" t="s">
        <v>267</v>
      </c>
      <c r="C108" s="136" t="s">
        <v>67</v>
      </c>
      <c r="D108" s="136"/>
      <c r="E108" s="136"/>
      <c r="F108" s="136"/>
      <c r="G108" s="136"/>
    </row>
    <row r="109" spans="1:7" ht="16.600000000000001">
      <c r="A109" s="1" t="s">
        <v>66</v>
      </c>
      <c r="B109" s="135" t="s">
        <v>268</v>
      </c>
      <c r="C109" s="136" t="s">
        <v>68</v>
      </c>
      <c r="D109" s="137"/>
      <c r="E109" s="137"/>
      <c r="F109" s="137"/>
      <c r="G109" s="137"/>
    </row>
    <row r="110" spans="1:7" ht="16.600000000000001">
      <c r="A110" s="1" t="s">
        <v>66</v>
      </c>
      <c r="B110" s="135" t="s">
        <v>269</v>
      </c>
      <c r="C110" s="136" t="s">
        <v>69</v>
      </c>
      <c r="D110" s="136"/>
      <c r="E110" s="136"/>
      <c r="F110" s="136"/>
      <c r="G110" s="137"/>
    </row>
    <row r="111" spans="1:7" ht="16.600000000000001">
      <c r="A111" s="1" t="s">
        <v>66</v>
      </c>
      <c r="B111" s="135" t="s">
        <v>270</v>
      </c>
      <c r="C111" s="136" t="s">
        <v>70</v>
      </c>
      <c r="D111" s="136"/>
      <c r="E111" s="136"/>
      <c r="F111" s="136"/>
      <c r="G111" s="136"/>
    </row>
    <row r="112" spans="1:7" ht="16.600000000000001">
      <c r="A112" s="1" t="s">
        <v>66</v>
      </c>
      <c r="B112" s="135" t="s">
        <v>271</v>
      </c>
      <c r="C112" s="136" t="s">
        <v>71</v>
      </c>
      <c r="D112" s="137"/>
      <c r="E112" s="137"/>
      <c r="F112" s="137"/>
      <c r="G112" s="137"/>
    </row>
    <row r="113" spans="1:7" ht="16.600000000000001">
      <c r="A113" s="1" t="s">
        <v>66</v>
      </c>
      <c r="B113" s="135" t="s">
        <v>272</v>
      </c>
      <c r="C113" s="136" t="s">
        <v>72</v>
      </c>
      <c r="D113" s="136"/>
      <c r="E113" s="136"/>
      <c r="F113" s="136"/>
      <c r="G113" s="136"/>
    </row>
    <row r="114" spans="1:7" ht="16.600000000000001">
      <c r="A114" s="1" t="s">
        <v>66</v>
      </c>
      <c r="B114" s="135" t="s">
        <v>273</v>
      </c>
      <c r="C114" s="136" t="s">
        <v>73</v>
      </c>
      <c r="D114" s="137"/>
      <c r="E114" s="137"/>
      <c r="F114" s="137"/>
      <c r="G114" s="137"/>
    </row>
    <row r="115" spans="1:7" ht="16.600000000000001">
      <c r="A115" s="1" t="s">
        <v>66</v>
      </c>
      <c r="B115" s="135" t="s">
        <v>274</v>
      </c>
      <c r="C115" s="136" t="s">
        <v>74</v>
      </c>
      <c r="D115" s="136"/>
      <c r="E115" s="136"/>
      <c r="F115" s="136"/>
      <c r="G115" s="136"/>
    </row>
    <row r="116" spans="1:7" ht="16.600000000000001">
      <c r="A116" s="1" t="s">
        <v>583</v>
      </c>
      <c r="B116" s="135" t="s">
        <v>275</v>
      </c>
      <c r="C116" s="136" t="s">
        <v>75</v>
      </c>
      <c r="D116" s="137"/>
      <c r="E116" s="137"/>
      <c r="F116" s="137"/>
      <c r="G116" s="137"/>
    </row>
    <row r="117" spans="1:7" ht="16.600000000000001">
      <c r="A117" s="1" t="s">
        <v>585</v>
      </c>
      <c r="B117" s="135" t="s">
        <v>276</v>
      </c>
      <c r="C117" s="136" t="s">
        <v>77</v>
      </c>
      <c r="D117" s="137"/>
      <c r="E117" s="137"/>
      <c r="F117" s="137"/>
      <c r="G117" s="137"/>
    </row>
    <row r="118" spans="1:7" ht="16.600000000000001">
      <c r="A118" s="1" t="s">
        <v>585</v>
      </c>
      <c r="B118" s="135" t="s">
        <v>277</v>
      </c>
      <c r="C118" s="135" t="s">
        <v>78</v>
      </c>
      <c r="D118" s="136"/>
      <c r="E118" s="136"/>
      <c r="F118" s="136"/>
      <c r="G118" s="136"/>
    </row>
    <row r="119" spans="1:7" ht="16.600000000000001">
      <c r="A119" s="1" t="s">
        <v>585</v>
      </c>
      <c r="B119" s="135" t="s">
        <v>278</v>
      </c>
      <c r="C119" s="136" t="s">
        <v>79</v>
      </c>
      <c r="D119" s="136"/>
      <c r="E119" s="136"/>
      <c r="F119" s="136"/>
      <c r="G119" s="136"/>
    </row>
    <row r="120" spans="1:7" ht="16.600000000000001">
      <c r="A120" s="1" t="s">
        <v>585</v>
      </c>
      <c r="B120" s="135" t="s">
        <v>279</v>
      </c>
      <c r="C120" s="136" t="s">
        <v>80</v>
      </c>
      <c r="D120" s="137"/>
      <c r="E120" s="137"/>
      <c r="F120" s="137"/>
      <c r="G120" s="137"/>
    </row>
    <row r="121" spans="1:7" ht="16.600000000000001">
      <c r="B121" s="135" t="s">
        <v>280</v>
      </c>
      <c r="C121" s="136" t="s">
        <v>81</v>
      </c>
      <c r="D121" s="137"/>
      <c r="E121" s="137"/>
      <c r="F121" s="137"/>
      <c r="G121" s="137"/>
    </row>
    <row r="122" spans="1:7" ht="16.600000000000001">
      <c r="A122" s="1" t="s">
        <v>584</v>
      </c>
      <c r="B122" s="135" t="s">
        <v>281</v>
      </c>
      <c r="C122" s="136" t="s">
        <v>83</v>
      </c>
      <c r="D122" s="137"/>
      <c r="E122" s="137"/>
      <c r="F122" s="137"/>
      <c r="G122" s="137"/>
    </row>
    <row r="123" spans="1:7" ht="16.600000000000001">
      <c r="A123" s="1" t="s">
        <v>82</v>
      </c>
      <c r="B123" s="135" t="s">
        <v>282</v>
      </c>
      <c r="C123" s="136" t="s">
        <v>84</v>
      </c>
      <c r="D123" s="136"/>
      <c r="E123" s="136"/>
      <c r="F123" s="136"/>
      <c r="G123" s="136"/>
    </row>
    <row r="124" spans="1:7" ht="16.600000000000001">
      <c r="B124" s="135" t="s">
        <v>283</v>
      </c>
      <c r="C124" s="136" t="s">
        <v>85</v>
      </c>
      <c r="D124" s="137"/>
      <c r="E124" s="137"/>
      <c r="F124" s="137"/>
      <c r="G124" s="137"/>
    </row>
    <row r="125" spans="1:7" ht="16.600000000000001">
      <c r="A125" s="1" t="s">
        <v>82</v>
      </c>
      <c r="B125" s="135" t="s">
        <v>284</v>
      </c>
      <c r="C125" s="136" t="s">
        <v>86</v>
      </c>
      <c r="D125" s="136"/>
      <c r="E125" s="136"/>
      <c r="F125" s="136"/>
      <c r="G125" s="136"/>
    </row>
    <row r="126" spans="1:7" ht="16.600000000000001">
      <c r="A126" s="1" t="s">
        <v>82</v>
      </c>
      <c r="B126" s="135" t="s">
        <v>285</v>
      </c>
      <c r="C126" s="136" t="s">
        <v>87</v>
      </c>
      <c r="D126" s="136"/>
      <c r="E126" s="136"/>
      <c r="F126" s="136"/>
      <c r="G126" s="137"/>
    </row>
    <row r="127" spans="1:7" ht="16.600000000000001">
      <c r="A127" s="1" t="s">
        <v>583</v>
      </c>
      <c r="B127" s="135" t="s">
        <v>286</v>
      </c>
      <c r="C127" s="136" t="s">
        <v>88</v>
      </c>
      <c r="D127" s="137"/>
      <c r="E127" s="137"/>
      <c r="F127" s="137"/>
      <c r="G127" s="137"/>
    </row>
    <row r="128" spans="1:7" ht="16.600000000000001">
      <c r="A128" s="1" t="s">
        <v>82</v>
      </c>
      <c r="B128" s="135" t="s">
        <v>287</v>
      </c>
      <c r="C128" s="136" t="s">
        <v>158</v>
      </c>
      <c r="D128" s="137"/>
      <c r="E128" s="137"/>
      <c r="F128" s="137"/>
      <c r="G128" s="137"/>
    </row>
    <row r="129" spans="1:7" ht="16.600000000000001">
      <c r="A129" s="1" t="s">
        <v>82</v>
      </c>
      <c r="B129" s="135" t="s">
        <v>288</v>
      </c>
      <c r="C129" s="136" t="s">
        <v>159</v>
      </c>
      <c r="D129" s="136"/>
      <c r="E129" s="136"/>
      <c r="F129" s="136"/>
      <c r="G129" s="136"/>
    </row>
    <row r="130" spans="1:7" ht="16.600000000000001">
      <c r="A130" s="1" t="s">
        <v>82</v>
      </c>
      <c r="B130" s="135" t="s">
        <v>289</v>
      </c>
      <c r="C130" s="136" t="s">
        <v>157</v>
      </c>
      <c r="D130" s="137"/>
      <c r="E130" s="137"/>
      <c r="F130" s="137"/>
      <c r="G130" s="137"/>
    </row>
    <row r="131" spans="1:7" ht="16.600000000000001">
      <c r="B131" s="135" t="s">
        <v>290</v>
      </c>
      <c r="C131" s="136" t="s">
        <v>89</v>
      </c>
      <c r="D131" s="137"/>
      <c r="E131" s="137"/>
      <c r="F131" s="137"/>
      <c r="G131" s="137"/>
    </row>
    <row r="132" spans="1:7" ht="16.600000000000001">
      <c r="B132" s="135" t="s">
        <v>291</v>
      </c>
      <c r="C132" s="136" t="s">
        <v>90</v>
      </c>
      <c r="D132" s="137"/>
      <c r="E132" s="137"/>
      <c r="F132" s="137"/>
      <c r="G132" s="137"/>
    </row>
    <row r="133" spans="1:7" ht="16.600000000000001">
      <c r="B133" s="135" t="s">
        <v>292</v>
      </c>
      <c r="C133" s="136" t="s">
        <v>91</v>
      </c>
      <c r="D133" s="137"/>
      <c r="E133" s="137"/>
      <c r="F133" s="137"/>
      <c r="G133" s="137"/>
    </row>
    <row r="134" spans="1:7" ht="16.600000000000001">
      <c r="A134" s="1" t="s">
        <v>92</v>
      </c>
      <c r="B134" s="135" t="s">
        <v>293</v>
      </c>
      <c r="C134" s="136" t="s">
        <v>93</v>
      </c>
      <c r="D134" s="137"/>
      <c r="E134" s="137"/>
      <c r="F134" s="137"/>
      <c r="G134" s="137"/>
    </row>
    <row r="135" spans="1:7" ht="16.600000000000001">
      <c r="A135" s="1" t="s">
        <v>100</v>
      </c>
      <c r="B135" s="135" t="s">
        <v>294</v>
      </c>
      <c r="C135" s="136" t="s">
        <v>94</v>
      </c>
      <c r="D135" s="136"/>
      <c r="E135" s="136"/>
      <c r="F135" s="136"/>
      <c r="G135" s="136"/>
    </row>
    <row r="136" spans="1:7" ht="16.600000000000001">
      <c r="A136" s="1" t="s">
        <v>92</v>
      </c>
      <c r="B136" s="135" t="s">
        <v>295</v>
      </c>
      <c r="C136" s="136" t="s">
        <v>95</v>
      </c>
      <c r="D136" s="137"/>
      <c r="E136" s="137"/>
      <c r="F136" s="137"/>
      <c r="G136" s="137"/>
    </row>
    <row r="137" spans="1:7" ht="16.600000000000001">
      <c r="A137" s="1" t="s">
        <v>96</v>
      </c>
      <c r="B137" s="135" t="s">
        <v>296</v>
      </c>
      <c r="C137" s="136" t="s">
        <v>97</v>
      </c>
      <c r="D137" s="136"/>
      <c r="E137" s="136"/>
      <c r="F137" s="137"/>
      <c r="G137" s="136"/>
    </row>
    <row r="138" spans="1:7" ht="16.600000000000001">
      <c r="A138" s="1" t="s">
        <v>96</v>
      </c>
      <c r="B138" s="135" t="s">
        <v>297</v>
      </c>
      <c r="C138" s="136" t="s">
        <v>98</v>
      </c>
      <c r="D138" s="136"/>
      <c r="E138" s="136"/>
      <c r="F138" s="136"/>
      <c r="G138" s="136"/>
    </row>
    <row r="139" spans="1:7" ht="16.600000000000001">
      <c r="A139" s="1" t="s">
        <v>100</v>
      </c>
      <c r="B139" s="135" t="s">
        <v>298</v>
      </c>
      <c r="C139" s="136" t="s">
        <v>99</v>
      </c>
      <c r="D139" s="137"/>
      <c r="E139" s="137"/>
      <c r="F139" s="137"/>
      <c r="G139" s="137"/>
    </row>
    <row r="140" spans="1:7" ht="16.600000000000001">
      <c r="A140" s="1" t="s">
        <v>100</v>
      </c>
      <c r="B140" s="135" t="s">
        <v>299</v>
      </c>
      <c r="C140" s="136" t="s">
        <v>101</v>
      </c>
      <c r="D140" s="136"/>
      <c r="E140" s="136"/>
      <c r="F140" s="136"/>
      <c r="G140" s="136"/>
    </row>
    <row r="141" spans="1:7" ht="16.600000000000001">
      <c r="A141" s="1" t="s">
        <v>96</v>
      </c>
      <c r="B141" s="135" t="s">
        <v>300</v>
      </c>
      <c r="C141" s="136" t="s">
        <v>102</v>
      </c>
      <c r="D141" s="137"/>
      <c r="E141" s="137"/>
      <c r="F141" s="137"/>
      <c r="G141" s="137"/>
    </row>
    <row r="142" spans="1:7" ht="16.600000000000001">
      <c r="A142" s="1" t="s">
        <v>587</v>
      </c>
      <c r="B142" s="135" t="s">
        <v>301</v>
      </c>
      <c r="C142" s="136" t="s">
        <v>103</v>
      </c>
      <c r="D142" s="137"/>
      <c r="E142" s="137"/>
      <c r="F142" s="137"/>
      <c r="G142" s="137"/>
    </row>
    <row r="143" spans="1:7" ht="16.600000000000001">
      <c r="A143" s="1" t="s">
        <v>586</v>
      </c>
      <c r="B143" s="135" t="s">
        <v>302</v>
      </c>
      <c r="C143" s="136" t="s">
        <v>104</v>
      </c>
      <c r="D143" s="137"/>
      <c r="E143" s="137"/>
      <c r="F143" s="137"/>
      <c r="G143" s="137"/>
    </row>
    <row r="144" spans="1:7" ht="16.600000000000001">
      <c r="A144" s="1" t="s">
        <v>96</v>
      </c>
      <c r="B144" s="135" t="s">
        <v>303</v>
      </c>
      <c r="C144" s="136" t="s">
        <v>105</v>
      </c>
      <c r="D144" s="136"/>
      <c r="E144" s="136"/>
      <c r="F144" s="137"/>
      <c r="G144" s="136"/>
    </row>
    <row r="145" spans="1:7" ht="16.600000000000001">
      <c r="A145" s="1" t="s">
        <v>96</v>
      </c>
      <c r="B145" s="135" t="s">
        <v>304</v>
      </c>
      <c r="C145" s="136" t="s">
        <v>106</v>
      </c>
      <c r="D145" s="136"/>
      <c r="E145" s="136"/>
      <c r="F145" s="136"/>
      <c r="G145" s="136"/>
    </row>
    <row r="146" spans="1:7" ht="16.600000000000001">
      <c r="A146" s="1" t="s">
        <v>588</v>
      </c>
      <c r="B146" s="135" t="s">
        <v>305</v>
      </c>
      <c r="C146" s="136" t="s">
        <v>107</v>
      </c>
      <c r="D146" s="137"/>
      <c r="E146" s="137"/>
      <c r="F146" s="136"/>
      <c r="G146" s="136"/>
    </row>
    <row r="147" spans="1:7" ht="16.600000000000001">
      <c r="A147" s="1" t="s">
        <v>590</v>
      </c>
      <c r="B147" s="135" t="s">
        <v>306</v>
      </c>
      <c r="C147" s="136" t="s">
        <v>108</v>
      </c>
      <c r="D147" s="137"/>
      <c r="E147" s="137"/>
      <c r="F147" s="137"/>
      <c r="G147" s="137"/>
    </row>
    <row r="148" spans="1:7" ht="16.600000000000001">
      <c r="A148" s="1" t="s">
        <v>92</v>
      </c>
      <c r="B148" s="135" t="s">
        <v>307</v>
      </c>
      <c r="C148" s="136" t="s">
        <v>109</v>
      </c>
      <c r="D148" s="136"/>
      <c r="E148" s="136"/>
      <c r="F148" s="136"/>
      <c r="G148" s="136"/>
    </row>
    <row r="149" spans="1:7" ht="16.600000000000001">
      <c r="A149" s="1" t="s">
        <v>100</v>
      </c>
      <c r="B149" s="135" t="s">
        <v>308</v>
      </c>
      <c r="C149" s="136" t="s">
        <v>110</v>
      </c>
      <c r="D149" s="136"/>
      <c r="E149" s="136"/>
      <c r="F149" s="136"/>
      <c r="G149" s="136"/>
    </row>
    <row r="150" spans="1:7" ht="16.600000000000001">
      <c r="A150" s="1" t="s">
        <v>96</v>
      </c>
      <c r="B150" s="135" t="s">
        <v>309</v>
      </c>
      <c r="C150" s="136" t="s">
        <v>112</v>
      </c>
      <c r="D150" s="137"/>
      <c r="E150" s="137"/>
      <c r="F150" s="137"/>
      <c r="G150" s="137"/>
    </row>
    <row r="151" spans="1:7" ht="16.600000000000001">
      <c r="B151" s="135" t="s">
        <v>310</v>
      </c>
      <c r="C151" s="136" t="s">
        <v>111</v>
      </c>
      <c r="D151" s="137"/>
      <c r="E151" s="137"/>
      <c r="F151" s="137"/>
      <c r="G151" s="137"/>
    </row>
    <row r="152" spans="1:7" ht="16.600000000000001">
      <c r="A152" s="1" t="s">
        <v>114</v>
      </c>
      <c r="B152" s="135" t="s">
        <v>311</v>
      </c>
      <c r="C152" s="136" t="s">
        <v>113</v>
      </c>
      <c r="D152" s="137"/>
      <c r="E152" s="137"/>
      <c r="F152" s="136"/>
      <c r="G152" s="136"/>
    </row>
    <row r="153" spans="1:7" ht="16.600000000000001">
      <c r="A153" s="1" t="s">
        <v>114</v>
      </c>
      <c r="B153" s="135" t="s">
        <v>312</v>
      </c>
      <c r="C153" s="136" t="s">
        <v>115</v>
      </c>
      <c r="D153" s="136"/>
      <c r="E153" s="137"/>
      <c r="F153" s="136"/>
      <c r="G153" s="136"/>
    </row>
    <row r="154" spans="1:7" ht="16.600000000000001">
      <c r="A154" s="1" t="s">
        <v>114</v>
      </c>
      <c r="B154" s="135" t="s">
        <v>313</v>
      </c>
      <c r="C154" s="136" t="s">
        <v>116</v>
      </c>
      <c r="D154" s="136"/>
      <c r="E154" s="136"/>
      <c r="F154" s="136"/>
      <c r="G154" s="136"/>
    </row>
    <row r="155" spans="1:7" ht="16.600000000000001">
      <c r="A155" s="1" t="s">
        <v>114</v>
      </c>
      <c r="B155" s="135" t="s">
        <v>314</v>
      </c>
      <c r="C155" s="136" t="s">
        <v>117</v>
      </c>
      <c r="D155" s="136"/>
      <c r="E155" s="136"/>
      <c r="F155" s="136"/>
      <c r="G155" s="136"/>
    </row>
    <row r="156" spans="1:7" ht="16.600000000000001">
      <c r="A156" s="1" t="s">
        <v>118</v>
      </c>
      <c r="B156" s="135" t="s">
        <v>315</v>
      </c>
      <c r="C156" s="136" t="s">
        <v>119</v>
      </c>
      <c r="D156" s="137"/>
      <c r="E156" s="137"/>
      <c r="F156" s="137"/>
      <c r="G156" s="137"/>
    </row>
    <row r="157" spans="1:7" ht="16.600000000000001">
      <c r="A157" s="1" t="s">
        <v>118</v>
      </c>
      <c r="B157" s="135" t="s">
        <v>316</v>
      </c>
      <c r="C157" s="136" t="s">
        <v>120</v>
      </c>
      <c r="D157" s="137"/>
      <c r="E157" s="137"/>
      <c r="F157" s="137"/>
      <c r="G157" s="137"/>
    </row>
    <row r="158" spans="1:7" ht="16.600000000000001">
      <c r="A158" s="1" t="s">
        <v>118</v>
      </c>
      <c r="B158" s="135" t="s">
        <v>317</v>
      </c>
      <c r="C158" s="136" t="s">
        <v>121</v>
      </c>
      <c r="D158" s="137"/>
      <c r="E158" s="137"/>
      <c r="F158" s="137"/>
      <c r="G158" s="137"/>
    </row>
    <row r="159" spans="1:7" ht="16.600000000000001">
      <c r="A159" s="1" t="s">
        <v>118</v>
      </c>
      <c r="B159" s="135" t="s">
        <v>318</v>
      </c>
      <c r="C159" s="136" t="s">
        <v>122</v>
      </c>
      <c r="D159" s="137"/>
      <c r="E159" s="137"/>
      <c r="F159" s="137"/>
      <c r="G159" s="137"/>
    </row>
    <row r="160" spans="1:7" ht="16.600000000000001">
      <c r="A160" s="1" t="s">
        <v>118</v>
      </c>
      <c r="B160" s="135" t="s">
        <v>319</v>
      </c>
      <c r="C160" s="136" t="s">
        <v>123</v>
      </c>
      <c r="D160" s="136"/>
      <c r="E160" s="136"/>
      <c r="F160" s="136"/>
      <c r="G160" s="136"/>
    </row>
    <row r="161" spans="1:7" ht="16.600000000000001">
      <c r="A161" s="1" t="s">
        <v>114</v>
      </c>
      <c r="B161" s="135" t="s">
        <v>320</v>
      </c>
      <c r="C161" s="136" t="s">
        <v>124</v>
      </c>
      <c r="D161" s="137"/>
      <c r="E161" s="137"/>
      <c r="F161" s="137"/>
      <c r="G161" s="137"/>
    </row>
    <row r="162" spans="1:7" ht="16.600000000000001">
      <c r="A162" s="1" t="s">
        <v>591</v>
      </c>
      <c r="B162" s="135" t="s">
        <v>321</v>
      </c>
      <c r="C162" s="136" t="s">
        <v>125</v>
      </c>
      <c r="D162" s="137"/>
      <c r="E162" s="137"/>
      <c r="F162" s="137"/>
      <c r="G162" s="137"/>
    </row>
    <row r="163" spans="1:7" ht="16.600000000000001">
      <c r="A163" s="1" t="s">
        <v>114</v>
      </c>
      <c r="B163" s="135" t="s">
        <v>322</v>
      </c>
      <c r="C163" s="136" t="s">
        <v>126</v>
      </c>
      <c r="D163" s="137"/>
      <c r="E163" s="137"/>
      <c r="F163" s="137"/>
      <c r="G163" s="137"/>
    </row>
    <row r="164" spans="1:7" ht="16.600000000000001">
      <c r="B164" s="135" t="s">
        <v>323</v>
      </c>
      <c r="C164" s="136" t="s">
        <v>128</v>
      </c>
      <c r="D164" s="137"/>
      <c r="E164" s="137"/>
      <c r="F164" s="137"/>
      <c r="G164" s="137"/>
    </row>
    <row r="165" spans="1:7" ht="16.600000000000001">
      <c r="B165" s="135" t="s">
        <v>324</v>
      </c>
      <c r="C165" s="136" t="s">
        <v>127</v>
      </c>
      <c r="D165" s="137"/>
      <c r="E165" s="137"/>
      <c r="F165" s="137"/>
      <c r="G165" s="137"/>
    </row>
    <row r="166" spans="1:7" ht="16.600000000000001">
      <c r="A166" s="1" t="s">
        <v>129</v>
      </c>
      <c r="B166" s="135" t="s">
        <v>325</v>
      </c>
      <c r="C166" s="136" t="s">
        <v>130</v>
      </c>
      <c r="D166" s="137"/>
      <c r="E166" s="137"/>
      <c r="F166" s="137"/>
      <c r="G166" s="137"/>
    </row>
    <row r="167" spans="1:7" ht="16.600000000000001">
      <c r="A167" s="1" t="s">
        <v>129</v>
      </c>
      <c r="B167" s="135" t="s">
        <v>326</v>
      </c>
      <c r="C167" s="136" t="s">
        <v>131</v>
      </c>
      <c r="D167" s="136"/>
      <c r="E167" s="136"/>
      <c r="F167" s="136"/>
      <c r="G167" s="136"/>
    </row>
    <row r="168" spans="1:7" ht="16.600000000000001">
      <c r="A168" s="1" t="s">
        <v>129</v>
      </c>
      <c r="B168" s="135" t="s">
        <v>327</v>
      </c>
      <c r="C168" s="136" t="s">
        <v>132</v>
      </c>
      <c r="D168" s="136"/>
      <c r="E168" s="136"/>
      <c r="F168" s="136"/>
      <c r="G168" s="136"/>
    </row>
    <row r="169" spans="1:7" ht="16.600000000000001">
      <c r="A169" s="1" t="s">
        <v>129</v>
      </c>
      <c r="B169" s="135" t="s">
        <v>328</v>
      </c>
      <c r="C169" s="136" t="s">
        <v>133</v>
      </c>
      <c r="D169" s="136"/>
      <c r="E169" s="136"/>
      <c r="F169" s="136"/>
      <c r="G169" s="136"/>
    </row>
    <row r="170" spans="1:7" ht="16.600000000000001">
      <c r="A170" s="1" t="s">
        <v>129</v>
      </c>
      <c r="B170" s="135" t="s">
        <v>329</v>
      </c>
      <c r="C170" s="136" t="s">
        <v>134</v>
      </c>
      <c r="D170" s="136"/>
      <c r="E170" s="136"/>
      <c r="F170" s="136"/>
      <c r="G170" s="136"/>
    </row>
    <row r="171" spans="1:7" ht="16.600000000000001">
      <c r="B171" s="135" t="s">
        <v>330</v>
      </c>
      <c r="C171" s="136" t="s">
        <v>135</v>
      </c>
      <c r="D171" s="137"/>
      <c r="E171" s="137"/>
      <c r="F171" s="137"/>
      <c r="G171" s="137"/>
    </row>
    <row r="172" spans="1:7" ht="16.600000000000001">
      <c r="A172" s="1" t="s">
        <v>129</v>
      </c>
      <c r="B172" s="135" t="s">
        <v>331</v>
      </c>
      <c r="C172" s="135" t="s">
        <v>136</v>
      </c>
      <c r="D172" s="137"/>
      <c r="E172" s="137"/>
      <c r="F172" s="137"/>
      <c r="G172" s="137"/>
    </row>
    <row r="173" spans="1:7" ht="16.600000000000001">
      <c r="A173" s="1" t="s">
        <v>129</v>
      </c>
      <c r="B173" s="135" t="s">
        <v>332</v>
      </c>
      <c r="C173" s="136" t="s">
        <v>137</v>
      </c>
      <c r="D173" s="136"/>
      <c r="E173" s="136"/>
      <c r="F173" s="136"/>
      <c r="G173" s="136"/>
    </row>
    <row r="174" spans="1:7" ht="16.600000000000001">
      <c r="A174" s="1" t="s">
        <v>129</v>
      </c>
      <c r="B174" s="135" t="s">
        <v>333</v>
      </c>
      <c r="C174" s="136" t="s">
        <v>138</v>
      </c>
      <c r="D174" s="137"/>
      <c r="E174" s="137"/>
      <c r="F174" s="137"/>
      <c r="G174" s="137"/>
    </row>
    <row r="175" spans="1:7" ht="16.600000000000001">
      <c r="A175" s="1" t="s">
        <v>129</v>
      </c>
      <c r="B175" s="135" t="s">
        <v>334</v>
      </c>
      <c r="C175" s="136" t="s">
        <v>139</v>
      </c>
      <c r="D175" s="137"/>
      <c r="E175" s="137"/>
      <c r="F175" s="137"/>
      <c r="G175" s="136"/>
    </row>
    <row r="176" spans="1:7" ht="16.600000000000001">
      <c r="A176" s="1" t="s">
        <v>129</v>
      </c>
      <c r="B176" s="135" t="s">
        <v>335</v>
      </c>
      <c r="C176" s="135" t="s">
        <v>577</v>
      </c>
      <c r="D176" s="136"/>
      <c r="E176" s="136"/>
      <c r="F176" s="136"/>
      <c r="G176" s="136"/>
    </row>
    <row r="177" spans="1:7" ht="16.600000000000001">
      <c r="A177" s="1" t="s">
        <v>129</v>
      </c>
      <c r="B177" s="135" t="s">
        <v>336</v>
      </c>
      <c r="C177" s="136" t="s">
        <v>140</v>
      </c>
      <c r="D177" s="137"/>
      <c r="E177" s="136"/>
      <c r="F177" s="136"/>
      <c r="G177" s="136"/>
    </row>
    <row r="178" spans="1:7" ht="16.600000000000001">
      <c r="A178" s="1" t="s">
        <v>129</v>
      </c>
      <c r="B178" s="135" t="s">
        <v>337</v>
      </c>
      <c r="C178" s="135" t="s">
        <v>141</v>
      </c>
      <c r="D178" s="137"/>
      <c r="E178" s="137"/>
      <c r="F178" s="137"/>
      <c r="G178" s="137"/>
    </row>
    <row r="179" spans="1:7" ht="16.600000000000001">
      <c r="A179" s="1" t="s">
        <v>129</v>
      </c>
      <c r="B179" s="135" t="s">
        <v>338</v>
      </c>
      <c r="C179" s="136" t="s">
        <v>142</v>
      </c>
      <c r="D179" s="137"/>
      <c r="E179" s="137"/>
      <c r="F179" s="137"/>
      <c r="G179" s="137"/>
    </row>
    <row r="180" spans="1:7" ht="16.600000000000001">
      <c r="A180" s="1" t="s">
        <v>129</v>
      </c>
      <c r="B180" s="135" t="s">
        <v>339</v>
      </c>
      <c r="C180" s="136" t="s">
        <v>143</v>
      </c>
      <c r="D180" s="136"/>
      <c r="E180" s="136"/>
      <c r="F180" s="136"/>
      <c r="G180" s="136"/>
    </row>
    <row r="181" spans="1:7" ht="16.600000000000001">
      <c r="A181" s="1" t="s">
        <v>129</v>
      </c>
      <c r="B181" s="135" t="s">
        <v>340</v>
      </c>
      <c r="C181" s="136" t="s">
        <v>144</v>
      </c>
      <c r="D181" s="136"/>
      <c r="E181" s="137"/>
      <c r="F181" s="137"/>
      <c r="G181" s="137"/>
    </row>
    <row r="182" spans="1:7" ht="16.600000000000001">
      <c r="A182" s="1" t="s">
        <v>129</v>
      </c>
      <c r="B182" s="135" t="s">
        <v>341</v>
      </c>
      <c r="C182" s="136" t="s">
        <v>145</v>
      </c>
      <c r="D182" s="136"/>
      <c r="E182" s="137"/>
      <c r="F182" s="137"/>
      <c r="G182" s="137"/>
    </row>
    <row r="183" spans="1:7" ht="16.600000000000001">
      <c r="B183" s="135" t="s">
        <v>342</v>
      </c>
      <c r="C183" s="136" t="s">
        <v>146</v>
      </c>
      <c r="D183" s="137"/>
      <c r="E183" s="137"/>
      <c r="F183" s="137"/>
      <c r="G183" s="137"/>
    </row>
    <row r="184" spans="1:7" ht="16.600000000000001">
      <c r="A184" s="1" t="s">
        <v>129</v>
      </c>
      <c r="B184" s="135" t="s">
        <v>343</v>
      </c>
      <c r="C184" s="136" t="s">
        <v>147</v>
      </c>
      <c r="D184" s="137"/>
      <c r="E184" s="137"/>
      <c r="F184" s="137"/>
      <c r="G184" s="137"/>
    </row>
    <row r="185" spans="1:7" ht="16.600000000000001">
      <c r="A185" s="1" t="s">
        <v>129</v>
      </c>
      <c r="B185" s="135" t="s">
        <v>344</v>
      </c>
      <c r="C185" s="135" t="s">
        <v>148</v>
      </c>
      <c r="D185" s="137"/>
      <c r="E185" s="137"/>
      <c r="F185" s="137"/>
      <c r="G185" s="137"/>
    </row>
    <row r="186" spans="1:7" ht="16.600000000000001">
      <c r="A186" s="1" t="s">
        <v>129</v>
      </c>
      <c r="B186" s="135" t="s">
        <v>345</v>
      </c>
      <c r="C186" s="136" t="s">
        <v>149</v>
      </c>
      <c r="D186" s="137"/>
      <c r="E186" s="137"/>
      <c r="F186" s="137"/>
      <c r="G186" s="137"/>
    </row>
    <row r="187" spans="1:7" ht="16.600000000000001">
      <c r="B187" s="135" t="s">
        <v>346</v>
      </c>
      <c r="C187" s="136" t="s">
        <v>150</v>
      </c>
      <c r="D187" s="137"/>
      <c r="E187" s="137"/>
      <c r="F187" s="137"/>
      <c r="G187" s="137"/>
    </row>
    <row r="188" spans="1:7" ht="16.600000000000001">
      <c r="A188" s="1" t="s">
        <v>129</v>
      </c>
      <c r="B188" s="135" t="s">
        <v>347</v>
      </c>
      <c r="C188" s="136" t="s">
        <v>151</v>
      </c>
      <c r="D188" s="137"/>
      <c r="E188" s="137"/>
      <c r="F188" s="137"/>
      <c r="G188" s="137"/>
    </row>
    <row r="189" spans="1:7" ht="16.600000000000001">
      <c r="A189" s="1" t="s">
        <v>129</v>
      </c>
      <c r="B189" s="135" t="s">
        <v>348</v>
      </c>
      <c r="C189" s="136" t="s">
        <v>152</v>
      </c>
      <c r="D189" s="137"/>
      <c r="E189" s="137"/>
      <c r="F189" s="137"/>
      <c r="G189" s="137"/>
    </row>
    <row r="190" spans="1:7" ht="16.600000000000001">
      <c r="A190" s="1" t="s">
        <v>129</v>
      </c>
      <c r="B190" s="135" t="s">
        <v>349</v>
      </c>
      <c r="C190" s="136" t="s">
        <v>153</v>
      </c>
      <c r="D190" s="136"/>
      <c r="E190" s="136"/>
      <c r="F190" s="136"/>
      <c r="G190" s="136"/>
    </row>
    <row r="191" spans="1:7" ht="16.600000000000001">
      <c r="A191" s="1" t="s">
        <v>129</v>
      </c>
      <c r="B191" s="135" t="s">
        <v>350</v>
      </c>
      <c r="C191" s="136" t="s">
        <v>154</v>
      </c>
      <c r="D191" s="136"/>
      <c r="E191" s="136"/>
      <c r="F191" s="136"/>
      <c r="G191" s="136"/>
    </row>
    <row r="192" spans="1:7" ht="16.600000000000001">
      <c r="A192" s="1" t="s">
        <v>129</v>
      </c>
      <c r="B192" s="135" t="s">
        <v>351</v>
      </c>
      <c r="C192" s="136" t="s">
        <v>155</v>
      </c>
      <c r="D192" s="136"/>
      <c r="E192" s="136"/>
      <c r="F192" s="136"/>
      <c r="G192" s="136"/>
    </row>
    <row r="193" spans="1:7" ht="16.600000000000001">
      <c r="A193" s="1" t="s">
        <v>129</v>
      </c>
      <c r="B193" s="135" t="s">
        <v>352</v>
      </c>
      <c r="C193" s="136" t="s">
        <v>156</v>
      </c>
      <c r="D193" s="136"/>
      <c r="E193" s="136"/>
      <c r="F193" s="136"/>
      <c r="G193" s="136"/>
    </row>
    <row r="194" spans="1:7" ht="16.600000000000001">
      <c r="A194" s="1" t="s">
        <v>129</v>
      </c>
      <c r="B194" s="135" t="s">
        <v>353</v>
      </c>
      <c r="C194" s="136" t="s">
        <v>160</v>
      </c>
      <c r="D194" s="136"/>
      <c r="E194" s="137"/>
      <c r="F194" s="137"/>
      <c r="G194" s="137"/>
    </row>
    <row r="195" spans="1:7" ht="16.600000000000001">
      <c r="A195" s="1" t="s">
        <v>129</v>
      </c>
      <c r="B195" s="135" t="s">
        <v>354</v>
      </c>
      <c r="C195" s="136" t="s">
        <v>161</v>
      </c>
      <c r="D195" s="136"/>
      <c r="E195" s="136"/>
      <c r="F195" s="136"/>
      <c r="G195" s="136"/>
    </row>
    <row r="196" spans="1:7" ht="16.600000000000001">
      <c r="B196" s="135" t="s">
        <v>355</v>
      </c>
      <c r="C196" s="136" t="s">
        <v>162</v>
      </c>
      <c r="D196" s="137"/>
      <c r="E196" s="137"/>
      <c r="F196" s="137"/>
      <c r="G196" s="137"/>
    </row>
    <row r="197" spans="1:7" ht="16.600000000000001">
      <c r="A197" s="1" t="s">
        <v>129</v>
      </c>
      <c r="B197" s="135" t="s">
        <v>356</v>
      </c>
      <c r="C197" s="136" t="s">
        <v>163</v>
      </c>
      <c r="D197" s="137"/>
      <c r="E197" s="136"/>
      <c r="F197" s="136"/>
      <c r="G197" s="137"/>
    </row>
    <row r="198" spans="1:7" ht="16.600000000000001">
      <c r="B198" s="135" t="s">
        <v>357</v>
      </c>
      <c r="C198" s="135" t="s">
        <v>167</v>
      </c>
      <c r="D198" s="137"/>
      <c r="E198" s="137"/>
      <c r="F198" s="137"/>
      <c r="G198" s="137"/>
    </row>
    <row r="199" spans="1:7" ht="16.600000000000001">
      <c r="A199" s="1" t="s">
        <v>165</v>
      </c>
      <c r="B199" s="135" t="s">
        <v>358</v>
      </c>
      <c r="C199" s="135" t="s">
        <v>578</v>
      </c>
      <c r="D199" s="136"/>
      <c r="E199" s="136"/>
      <c r="F199" s="136"/>
      <c r="G199" s="136"/>
    </row>
    <row r="200" spans="1:7" ht="16.600000000000001">
      <c r="A200" s="1" t="s">
        <v>165</v>
      </c>
      <c r="B200" s="135" t="s">
        <v>359</v>
      </c>
      <c r="C200" s="135" t="s">
        <v>359</v>
      </c>
      <c r="D200" s="136"/>
      <c r="E200" s="136"/>
      <c r="F200" s="136"/>
      <c r="G200" s="136"/>
    </row>
    <row r="201" spans="1:7" ht="16.600000000000001">
      <c r="A201" s="1" t="s">
        <v>165</v>
      </c>
      <c r="B201" s="135" t="s">
        <v>360</v>
      </c>
      <c r="C201" s="136" t="s">
        <v>166</v>
      </c>
      <c r="D201" s="137"/>
      <c r="E201" s="137"/>
      <c r="F201" s="137"/>
      <c r="G201" s="137"/>
    </row>
    <row r="202" spans="1:7" ht="16.600000000000001">
      <c r="B202" s="135" t="s">
        <v>361</v>
      </c>
      <c r="C202" s="136" t="s">
        <v>164</v>
      </c>
      <c r="D202" s="137"/>
      <c r="E202" s="137"/>
      <c r="F202" s="137"/>
      <c r="G202" s="137"/>
    </row>
    <row r="203" spans="1:7" ht="16.600000000000001">
      <c r="B203" s="135" t="s">
        <v>362</v>
      </c>
      <c r="C203" s="136" t="s">
        <v>168</v>
      </c>
      <c r="D203" s="137"/>
      <c r="E203" s="137"/>
      <c r="F203" s="137"/>
      <c r="G203" s="137"/>
    </row>
    <row r="204" spans="1:7" ht="16.600000000000001">
      <c r="A204" s="1" t="s">
        <v>169</v>
      </c>
      <c r="B204" s="135" t="s">
        <v>363</v>
      </c>
      <c r="C204" s="136" t="s">
        <v>177</v>
      </c>
      <c r="D204" s="137"/>
      <c r="E204" s="137"/>
      <c r="F204" s="137"/>
      <c r="G204" s="137"/>
    </row>
    <row r="205" spans="1:7" ht="16.600000000000001">
      <c r="A205" s="1" t="s">
        <v>171</v>
      </c>
      <c r="B205" s="135" t="s">
        <v>364</v>
      </c>
      <c r="C205" s="136" t="s">
        <v>172</v>
      </c>
      <c r="D205" s="137"/>
      <c r="E205" s="137"/>
      <c r="F205" s="137"/>
      <c r="G205" s="137"/>
    </row>
    <row r="206" spans="1:7" ht="16.600000000000001">
      <c r="A206" s="1" t="s">
        <v>171</v>
      </c>
      <c r="B206" s="135" t="s">
        <v>365</v>
      </c>
      <c r="C206" s="136" t="s">
        <v>173</v>
      </c>
      <c r="D206" s="136"/>
      <c r="E206" s="136"/>
      <c r="F206" s="136"/>
      <c r="G206" s="136"/>
    </row>
    <row r="207" spans="1:7" ht="16.600000000000001">
      <c r="A207" s="1" t="s">
        <v>171</v>
      </c>
      <c r="B207" s="135" t="s">
        <v>366</v>
      </c>
      <c r="C207" s="136" t="s">
        <v>174</v>
      </c>
      <c r="D207" s="136"/>
      <c r="E207" s="136"/>
      <c r="F207" s="136"/>
      <c r="G207" s="136"/>
    </row>
    <row r="208" spans="1:7" ht="16.600000000000001">
      <c r="A208" s="1" t="s">
        <v>171</v>
      </c>
      <c r="B208" s="135" t="s">
        <v>367</v>
      </c>
      <c r="C208" s="136" t="s">
        <v>175</v>
      </c>
      <c r="D208" s="136"/>
      <c r="E208" s="136"/>
      <c r="F208" s="136"/>
      <c r="G208" s="136"/>
    </row>
    <row r="209" spans="1:7" ht="16.600000000000001">
      <c r="A209" s="1" t="s">
        <v>171</v>
      </c>
      <c r="B209" s="135" t="s">
        <v>368</v>
      </c>
      <c r="C209" s="136" t="s">
        <v>176</v>
      </c>
      <c r="D209" s="136"/>
      <c r="E209" s="136"/>
      <c r="F209" s="136"/>
      <c r="G209" s="136"/>
    </row>
    <row r="210" spans="1:7" ht="16.600000000000001">
      <c r="A210" s="1" t="s">
        <v>169</v>
      </c>
      <c r="B210" s="135" t="s">
        <v>369</v>
      </c>
      <c r="C210" s="136" t="s">
        <v>178</v>
      </c>
      <c r="D210" s="136"/>
      <c r="E210" s="136"/>
      <c r="F210" s="136"/>
      <c r="G210" s="136"/>
    </row>
    <row r="211" spans="1:7" ht="16.600000000000001">
      <c r="B211" s="135" t="s">
        <v>370</v>
      </c>
      <c r="C211" s="136" t="s">
        <v>179</v>
      </c>
      <c r="D211" s="137"/>
      <c r="E211" s="137"/>
      <c r="F211" s="137"/>
      <c r="G211" s="137"/>
    </row>
    <row r="212" spans="1:7" ht="16.600000000000001">
      <c r="A212" s="1" t="s">
        <v>180</v>
      </c>
      <c r="B212" s="135" t="s">
        <v>371</v>
      </c>
      <c r="C212" s="136" t="s">
        <v>181</v>
      </c>
      <c r="D212" s="137"/>
      <c r="E212" s="137"/>
      <c r="F212" s="137"/>
      <c r="G212" s="137"/>
    </row>
    <row r="213" spans="1:7" ht="16.600000000000001">
      <c r="A213" s="1" t="s">
        <v>171</v>
      </c>
      <c r="B213" s="135" t="s">
        <v>372</v>
      </c>
      <c r="C213" s="136" t="s">
        <v>183</v>
      </c>
      <c r="D213" s="136"/>
      <c r="E213" s="136"/>
      <c r="F213" s="136"/>
      <c r="G213" s="136"/>
    </row>
    <row r="214" spans="1:7" ht="16.600000000000001">
      <c r="A214" s="1" t="s">
        <v>171</v>
      </c>
      <c r="B214" s="135" t="s">
        <v>373</v>
      </c>
      <c r="C214" s="136" t="s">
        <v>184</v>
      </c>
      <c r="D214" s="136"/>
      <c r="E214" s="136"/>
      <c r="F214" s="136"/>
      <c r="G214" s="136"/>
    </row>
    <row r="215" spans="1:7" ht="16.600000000000001">
      <c r="A215" s="1" t="s">
        <v>171</v>
      </c>
      <c r="B215" s="135" t="s">
        <v>374</v>
      </c>
      <c r="C215" s="136" t="s">
        <v>185</v>
      </c>
      <c r="D215" s="136"/>
      <c r="E215" s="136"/>
      <c r="F215" s="136"/>
      <c r="G215" s="136"/>
    </row>
    <row r="216" spans="1:7" ht="16.600000000000001">
      <c r="A216" s="1" t="s">
        <v>171</v>
      </c>
      <c r="B216" s="135" t="s">
        <v>375</v>
      </c>
      <c r="C216" s="136" t="s">
        <v>186</v>
      </c>
      <c r="D216" s="136"/>
      <c r="E216" s="136"/>
      <c r="F216" s="136"/>
      <c r="G216" s="136"/>
    </row>
    <row r="217" spans="1:7" ht="16.600000000000001">
      <c r="A217" s="1" t="s">
        <v>171</v>
      </c>
      <c r="B217" s="135" t="s">
        <v>376</v>
      </c>
      <c r="C217" s="136" t="s">
        <v>187</v>
      </c>
      <c r="D217" s="136"/>
      <c r="E217" s="136"/>
      <c r="F217" s="136"/>
      <c r="G217" s="136"/>
    </row>
    <row r="218" spans="1:7" ht="16.600000000000001">
      <c r="B218" s="135" t="s">
        <v>377</v>
      </c>
      <c r="C218" s="136" t="s">
        <v>188</v>
      </c>
      <c r="D218" s="137"/>
      <c r="E218" s="137"/>
      <c r="F218" s="137"/>
      <c r="G218" s="137"/>
    </row>
    <row r="219" spans="1:7" ht="16.600000000000001">
      <c r="B219" s="135" t="s">
        <v>378</v>
      </c>
      <c r="C219" s="136" t="s">
        <v>189</v>
      </c>
      <c r="D219" s="137"/>
      <c r="E219" s="137"/>
      <c r="F219" s="137"/>
      <c r="G219" s="137"/>
    </row>
    <row r="220" spans="1:7" ht="16.600000000000001">
      <c r="A220" s="1" t="s">
        <v>171</v>
      </c>
      <c r="B220" s="135" t="s">
        <v>379</v>
      </c>
      <c r="C220" s="136" t="s">
        <v>190</v>
      </c>
      <c r="D220" s="137"/>
      <c r="E220" s="137"/>
      <c r="F220" s="137"/>
      <c r="G220" s="136"/>
    </row>
    <row r="221" spans="1:7" ht="16.600000000000001">
      <c r="B221" s="135" t="s">
        <v>380</v>
      </c>
      <c r="C221" s="136" t="s">
        <v>191</v>
      </c>
      <c r="D221" s="137"/>
      <c r="E221" s="137"/>
      <c r="F221" s="137"/>
      <c r="G221" s="137"/>
    </row>
    <row r="222" spans="1:7" ht="16.600000000000001">
      <c r="B222" s="135" t="s">
        <v>381</v>
      </c>
      <c r="C222" s="136" t="s">
        <v>607</v>
      </c>
      <c r="D222" s="137"/>
      <c r="E222" s="137"/>
      <c r="F222" s="137"/>
      <c r="G222" s="137"/>
    </row>
    <row r="223" spans="1:7" ht="16.600000000000001">
      <c r="A223" s="1" t="s">
        <v>608</v>
      </c>
      <c r="B223" s="135" t="s">
        <v>382</v>
      </c>
      <c r="C223" s="136" t="s">
        <v>609</v>
      </c>
      <c r="D223" s="137"/>
      <c r="E223" s="137"/>
      <c r="F223" s="137"/>
      <c r="G223" s="137"/>
    </row>
    <row r="224" spans="1:7" ht="16.600000000000001">
      <c r="A224" s="1" t="s">
        <v>182</v>
      </c>
      <c r="B224" s="135" t="s">
        <v>383</v>
      </c>
      <c r="C224" s="136" t="s">
        <v>610</v>
      </c>
      <c r="D224" s="137"/>
      <c r="E224" s="137"/>
      <c r="F224" s="137"/>
      <c r="G224" s="137"/>
    </row>
    <row r="225" spans="1:7" ht="16.600000000000001">
      <c r="A225" s="1" t="s">
        <v>611</v>
      </c>
      <c r="B225" s="135" t="s">
        <v>384</v>
      </c>
      <c r="C225" s="136" t="s">
        <v>612</v>
      </c>
      <c r="D225" s="137"/>
      <c r="E225" s="137"/>
      <c r="F225" s="137"/>
      <c r="G225" s="137"/>
    </row>
    <row r="226" spans="1:7" ht="16.600000000000001">
      <c r="A226" s="1" t="s">
        <v>182</v>
      </c>
      <c r="B226" s="135" t="s">
        <v>385</v>
      </c>
      <c r="C226" s="136" t="s">
        <v>613</v>
      </c>
      <c r="D226" s="136"/>
      <c r="E226" s="136"/>
      <c r="F226" s="136"/>
      <c r="G226" s="136"/>
    </row>
    <row r="227" spans="1:7" ht="16.600000000000001">
      <c r="A227" s="1" t="s">
        <v>182</v>
      </c>
      <c r="B227" s="135" t="s">
        <v>386</v>
      </c>
      <c r="C227" s="136" t="s">
        <v>614</v>
      </c>
      <c r="D227" s="137"/>
      <c r="E227" s="137"/>
      <c r="F227" s="137"/>
      <c r="G227" s="137"/>
    </row>
    <row r="228" spans="1:7" ht="16.600000000000001">
      <c r="B228" s="135" t="s">
        <v>387</v>
      </c>
      <c r="C228" s="136" t="s">
        <v>615</v>
      </c>
      <c r="D228" s="137"/>
      <c r="E228" s="137"/>
      <c r="F228" s="137"/>
      <c r="G228" s="137"/>
    </row>
    <row r="229" spans="1:7" ht="16.600000000000001">
      <c r="A229" s="1" t="s">
        <v>616</v>
      </c>
      <c r="B229" s="135" t="s">
        <v>388</v>
      </c>
      <c r="C229" s="136" t="s">
        <v>617</v>
      </c>
      <c r="D229" s="137"/>
      <c r="E229" s="137"/>
      <c r="F229" s="137"/>
      <c r="G229" s="137"/>
    </row>
    <row r="230" spans="1:7" ht="16.600000000000001">
      <c r="A230" s="1" t="s">
        <v>171</v>
      </c>
      <c r="B230" s="135" t="s">
        <v>389</v>
      </c>
      <c r="C230" s="136" t="s">
        <v>618</v>
      </c>
      <c r="D230" s="137"/>
      <c r="E230" s="137"/>
      <c r="F230" s="137"/>
      <c r="G230" s="137"/>
    </row>
    <row r="231" spans="1:7" ht="16.600000000000001">
      <c r="A231" s="1" t="s">
        <v>171</v>
      </c>
      <c r="B231" s="135" t="s">
        <v>390</v>
      </c>
      <c r="C231" s="136" t="s">
        <v>619</v>
      </c>
      <c r="D231" s="136"/>
      <c r="E231" s="136"/>
      <c r="F231" s="136"/>
      <c r="G231" s="136"/>
    </row>
    <row r="232" spans="1:7" ht="16.600000000000001">
      <c r="A232" s="1" t="s">
        <v>620</v>
      </c>
      <c r="B232" s="135" t="s">
        <v>391</v>
      </c>
      <c r="C232" s="136" t="s">
        <v>621</v>
      </c>
      <c r="D232" s="137"/>
      <c r="E232" s="137"/>
      <c r="F232" s="137"/>
      <c r="G232" s="137"/>
    </row>
    <row r="233" spans="1:7" ht="16.600000000000001">
      <c r="A233" s="1" t="s">
        <v>171</v>
      </c>
      <c r="B233" s="135" t="s">
        <v>392</v>
      </c>
      <c r="C233" s="135" t="s">
        <v>579</v>
      </c>
      <c r="D233" s="136"/>
      <c r="E233" s="136"/>
      <c r="F233" s="136"/>
      <c r="G233" s="136"/>
    </row>
    <row r="234" spans="1:7" ht="16.600000000000001">
      <c r="A234" s="1" t="s">
        <v>171</v>
      </c>
      <c r="B234" s="135" t="s">
        <v>393</v>
      </c>
      <c r="C234" s="135" t="s">
        <v>622</v>
      </c>
      <c r="D234" s="136"/>
      <c r="E234" s="136"/>
      <c r="F234" s="136"/>
      <c r="G234" s="136"/>
    </row>
    <row r="235" spans="1:7" ht="16.600000000000001">
      <c r="A235" s="1" t="s">
        <v>171</v>
      </c>
      <c r="B235" s="135" t="s">
        <v>394</v>
      </c>
      <c r="C235" s="136" t="s">
        <v>623</v>
      </c>
      <c r="D235" s="137"/>
      <c r="E235" s="136"/>
      <c r="F235" s="136"/>
      <c r="G235" s="136"/>
    </row>
    <row r="236" spans="1:7" ht="16.600000000000001">
      <c r="A236" s="1" t="s">
        <v>171</v>
      </c>
      <c r="B236" s="135" t="s">
        <v>395</v>
      </c>
      <c r="C236" s="136" t="s">
        <v>624</v>
      </c>
      <c r="D236" s="136"/>
      <c r="E236" s="136"/>
      <c r="F236" s="136"/>
      <c r="G236" s="136"/>
    </row>
    <row r="237" spans="1:7" ht="16.600000000000001">
      <c r="A237" s="1" t="s">
        <v>171</v>
      </c>
      <c r="B237" s="135" t="s">
        <v>396</v>
      </c>
      <c r="C237" s="136" t="s">
        <v>625</v>
      </c>
      <c r="D237" s="136"/>
      <c r="E237" s="136"/>
      <c r="F237" s="136"/>
      <c r="G237" s="136"/>
    </row>
    <row r="238" spans="1:7" ht="16.600000000000001">
      <c r="A238" s="1" t="s">
        <v>171</v>
      </c>
      <c r="B238" s="135" t="s">
        <v>397</v>
      </c>
      <c r="C238" s="136" t="s">
        <v>626</v>
      </c>
      <c r="D238" s="137"/>
      <c r="E238" s="137"/>
      <c r="F238" s="137"/>
      <c r="G238" s="137"/>
    </row>
    <row r="239" spans="1:7" ht="16.600000000000001">
      <c r="B239" s="135" t="s">
        <v>398</v>
      </c>
      <c r="C239" s="136" t="s">
        <v>627</v>
      </c>
      <c r="D239" s="137"/>
      <c r="E239" s="137"/>
      <c r="F239" s="137"/>
      <c r="G239" s="137"/>
    </row>
    <row r="240" spans="1:7" ht="16.600000000000001">
      <c r="A240" s="1" t="s">
        <v>628</v>
      </c>
      <c r="B240" s="135" t="s">
        <v>399</v>
      </c>
      <c r="C240" s="136" t="s">
        <v>629</v>
      </c>
      <c r="D240" s="136"/>
      <c r="E240" s="136"/>
      <c r="F240" s="136"/>
      <c r="G240" s="136"/>
    </row>
    <row r="241" spans="1:7" ht="16.600000000000001">
      <c r="A241" s="1" t="s">
        <v>628</v>
      </c>
      <c r="B241" s="135" t="s">
        <v>400</v>
      </c>
      <c r="C241" s="136" t="s">
        <v>630</v>
      </c>
      <c r="D241" s="137"/>
      <c r="E241" s="137"/>
      <c r="F241" s="137"/>
      <c r="G241" s="137"/>
    </row>
    <row r="242" spans="1:7" ht="16.600000000000001">
      <c r="A242" s="1" t="s">
        <v>628</v>
      </c>
      <c r="B242" s="135" t="s">
        <v>401</v>
      </c>
      <c r="C242" s="136" t="s">
        <v>631</v>
      </c>
      <c r="D242" s="137"/>
      <c r="E242" s="137"/>
      <c r="F242" s="137"/>
      <c r="G242" s="137"/>
    </row>
    <row r="243" spans="1:7" ht="16.600000000000001">
      <c r="A243" s="1" t="s">
        <v>628</v>
      </c>
      <c r="B243" s="135" t="s">
        <v>402</v>
      </c>
      <c r="C243" s="136" t="s">
        <v>632</v>
      </c>
      <c r="D243" s="137"/>
      <c r="E243" s="137"/>
      <c r="F243" s="137"/>
      <c r="G243" s="137"/>
    </row>
    <row r="244" spans="1:7" ht="16.600000000000001">
      <c r="A244" s="1" t="s">
        <v>628</v>
      </c>
      <c r="B244" s="135" t="s">
        <v>403</v>
      </c>
      <c r="C244" s="136" t="s">
        <v>633</v>
      </c>
      <c r="D244" s="136"/>
      <c r="E244" s="136"/>
      <c r="F244" s="136"/>
      <c r="G244" s="136"/>
    </row>
    <row r="245" spans="1:7" ht="16.600000000000001">
      <c r="A245" s="1" t="s">
        <v>628</v>
      </c>
      <c r="B245" s="135" t="s">
        <v>404</v>
      </c>
      <c r="C245" s="136" t="s">
        <v>634</v>
      </c>
      <c r="D245" s="136"/>
      <c r="E245" s="137"/>
      <c r="F245" s="136"/>
      <c r="G245" s="136"/>
    </row>
    <row r="246" spans="1:7" ht="16.600000000000001">
      <c r="A246" s="1" t="s">
        <v>628</v>
      </c>
      <c r="B246" s="135" t="s">
        <v>405</v>
      </c>
      <c r="C246" s="136" t="s">
        <v>635</v>
      </c>
      <c r="D246" s="136"/>
      <c r="E246" s="136"/>
      <c r="F246" s="136"/>
      <c r="G246" s="136"/>
    </row>
    <row r="247" spans="1:7" ht="16.600000000000001">
      <c r="A247" s="1" t="s">
        <v>628</v>
      </c>
      <c r="B247" s="135" t="s">
        <v>406</v>
      </c>
      <c r="C247" s="136" t="s">
        <v>636</v>
      </c>
      <c r="D247" s="136"/>
      <c r="E247" s="136"/>
      <c r="F247" s="136"/>
      <c r="G247" s="136"/>
    </row>
    <row r="248" spans="1:7" ht="16.600000000000001">
      <c r="A248" s="1" t="s">
        <v>628</v>
      </c>
      <c r="B248" s="135" t="s">
        <v>407</v>
      </c>
      <c r="C248" s="136" t="s">
        <v>637</v>
      </c>
      <c r="D248" s="136"/>
      <c r="E248" s="136"/>
      <c r="F248" s="136"/>
      <c r="G248" s="136"/>
    </row>
    <row r="249" spans="1:7" ht="16.600000000000001">
      <c r="A249" s="1" t="s">
        <v>628</v>
      </c>
      <c r="B249" s="135" t="s">
        <v>408</v>
      </c>
      <c r="C249" s="136" t="s">
        <v>638</v>
      </c>
      <c r="D249" s="136"/>
      <c r="E249" s="136"/>
      <c r="F249" s="136"/>
      <c r="G249" s="136"/>
    </row>
    <row r="250" spans="1:7" ht="16.600000000000001">
      <c r="A250" s="1" t="s">
        <v>628</v>
      </c>
      <c r="B250" s="135" t="s">
        <v>409</v>
      </c>
      <c r="C250" s="136" t="s">
        <v>639</v>
      </c>
      <c r="D250" s="137"/>
      <c r="E250" s="137"/>
      <c r="F250" s="136"/>
      <c r="G250" s="136"/>
    </row>
    <row r="251" spans="1:7" ht="16.600000000000001">
      <c r="A251" s="1" t="s">
        <v>628</v>
      </c>
      <c r="B251" s="135" t="s">
        <v>410</v>
      </c>
      <c r="C251" s="136" t="s">
        <v>640</v>
      </c>
      <c r="D251" s="136"/>
      <c r="E251" s="136"/>
      <c r="F251" s="136"/>
      <c r="G251" s="136"/>
    </row>
    <row r="252" spans="1:7" ht="16.600000000000001">
      <c r="A252" s="1" t="s">
        <v>641</v>
      </c>
      <c r="B252" s="135" t="s">
        <v>411</v>
      </c>
      <c r="C252" s="136" t="s">
        <v>642</v>
      </c>
      <c r="D252" s="136"/>
      <c r="E252" s="136"/>
      <c r="F252" s="136"/>
      <c r="G252" s="136"/>
    </row>
    <row r="253" spans="1:7" ht="16.600000000000001">
      <c r="A253" s="1" t="s">
        <v>641</v>
      </c>
      <c r="B253" s="135" t="s">
        <v>412</v>
      </c>
      <c r="C253" s="136" t="s">
        <v>643</v>
      </c>
      <c r="D253" s="136"/>
      <c r="E253" s="136"/>
      <c r="F253" s="136"/>
      <c r="G253" s="136"/>
    </row>
    <row r="254" spans="1:7" ht="16.600000000000001">
      <c r="A254" s="1" t="s">
        <v>641</v>
      </c>
      <c r="B254" s="135" t="s">
        <v>413</v>
      </c>
      <c r="C254" s="136" t="s">
        <v>644</v>
      </c>
      <c r="D254" s="136"/>
      <c r="E254" s="136"/>
      <c r="F254" s="136"/>
      <c r="G254" s="136"/>
    </row>
    <row r="255" spans="1:7" ht="16.600000000000001">
      <c r="A255" s="1" t="s">
        <v>641</v>
      </c>
      <c r="B255" s="135" t="s">
        <v>414</v>
      </c>
      <c r="C255" s="136" t="s">
        <v>645</v>
      </c>
      <c r="D255" s="137"/>
      <c r="E255" s="137"/>
      <c r="F255" s="137"/>
      <c r="G255" s="137"/>
    </row>
    <row r="256" spans="1:7" ht="16.600000000000001">
      <c r="A256" s="1" t="s">
        <v>641</v>
      </c>
      <c r="B256" s="135" t="s">
        <v>415</v>
      </c>
      <c r="C256" s="136" t="s">
        <v>646</v>
      </c>
      <c r="D256" s="136"/>
      <c r="E256" s="136"/>
      <c r="F256" s="136"/>
      <c r="G256" s="137"/>
    </row>
    <row r="257" spans="1:7" ht="16.600000000000001">
      <c r="A257" s="1" t="s">
        <v>641</v>
      </c>
      <c r="B257" s="135" t="s">
        <v>416</v>
      </c>
      <c r="C257" s="136" t="s">
        <v>647</v>
      </c>
      <c r="D257" s="137"/>
      <c r="E257" s="137"/>
      <c r="F257" s="137"/>
      <c r="G257" s="137"/>
    </row>
    <row r="258" spans="1:7" ht="16.600000000000001">
      <c r="A258" s="1" t="s">
        <v>641</v>
      </c>
      <c r="B258" s="135" t="s">
        <v>417</v>
      </c>
      <c r="C258" s="136" t="s">
        <v>648</v>
      </c>
      <c r="D258" s="137"/>
      <c r="E258" s="137"/>
      <c r="F258" s="137"/>
      <c r="G258" s="137"/>
    </row>
    <row r="259" spans="1:7" ht="16.600000000000001">
      <c r="A259" s="1" t="s">
        <v>641</v>
      </c>
      <c r="B259" s="135" t="s">
        <v>418</v>
      </c>
      <c r="C259" s="136" t="s">
        <v>649</v>
      </c>
      <c r="D259" s="136"/>
      <c r="E259" s="136"/>
      <c r="F259" s="136"/>
      <c r="G259" s="136"/>
    </row>
    <row r="260" spans="1:7" ht="16.600000000000001">
      <c r="A260" s="1" t="s">
        <v>641</v>
      </c>
      <c r="B260" s="135" t="s">
        <v>419</v>
      </c>
      <c r="C260" s="136" t="s">
        <v>650</v>
      </c>
      <c r="D260" s="137"/>
      <c r="E260" s="137"/>
      <c r="F260" s="137"/>
      <c r="G260" s="137"/>
    </row>
    <row r="261" spans="1:7" ht="16.600000000000001">
      <c r="B261" s="135" t="s">
        <v>420</v>
      </c>
      <c r="C261" s="136" t="s">
        <v>651</v>
      </c>
      <c r="D261" s="136"/>
      <c r="E261" s="136"/>
      <c r="F261" s="136"/>
      <c r="G261" s="136"/>
    </row>
    <row r="262" spans="1:7" ht="16.600000000000001">
      <c r="A262" s="1" t="s">
        <v>641</v>
      </c>
      <c r="B262" s="135" t="s">
        <v>421</v>
      </c>
      <c r="C262" s="136" t="s">
        <v>652</v>
      </c>
      <c r="D262" s="136"/>
      <c r="E262" s="137"/>
      <c r="F262" s="136"/>
      <c r="G262" s="136"/>
    </row>
    <row r="263" spans="1:7" ht="16.600000000000001">
      <c r="A263" s="1" t="s">
        <v>641</v>
      </c>
      <c r="B263" s="135" t="s">
        <v>422</v>
      </c>
      <c r="C263" s="136" t="s">
        <v>653</v>
      </c>
      <c r="D263" s="136"/>
      <c r="E263" s="136"/>
      <c r="F263" s="136"/>
      <c r="G263" s="136"/>
    </row>
    <row r="264" spans="1:7" ht="16.600000000000001">
      <c r="A264" s="1" t="s">
        <v>641</v>
      </c>
      <c r="B264" s="135" t="s">
        <v>423</v>
      </c>
      <c r="C264" s="136" t="s">
        <v>654</v>
      </c>
      <c r="D264" s="136"/>
      <c r="E264" s="136"/>
      <c r="F264" s="136"/>
      <c r="G264" s="137"/>
    </row>
    <row r="265" spans="1:7" ht="16.600000000000001">
      <c r="A265" s="1" t="s">
        <v>641</v>
      </c>
      <c r="B265" s="135" t="s">
        <v>424</v>
      </c>
      <c r="C265" s="136" t="s">
        <v>655</v>
      </c>
      <c r="D265" s="136"/>
      <c r="E265" s="136"/>
      <c r="F265" s="136"/>
      <c r="G265" s="136"/>
    </row>
    <row r="266" spans="1:7" ht="16.600000000000001">
      <c r="A266" s="1" t="s">
        <v>628</v>
      </c>
      <c r="B266" s="135" t="s">
        <v>425</v>
      </c>
      <c r="C266" s="136" t="s">
        <v>656</v>
      </c>
      <c r="D266" s="137"/>
      <c r="E266" s="137"/>
      <c r="F266" s="137"/>
      <c r="G266" s="137"/>
    </row>
    <row r="267" spans="1:7" ht="16.600000000000001">
      <c r="B267" s="135" t="s">
        <v>426</v>
      </c>
      <c r="C267" s="136" t="s">
        <v>657</v>
      </c>
      <c r="D267" s="137"/>
      <c r="E267" s="137"/>
      <c r="F267" s="137"/>
      <c r="G267" s="137"/>
    </row>
    <row r="268" spans="1:7" ht="16.600000000000001">
      <c r="A268" s="1" t="s">
        <v>76</v>
      </c>
      <c r="B268" s="135" t="s">
        <v>427</v>
      </c>
      <c r="C268" s="136" t="s">
        <v>658</v>
      </c>
      <c r="D268" s="137"/>
      <c r="E268" s="137"/>
      <c r="F268" s="137"/>
      <c r="G268" s="137"/>
    </row>
    <row r="269" spans="1:7" ht="16.600000000000001">
      <c r="A269" s="1" t="s">
        <v>76</v>
      </c>
      <c r="B269" s="135" t="s">
        <v>428</v>
      </c>
      <c r="C269" s="136" t="s">
        <v>659</v>
      </c>
      <c r="D269" s="136"/>
      <c r="E269" s="136"/>
      <c r="F269" s="136"/>
      <c r="G269" s="136"/>
    </row>
    <row r="270" spans="1:7" ht="16.600000000000001">
      <c r="A270" s="1" t="s">
        <v>76</v>
      </c>
      <c r="B270" s="135" t="s">
        <v>429</v>
      </c>
      <c r="C270" s="136" t="s">
        <v>660</v>
      </c>
      <c r="D270" s="137"/>
      <c r="E270" s="137"/>
      <c r="F270" s="137"/>
      <c r="G270" s="137"/>
    </row>
    <row r="271" spans="1:7" ht="16.600000000000001">
      <c r="B271" s="135" t="s">
        <v>430</v>
      </c>
      <c r="C271" s="136" t="s">
        <v>661</v>
      </c>
      <c r="D271" s="137"/>
      <c r="E271" s="137"/>
      <c r="F271" s="137"/>
      <c r="G271" s="137"/>
    </row>
    <row r="272" spans="1:7" ht="16.600000000000001">
      <c r="A272" s="1" t="s">
        <v>628</v>
      </c>
      <c r="B272" s="135" t="s">
        <v>431</v>
      </c>
      <c r="C272" s="136" t="s">
        <v>662</v>
      </c>
      <c r="D272" s="137"/>
      <c r="E272" s="137"/>
      <c r="F272" s="137"/>
      <c r="G272" s="137"/>
    </row>
    <row r="273" spans="1:7" ht="16.600000000000001">
      <c r="A273" s="1" t="s">
        <v>641</v>
      </c>
      <c r="B273" s="135" t="s">
        <v>432</v>
      </c>
      <c r="C273" s="136" t="s">
        <v>663</v>
      </c>
      <c r="D273" s="136"/>
      <c r="E273" s="136"/>
      <c r="F273" s="137"/>
      <c r="G273" s="136"/>
    </row>
    <row r="274" spans="1:7" ht="16.600000000000001">
      <c r="B274" s="135" t="s">
        <v>433</v>
      </c>
      <c r="C274" s="136" t="s">
        <v>664</v>
      </c>
      <c r="D274" s="137"/>
      <c r="E274" s="137"/>
      <c r="F274" s="137"/>
      <c r="G274" s="137"/>
    </row>
    <row r="275" spans="1:7" ht="16.600000000000001">
      <c r="B275" s="135" t="s">
        <v>434</v>
      </c>
      <c r="C275" s="136" t="s">
        <v>665</v>
      </c>
      <c r="D275" s="136"/>
      <c r="E275" s="136"/>
      <c r="F275" s="136"/>
      <c r="G275" s="136"/>
    </row>
    <row r="276" spans="1:7" ht="16.600000000000001">
      <c r="B276" s="135" t="s">
        <v>435</v>
      </c>
      <c r="C276" s="136" t="s">
        <v>666</v>
      </c>
      <c r="D276" s="137"/>
      <c r="E276" s="137"/>
      <c r="F276" s="137"/>
      <c r="G276" s="137"/>
    </row>
    <row r="277" spans="1:7" ht="16.600000000000001">
      <c r="B277" s="135" t="s">
        <v>436</v>
      </c>
      <c r="C277" s="136" t="s">
        <v>667</v>
      </c>
      <c r="D277" s="137"/>
      <c r="E277" s="137"/>
      <c r="F277" s="137"/>
      <c r="G277" s="137"/>
    </row>
    <row r="278" spans="1:7" ht="16.600000000000001">
      <c r="A278" s="1" t="s">
        <v>668</v>
      </c>
      <c r="B278" s="135" t="s">
        <v>437</v>
      </c>
      <c r="C278" s="136" t="s">
        <v>669</v>
      </c>
      <c r="D278" s="137"/>
      <c r="E278" s="137"/>
      <c r="F278" s="137"/>
      <c r="G278" s="137"/>
    </row>
    <row r="279" spans="1:7" ht="16.600000000000001">
      <c r="B279" s="135" t="s">
        <v>438</v>
      </c>
      <c r="C279" s="136" t="s">
        <v>670</v>
      </c>
      <c r="D279" s="137"/>
      <c r="E279" s="137"/>
      <c r="F279" s="137"/>
      <c r="G279" s="137"/>
    </row>
    <row r="280" spans="1:7" ht="16.600000000000001">
      <c r="A280" s="1" t="s">
        <v>628</v>
      </c>
      <c r="B280" s="135" t="s">
        <v>439</v>
      </c>
      <c r="C280" s="136" t="s">
        <v>671</v>
      </c>
      <c r="D280" s="136"/>
      <c r="E280" s="136"/>
      <c r="F280" s="136"/>
      <c r="G280" s="136"/>
    </row>
    <row r="281" spans="1:7" ht="16.600000000000001">
      <c r="A281" s="1" t="s">
        <v>672</v>
      </c>
      <c r="B281" s="135" t="s">
        <v>440</v>
      </c>
      <c r="C281" s="136" t="s">
        <v>673</v>
      </c>
      <c r="D281" s="136"/>
      <c r="E281" s="136"/>
      <c r="F281" s="136"/>
      <c r="G281" s="136"/>
    </row>
    <row r="282" spans="1:7" ht="16.600000000000001">
      <c r="B282" s="135" t="s">
        <v>441</v>
      </c>
      <c r="C282" s="136" t="s">
        <v>674</v>
      </c>
      <c r="D282" s="137"/>
      <c r="E282" s="137"/>
      <c r="F282" s="137"/>
      <c r="G282" s="137"/>
    </row>
    <row r="283" spans="1:7" ht="16.600000000000001">
      <c r="B283" s="135" t="s">
        <v>442</v>
      </c>
      <c r="C283" s="135" t="s">
        <v>442</v>
      </c>
      <c r="D283" s="137"/>
      <c r="E283" s="137"/>
      <c r="F283" s="137"/>
      <c r="G283" s="137"/>
    </row>
    <row r="284" spans="1:7" ht="16.600000000000001">
      <c r="B284" s="135" t="s">
        <v>443</v>
      </c>
      <c r="C284" s="135" t="s">
        <v>443</v>
      </c>
      <c r="D284" s="136"/>
      <c r="E284" s="136"/>
      <c r="F284" s="136"/>
      <c r="G284" s="136"/>
    </row>
    <row r="285" spans="1:7" ht="16.600000000000001">
      <c r="B285" s="135" t="s">
        <v>444</v>
      </c>
      <c r="C285" s="135" t="s">
        <v>444</v>
      </c>
      <c r="D285" s="137"/>
      <c r="E285" s="137"/>
      <c r="F285" s="137"/>
      <c r="G285" s="137"/>
    </row>
    <row r="286" spans="1:7" ht="16.600000000000001">
      <c r="B286" s="135" t="s">
        <v>445</v>
      </c>
      <c r="C286" s="135" t="s">
        <v>445</v>
      </c>
      <c r="D286" s="136"/>
      <c r="E286" s="136"/>
      <c r="F286" s="136"/>
      <c r="G286" s="136"/>
    </row>
    <row r="287" spans="1:7" ht="16.600000000000001">
      <c r="B287" s="135" t="s">
        <v>446</v>
      </c>
      <c r="C287" s="135" t="s">
        <v>446</v>
      </c>
      <c r="D287" s="136"/>
      <c r="E287" s="136"/>
      <c r="F287" s="136"/>
      <c r="G287" s="136"/>
    </row>
    <row r="288" spans="1:7" ht="16.600000000000001">
      <c r="B288" s="135" t="s">
        <v>447</v>
      </c>
      <c r="C288" s="135" t="s">
        <v>447</v>
      </c>
      <c r="D288" s="136"/>
      <c r="E288" s="136"/>
      <c r="F288" s="136"/>
      <c r="G288" s="136"/>
    </row>
    <row r="289" spans="2:7" ht="16.600000000000001">
      <c r="B289" s="135" t="s">
        <v>448</v>
      </c>
      <c r="C289" s="135" t="s">
        <v>448</v>
      </c>
      <c r="D289" s="137"/>
      <c r="E289" s="137"/>
      <c r="F289" s="137"/>
      <c r="G289" s="136"/>
    </row>
    <row r="290" spans="2:7" ht="16.600000000000001">
      <c r="B290" s="135" t="s">
        <v>449</v>
      </c>
      <c r="C290" s="135" t="s">
        <v>449</v>
      </c>
      <c r="D290" s="137"/>
      <c r="E290" s="137"/>
      <c r="F290" s="137"/>
      <c r="G290" s="137"/>
    </row>
    <row r="291" spans="2:7" ht="16.600000000000001">
      <c r="B291" s="135" t="s">
        <v>450</v>
      </c>
      <c r="C291" s="135" t="s">
        <v>450</v>
      </c>
      <c r="D291" s="136"/>
      <c r="E291" s="136"/>
      <c r="F291" s="136"/>
      <c r="G291" s="136"/>
    </row>
    <row r="292" spans="2:7" ht="16.600000000000001">
      <c r="B292" s="135" t="s">
        <v>451</v>
      </c>
      <c r="C292" s="135" t="s">
        <v>451</v>
      </c>
      <c r="D292" s="137"/>
      <c r="E292" s="137"/>
      <c r="F292" s="137"/>
      <c r="G292" s="137"/>
    </row>
    <row r="293" spans="2:7" ht="16.600000000000001">
      <c r="B293" s="135" t="s">
        <v>452</v>
      </c>
      <c r="C293" s="135" t="s">
        <v>452</v>
      </c>
      <c r="D293" s="137"/>
      <c r="E293" s="137"/>
      <c r="F293" s="137"/>
      <c r="G293" s="137"/>
    </row>
    <row r="294" spans="2:7" ht="16.600000000000001">
      <c r="B294" s="135" t="s">
        <v>453</v>
      </c>
      <c r="C294" s="135" t="s">
        <v>453</v>
      </c>
      <c r="D294" s="137"/>
      <c r="E294" s="137"/>
      <c r="F294" s="137"/>
      <c r="G294" s="137"/>
    </row>
    <row r="295" spans="2:7" ht="16.600000000000001">
      <c r="B295" s="135" t="s">
        <v>454</v>
      </c>
      <c r="C295" s="135" t="s">
        <v>454</v>
      </c>
      <c r="D295" s="137"/>
      <c r="E295" s="137"/>
      <c r="F295" s="137"/>
      <c r="G295" s="137"/>
    </row>
    <row r="296" spans="2:7" ht="16.600000000000001">
      <c r="B296" s="135" t="s">
        <v>455</v>
      </c>
      <c r="C296" s="135" t="s">
        <v>455</v>
      </c>
      <c r="D296" s="137"/>
      <c r="E296" s="137"/>
      <c r="F296" s="137"/>
      <c r="G296" s="137"/>
    </row>
    <row r="297" spans="2:7" ht="16.600000000000001">
      <c r="B297" s="135" t="s">
        <v>456</v>
      </c>
      <c r="C297" s="135" t="s">
        <v>456</v>
      </c>
      <c r="D297" s="136"/>
      <c r="E297" s="136"/>
      <c r="F297" s="136"/>
      <c r="G297" s="136"/>
    </row>
    <row r="298" spans="2:7" ht="16.600000000000001">
      <c r="B298" s="135" t="s">
        <v>457</v>
      </c>
      <c r="C298" s="135" t="s">
        <v>457</v>
      </c>
      <c r="D298" s="137"/>
      <c r="E298" s="137"/>
      <c r="F298" s="137"/>
      <c r="G298" s="137"/>
    </row>
    <row r="299" spans="2:7" ht="16.600000000000001">
      <c r="B299" s="135" t="s">
        <v>458</v>
      </c>
      <c r="C299" s="135" t="s">
        <v>458</v>
      </c>
      <c r="D299" s="137"/>
      <c r="E299" s="137"/>
      <c r="F299" s="137"/>
      <c r="G299" s="137"/>
    </row>
    <row r="300" spans="2:7" ht="16.600000000000001">
      <c r="B300" s="135" t="s">
        <v>459</v>
      </c>
      <c r="C300" s="135" t="s">
        <v>459</v>
      </c>
      <c r="D300" s="136"/>
      <c r="E300" s="136"/>
      <c r="F300" s="136"/>
      <c r="G300" s="136"/>
    </row>
    <row r="301" spans="2:7" ht="16.600000000000001">
      <c r="B301" s="135" t="s">
        <v>460</v>
      </c>
      <c r="C301" s="135" t="s">
        <v>460</v>
      </c>
      <c r="D301" s="136"/>
      <c r="E301" s="136"/>
      <c r="F301" s="136"/>
      <c r="G301" s="136"/>
    </row>
    <row r="302" spans="2:7" ht="16.600000000000001">
      <c r="B302" s="135" t="s">
        <v>461</v>
      </c>
      <c r="C302" s="135" t="s">
        <v>461</v>
      </c>
      <c r="D302" s="137"/>
      <c r="E302" s="137"/>
      <c r="F302" s="137"/>
      <c r="G302" s="137"/>
    </row>
    <row r="303" spans="2:7" ht="16.600000000000001">
      <c r="B303" s="135" t="s">
        <v>462</v>
      </c>
      <c r="C303" s="135" t="s">
        <v>462</v>
      </c>
      <c r="D303" s="136"/>
      <c r="E303" s="136"/>
      <c r="F303" s="136"/>
      <c r="G303" s="136"/>
    </row>
    <row r="304" spans="2:7" ht="16.600000000000001">
      <c r="B304" s="135" t="s">
        <v>463</v>
      </c>
      <c r="C304" s="135" t="s">
        <v>463</v>
      </c>
      <c r="D304" s="137"/>
      <c r="E304" s="137"/>
      <c r="F304" s="137"/>
      <c r="G304" s="137"/>
    </row>
    <row r="305" spans="1:7" ht="16.600000000000001">
      <c r="B305" s="135" t="s">
        <v>464</v>
      </c>
      <c r="C305" s="135" t="s">
        <v>464</v>
      </c>
      <c r="D305" s="136"/>
      <c r="E305" s="136"/>
      <c r="F305" s="136"/>
      <c r="G305" s="136"/>
    </row>
    <row r="306" spans="1:7" ht="16.600000000000001">
      <c r="B306" s="135" t="s">
        <v>465</v>
      </c>
      <c r="C306" s="135" t="s">
        <v>465</v>
      </c>
      <c r="D306" s="136"/>
      <c r="E306" s="137"/>
      <c r="F306" s="137"/>
      <c r="G306" s="137"/>
    </row>
    <row r="307" spans="1:7" ht="16.600000000000001">
      <c r="B307" s="135" t="s">
        <v>466</v>
      </c>
      <c r="C307" s="135" t="s">
        <v>466</v>
      </c>
      <c r="D307" s="137"/>
      <c r="E307" s="137"/>
      <c r="F307" s="137"/>
      <c r="G307" s="137"/>
    </row>
    <row r="308" spans="1:7" ht="16.600000000000001">
      <c r="B308" s="135" t="s">
        <v>467</v>
      </c>
      <c r="C308" s="135" t="s">
        <v>467</v>
      </c>
      <c r="D308" s="137"/>
      <c r="E308" s="137"/>
      <c r="F308" s="137"/>
      <c r="G308" s="137"/>
    </row>
    <row r="309" spans="1:7" ht="16.600000000000001">
      <c r="B309" s="135" t="s">
        <v>468</v>
      </c>
      <c r="C309" s="135" t="s">
        <v>468</v>
      </c>
      <c r="D309" s="137"/>
      <c r="E309" s="137"/>
      <c r="F309" s="137"/>
      <c r="G309" s="137"/>
    </row>
    <row r="310" spans="1:7" ht="16.600000000000001">
      <c r="B310" s="135" t="s">
        <v>469</v>
      </c>
      <c r="C310" s="135" t="s">
        <v>469</v>
      </c>
      <c r="D310" s="137"/>
      <c r="E310" s="136"/>
      <c r="F310" s="136"/>
      <c r="G310" s="137"/>
    </row>
    <row r="311" spans="1:7" ht="16.600000000000001">
      <c r="B311" s="135" t="s">
        <v>470</v>
      </c>
      <c r="C311" s="135" t="s">
        <v>470</v>
      </c>
      <c r="D311" s="136"/>
      <c r="E311" s="136"/>
      <c r="F311" s="136"/>
      <c r="G311" s="136"/>
    </row>
    <row r="312" spans="1:7" ht="16.600000000000001">
      <c r="B312" s="135" t="s">
        <v>471</v>
      </c>
      <c r="C312" s="135" t="s">
        <v>471</v>
      </c>
      <c r="D312" s="137"/>
      <c r="E312" s="136"/>
      <c r="F312" s="136"/>
      <c r="G312" s="137"/>
    </row>
    <row r="313" spans="1:7" ht="16.600000000000001">
      <c r="B313" s="135" t="s">
        <v>472</v>
      </c>
      <c r="C313" s="135" t="s">
        <v>472</v>
      </c>
      <c r="D313" s="137"/>
      <c r="E313" s="137"/>
      <c r="F313" s="137"/>
      <c r="G313" s="137"/>
    </row>
    <row r="314" spans="1:7" ht="16.600000000000001">
      <c r="A314" s="1" t="s">
        <v>675</v>
      </c>
      <c r="B314" s="135" t="s">
        <v>473</v>
      </c>
      <c r="C314" s="135" t="s">
        <v>473</v>
      </c>
      <c r="D314" s="137"/>
      <c r="E314" s="137"/>
      <c r="F314" s="137"/>
      <c r="G314" s="137"/>
    </row>
    <row r="315" spans="1:7" ht="16.600000000000001">
      <c r="A315" s="1" t="s">
        <v>676</v>
      </c>
      <c r="B315" s="135" t="s">
        <v>474</v>
      </c>
      <c r="C315" s="135" t="s">
        <v>474</v>
      </c>
      <c r="D315" s="137"/>
      <c r="E315" s="137"/>
      <c r="F315" s="137"/>
      <c r="G315" s="137"/>
    </row>
    <row r="316" spans="1:7" ht="16.600000000000001">
      <c r="B316" s="135" t="s">
        <v>475</v>
      </c>
      <c r="C316" s="135" t="s">
        <v>475</v>
      </c>
      <c r="D316" s="137"/>
      <c r="E316" s="136"/>
      <c r="F316" s="136"/>
      <c r="G316" s="136"/>
    </row>
    <row r="317" spans="1:7" ht="16.600000000000001">
      <c r="B317" s="135" t="s">
        <v>476</v>
      </c>
      <c r="C317" s="135" t="s">
        <v>476</v>
      </c>
      <c r="D317" s="137"/>
      <c r="E317" s="137"/>
      <c r="F317" s="137"/>
      <c r="G317" s="137"/>
    </row>
    <row r="318" spans="1:7" ht="16.600000000000001">
      <c r="B318" s="135" t="s">
        <v>477</v>
      </c>
      <c r="C318" s="135" t="s">
        <v>477</v>
      </c>
      <c r="D318" s="136"/>
      <c r="E318" s="136"/>
      <c r="F318" s="136"/>
      <c r="G318" s="136"/>
    </row>
    <row r="319" spans="1:7" ht="16.600000000000001">
      <c r="B319" s="135" t="s">
        <v>478</v>
      </c>
      <c r="C319" s="135" t="s">
        <v>478</v>
      </c>
      <c r="D319" s="137"/>
      <c r="E319" s="137"/>
      <c r="F319" s="137"/>
      <c r="G319" s="137"/>
    </row>
    <row r="320" spans="1:7" ht="16.600000000000001">
      <c r="B320" s="135" t="s">
        <v>479</v>
      </c>
      <c r="C320" s="135" t="s">
        <v>479</v>
      </c>
      <c r="D320" s="136"/>
      <c r="E320" s="136"/>
      <c r="F320" s="136"/>
      <c r="G320" s="136"/>
    </row>
    <row r="321" spans="2:7" ht="16.600000000000001">
      <c r="B321" s="135" t="s">
        <v>480</v>
      </c>
      <c r="C321" s="135" t="s">
        <v>480</v>
      </c>
      <c r="D321" s="137"/>
      <c r="E321" s="137"/>
      <c r="F321" s="137"/>
      <c r="G321" s="137"/>
    </row>
    <row r="322" spans="2:7" ht="16.600000000000001">
      <c r="B322" s="135" t="s">
        <v>481</v>
      </c>
      <c r="C322" s="135" t="s">
        <v>481</v>
      </c>
      <c r="D322" s="137"/>
      <c r="E322" s="137"/>
      <c r="F322" s="137"/>
      <c r="G322" s="137"/>
    </row>
    <row r="323" spans="2:7" ht="16.600000000000001">
      <c r="B323" s="135" t="s">
        <v>482</v>
      </c>
      <c r="C323" s="135" t="s">
        <v>482</v>
      </c>
      <c r="D323" s="137"/>
      <c r="E323" s="137"/>
      <c r="F323" s="137"/>
      <c r="G323" s="137"/>
    </row>
    <row r="324" spans="2:7" ht="16.600000000000001">
      <c r="B324" s="135" t="s">
        <v>483</v>
      </c>
      <c r="C324" s="135" t="s">
        <v>483</v>
      </c>
      <c r="D324" s="137"/>
      <c r="E324" s="137"/>
      <c r="F324" s="137"/>
      <c r="G324" s="137"/>
    </row>
    <row r="325" spans="2:7" ht="16.600000000000001">
      <c r="B325" s="135" t="s">
        <v>484</v>
      </c>
      <c r="C325" s="135" t="s">
        <v>484</v>
      </c>
      <c r="D325" s="136"/>
      <c r="E325" s="136"/>
      <c r="F325" s="137"/>
      <c r="G325" s="136"/>
    </row>
    <row r="326" spans="2:7" ht="16.600000000000001">
      <c r="B326" s="135" t="s">
        <v>485</v>
      </c>
      <c r="C326" s="135" t="s">
        <v>485</v>
      </c>
      <c r="D326" s="136"/>
      <c r="E326" s="137"/>
      <c r="F326" s="137"/>
      <c r="G326" s="136"/>
    </row>
    <row r="327" spans="2:7" ht="16.600000000000001">
      <c r="B327" s="135" t="s">
        <v>486</v>
      </c>
      <c r="C327" s="135" t="s">
        <v>486</v>
      </c>
      <c r="D327" s="137"/>
      <c r="E327" s="137"/>
      <c r="F327" s="137"/>
      <c r="G327" s="137"/>
    </row>
    <row r="328" spans="2:7" ht="16.600000000000001">
      <c r="B328" s="135" t="s">
        <v>487</v>
      </c>
      <c r="C328" s="135" t="s">
        <v>487</v>
      </c>
      <c r="D328" s="136"/>
      <c r="E328" s="136"/>
      <c r="F328" s="136"/>
      <c r="G328" s="136"/>
    </row>
    <row r="329" spans="2:7" ht="16.600000000000001">
      <c r="B329" s="135" t="s">
        <v>488</v>
      </c>
      <c r="C329" s="135" t="s">
        <v>488</v>
      </c>
      <c r="D329" s="136"/>
      <c r="E329" s="136"/>
      <c r="F329" s="136"/>
      <c r="G329" s="136"/>
    </row>
    <row r="330" spans="2:7" ht="16.600000000000001">
      <c r="B330" s="135" t="s">
        <v>489</v>
      </c>
      <c r="C330" s="135" t="s">
        <v>489</v>
      </c>
      <c r="D330" s="136"/>
      <c r="E330" s="136"/>
      <c r="F330" s="136"/>
      <c r="G330" s="136"/>
    </row>
    <row r="331" spans="2:7" ht="16.600000000000001">
      <c r="B331" s="135" t="s">
        <v>490</v>
      </c>
      <c r="C331" s="135" t="s">
        <v>490</v>
      </c>
      <c r="D331" s="137"/>
      <c r="E331" s="137"/>
      <c r="F331" s="137"/>
      <c r="G331" s="137"/>
    </row>
    <row r="332" spans="2:7" ht="16.600000000000001">
      <c r="B332" s="135" t="s">
        <v>491</v>
      </c>
      <c r="C332" s="135" t="s">
        <v>491</v>
      </c>
      <c r="D332" s="137"/>
      <c r="E332" s="137"/>
      <c r="F332" s="137"/>
      <c r="G332" s="137"/>
    </row>
    <row r="333" spans="2:7" ht="16.600000000000001">
      <c r="B333" s="135" t="s">
        <v>492</v>
      </c>
      <c r="C333" s="135" t="s">
        <v>492</v>
      </c>
      <c r="D333" s="136"/>
      <c r="E333" s="137"/>
      <c r="F333" s="136"/>
      <c r="G333" s="136"/>
    </row>
    <row r="334" spans="2:7" ht="16.600000000000001">
      <c r="B334" s="135" t="s">
        <v>493</v>
      </c>
      <c r="C334" s="135" t="s">
        <v>493</v>
      </c>
      <c r="D334" s="137"/>
      <c r="E334" s="137"/>
      <c r="F334" s="137"/>
      <c r="G334" s="137"/>
    </row>
    <row r="335" spans="2:7" ht="16.600000000000001">
      <c r="B335" s="135" t="s">
        <v>494</v>
      </c>
      <c r="C335" s="135" t="s">
        <v>494</v>
      </c>
      <c r="D335" s="136"/>
      <c r="E335" s="136"/>
      <c r="F335" s="136"/>
      <c r="G335" s="136"/>
    </row>
    <row r="336" spans="2:7" ht="16.600000000000001">
      <c r="B336" s="135" t="s">
        <v>495</v>
      </c>
      <c r="C336" s="135" t="s">
        <v>495</v>
      </c>
      <c r="D336" s="136"/>
      <c r="E336" s="136"/>
      <c r="F336" s="137"/>
      <c r="G336" s="137"/>
    </row>
    <row r="337" spans="2:7" ht="16.600000000000001">
      <c r="B337" s="135" t="s">
        <v>496</v>
      </c>
      <c r="C337" s="135" t="s">
        <v>496</v>
      </c>
      <c r="D337" s="136"/>
      <c r="E337" s="136"/>
      <c r="F337" s="136"/>
      <c r="G337" s="136"/>
    </row>
    <row r="338" spans="2:7" ht="16.600000000000001">
      <c r="B338" s="135" t="s">
        <v>497</v>
      </c>
      <c r="C338" s="135" t="s">
        <v>497</v>
      </c>
      <c r="D338" s="136"/>
      <c r="E338" s="136"/>
      <c r="F338" s="136"/>
      <c r="G338" s="136"/>
    </row>
    <row r="339" spans="2:7" ht="16.600000000000001">
      <c r="B339" s="135" t="s">
        <v>498</v>
      </c>
      <c r="C339" s="135" t="s">
        <v>498</v>
      </c>
      <c r="D339" s="136"/>
      <c r="E339" s="136"/>
      <c r="F339" s="136"/>
      <c r="G339" s="137"/>
    </row>
    <row r="340" spans="2:7" ht="16.600000000000001">
      <c r="B340" s="135" t="s">
        <v>499</v>
      </c>
      <c r="C340" s="135" t="s">
        <v>499</v>
      </c>
      <c r="D340" s="136"/>
      <c r="E340" s="136"/>
      <c r="F340" s="136"/>
      <c r="G340" s="136"/>
    </row>
    <row r="341" spans="2:7" ht="16.600000000000001">
      <c r="B341" s="135" t="s">
        <v>500</v>
      </c>
      <c r="C341" s="135" t="s">
        <v>500</v>
      </c>
      <c r="D341" s="137"/>
      <c r="E341" s="137"/>
      <c r="F341" s="137"/>
      <c r="G341" s="136"/>
    </row>
    <row r="342" spans="2:7" ht="16.600000000000001">
      <c r="B342" s="135" t="s">
        <v>501</v>
      </c>
      <c r="C342" s="135" t="s">
        <v>501</v>
      </c>
      <c r="D342" s="136"/>
      <c r="E342" s="136"/>
      <c r="F342" s="136"/>
      <c r="G342" s="136"/>
    </row>
    <row r="343" spans="2:7" ht="16.600000000000001">
      <c r="B343" s="135" t="s">
        <v>502</v>
      </c>
      <c r="C343" s="135" t="s">
        <v>502</v>
      </c>
      <c r="D343" s="136"/>
      <c r="E343" s="136"/>
      <c r="F343" s="136"/>
      <c r="G343" s="136"/>
    </row>
    <row r="344" spans="2:7" ht="16.600000000000001">
      <c r="B344" s="135" t="s">
        <v>503</v>
      </c>
      <c r="C344" s="135" t="s">
        <v>503</v>
      </c>
      <c r="D344" s="137"/>
      <c r="E344" s="137"/>
      <c r="F344" s="137"/>
      <c r="G344" s="137"/>
    </row>
    <row r="345" spans="2:7" ht="16.600000000000001">
      <c r="B345" s="135" t="s">
        <v>504</v>
      </c>
      <c r="C345" s="135" t="s">
        <v>504</v>
      </c>
      <c r="D345" s="137"/>
      <c r="E345" s="137"/>
      <c r="F345" s="137"/>
      <c r="G345" s="137"/>
    </row>
    <row r="346" spans="2:7" ht="16.600000000000001">
      <c r="B346" s="135" t="s">
        <v>505</v>
      </c>
      <c r="C346" s="135" t="s">
        <v>505</v>
      </c>
      <c r="D346" s="137"/>
      <c r="E346" s="137"/>
      <c r="F346" s="137"/>
      <c r="G346" s="137"/>
    </row>
    <row r="347" spans="2:7" ht="16.600000000000001">
      <c r="B347" s="135" t="s">
        <v>506</v>
      </c>
      <c r="C347" s="135" t="s">
        <v>506</v>
      </c>
      <c r="D347" s="137"/>
      <c r="E347" s="137"/>
      <c r="F347" s="137"/>
      <c r="G347" s="137"/>
    </row>
    <row r="348" spans="2:7" ht="16.600000000000001">
      <c r="B348" s="135" t="s">
        <v>507</v>
      </c>
      <c r="C348" s="135" t="s">
        <v>507</v>
      </c>
      <c r="D348" s="137"/>
      <c r="E348" s="137"/>
      <c r="F348" s="137"/>
      <c r="G348" s="137"/>
    </row>
    <row r="349" spans="2:7" ht="16.600000000000001">
      <c r="B349" s="135" t="s">
        <v>508</v>
      </c>
      <c r="C349" s="135" t="s">
        <v>508</v>
      </c>
      <c r="D349" s="137"/>
      <c r="E349" s="137"/>
      <c r="F349" s="136"/>
      <c r="G349" s="136"/>
    </row>
    <row r="350" spans="2:7" ht="16.600000000000001">
      <c r="B350" s="135" t="s">
        <v>509</v>
      </c>
      <c r="C350" s="135" t="s">
        <v>509</v>
      </c>
      <c r="D350" s="136"/>
      <c r="E350" s="136"/>
      <c r="F350" s="136"/>
      <c r="G350" s="136"/>
    </row>
    <row r="351" spans="2:7" ht="16.600000000000001">
      <c r="B351" s="135" t="s">
        <v>510</v>
      </c>
      <c r="C351" s="135" t="s">
        <v>510</v>
      </c>
      <c r="D351" s="136"/>
      <c r="E351" s="136"/>
      <c r="F351" s="136"/>
      <c r="G351" s="136"/>
    </row>
    <row r="352" spans="2:7" ht="16.600000000000001">
      <c r="B352" s="135" t="s">
        <v>511</v>
      </c>
      <c r="C352" s="135" t="s">
        <v>511</v>
      </c>
      <c r="D352" s="137"/>
      <c r="E352" s="137"/>
      <c r="F352" s="137"/>
      <c r="G352" s="137"/>
    </row>
    <row r="353" spans="2:7" ht="16.600000000000001">
      <c r="B353" s="135" t="s">
        <v>512</v>
      </c>
      <c r="C353" s="135" t="s">
        <v>512</v>
      </c>
      <c r="D353" s="137"/>
      <c r="E353" s="137"/>
      <c r="F353" s="137"/>
      <c r="G353" s="137"/>
    </row>
    <row r="354" spans="2:7" ht="16.600000000000001">
      <c r="B354" s="135" t="s">
        <v>513</v>
      </c>
      <c r="C354" s="135" t="s">
        <v>513</v>
      </c>
      <c r="D354" s="137"/>
      <c r="E354" s="137"/>
      <c r="F354" s="136"/>
      <c r="G354" s="136"/>
    </row>
    <row r="355" spans="2:7" ht="16.600000000000001">
      <c r="B355" s="135" t="s">
        <v>514</v>
      </c>
      <c r="C355" s="135" t="s">
        <v>514</v>
      </c>
      <c r="D355" s="136"/>
      <c r="E355" s="136"/>
      <c r="F355" s="136"/>
      <c r="G355" s="136"/>
    </row>
    <row r="356" spans="2:7" ht="16.600000000000001">
      <c r="B356" s="135" t="s">
        <v>515</v>
      </c>
      <c r="C356" s="135" t="s">
        <v>515</v>
      </c>
      <c r="D356" s="137"/>
      <c r="E356" s="137"/>
      <c r="F356" s="137"/>
      <c r="G356" s="137"/>
    </row>
    <row r="357" spans="2:7" ht="16.600000000000001">
      <c r="B357" s="135" t="s">
        <v>516</v>
      </c>
      <c r="C357" s="135" t="s">
        <v>516</v>
      </c>
      <c r="D357" s="136"/>
      <c r="E357" s="137"/>
      <c r="F357" s="137"/>
      <c r="G357" s="137"/>
    </row>
    <row r="358" spans="2:7" ht="16.600000000000001">
      <c r="B358" s="135" t="s">
        <v>517</v>
      </c>
      <c r="C358" s="135" t="s">
        <v>517</v>
      </c>
      <c r="D358" s="137"/>
      <c r="E358" s="136"/>
      <c r="F358" s="136"/>
      <c r="G358" s="136"/>
    </row>
    <row r="359" spans="2:7" ht="16.600000000000001">
      <c r="B359" s="135" t="s">
        <v>518</v>
      </c>
      <c r="C359" s="135" t="s">
        <v>518</v>
      </c>
      <c r="D359" s="137"/>
      <c r="E359" s="137"/>
      <c r="F359" s="137"/>
      <c r="G359" s="137"/>
    </row>
    <row r="360" spans="2:7" ht="16.600000000000001">
      <c r="B360" s="135" t="s">
        <v>519</v>
      </c>
      <c r="C360" s="135" t="s">
        <v>519</v>
      </c>
      <c r="D360" s="137"/>
      <c r="E360" s="137"/>
      <c r="F360" s="137"/>
      <c r="G360" s="137"/>
    </row>
    <row r="361" spans="2:7" ht="16.600000000000001">
      <c r="B361" s="135" t="s">
        <v>520</v>
      </c>
      <c r="C361" s="135" t="s">
        <v>520</v>
      </c>
      <c r="D361" s="137"/>
      <c r="E361" s="137"/>
      <c r="F361" s="137"/>
      <c r="G361" s="137"/>
    </row>
    <row r="362" spans="2:7" ht="16.600000000000001">
      <c r="B362" s="135" t="s">
        <v>521</v>
      </c>
      <c r="C362" s="135" t="s">
        <v>521</v>
      </c>
      <c r="D362" s="136"/>
      <c r="E362" s="136"/>
      <c r="F362" s="136"/>
      <c r="G362" s="136"/>
    </row>
    <row r="363" spans="2:7" ht="16.600000000000001">
      <c r="B363" s="135" t="s">
        <v>522</v>
      </c>
      <c r="C363" s="135" t="s">
        <v>522</v>
      </c>
      <c r="D363" s="137"/>
      <c r="E363" s="137"/>
      <c r="F363" s="137"/>
      <c r="G363" s="137"/>
    </row>
    <row r="364" spans="2:7" ht="16.600000000000001">
      <c r="B364" s="135" t="s">
        <v>523</v>
      </c>
      <c r="C364" s="135" t="s">
        <v>523</v>
      </c>
      <c r="D364" s="137"/>
      <c r="E364" s="137"/>
      <c r="F364" s="137"/>
      <c r="G364" s="137"/>
    </row>
    <row r="365" spans="2:7" ht="16.600000000000001">
      <c r="B365" s="135" t="s">
        <v>524</v>
      </c>
      <c r="C365" s="135" t="s">
        <v>524</v>
      </c>
      <c r="D365" s="137"/>
      <c r="E365" s="137"/>
      <c r="F365" s="137"/>
      <c r="G365" s="137"/>
    </row>
    <row r="366" spans="2:7" ht="16.600000000000001">
      <c r="B366" s="135" t="s">
        <v>525</v>
      </c>
      <c r="C366" s="135" t="s">
        <v>525</v>
      </c>
      <c r="D366" s="136"/>
      <c r="E366" s="136"/>
      <c r="F366" s="136"/>
      <c r="G366" s="136"/>
    </row>
    <row r="367" spans="2:7" ht="16.600000000000001">
      <c r="B367" s="135" t="s">
        <v>526</v>
      </c>
      <c r="C367" s="135" t="s">
        <v>526</v>
      </c>
      <c r="D367" s="137"/>
      <c r="E367" s="137"/>
      <c r="F367" s="137"/>
      <c r="G367" s="137"/>
    </row>
    <row r="368" spans="2:7" ht="16.600000000000001">
      <c r="B368" s="135" t="s">
        <v>527</v>
      </c>
      <c r="C368" s="135" t="s">
        <v>527</v>
      </c>
      <c r="D368" s="137"/>
      <c r="E368" s="137"/>
      <c r="F368" s="137"/>
      <c r="G368" s="137"/>
    </row>
    <row r="369" spans="2:7" ht="16.600000000000001">
      <c r="B369" s="135" t="s">
        <v>528</v>
      </c>
      <c r="C369" s="135" t="s">
        <v>528</v>
      </c>
      <c r="D369" s="137"/>
      <c r="E369" s="137"/>
      <c r="F369" s="137"/>
      <c r="G369" s="137"/>
    </row>
    <row r="370" spans="2:7" ht="16.600000000000001">
      <c r="B370" s="135" t="s">
        <v>529</v>
      </c>
      <c r="C370" s="135" t="s">
        <v>529</v>
      </c>
      <c r="D370" s="136"/>
      <c r="E370" s="136"/>
      <c r="F370" s="136"/>
      <c r="G370" s="136"/>
    </row>
    <row r="371" spans="2:7" ht="16.600000000000001">
      <c r="B371" s="135" t="s">
        <v>530</v>
      </c>
      <c r="C371" s="135" t="s">
        <v>530</v>
      </c>
      <c r="D371" s="136"/>
      <c r="E371" s="137"/>
      <c r="F371" s="137"/>
      <c r="G371" s="136"/>
    </row>
    <row r="372" spans="2:7" ht="16.600000000000001">
      <c r="B372" s="135" t="s">
        <v>531</v>
      </c>
      <c r="C372" s="135" t="s">
        <v>531</v>
      </c>
      <c r="D372" s="136"/>
      <c r="E372" s="136"/>
      <c r="F372" s="136"/>
      <c r="G372" s="136"/>
    </row>
    <row r="373" spans="2:7" ht="16.600000000000001">
      <c r="B373" s="135" t="s">
        <v>532</v>
      </c>
      <c r="C373" s="135" t="s">
        <v>532</v>
      </c>
      <c r="D373" s="137"/>
      <c r="E373" s="137"/>
      <c r="F373" s="137"/>
      <c r="G373" s="137"/>
    </row>
    <row r="374" spans="2:7" ht="16.600000000000001">
      <c r="B374" s="135" t="s">
        <v>533</v>
      </c>
      <c r="C374" s="135" t="s">
        <v>533</v>
      </c>
      <c r="D374" s="137"/>
      <c r="E374" s="137"/>
      <c r="F374" s="137"/>
      <c r="G374" s="137"/>
    </row>
    <row r="375" spans="2:7" ht="16.600000000000001">
      <c r="B375" s="135" t="s">
        <v>534</v>
      </c>
      <c r="C375" s="135" t="s">
        <v>534</v>
      </c>
      <c r="D375" s="137"/>
      <c r="E375" s="136"/>
      <c r="F375" s="137"/>
      <c r="G375" s="137"/>
    </row>
    <row r="376" spans="2:7" ht="16.600000000000001">
      <c r="B376" s="135" t="s">
        <v>535</v>
      </c>
      <c r="C376" s="135" t="s">
        <v>535</v>
      </c>
      <c r="D376" s="137"/>
      <c r="E376" s="137"/>
      <c r="F376" s="137"/>
      <c r="G376" s="137"/>
    </row>
    <row r="377" spans="2:7" ht="16.600000000000001">
      <c r="B377" s="135" t="s">
        <v>536</v>
      </c>
      <c r="C377" s="135" t="s">
        <v>536</v>
      </c>
      <c r="D377" s="137"/>
      <c r="E377" s="137"/>
      <c r="F377" s="137"/>
      <c r="G377" s="137"/>
    </row>
    <row r="378" spans="2:7" ht="16.600000000000001">
      <c r="B378" s="135" t="s">
        <v>537</v>
      </c>
      <c r="C378" s="135" t="s">
        <v>537</v>
      </c>
      <c r="D378" s="136"/>
      <c r="E378" s="136"/>
      <c r="F378" s="136"/>
      <c r="G378" s="136"/>
    </row>
    <row r="379" spans="2:7" ht="16.600000000000001">
      <c r="B379" s="135" t="s">
        <v>538</v>
      </c>
      <c r="C379" s="135" t="s">
        <v>538</v>
      </c>
      <c r="D379" s="137"/>
      <c r="E379" s="137"/>
      <c r="F379" s="137"/>
      <c r="G379" s="137"/>
    </row>
    <row r="380" spans="2:7" ht="16.600000000000001">
      <c r="B380" s="135" t="s">
        <v>539</v>
      </c>
      <c r="C380" s="135" t="s">
        <v>539</v>
      </c>
      <c r="D380" s="137"/>
      <c r="E380" s="137"/>
      <c r="F380" s="137"/>
      <c r="G380" s="137"/>
    </row>
    <row r="381" spans="2:7" ht="16.600000000000001">
      <c r="B381" s="135" t="s">
        <v>540</v>
      </c>
      <c r="C381" s="135" t="s">
        <v>540</v>
      </c>
      <c r="D381" s="136"/>
      <c r="E381" s="136"/>
      <c r="F381" s="136"/>
      <c r="G381" s="137"/>
    </row>
    <row r="382" spans="2:7" ht="16.600000000000001">
      <c r="B382" s="135" t="s">
        <v>541</v>
      </c>
      <c r="C382" s="135" t="s">
        <v>541</v>
      </c>
      <c r="D382" s="137"/>
      <c r="E382" s="137"/>
      <c r="F382" s="136"/>
      <c r="G382" s="137"/>
    </row>
    <row r="383" spans="2:7" ht="16.600000000000001">
      <c r="B383" s="135" t="s">
        <v>542</v>
      </c>
      <c r="C383" s="135" t="s">
        <v>542</v>
      </c>
      <c r="D383" s="137"/>
      <c r="E383" s="137"/>
      <c r="F383" s="137"/>
      <c r="G383" s="137"/>
    </row>
    <row r="384" spans="2:7" ht="16.600000000000001">
      <c r="B384" s="135" t="s">
        <v>543</v>
      </c>
      <c r="C384" s="135" t="s">
        <v>543</v>
      </c>
      <c r="D384" s="137"/>
      <c r="E384" s="137"/>
      <c r="F384" s="137"/>
      <c r="G384" s="137"/>
    </row>
    <row r="385" spans="2:7" ht="16.600000000000001">
      <c r="B385" s="135" t="s">
        <v>544</v>
      </c>
      <c r="C385" s="135" t="s">
        <v>544</v>
      </c>
      <c r="D385" s="136"/>
      <c r="E385" s="136"/>
      <c r="F385" s="136"/>
      <c r="G385" s="136"/>
    </row>
    <row r="386" spans="2:7" ht="16.600000000000001">
      <c r="B386" s="135" t="s">
        <v>545</v>
      </c>
      <c r="C386" s="135" t="s">
        <v>545</v>
      </c>
      <c r="D386" s="137"/>
      <c r="E386" s="137"/>
      <c r="F386" s="137"/>
      <c r="G386" s="137"/>
    </row>
    <row r="387" spans="2:7" ht="16.600000000000001">
      <c r="B387" s="135" t="s">
        <v>546</v>
      </c>
      <c r="C387" s="135" t="s">
        <v>546</v>
      </c>
      <c r="D387" s="137"/>
      <c r="E387" s="137"/>
      <c r="F387" s="137"/>
      <c r="G387" s="137"/>
    </row>
    <row r="388" spans="2:7" ht="16.600000000000001">
      <c r="B388" s="135" t="s">
        <v>547</v>
      </c>
      <c r="C388" s="135" t="s">
        <v>547</v>
      </c>
      <c r="D388" s="137"/>
      <c r="E388" s="137"/>
      <c r="F388" s="137"/>
      <c r="G388" s="137"/>
    </row>
    <row r="389" spans="2:7" ht="16.600000000000001">
      <c r="B389" s="135" t="s">
        <v>548</v>
      </c>
      <c r="C389" s="135" t="s">
        <v>548</v>
      </c>
      <c r="D389" s="136"/>
      <c r="E389" s="136"/>
      <c r="F389" s="136"/>
      <c r="G389" s="136"/>
    </row>
    <row r="390" spans="2:7" ht="16.600000000000001">
      <c r="B390" s="135" t="s">
        <v>549</v>
      </c>
      <c r="C390" s="135" t="s">
        <v>549</v>
      </c>
      <c r="D390" s="137"/>
      <c r="E390" s="137"/>
      <c r="F390" s="136"/>
      <c r="G390" s="136"/>
    </row>
    <row r="391" spans="2:7" ht="16.600000000000001">
      <c r="B391" s="135" t="s">
        <v>550</v>
      </c>
      <c r="C391" s="135" t="s">
        <v>550</v>
      </c>
      <c r="D391" s="137"/>
      <c r="E391" s="136"/>
      <c r="F391" s="137"/>
      <c r="G391" s="137"/>
    </row>
    <row r="392" spans="2:7" ht="16.600000000000001">
      <c r="B392" s="135" t="s">
        <v>551</v>
      </c>
      <c r="C392" s="135" t="s">
        <v>551</v>
      </c>
      <c r="D392" s="137"/>
      <c r="E392" s="137"/>
      <c r="F392" s="137"/>
      <c r="G392" s="137"/>
    </row>
    <row r="393" spans="2:7" ht="16.600000000000001">
      <c r="B393" s="135" t="s">
        <v>552</v>
      </c>
      <c r="C393" s="135" t="s">
        <v>552</v>
      </c>
      <c r="D393" s="137"/>
      <c r="E393" s="137"/>
      <c r="F393" s="137"/>
      <c r="G393" s="137"/>
    </row>
    <row r="394" spans="2:7" ht="16.600000000000001">
      <c r="B394" s="135" t="s">
        <v>553</v>
      </c>
      <c r="C394" s="135" t="s">
        <v>553</v>
      </c>
      <c r="D394" s="136"/>
      <c r="E394" s="136"/>
      <c r="F394" s="136"/>
      <c r="G394" s="136"/>
    </row>
    <row r="395" spans="2:7" ht="16.600000000000001">
      <c r="B395" s="135" t="s">
        <v>554</v>
      </c>
      <c r="C395" s="135" t="s">
        <v>554</v>
      </c>
      <c r="D395" s="136"/>
      <c r="E395" s="136"/>
      <c r="F395" s="136"/>
      <c r="G395" s="136"/>
    </row>
    <row r="396" spans="2:7" ht="16.600000000000001">
      <c r="B396" s="135" t="s">
        <v>555</v>
      </c>
      <c r="C396" s="135" t="s">
        <v>555</v>
      </c>
      <c r="D396" s="137"/>
      <c r="E396" s="136"/>
      <c r="F396" s="136"/>
      <c r="G396" s="137"/>
    </row>
    <row r="397" spans="2:7" ht="16.600000000000001">
      <c r="B397" s="135" t="s">
        <v>556</v>
      </c>
      <c r="C397" s="135" t="s">
        <v>556</v>
      </c>
      <c r="D397" s="137"/>
      <c r="E397" s="137"/>
      <c r="F397" s="136"/>
      <c r="G397" s="136"/>
    </row>
    <row r="398" spans="2:7" ht="16.600000000000001">
      <c r="B398" s="135" t="s">
        <v>557</v>
      </c>
      <c r="C398" s="135" t="s">
        <v>557</v>
      </c>
      <c r="D398" s="137"/>
      <c r="E398" s="137"/>
      <c r="F398" s="137"/>
      <c r="G398" s="137"/>
    </row>
    <row r="399" spans="2:7" ht="16.600000000000001">
      <c r="B399" s="135" t="s">
        <v>558</v>
      </c>
      <c r="C399" s="135" t="s">
        <v>558</v>
      </c>
      <c r="D399" s="137"/>
      <c r="E399" s="137"/>
      <c r="F399" s="137"/>
      <c r="G399" s="137"/>
    </row>
    <row r="400" spans="2:7" ht="16.600000000000001">
      <c r="B400" s="135" t="s">
        <v>559</v>
      </c>
      <c r="C400" s="135" t="s">
        <v>559</v>
      </c>
      <c r="D400" s="136"/>
      <c r="E400" s="136"/>
      <c r="F400" s="136"/>
      <c r="G400" s="136"/>
    </row>
    <row r="401" spans="2:7" ht="16.600000000000001">
      <c r="B401" s="135" t="s">
        <v>560</v>
      </c>
      <c r="C401" s="135" t="s">
        <v>560</v>
      </c>
      <c r="D401" s="136"/>
      <c r="E401" s="136"/>
      <c r="F401" s="136"/>
      <c r="G401" s="136"/>
    </row>
    <row r="402" spans="2:7" ht="16.600000000000001">
      <c r="B402" s="135" t="s">
        <v>561</v>
      </c>
      <c r="C402" s="135" t="s">
        <v>561</v>
      </c>
      <c r="D402" s="136"/>
      <c r="E402" s="136"/>
      <c r="F402" s="136"/>
      <c r="G402" s="136"/>
    </row>
    <row r="403" spans="2:7" ht="16.600000000000001">
      <c r="B403" s="135" t="s">
        <v>562</v>
      </c>
      <c r="C403" s="135" t="s">
        <v>562</v>
      </c>
      <c r="D403" s="137"/>
      <c r="E403" s="137"/>
      <c r="F403" s="137"/>
      <c r="G403" s="137"/>
    </row>
    <row r="404" spans="2:7" ht="16.600000000000001">
      <c r="B404" s="135" t="s">
        <v>563</v>
      </c>
      <c r="C404" s="135" t="s">
        <v>563</v>
      </c>
      <c r="D404" s="136"/>
      <c r="E404" s="136"/>
      <c r="F404" s="136"/>
      <c r="G404" s="136"/>
    </row>
    <row r="405" spans="2:7" ht="16.600000000000001">
      <c r="B405" s="135" t="s">
        <v>564</v>
      </c>
      <c r="C405" s="135" t="s">
        <v>564</v>
      </c>
      <c r="D405" s="136"/>
      <c r="E405" s="137"/>
      <c r="F405" s="136"/>
      <c r="G405" s="136"/>
    </row>
    <row r="406" spans="2:7" ht="16.600000000000001">
      <c r="B406" s="135" t="s">
        <v>565</v>
      </c>
      <c r="C406" s="135" t="s">
        <v>565</v>
      </c>
      <c r="D406" s="136"/>
      <c r="E406" s="136"/>
      <c r="F406" s="136"/>
      <c r="G406" s="136"/>
    </row>
    <row r="407" spans="2:7" ht="16.600000000000001">
      <c r="B407" s="135" t="s">
        <v>566</v>
      </c>
      <c r="C407" s="135" t="s">
        <v>566</v>
      </c>
      <c r="D407" s="137"/>
      <c r="E407" s="137"/>
      <c r="F407" s="137"/>
      <c r="G407" s="137"/>
    </row>
    <row r="408" spans="2:7" ht="16.600000000000001">
      <c r="B408" s="135" t="s">
        <v>567</v>
      </c>
      <c r="C408" s="135" t="s">
        <v>567</v>
      </c>
      <c r="D408" s="136"/>
      <c r="E408" s="136"/>
      <c r="F408" s="136"/>
      <c r="G408" s="136"/>
    </row>
    <row r="409" spans="2:7" ht="16.600000000000001">
      <c r="B409" s="135" t="s">
        <v>568</v>
      </c>
      <c r="C409" s="135" t="s">
        <v>568</v>
      </c>
      <c r="D409" s="137"/>
      <c r="E409" s="137"/>
      <c r="F409" s="137"/>
      <c r="G409" s="137"/>
    </row>
    <row r="410" spans="2:7" ht="16.600000000000001">
      <c r="B410" s="135" t="s">
        <v>569</v>
      </c>
      <c r="C410" s="135" t="s">
        <v>569</v>
      </c>
      <c r="D410" s="137"/>
      <c r="E410" s="137"/>
      <c r="F410" s="137"/>
      <c r="G410" s="137"/>
    </row>
    <row r="411" spans="2:7" ht="16.600000000000001">
      <c r="B411" s="135" t="s">
        <v>570</v>
      </c>
      <c r="C411" s="135" t="s">
        <v>570</v>
      </c>
      <c r="D411" s="137"/>
      <c r="E411" s="137"/>
      <c r="F411" s="137"/>
      <c r="G411" s="137"/>
    </row>
    <row r="412" spans="2:7" ht="16.600000000000001">
      <c r="B412" s="135" t="s">
        <v>571</v>
      </c>
      <c r="C412" s="135" t="s">
        <v>571</v>
      </c>
      <c r="D412" s="137"/>
      <c r="E412" s="137"/>
      <c r="F412" s="137"/>
      <c r="G412" s="137"/>
    </row>
    <row r="413" spans="2:7" ht="16.600000000000001">
      <c r="B413" s="135" t="s">
        <v>572</v>
      </c>
      <c r="C413" s="135" t="s">
        <v>572</v>
      </c>
      <c r="D413" s="137"/>
      <c r="E413" s="137"/>
      <c r="F413" s="137"/>
      <c r="G413" s="137"/>
    </row>
    <row r="414" spans="2:7" ht="16.600000000000001">
      <c r="B414" s="135" t="s">
        <v>573</v>
      </c>
      <c r="C414" s="135" t="s">
        <v>573</v>
      </c>
      <c r="D414" s="137"/>
      <c r="E414" s="137"/>
      <c r="F414" s="137"/>
      <c r="G414" s="137"/>
    </row>
    <row r="415" spans="2:7" ht="16.600000000000001">
      <c r="B415" s="135" t="s">
        <v>574</v>
      </c>
      <c r="C415" s="135" t="s">
        <v>574</v>
      </c>
      <c r="D415" s="137"/>
      <c r="E415" s="137"/>
      <c r="F415" s="137"/>
      <c r="G415" s="137"/>
    </row>
    <row r="416" spans="2:7" ht="17.3" thickBot="1">
      <c r="B416" s="138" t="s">
        <v>575</v>
      </c>
      <c r="C416" s="138" t="s">
        <v>575</v>
      </c>
      <c r="D416" s="139"/>
      <c r="E416" s="139"/>
      <c r="F416" s="140"/>
      <c r="G416" s="140"/>
    </row>
  </sheetData>
  <autoFilter ref="A82:K416"/>
  <phoneticPr fontId="2" type="noConversion"/>
  <conditionalFormatting sqref="D6:T7">
    <cfRule type="cellIs" dxfId="0" priority="1" operator="equal">
      <formula>TRUE</formula>
    </cfRule>
  </conditionalFormatting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6" r:id="rId4" name="Drop Down 4">
              <controlPr defaultSize="0" autoLine="0" autoPict="0">
                <anchor moveWithCells="1">
                  <from>
                    <xdr:col>3</xdr:col>
                    <xdr:colOff>1371600</xdr:colOff>
                    <xdr:row>0</xdr:row>
                    <xdr:rowOff>155448</xdr:rowOff>
                  </from>
                  <to>
                    <xdr:col>5</xdr:col>
                    <xdr:colOff>448056</xdr:colOff>
                    <xdr:row>2</xdr:row>
                    <xdr:rowOff>18288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FFFF00"/>
  </sheetPr>
  <dimension ref="A1:M31"/>
  <sheetViews>
    <sheetView zoomScale="90" zoomScaleNormal="90" workbookViewId="0">
      <selection activeCell="C20" sqref="C20"/>
    </sheetView>
  </sheetViews>
  <sheetFormatPr defaultColWidth="9.140625" defaultRowHeight="13.7"/>
  <cols>
    <col min="1" max="1" width="31.42578125" style="28" bestFit="1" customWidth="1"/>
    <col min="2" max="2" width="11.85546875" style="28" bestFit="1" customWidth="1"/>
    <col min="3" max="4" width="9.140625" style="28"/>
    <col min="5" max="5" width="39.85546875" style="28" customWidth="1"/>
    <col min="6" max="6" width="9.140625" style="28"/>
    <col min="7" max="7" width="26.85546875" style="28" customWidth="1"/>
    <col min="8" max="8" width="9.140625" style="28"/>
    <col min="9" max="9" width="29" style="28" customWidth="1"/>
    <col min="10" max="10" width="9.140625" style="28"/>
    <col min="11" max="11" width="18.5703125" style="28" bestFit="1" customWidth="1"/>
    <col min="12" max="12" width="9.140625" style="28"/>
    <col min="13" max="13" width="25.85546875" style="28" customWidth="1"/>
    <col min="14" max="16384" width="9.140625" style="28"/>
  </cols>
  <sheetData>
    <row r="1" spans="1:13" s="1" customFormat="1" ht="14.4">
      <c r="A1" s="141" t="s">
        <v>985</v>
      </c>
      <c r="B1" s="142"/>
      <c r="C1" s="143"/>
      <c r="D1" s="144" t="s">
        <v>986</v>
      </c>
      <c r="E1" s="145"/>
      <c r="F1" s="145"/>
      <c r="G1" s="145"/>
      <c r="H1" s="145"/>
      <c r="I1" s="145"/>
      <c r="J1" s="145"/>
      <c r="K1" s="145"/>
      <c r="L1" s="145"/>
      <c r="M1" s="146"/>
    </row>
    <row r="2" spans="1:13" s="1" customFormat="1" ht="14.4">
      <c r="A2" s="147"/>
      <c r="B2" s="148"/>
      <c r="C2" s="149"/>
      <c r="D2" s="150" t="s">
        <v>712</v>
      </c>
      <c r="E2" s="151"/>
      <c r="F2" s="151"/>
      <c r="G2" s="151"/>
      <c r="H2" s="151"/>
      <c r="I2" s="151"/>
      <c r="J2" s="151"/>
      <c r="K2" s="151"/>
      <c r="L2" s="151"/>
      <c r="M2" s="152"/>
    </row>
    <row r="3" spans="1:13" s="1" customFormat="1" ht="14.4">
      <c r="A3" s="153" t="s">
        <v>987</v>
      </c>
      <c r="B3" s="148"/>
      <c r="C3" s="149"/>
      <c r="D3" s="154"/>
      <c r="E3" s="155" t="s">
        <v>1047</v>
      </c>
      <c r="F3" s="151"/>
      <c r="G3" s="155" t="s">
        <v>1048</v>
      </c>
      <c r="H3" s="151"/>
      <c r="I3" s="155" t="s">
        <v>1049</v>
      </c>
      <c r="J3" s="151"/>
      <c r="K3" s="155" t="s">
        <v>1050</v>
      </c>
      <c r="L3" s="151"/>
      <c r="M3" s="155" t="s">
        <v>964</v>
      </c>
    </row>
    <row r="4" spans="1:13" s="1" customFormat="1" ht="14.4">
      <c r="A4" s="147" t="s">
        <v>988</v>
      </c>
      <c r="B4" s="148"/>
      <c r="C4" s="149"/>
      <c r="D4" s="154"/>
      <c r="E4" s="151"/>
      <c r="F4" s="151"/>
      <c r="G4" s="151"/>
      <c r="H4" s="151"/>
      <c r="I4" s="151"/>
      <c r="J4" s="151"/>
      <c r="K4" s="151"/>
      <c r="L4" s="151"/>
      <c r="M4" s="152"/>
    </row>
    <row r="5" spans="1:13" s="1" customFormat="1" ht="14.4">
      <c r="A5" s="147"/>
      <c r="B5" s="148"/>
      <c r="C5" s="149"/>
      <c r="D5" s="154"/>
      <c r="E5" s="151"/>
      <c r="F5" s="151"/>
      <c r="G5" s="151"/>
      <c r="H5" s="151"/>
      <c r="I5" s="151"/>
      <c r="J5" s="151"/>
      <c r="K5" s="151"/>
      <c r="L5" s="151"/>
      <c r="M5" s="152"/>
    </row>
    <row r="6" spans="1:13" s="1" customFormat="1" ht="14.4">
      <c r="A6" s="147"/>
      <c r="B6" s="148"/>
      <c r="C6" s="149"/>
      <c r="D6" s="154"/>
      <c r="E6" s="155" t="s">
        <v>989</v>
      </c>
      <c r="F6" s="151"/>
      <c r="G6" s="151"/>
      <c r="H6" s="151"/>
      <c r="I6" s="151"/>
      <c r="J6" s="151"/>
      <c r="K6" s="151"/>
      <c r="L6" s="151"/>
      <c r="M6" s="152"/>
    </row>
    <row r="7" spans="1:13" s="1" customFormat="1" ht="14.4">
      <c r="A7" s="147"/>
      <c r="B7" s="148"/>
      <c r="C7" s="149"/>
      <c r="D7" s="154"/>
      <c r="E7" s="151"/>
      <c r="F7" s="151"/>
      <c r="G7" s="151"/>
      <c r="H7" s="151"/>
      <c r="I7" s="151"/>
      <c r="J7" s="151"/>
      <c r="K7" s="151"/>
      <c r="L7" s="151"/>
      <c r="M7" s="152"/>
    </row>
    <row r="8" spans="1:13" s="1" customFormat="1" ht="14.4">
      <c r="A8" s="147"/>
      <c r="B8" s="148"/>
      <c r="C8" s="149"/>
      <c r="D8" s="154"/>
      <c r="E8" s="151"/>
      <c r="F8" s="151"/>
      <c r="G8" s="151"/>
      <c r="H8" s="151"/>
      <c r="I8" s="151"/>
      <c r="J8" s="151"/>
      <c r="K8" s="151"/>
      <c r="L8" s="151"/>
      <c r="M8" s="152"/>
    </row>
    <row r="9" spans="1:13" s="1" customFormat="1" ht="14.4">
      <c r="A9" s="147"/>
      <c r="B9" s="148"/>
      <c r="C9" s="149"/>
      <c r="D9" s="156" t="s">
        <v>872</v>
      </c>
      <c r="E9" s="157"/>
      <c r="F9" s="157"/>
      <c r="G9" s="157"/>
      <c r="H9" s="157"/>
      <c r="I9" s="157"/>
      <c r="J9" s="157"/>
      <c r="K9" s="157"/>
      <c r="L9" s="157"/>
      <c r="M9" s="158"/>
    </row>
    <row r="10" spans="1:13" s="1" customFormat="1" ht="14.4">
      <c r="A10" s="147"/>
      <c r="B10" s="148"/>
      <c r="C10" s="149"/>
      <c r="D10" s="159"/>
      <c r="E10" s="157"/>
      <c r="F10" s="157"/>
      <c r="G10" s="157"/>
      <c r="H10" s="157"/>
      <c r="I10" s="157"/>
      <c r="J10" s="157"/>
      <c r="K10" s="157"/>
      <c r="L10" s="157"/>
      <c r="M10" s="158"/>
    </row>
    <row r="11" spans="1:13" s="1" customFormat="1" ht="14.4">
      <c r="A11" s="153" t="s">
        <v>990</v>
      </c>
      <c r="B11" s="148"/>
      <c r="C11" s="149"/>
      <c r="D11" s="159"/>
      <c r="E11" s="160" t="s">
        <v>991</v>
      </c>
      <c r="F11" s="157"/>
      <c r="G11" s="160" t="s">
        <v>992</v>
      </c>
      <c r="H11" s="157"/>
      <c r="I11" s="160" t="s">
        <v>993</v>
      </c>
      <c r="J11" s="157"/>
      <c r="K11" s="157"/>
      <c r="L11" s="157"/>
      <c r="M11" s="158"/>
    </row>
    <row r="12" spans="1:13" s="1" customFormat="1" ht="14.4">
      <c r="A12" s="147"/>
      <c r="B12" s="148"/>
      <c r="C12" s="149"/>
      <c r="D12" s="159"/>
      <c r="E12" s="157"/>
      <c r="F12" s="157"/>
      <c r="G12" s="157"/>
      <c r="H12" s="157"/>
      <c r="I12" s="157"/>
      <c r="J12" s="157"/>
      <c r="K12" s="157"/>
      <c r="L12" s="157"/>
      <c r="M12" s="158"/>
    </row>
    <row r="13" spans="1:13" s="1" customFormat="1" ht="14.4">
      <c r="A13" s="147"/>
      <c r="B13" s="148"/>
      <c r="C13" s="149"/>
      <c r="D13" s="159"/>
      <c r="E13" s="160" t="s">
        <v>994</v>
      </c>
      <c r="F13" s="157"/>
      <c r="G13" s="157"/>
      <c r="H13" s="157"/>
      <c r="I13" s="157"/>
      <c r="J13" s="157"/>
      <c r="K13" s="157"/>
      <c r="L13" s="157"/>
      <c r="M13" s="158"/>
    </row>
    <row r="14" spans="1:13" s="1" customFormat="1" ht="14.4">
      <c r="A14" s="161"/>
      <c r="B14" s="148"/>
      <c r="C14" s="149"/>
      <c r="D14" s="159"/>
      <c r="E14" s="157"/>
      <c r="F14" s="157"/>
      <c r="G14" s="157"/>
      <c r="H14" s="157"/>
      <c r="I14" s="157"/>
      <c r="J14" s="157"/>
      <c r="K14" s="157"/>
      <c r="L14" s="157"/>
      <c r="M14" s="158"/>
    </row>
    <row r="15" spans="1:13" s="1" customFormat="1" ht="14.4">
      <c r="A15" s="161"/>
      <c r="B15" s="148"/>
      <c r="C15" s="149"/>
      <c r="D15" s="159"/>
      <c r="E15" s="160" t="s">
        <v>706</v>
      </c>
      <c r="F15" s="157"/>
      <c r="G15" s="157"/>
      <c r="H15" s="157"/>
      <c r="I15" s="157"/>
      <c r="J15" s="157"/>
      <c r="K15" s="157"/>
      <c r="L15" s="157"/>
      <c r="M15" s="158"/>
    </row>
    <row r="16" spans="1:13" s="1" customFormat="1" ht="14.4">
      <c r="A16" s="161"/>
      <c r="B16" s="148"/>
      <c r="C16" s="149"/>
      <c r="D16" s="159"/>
      <c r="E16" s="157"/>
      <c r="F16" s="157"/>
      <c r="G16" s="157"/>
      <c r="H16" s="157"/>
      <c r="I16" s="157"/>
      <c r="J16" s="157"/>
      <c r="K16" s="157"/>
      <c r="L16" s="157"/>
      <c r="M16" s="158"/>
    </row>
    <row r="17" spans="1:13" s="1" customFormat="1" ht="14.4">
      <c r="A17" s="147"/>
      <c r="B17" s="148"/>
      <c r="C17" s="149"/>
      <c r="D17" s="159"/>
      <c r="E17" s="160" t="s">
        <v>995</v>
      </c>
      <c r="F17" s="157"/>
      <c r="G17" s="157"/>
      <c r="H17" s="157"/>
      <c r="I17" s="157"/>
      <c r="J17" s="157"/>
      <c r="K17" s="157"/>
      <c r="L17" s="157"/>
      <c r="M17" s="158"/>
    </row>
    <row r="18" spans="1:13" s="1" customFormat="1" ht="14.4">
      <c r="A18" s="153" t="s">
        <v>1061</v>
      </c>
      <c r="B18" s="153" t="s">
        <v>1062</v>
      </c>
      <c r="C18" s="149"/>
      <c r="D18" s="159"/>
      <c r="E18" s="157"/>
      <c r="F18" s="157"/>
      <c r="G18" s="157"/>
      <c r="H18" s="157"/>
      <c r="I18" s="157"/>
      <c r="J18" s="157"/>
      <c r="K18" s="157"/>
      <c r="L18" s="157"/>
      <c r="M18" s="158"/>
    </row>
    <row r="19" spans="1:13" s="1" customFormat="1" ht="14.4">
      <c r="A19" s="153" t="s">
        <v>996</v>
      </c>
      <c r="B19" s="153" t="s">
        <v>997</v>
      </c>
      <c r="C19" s="149"/>
      <c r="D19" s="159"/>
      <c r="E19" s="160" t="s">
        <v>1051</v>
      </c>
      <c r="F19" s="157"/>
      <c r="G19" s="157"/>
      <c r="H19" s="157"/>
      <c r="I19" s="157"/>
      <c r="J19" s="157"/>
      <c r="K19" s="157"/>
      <c r="L19" s="157"/>
      <c r="M19" s="158"/>
    </row>
    <row r="20" spans="1:13" s="1" customFormat="1" ht="14.4">
      <c r="A20" s="147"/>
      <c r="B20" s="148"/>
      <c r="C20" s="149"/>
      <c r="D20" s="159"/>
      <c r="E20" s="157"/>
      <c r="F20" s="157"/>
      <c r="G20" s="157"/>
      <c r="H20" s="157"/>
      <c r="I20" s="157"/>
      <c r="J20" s="157"/>
      <c r="K20" s="157"/>
      <c r="L20" s="157"/>
      <c r="M20" s="158"/>
    </row>
    <row r="21" spans="1:13" s="1" customFormat="1" ht="14.4">
      <c r="A21" s="153" t="s">
        <v>1052</v>
      </c>
      <c r="B21" s="148"/>
      <c r="C21" s="149"/>
      <c r="D21" s="159"/>
      <c r="E21" s="160" t="s">
        <v>998</v>
      </c>
      <c r="F21" s="157"/>
      <c r="G21" s="160" t="s">
        <v>999</v>
      </c>
      <c r="H21" s="157"/>
      <c r="I21" s="160" t="s">
        <v>1000</v>
      </c>
      <c r="J21" s="157"/>
      <c r="K21" s="157"/>
      <c r="L21" s="157"/>
      <c r="M21" s="158"/>
    </row>
    <row r="22" spans="1:13" s="1" customFormat="1" ht="14.4">
      <c r="A22" s="147"/>
      <c r="B22" s="148"/>
      <c r="C22" s="149"/>
      <c r="D22" s="162" t="s">
        <v>1001</v>
      </c>
      <c r="E22" s="163"/>
      <c r="F22" s="163"/>
      <c r="G22" s="163"/>
      <c r="H22" s="163"/>
      <c r="I22" s="163"/>
      <c r="J22" s="163"/>
      <c r="K22" s="163"/>
      <c r="L22" s="163"/>
      <c r="M22" s="164"/>
    </row>
    <row r="23" spans="1:13" s="1" customFormat="1" ht="14.4">
      <c r="A23" s="147"/>
      <c r="B23" s="148"/>
      <c r="C23" s="149"/>
      <c r="D23" s="165"/>
      <c r="E23" s="166" t="s">
        <v>1002</v>
      </c>
      <c r="F23" s="163"/>
      <c r="G23" s="163"/>
      <c r="H23" s="163"/>
      <c r="I23" s="163"/>
      <c r="J23" s="163"/>
      <c r="K23" s="163"/>
      <c r="L23" s="163"/>
      <c r="M23" s="164"/>
    </row>
    <row r="24" spans="1:13" s="1" customFormat="1" ht="14.4">
      <c r="A24" s="147"/>
      <c r="B24" s="148"/>
      <c r="C24" s="149"/>
      <c r="D24" s="165"/>
      <c r="E24" s="167"/>
      <c r="F24" s="163"/>
      <c r="G24" s="163"/>
      <c r="H24" s="163"/>
      <c r="I24" s="163"/>
      <c r="J24" s="163"/>
      <c r="K24" s="163"/>
      <c r="L24" s="163"/>
      <c r="M24" s="164"/>
    </row>
    <row r="25" spans="1:13" s="1" customFormat="1" ht="14.4">
      <c r="A25" s="147"/>
      <c r="B25" s="148"/>
      <c r="C25" s="149"/>
      <c r="D25" s="165"/>
      <c r="E25" s="163"/>
      <c r="F25" s="163"/>
      <c r="G25" s="163"/>
      <c r="H25" s="163"/>
      <c r="I25" s="163"/>
      <c r="J25" s="163"/>
      <c r="K25" s="163"/>
      <c r="L25" s="163"/>
      <c r="M25" s="164"/>
    </row>
    <row r="26" spans="1:13" s="1" customFormat="1" ht="14.4">
      <c r="A26" s="147"/>
      <c r="B26" s="148"/>
      <c r="C26" s="149"/>
      <c r="D26" s="165"/>
      <c r="E26" s="163"/>
      <c r="F26" s="163"/>
      <c r="G26" s="163"/>
      <c r="H26" s="163"/>
      <c r="I26" s="163"/>
      <c r="J26" s="163"/>
      <c r="K26" s="163"/>
      <c r="L26" s="163"/>
      <c r="M26" s="164"/>
    </row>
    <row r="27" spans="1:13" s="1" customFormat="1" ht="14.4">
      <c r="A27" s="147"/>
      <c r="B27" s="148"/>
      <c r="C27" s="149"/>
      <c r="D27" s="165"/>
      <c r="E27" s="163"/>
      <c r="F27" s="163"/>
      <c r="G27" s="163"/>
      <c r="H27" s="163"/>
      <c r="I27" s="163"/>
      <c r="J27" s="163"/>
      <c r="K27" s="163"/>
      <c r="L27" s="163"/>
      <c r="M27" s="164"/>
    </row>
    <row r="28" spans="1:13" s="1" customFormat="1" ht="14.4">
      <c r="A28" s="147"/>
      <c r="B28" s="148"/>
      <c r="C28" s="149"/>
      <c r="D28" s="165"/>
      <c r="E28" s="163"/>
      <c r="F28" s="163"/>
      <c r="G28" s="163"/>
      <c r="H28" s="163"/>
      <c r="I28" s="163"/>
      <c r="J28" s="163"/>
      <c r="K28" s="163"/>
      <c r="L28" s="163"/>
      <c r="M28" s="164"/>
    </row>
    <row r="29" spans="1:13" s="1" customFormat="1" ht="14.4">
      <c r="A29" s="147"/>
      <c r="B29" s="148"/>
      <c r="C29" s="149"/>
      <c r="D29" s="165"/>
      <c r="E29" s="163"/>
      <c r="F29" s="163"/>
      <c r="G29" s="163"/>
      <c r="H29" s="163"/>
      <c r="I29" s="163"/>
      <c r="J29" s="163"/>
      <c r="K29" s="163"/>
      <c r="L29" s="163"/>
      <c r="M29" s="164"/>
    </row>
    <row r="30" spans="1:13" s="1" customFormat="1" ht="14.4">
      <c r="A30" s="147"/>
      <c r="B30" s="148"/>
      <c r="C30" s="149"/>
      <c r="D30" s="165"/>
      <c r="E30" s="163"/>
      <c r="F30" s="163"/>
      <c r="G30" s="163"/>
      <c r="H30" s="163"/>
      <c r="I30" s="163"/>
      <c r="J30" s="163"/>
      <c r="K30" s="163"/>
      <c r="L30" s="163"/>
      <c r="M30" s="164"/>
    </row>
    <row r="31" spans="1:13" s="1" customFormat="1" ht="14.4">
      <c r="A31" s="168"/>
      <c r="B31" s="169"/>
      <c r="C31" s="170"/>
      <c r="D31" s="171"/>
      <c r="E31" s="172"/>
      <c r="F31" s="172"/>
      <c r="G31" s="172"/>
      <c r="H31" s="172"/>
      <c r="I31" s="172"/>
      <c r="J31" s="172"/>
      <c r="K31" s="172"/>
      <c r="L31" s="172"/>
      <c r="M31" s="173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2:F34"/>
  <sheetViews>
    <sheetView workbookViewId="0">
      <selection activeCell="D26" sqref="D26"/>
    </sheetView>
  </sheetViews>
  <sheetFormatPr defaultRowHeight="13.7"/>
  <cols>
    <col min="1" max="1" width="10.5703125" style="28" customWidth="1"/>
    <col min="2" max="2" width="11" style="28" customWidth="1"/>
    <col min="3" max="3" width="12.7109375" style="28" bestFit="1" customWidth="1"/>
    <col min="4" max="4" width="92.5703125" style="28" bestFit="1" customWidth="1"/>
    <col min="5" max="5" width="50.85546875" style="28" bestFit="1" customWidth="1"/>
    <col min="6" max="16384" width="9.140625" style="28"/>
  </cols>
  <sheetData>
    <row r="2" spans="1:5" ht="16.600000000000001">
      <c r="A2" s="196" t="s">
        <v>1064</v>
      </c>
    </row>
    <row r="3" spans="1:5">
      <c r="A3" s="328" t="s">
        <v>1085</v>
      </c>
      <c r="B3" s="181" t="s">
        <v>1068</v>
      </c>
      <c r="C3" s="181" t="s">
        <v>1069</v>
      </c>
      <c r="D3" s="331" t="s">
        <v>1072</v>
      </c>
      <c r="E3" s="331" t="s">
        <v>1103</v>
      </c>
    </row>
    <row r="4" spans="1:5">
      <c r="A4" s="327" t="s">
        <v>1084</v>
      </c>
      <c r="B4" s="327" t="s">
        <v>1496</v>
      </c>
      <c r="C4" s="327" t="s">
        <v>1100</v>
      </c>
      <c r="D4" s="327" t="s">
        <v>1544</v>
      </c>
      <c r="E4" s="327"/>
    </row>
    <row r="5" spans="1:5">
      <c r="A5" s="28">
        <v>1</v>
      </c>
      <c r="B5" s="28" t="s">
        <v>1755</v>
      </c>
      <c r="C5" s="28" t="s">
        <v>1539</v>
      </c>
      <c r="D5" s="28" t="s">
        <v>1756</v>
      </c>
    </row>
    <row r="6" spans="1:5">
      <c r="A6" s="28">
        <v>2</v>
      </c>
      <c r="B6" s="28" t="s">
        <v>1541</v>
      </c>
      <c r="C6" s="28" t="s">
        <v>1079</v>
      </c>
      <c r="D6" s="28" t="s">
        <v>1538</v>
      </c>
      <c r="E6" s="28" t="s">
        <v>1730</v>
      </c>
    </row>
    <row r="7" spans="1:5">
      <c r="A7" s="28">
        <v>3</v>
      </c>
      <c r="B7" s="28" t="s">
        <v>1083</v>
      </c>
      <c r="C7" s="28" t="s">
        <v>1542</v>
      </c>
      <c r="D7" s="28" t="s">
        <v>1543</v>
      </c>
    </row>
    <row r="8" spans="1:5">
      <c r="A8" s="28">
        <v>4</v>
      </c>
      <c r="B8" s="28" t="s">
        <v>1083</v>
      </c>
      <c r="C8" s="28" t="s">
        <v>1080</v>
      </c>
      <c r="D8" s="28" t="s">
        <v>1074</v>
      </c>
    </row>
    <row r="9" spans="1:5">
      <c r="A9" s="28">
        <v>5</v>
      </c>
      <c r="B9" s="28" t="s">
        <v>1083</v>
      </c>
      <c r="C9" s="334" t="s">
        <v>1077</v>
      </c>
      <c r="D9" s="334" t="s">
        <v>1081</v>
      </c>
    </row>
    <row r="10" spans="1:5">
      <c r="A10" s="28">
        <v>6</v>
      </c>
      <c r="B10" s="28" t="s">
        <v>1083</v>
      </c>
      <c r="C10" s="28" t="s">
        <v>1077</v>
      </c>
      <c r="D10" s="28" t="s">
        <v>1075</v>
      </c>
    </row>
    <row r="11" spans="1:5">
      <c r="A11" s="327" t="s">
        <v>1084</v>
      </c>
      <c r="B11" s="327" t="s">
        <v>1557</v>
      </c>
      <c r="C11" s="327" t="s">
        <v>1558</v>
      </c>
      <c r="D11" s="327" t="s">
        <v>1559</v>
      </c>
      <c r="E11" s="327"/>
    </row>
    <row r="12" spans="1:5">
      <c r="A12" s="327" t="s">
        <v>1084</v>
      </c>
      <c r="B12" s="327" t="s">
        <v>1496</v>
      </c>
      <c r="C12" s="327" t="s">
        <v>1539</v>
      </c>
      <c r="D12" s="327" t="s">
        <v>1540</v>
      </c>
      <c r="E12" s="327"/>
    </row>
    <row r="13" spans="1:5">
      <c r="A13" s="327" t="s">
        <v>1084</v>
      </c>
      <c r="B13" s="327" t="s">
        <v>1545</v>
      </c>
      <c r="C13" s="327" t="s">
        <v>1080</v>
      </c>
      <c r="D13" s="327" t="s">
        <v>1546</v>
      </c>
      <c r="E13" s="327"/>
    </row>
    <row r="14" spans="1:5">
      <c r="A14" s="412" t="s">
        <v>1084</v>
      </c>
      <c r="B14" s="398" t="s">
        <v>1545</v>
      </c>
      <c r="C14" s="398" t="s">
        <v>1100</v>
      </c>
      <c r="D14" s="398" t="s">
        <v>1553</v>
      </c>
      <c r="E14" s="327"/>
    </row>
    <row r="15" spans="1:5">
      <c r="A15" s="327" t="s">
        <v>1084</v>
      </c>
      <c r="B15" s="327" t="s">
        <v>1537</v>
      </c>
      <c r="C15" s="327" t="s">
        <v>1497</v>
      </c>
      <c r="D15" s="327" t="s">
        <v>1498</v>
      </c>
      <c r="E15" s="327"/>
    </row>
    <row r="16" spans="1:5">
      <c r="A16" s="327" t="s">
        <v>1084</v>
      </c>
      <c r="B16" s="327" t="s">
        <v>1084</v>
      </c>
      <c r="C16" s="327" t="s">
        <v>1077</v>
      </c>
      <c r="D16" s="327" t="s">
        <v>1492</v>
      </c>
      <c r="E16" s="327"/>
    </row>
    <row r="17" spans="1:6">
      <c r="A17" s="327" t="s">
        <v>1084</v>
      </c>
      <c r="B17" s="327" t="s">
        <v>1536</v>
      </c>
      <c r="C17" s="327" t="s">
        <v>1077</v>
      </c>
      <c r="D17" s="327" t="s">
        <v>1500</v>
      </c>
      <c r="E17" s="327"/>
    </row>
    <row r="18" spans="1:6">
      <c r="A18" s="327" t="s">
        <v>1524</v>
      </c>
      <c r="B18" s="327" t="s">
        <v>1084</v>
      </c>
      <c r="C18" s="327" t="s">
        <v>1080</v>
      </c>
      <c r="D18" s="327" t="s">
        <v>1071</v>
      </c>
      <c r="E18" s="327"/>
    </row>
    <row r="19" spans="1:6">
      <c r="A19" s="327" t="s">
        <v>1524</v>
      </c>
      <c r="B19" s="327" t="s">
        <v>1084</v>
      </c>
      <c r="C19" s="327" t="s">
        <v>1077</v>
      </c>
      <c r="D19" s="327" t="s">
        <v>1070</v>
      </c>
      <c r="E19" s="327"/>
    </row>
    <row r="20" spans="1:6">
      <c r="A20" s="327" t="s">
        <v>1084</v>
      </c>
      <c r="B20" s="327" t="s">
        <v>1084</v>
      </c>
      <c r="C20" s="327" t="s">
        <v>1077</v>
      </c>
      <c r="D20" s="327" t="s">
        <v>1082</v>
      </c>
      <c r="E20" s="327"/>
    </row>
    <row r="21" spans="1:6">
      <c r="A21" s="327" t="s">
        <v>1084</v>
      </c>
      <c r="B21" s="327" t="s">
        <v>1084</v>
      </c>
      <c r="C21" s="327" t="s">
        <v>1077</v>
      </c>
      <c r="D21" s="327" t="s">
        <v>1515</v>
      </c>
      <c r="E21" s="327"/>
    </row>
    <row r="22" spans="1:6">
      <c r="A22" s="327" t="s">
        <v>1084</v>
      </c>
      <c r="B22" s="327" t="s">
        <v>1084</v>
      </c>
      <c r="C22" s="327" t="s">
        <v>1077</v>
      </c>
      <c r="D22" s="327" t="s">
        <v>1499</v>
      </c>
      <c r="E22" s="327"/>
    </row>
    <row r="23" spans="1:6">
      <c r="A23" s="327" t="s">
        <v>1084</v>
      </c>
      <c r="B23" s="327" t="s">
        <v>1084</v>
      </c>
      <c r="C23" s="327" t="s">
        <v>1077</v>
      </c>
      <c r="D23" s="327" t="s">
        <v>1453</v>
      </c>
      <c r="E23" s="327"/>
    </row>
    <row r="24" spans="1:6">
      <c r="A24" s="327" t="s">
        <v>1084</v>
      </c>
      <c r="B24" s="370" t="s">
        <v>1084</v>
      </c>
      <c r="C24" s="370" t="s">
        <v>1078</v>
      </c>
      <c r="D24" s="370" t="s">
        <v>1448</v>
      </c>
      <c r="E24" s="371"/>
    </row>
    <row r="25" spans="1:6">
      <c r="A25" s="327" t="s">
        <v>1084</v>
      </c>
      <c r="B25" s="327" t="s">
        <v>1084</v>
      </c>
      <c r="C25" s="327" t="s">
        <v>1078</v>
      </c>
      <c r="D25" s="327" t="s">
        <v>1065</v>
      </c>
      <c r="E25" s="327"/>
    </row>
    <row r="26" spans="1:6">
      <c r="A26" s="327" t="s">
        <v>1084</v>
      </c>
      <c r="B26" s="370" t="s">
        <v>1084</v>
      </c>
      <c r="C26" s="398" t="s">
        <v>1110</v>
      </c>
      <c r="D26" s="398" t="s">
        <v>1111</v>
      </c>
      <c r="E26" s="371"/>
    </row>
    <row r="27" spans="1:6">
      <c r="A27" s="327" t="s">
        <v>1084</v>
      </c>
      <c r="B27" s="327" t="s">
        <v>1084</v>
      </c>
      <c r="C27" s="327" t="s">
        <v>1079</v>
      </c>
      <c r="D27" s="327" t="s">
        <v>1092</v>
      </c>
      <c r="E27" s="327"/>
    </row>
    <row r="28" spans="1:6">
      <c r="A28" s="327" t="s">
        <v>1084</v>
      </c>
      <c r="B28" s="327" t="s">
        <v>1084</v>
      </c>
      <c r="C28" s="327" t="s">
        <v>1100</v>
      </c>
      <c r="D28" s="327" t="s">
        <v>1101</v>
      </c>
      <c r="E28" s="327" t="s">
        <v>1104</v>
      </c>
    </row>
    <row r="29" spans="1:6">
      <c r="A29" s="327" t="s">
        <v>1084</v>
      </c>
      <c r="B29" s="327" t="s">
        <v>1084</v>
      </c>
      <c r="C29" s="327" t="s">
        <v>1078</v>
      </c>
      <c r="D29" s="327" t="s">
        <v>1067</v>
      </c>
      <c r="E29" s="327"/>
    </row>
    <row r="30" spans="1:6">
      <c r="A30" s="327" t="s">
        <v>1084</v>
      </c>
      <c r="B30" s="327" t="s">
        <v>1084</v>
      </c>
      <c r="C30" s="327" t="s">
        <v>1079</v>
      </c>
      <c r="D30" s="327" t="s">
        <v>1073</v>
      </c>
      <c r="E30" s="327"/>
      <c r="F30" s="334"/>
    </row>
    <row r="31" spans="1:6">
      <c r="A31" s="327" t="s">
        <v>1084</v>
      </c>
      <c r="B31" s="327" t="s">
        <v>1084</v>
      </c>
      <c r="C31" s="327" t="s">
        <v>1090</v>
      </c>
      <c r="D31" s="327" t="s">
        <v>1091</v>
      </c>
      <c r="E31" s="327"/>
      <c r="F31" s="334"/>
    </row>
    <row r="32" spans="1:6">
      <c r="A32" s="327" t="s">
        <v>1084</v>
      </c>
      <c r="B32" s="327" t="s">
        <v>1084</v>
      </c>
      <c r="C32" s="327" t="s">
        <v>1078</v>
      </c>
      <c r="D32" s="327" t="s">
        <v>1076</v>
      </c>
      <c r="E32" s="327"/>
      <c r="F32" s="334"/>
    </row>
    <row r="33" spans="1:5">
      <c r="A33" s="327" t="s">
        <v>1084</v>
      </c>
      <c r="B33" s="327" t="s">
        <v>1084</v>
      </c>
      <c r="C33" s="327" t="s">
        <v>1077</v>
      </c>
      <c r="D33" s="327" t="s">
        <v>1066</v>
      </c>
      <c r="E33" s="327"/>
    </row>
    <row r="34" spans="1:5">
      <c r="B34" s="329"/>
      <c r="C34" s="329"/>
      <c r="D34" s="330"/>
    </row>
  </sheetData>
  <autoFilter ref="A3:E34">
    <sortState ref="A4:E33">
      <sortCondition ref="A3:A33"/>
    </sortState>
  </autoFilter>
  <phoneticPr fontId="52" type="noConversion"/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R289"/>
  <sheetViews>
    <sheetView showGridLines="0" view="pageBreakPreview" topLeftCell="A4" zoomScaleNormal="100" zoomScaleSheetLayoutView="100" workbookViewId="0">
      <pane ySplit="3" topLeftCell="A7" activePane="bottomLeft" state="frozen"/>
      <selection activeCell="A4" sqref="A4"/>
      <selection pane="bottomLeft" activeCell="K16" sqref="K16"/>
    </sheetView>
  </sheetViews>
  <sheetFormatPr defaultColWidth="9.28515625" defaultRowHeight="13"/>
  <cols>
    <col min="1" max="1" width="1.85546875" style="457" customWidth="1"/>
    <col min="2" max="2" width="40.85546875" style="457" customWidth="1"/>
    <col min="3" max="4" width="9.28515625" style="457"/>
    <col min="5" max="15" width="10.85546875" style="457" customWidth="1"/>
    <col min="16" max="16" width="9.28515625" style="457"/>
    <col min="17" max="18" width="10.85546875" style="457" customWidth="1"/>
    <col min="19" max="16384" width="9.28515625" style="457"/>
  </cols>
  <sheetData>
    <row r="2" spans="2:18" ht="13.7">
      <c r="B2" s="669" t="s">
        <v>1699</v>
      </c>
      <c r="C2" s="670"/>
      <c r="D2" s="670"/>
      <c r="E2" s="670"/>
      <c r="F2" s="670"/>
      <c r="G2" s="670"/>
      <c r="H2" s="671"/>
      <c r="I2" s="670"/>
      <c r="J2" s="670"/>
      <c r="K2" s="670"/>
      <c r="L2" s="670"/>
      <c r="M2" s="670"/>
      <c r="N2" s="670"/>
      <c r="O2" s="670"/>
      <c r="P2" s="670"/>
      <c r="Q2" s="669"/>
      <c r="R2" s="669"/>
    </row>
    <row r="3" spans="2:18" ht="16.600000000000001" thickBot="1">
      <c r="B3" s="672" t="s">
        <v>1700</v>
      </c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4"/>
      <c r="R3" s="675"/>
    </row>
    <row r="4" spans="2:18" ht="14.4" thickTop="1">
      <c r="B4" s="669" t="s">
        <v>1701</v>
      </c>
      <c r="C4" s="670"/>
      <c r="D4" s="670"/>
      <c r="E4" s="670"/>
      <c r="F4" s="670"/>
      <c r="G4" s="670"/>
      <c r="H4" s="676"/>
      <c r="I4" s="670"/>
      <c r="J4" s="670"/>
      <c r="K4" s="670"/>
      <c r="L4" s="670"/>
      <c r="M4" s="670"/>
      <c r="N4" s="670"/>
      <c r="O4" s="670"/>
      <c r="P4" s="670"/>
      <c r="Q4" s="669"/>
      <c r="R4" s="677"/>
    </row>
    <row r="5" spans="2:18" ht="15.85">
      <c r="B5" s="670"/>
      <c r="C5" s="670"/>
      <c r="D5" s="670"/>
      <c r="E5" s="670"/>
      <c r="F5" s="670"/>
      <c r="G5" s="670"/>
      <c r="H5" s="671"/>
      <c r="I5" s="670"/>
      <c r="J5" s="670"/>
      <c r="K5" s="670"/>
      <c r="L5" s="670"/>
      <c r="M5" s="670"/>
      <c r="N5" s="670"/>
      <c r="O5" s="670"/>
      <c r="P5" s="670"/>
      <c r="Q5" s="678"/>
      <c r="R5" s="678"/>
    </row>
    <row r="6" spans="2:18" ht="15.85">
      <c r="B6" s="679"/>
      <c r="C6" s="670"/>
      <c r="D6" s="670"/>
      <c r="E6" s="680"/>
      <c r="F6" s="680"/>
      <c r="G6" s="680"/>
      <c r="H6" s="762"/>
      <c r="I6" s="762"/>
      <c r="J6" s="681"/>
      <c r="K6" s="681"/>
      <c r="L6" s="681"/>
      <c r="M6" s="681"/>
      <c r="N6" s="681"/>
      <c r="O6" s="681"/>
      <c r="P6" s="670"/>
      <c r="Q6" s="682"/>
      <c r="R6" s="682"/>
    </row>
    <row r="7" spans="2:18" ht="13.7">
      <c r="B7" s="683"/>
      <c r="C7" s="684"/>
      <c r="D7" s="685"/>
      <c r="E7" s="686"/>
      <c r="F7" s="687"/>
      <c r="G7" s="687"/>
      <c r="H7" s="688"/>
      <c r="I7" s="687"/>
      <c r="J7" s="687"/>
      <c r="K7" s="687"/>
      <c r="L7" s="687"/>
      <c r="M7" s="687"/>
      <c r="N7" s="687"/>
      <c r="O7" s="687"/>
      <c r="P7" s="689"/>
      <c r="Q7" s="690"/>
      <c r="R7" s="690"/>
    </row>
    <row r="8" spans="2:18" ht="13.7">
      <c r="B8" s="679"/>
      <c r="C8" s="670"/>
      <c r="D8" s="685"/>
      <c r="E8" s="691"/>
      <c r="F8" s="691"/>
      <c r="G8" s="691"/>
      <c r="H8" s="692"/>
      <c r="I8" s="691"/>
      <c r="J8" s="691"/>
      <c r="K8" s="691"/>
      <c r="L8" s="691"/>
      <c r="M8" s="691"/>
      <c r="N8" s="691"/>
      <c r="O8" s="691"/>
      <c r="P8" s="689"/>
      <c r="Q8" s="693"/>
      <c r="R8" s="693"/>
    </row>
    <row r="9" spans="2:18">
      <c r="B9" s="679"/>
      <c r="C9" s="689"/>
      <c r="D9" s="685"/>
      <c r="E9" s="691"/>
      <c r="F9" s="691"/>
      <c r="G9" s="691"/>
      <c r="H9" s="692"/>
      <c r="I9" s="691"/>
      <c r="J9" s="691"/>
      <c r="K9" s="691"/>
      <c r="L9" s="691"/>
      <c r="M9" s="691"/>
      <c r="N9" s="691"/>
      <c r="O9" s="691"/>
      <c r="P9" s="689"/>
      <c r="Q9" s="693"/>
      <c r="R9" s="693"/>
    </row>
    <row r="10" spans="2:18" ht="15.15">
      <c r="B10" s="679"/>
      <c r="C10" s="669"/>
      <c r="D10" s="694"/>
      <c r="E10" s="695"/>
      <c r="F10" s="695"/>
      <c r="G10" s="695"/>
      <c r="H10" s="696"/>
      <c r="I10" s="695"/>
      <c r="J10" s="695"/>
      <c r="K10" s="695"/>
      <c r="L10" s="695"/>
      <c r="M10" s="695"/>
      <c r="N10" s="695"/>
      <c r="O10" s="695"/>
      <c r="P10" s="689"/>
      <c r="Q10" s="697"/>
      <c r="R10" s="697"/>
    </row>
    <row r="11" spans="2:18" ht="13.7">
      <c r="B11" s="698"/>
      <c r="C11" s="669"/>
      <c r="D11" s="699"/>
      <c r="E11" s="700"/>
      <c r="F11" s="700"/>
      <c r="G11" s="700"/>
      <c r="H11" s="701"/>
      <c r="I11" s="700"/>
      <c r="J11" s="700"/>
      <c r="K11" s="700"/>
      <c r="L11" s="700"/>
      <c r="M11" s="700"/>
      <c r="N11" s="700"/>
      <c r="O11" s="700"/>
      <c r="P11" s="689"/>
      <c r="Q11" s="690"/>
      <c r="R11" s="690"/>
    </row>
    <row r="12" spans="2:18" ht="13.7">
      <c r="B12" s="689"/>
      <c r="C12" s="670"/>
      <c r="D12" s="670"/>
      <c r="E12" s="687"/>
      <c r="F12" s="687"/>
      <c r="G12" s="687"/>
      <c r="H12" s="688"/>
      <c r="I12" s="687"/>
      <c r="J12" s="687"/>
      <c r="K12" s="687"/>
      <c r="L12" s="687"/>
      <c r="M12" s="687"/>
      <c r="N12" s="687"/>
      <c r="O12" s="687"/>
      <c r="P12" s="689"/>
      <c r="Q12" s="690"/>
      <c r="R12" s="690"/>
    </row>
    <row r="13" spans="2:18" ht="13.7">
      <c r="B13" s="702"/>
      <c r="C13" s="670"/>
      <c r="D13" s="670"/>
      <c r="E13" s="687"/>
      <c r="F13" s="687"/>
      <c r="G13" s="687"/>
      <c r="H13" s="688"/>
      <c r="I13" s="687"/>
      <c r="J13" s="687"/>
      <c r="K13" s="687"/>
      <c r="L13" s="687"/>
      <c r="M13" s="687"/>
      <c r="N13" s="687"/>
      <c r="O13" s="687"/>
      <c r="P13" s="689"/>
      <c r="Q13" s="690"/>
      <c r="R13" s="690"/>
    </row>
    <row r="14" spans="2:18" ht="13.7">
      <c r="B14" s="703"/>
      <c r="C14" s="670"/>
      <c r="D14" s="670"/>
      <c r="E14" s="704"/>
      <c r="F14" s="704"/>
      <c r="G14" s="704"/>
      <c r="H14" s="705"/>
      <c r="I14" s="704"/>
      <c r="J14" s="704"/>
      <c r="K14" s="704"/>
      <c r="L14" s="704"/>
      <c r="M14" s="704"/>
      <c r="N14" s="704"/>
      <c r="O14" s="704"/>
      <c r="P14" s="689"/>
      <c r="Q14" s="706"/>
      <c r="R14" s="707"/>
    </row>
    <row r="15" spans="2:18" ht="13.7">
      <c r="B15" s="703"/>
      <c r="C15" s="670"/>
      <c r="D15" s="670"/>
      <c r="E15" s="704"/>
      <c r="F15" s="704"/>
      <c r="G15" s="704"/>
      <c r="H15" s="705"/>
      <c r="I15" s="704"/>
      <c r="J15" s="704"/>
      <c r="K15" s="704"/>
      <c r="L15" s="704"/>
      <c r="M15" s="704"/>
      <c r="N15" s="704"/>
      <c r="O15" s="704"/>
      <c r="P15" s="689"/>
      <c r="Q15" s="706"/>
      <c r="R15" s="707"/>
    </row>
    <row r="16" spans="2:18" ht="15.15">
      <c r="B16" s="703"/>
      <c r="C16" s="670"/>
      <c r="D16" s="670"/>
      <c r="E16" s="708"/>
      <c r="F16" s="708"/>
      <c r="G16" s="708"/>
      <c r="H16" s="709"/>
      <c r="I16" s="708"/>
      <c r="J16" s="708"/>
      <c r="K16" s="708"/>
      <c r="L16" s="708"/>
      <c r="M16" s="708"/>
      <c r="N16" s="708"/>
      <c r="O16" s="708"/>
      <c r="P16" s="689"/>
      <c r="Q16" s="710"/>
      <c r="R16" s="711"/>
    </row>
    <row r="17" spans="2:18" ht="13.7">
      <c r="B17" s="712"/>
      <c r="C17" s="689"/>
      <c r="D17" s="689"/>
      <c r="E17" s="713"/>
      <c r="F17" s="713"/>
      <c r="G17" s="713"/>
      <c r="H17" s="714"/>
      <c r="I17" s="713"/>
      <c r="J17" s="713"/>
      <c r="K17" s="713"/>
      <c r="L17" s="713"/>
      <c r="M17" s="713"/>
      <c r="N17" s="713"/>
      <c r="O17" s="713"/>
      <c r="P17" s="689"/>
      <c r="Q17" s="715"/>
      <c r="R17" s="716"/>
    </row>
    <row r="18" spans="2:18" ht="13.7">
      <c r="B18" s="689"/>
      <c r="C18" s="670"/>
      <c r="D18" s="670"/>
      <c r="E18" s="687"/>
      <c r="F18" s="687"/>
      <c r="G18" s="687"/>
      <c r="H18" s="688"/>
      <c r="I18" s="687"/>
      <c r="J18" s="687"/>
      <c r="K18" s="687"/>
      <c r="L18" s="687"/>
      <c r="M18" s="687"/>
      <c r="N18" s="687"/>
      <c r="O18" s="687"/>
      <c r="P18" s="689"/>
      <c r="Q18" s="690"/>
      <c r="R18" s="690"/>
    </row>
    <row r="19" spans="2:18" ht="13.7">
      <c r="B19" s="683"/>
      <c r="C19" s="684"/>
      <c r="D19" s="670"/>
      <c r="E19" s="687"/>
      <c r="F19" s="687"/>
      <c r="G19" s="687"/>
      <c r="H19" s="688"/>
      <c r="I19" s="687"/>
      <c r="J19" s="687"/>
      <c r="K19" s="687"/>
      <c r="L19" s="687"/>
      <c r="M19" s="687"/>
      <c r="N19" s="687"/>
      <c r="O19" s="687"/>
      <c r="P19" s="689"/>
      <c r="Q19" s="690"/>
      <c r="R19" s="690"/>
    </row>
    <row r="20" spans="2:18" ht="13.7">
      <c r="B20" s="679"/>
      <c r="C20" s="670"/>
      <c r="D20" s="670"/>
      <c r="E20" s="717"/>
      <c r="F20" s="717"/>
      <c r="G20" s="717"/>
      <c r="H20" s="718"/>
      <c r="I20" s="717"/>
      <c r="J20" s="717"/>
      <c r="K20" s="717"/>
      <c r="L20" s="717"/>
      <c r="M20" s="717"/>
      <c r="N20" s="717"/>
      <c r="O20" s="717"/>
      <c r="P20" s="689"/>
      <c r="Q20" s="693"/>
      <c r="R20" s="693"/>
    </row>
    <row r="21" spans="2:18" ht="13.7">
      <c r="B21" s="679"/>
      <c r="C21" s="670"/>
      <c r="D21" s="670"/>
      <c r="E21" s="717"/>
      <c r="F21" s="717"/>
      <c r="G21" s="717"/>
      <c r="H21" s="718"/>
      <c r="I21" s="717"/>
      <c r="J21" s="717"/>
      <c r="K21" s="717"/>
      <c r="L21" s="717"/>
      <c r="M21" s="717"/>
      <c r="N21" s="717"/>
      <c r="O21" s="717"/>
      <c r="P21" s="689"/>
      <c r="Q21" s="693"/>
      <c r="R21" s="693"/>
    </row>
    <row r="22" spans="2:18" ht="15.15">
      <c r="B22" s="679"/>
      <c r="C22" s="670"/>
      <c r="D22" s="670"/>
      <c r="E22" s="719"/>
      <c r="F22" s="719"/>
      <c r="G22" s="719"/>
      <c r="H22" s="720"/>
      <c r="I22" s="719"/>
      <c r="J22" s="719"/>
      <c r="K22" s="719"/>
      <c r="L22" s="719"/>
      <c r="M22" s="719"/>
      <c r="N22" s="719"/>
      <c r="O22" s="719"/>
      <c r="P22" s="689"/>
      <c r="Q22" s="697"/>
      <c r="R22" s="697"/>
    </row>
    <row r="23" spans="2:18" ht="13.7">
      <c r="B23" s="698"/>
      <c r="C23" s="670"/>
      <c r="D23" s="670"/>
      <c r="E23" s="700"/>
      <c r="F23" s="700"/>
      <c r="G23" s="700"/>
      <c r="H23" s="701"/>
      <c r="I23" s="700"/>
      <c r="J23" s="700"/>
      <c r="K23" s="700"/>
      <c r="L23" s="700"/>
      <c r="M23" s="700"/>
      <c r="N23" s="700"/>
      <c r="O23" s="700"/>
      <c r="P23" s="689"/>
      <c r="Q23" s="690"/>
      <c r="R23" s="690"/>
    </row>
    <row r="24" spans="2:18" ht="13.7">
      <c r="B24" s="721"/>
      <c r="C24" s="670"/>
      <c r="D24" s="670"/>
      <c r="E24" s="717"/>
      <c r="F24" s="717"/>
      <c r="G24" s="717"/>
      <c r="H24" s="718"/>
      <c r="I24" s="717"/>
      <c r="J24" s="717"/>
      <c r="K24" s="717"/>
      <c r="L24" s="717"/>
      <c r="M24" s="717"/>
      <c r="N24" s="717"/>
      <c r="O24" s="717"/>
      <c r="P24" s="689"/>
      <c r="Q24" s="693"/>
      <c r="R24" s="693"/>
    </row>
    <row r="25" spans="2:18">
      <c r="B25" s="721"/>
      <c r="C25" s="679"/>
      <c r="D25" s="679"/>
      <c r="E25" s="717"/>
      <c r="F25" s="717"/>
      <c r="G25" s="717"/>
      <c r="H25" s="718"/>
      <c r="I25" s="717"/>
      <c r="J25" s="717"/>
      <c r="K25" s="717"/>
      <c r="L25" s="717"/>
      <c r="M25" s="717"/>
      <c r="N25" s="717"/>
      <c r="O25" s="717"/>
      <c r="P25" s="679"/>
      <c r="Q25" s="693"/>
      <c r="R25" s="693"/>
    </row>
    <row r="26" spans="2:18">
      <c r="B26" s="721"/>
      <c r="C26" s="679"/>
      <c r="D26" s="679"/>
      <c r="E26" s="717"/>
      <c r="F26" s="717"/>
      <c r="G26" s="717"/>
      <c r="H26" s="718"/>
      <c r="I26" s="717"/>
      <c r="J26" s="717"/>
      <c r="K26" s="717"/>
      <c r="L26" s="717"/>
      <c r="M26" s="717"/>
      <c r="N26" s="717"/>
      <c r="O26" s="717"/>
      <c r="P26" s="679"/>
      <c r="Q26" s="693"/>
      <c r="R26" s="693"/>
    </row>
    <row r="27" spans="2:18">
      <c r="B27" s="721"/>
      <c r="C27" s="679"/>
      <c r="D27" s="679"/>
      <c r="E27" s="717"/>
      <c r="F27" s="717"/>
      <c r="G27" s="717"/>
      <c r="H27" s="718"/>
      <c r="I27" s="717"/>
      <c r="J27" s="717"/>
      <c r="K27" s="717"/>
      <c r="L27" s="717"/>
      <c r="M27" s="717"/>
      <c r="N27" s="717"/>
      <c r="O27" s="717"/>
      <c r="P27" s="679"/>
      <c r="Q27" s="693"/>
      <c r="R27" s="693"/>
    </row>
    <row r="28" spans="2:18" ht="15.15">
      <c r="B28" s="721"/>
      <c r="C28" s="679"/>
      <c r="D28" s="679"/>
      <c r="E28" s="719"/>
      <c r="F28" s="719"/>
      <c r="G28" s="719"/>
      <c r="H28" s="720"/>
      <c r="I28" s="719"/>
      <c r="J28" s="719"/>
      <c r="K28" s="719"/>
      <c r="L28" s="719"/>
      <c r="M28" s="719"/>
      <c r="N28" s="719"/>
      <c r="O28" s="719"/>
      <c r="P28" s="679"/>
      <c r="Q28" s="722"/>
      <c r="R28" s="697"/>
    </row>
    <row r="29" spans="2:18" ht="13.7">
      <c r="B29" s="698"/>
      <c r="C29" s="670"/>
      <c r="D29" s="670"/>
      <c r="E29" s="763"/>
      <c r="F29" s="763"/>
      <c r="G29" s="763"/>
      <c r="H29" s="764"/>
      <c r="I29" s="763"/>
      <c r="J29" s="763"/>
      <c r="K29" s="763"/>
      <c r="L29" s="763"/>
      <c r="M29" s="763"/>
      <c r="N29" s="763"/>
      <c r="O29" s="763"/>
      <c r="P29" s="689"/>
      <c r="Q29" s="690"/>
      <c r="R29" s="690"/>
    </row>
    <row r="30" spans="2:18">
      <c r="B30" s="723"/>
      <c r="C30" s="679"/>
      <c r="D30" s="679"/>
      <c r="E30" s="724"/>
      <c r="F30" s="724"/>
      <c r="G30" s="724"/>
      <c r="H30" s="725"/>
      <c r="I30" s="726"/>
      <c r="J30" s="726"/>
      <c r="K30" s="726"/>
      <c r="L30" s="726"/>
      <c r="M30" s="726"/>
      <c r="N30" s="726"/>
      <c r="O30" s="726"/>
      <c r="P30" s="679"/>
      <c r="Q30" s="693"/>
      <c r="R30" s="693"/>
    </row>
    <row r="31" spans="2:18" ht="13.7">
      <c r="B31" s="727"/>
      <c r="C31" s="670"/>
      <c r="D31" s="670"/>
      <c r="E31" s="728"/>
      <c r="F31" s="728"/>
      <c r="G31" s="728"/>
      <c r="H31" s="688"/>
      <c r="I31" s="687"/>
      <c r="J31" s="687"/>
      <c r="K31" s="687"/>
      <c r="L31" s="687"/>
      <c r="M31" s="687"/>
      <c r="N31" s="687"/>
      <c r="O31" s="687"/>
      <c r="P31" s="689"/>
      <c r="Q31" s="690"/>
      <c r="R31" s="690"/>
    </row>
    <row r="32" spans="2:18" ht="13.7">
      <c r="B32" s="702"/>
      <c r="C32" s="670"/>
      <c r="D32" s="670"/>
      <c r="E32" s="687"/>
      <c r="F32" s="687"/>
      <c r="G32" s="687"/>
      <c r="H32" s="688"/>
      <c r="I32" s="687"/>
      <c r="J32" s="687"/>
      <c r="K32" s="687"/>
      <c r="L32" s="687"/>
      <c r="M32" s="687"/>
      <c r="N32" s="687"/>
      <c r="O32" s="687"/>
      <c r="P32" s="689"/>
      <c r="Q32" s="690"/>
      <c r="R32" s="690"/>
    </row>
    <row r="33" spans="2:18" ht="13.7">
      <c r="B33" s="703"/>
      <c r="C33" s="670"/>
      <c r="D33" s="670"/>
      <c r="E33" s="704"/>
      <c r="F33" s="704"/>
      <c r="G33" s="704"/>
      <c r="H33" s="705"/>
      <c r="I33" s="704"/>
      <c r="J33" s="704"/>
      <c r="K33" s="704"/>
      <c r="L33" s="704"/>
      <c r="M33" s="704"/>
      <c r="N33" s="704"/>
      <c r="O33" s="704"/>
      <c r="P33" s="689"/>
      <c r="Q33" s="706"/>
      <c r="R33" s="707"/>
    </row>
    <row r="34" spans="2:18" ht="13.7">
      <c r="B34" s="703"/>
      <c r="C34" s="670"/>
      <c r="D34" s="670"/>
      <c r="E34" s="704"/>
      <c r="F34" s="704"/>
      <c r="G34" s="704"/>
      <c r="H34" s="705"/>
      <c r="I34" s="704"/>
      <c r="J34" s="704"/>
      <c r="K34" s="704"/>
      <c r="L34" s="704"/>
      <c r="M34" s="704"/>
      <c r="N34" s="704"/>
      <c r="O34" s="704"/>
      <c r="P34" s="689"/>
      <c r="Q34" s="706"/>
      <c r="R34" s="707"/>
    </row>
    <row r="35" spans="2:18" ht="13.7">
      <c r="B35" s="703"/>
      <c r="C35" s="670"/>
      <c r="D35" s="670"/>
      <c r="E35" s="708"/>
      <c r="F35" s="708"/>
      <c r="G35" s="708"/>
      <c r="H35" s="709"/>
      <c r="I35" s="708"/>
      <c r="J35" s="708"/>
      <c r="K35" s="708"/>
      <c r="L35" s="708"/>
      <c r="M35" s="708"/>
      <c r="N35" s="708"/>
      <c r="O35" s="708"/>
      <c r="P35" s="689"/>
      <c r="Q35" s="706"/>
      <c r="R35" s="707"/>
    </row>
    <row r="36" spans="2:18" ht="13.7">
      <c r="B36" s="712"/>
      <c r="C36" s="689"/>
      <c r="D36" s="689"/>
      <c r="E36" s="713"/>
      <c r="F36" s="713"/>
      <c r="G36" s="713"/>
      <c r="H36" s="714"/>
      <c r="I36" s="713"/>
      <c r="J36" s="713"/>
      <c r="K36" s="713"/>
      <c r="L36" s="713"/>
      <c r="M36" s="713"/>
      <c r="N36" s="713"/>
      <c r="O36" s="713"/>
      <c r="P36" s="679"/>
      <c r="Q36" s="706"/>
      <c r="R36" s="707"/>
    </row>
    <row r="37" spans="2:18">
      <c r="B37" s="703"/>
      <c r="C37" s="689"/>
      <c r="D37" s="689"/>
      <c r="E37" s="704"/>
      <c r="F37" s="704"/>
      <c r="G37" s="704"/>
      <c r="H37" s="705"/>
      <c r="I37" s="704"/>
      <c r="J37" s="704"/>
      <c r="K37" s="704"/>
      <c r="L37" s="704"/>
      <c r="M37" s="704"/>
      <c r="N37" s="704"/>
      <c r="O37" s="704"/>
      <c r="P37" s="729"/>
      <c r="Q37" s="706"/>
      <c r="R37" s="707"/>
    </row>
    <row r="38" spans="2:18">
      <c r="B38" s="703"/>
      <c r="C38" s="679"/>
      <c r="D38" s="679"/>
      <c r="E38" s="704"/>
      <c r="F38" s="704"/>
      <c r="G38" s="704"/>
      <c r="H38" s="705"/>
      <c r="I38" s="704"/>
      <c r="J38" s="704"/>
      <c r="K38" s="704"/>
      <c r="L38" s="704"/>
      <c r="M38" s="704"/>
      <c r="N38" s="704"/>
      <c r="O38" s="704"/>
      <c r="P38" s="679"/>
      <c r="Q38" s="706"/>
      <c r="R38" s="707"/>
    </row>
    <row r="39" spans="2:18" ht="15.15">
      <c r="B39" s="703"/>
      <c r="C39" s="679"/>
      <c r="D39" s="679"/>
      <c r="E39" s="704"/>
      <c r="F39" s="704"/>
      <c r="G39" s="704"/>
      <c r="H39" s="705"/>
      <c r="I39" s="704"/>
      <c r="J39" s="704"/>
      <c r="K39" s="704"/>
      <c r="L39" s="704"/>
      <c r="M39" s="704"/>
      <c r="N39" s="704"/>
      <c r="O39" s="704"/>
      <c r="P39" s="679"/>
      <c r="Q39" s="710"/>
      <c r="R39" s="711"/>
    </row>
    <row r="40" spans="2:18" ht="15.15">
      <c r="B40" s="703"/>
      <c r="C40" s="679"/>
      <c r="D40" s="679"/>
      <c r="E40" s="708"/>
      <c r="F40" s="708"/>
      <c r="G40" s="708"/>
      <c r="H40" s="709"/>
      <c r="I40" s="708"/>
      <c r="J40" s="708"/>
      <c r="K40" s="708"/>
      <c r="L40" s="708"/>
      <c r="M40" s="708"/>
      <c r="N40" s="708"/>
      <c r="O40" s="708"/>
      <c r="P40" s="679"/>
      <c r="Q40" s="710"/>
      <c r="R40" s="711"/>
    </row>
    <row r="41" spans="2:18" ht="13.7">
      <c r="B41" s="712"/>
      <c r="C41" s="689"/>
      <c r="D41" s="689"/>
      <c r="E41" s="766"/>
      <c r="F41" s="766"/>
      <c r="G41" s="766"/>
      <c r="H41" s="766"/>
      <c r="I41" s="766"/>
      <c r="J41" s="766"/>
      <c r="K41" s="766"/>
      <c r="L41" s="766"/>
      <c r="M41" s="766"/>
      <c r="N41" s="766"/>
      <c r="O41" s="766"/>
      <c r="P41" s="679"/>
      <c r="Q41" s="715"/>
      <c r="R41" s="716"/>
    </row>
    <row r="42" spans="2:18">
      <c r="B42" s="723"/>
      <c r="C42" s="679"/>
      <c r="D42" s="679"/>
      <c r="E42" s="730"/>
      <c r="F42" s="730"/>
      <c r="G42" s="730"/>
      <c r="H42" s="731"/>
      <c r="I42" s="730"/>
      <c r="J42" s="730"/>
      <c r="K42" s="730"/>
      <c r="L42" s="730"/>
      <c r="M42" s="730"/>
      <c r="N42" s="730"/>
      <c r="O42" s="730"/>
      <c r="P42" s="679"/>
      <c r="Q42" s="693"/>
      <c r="R42" s="693"/>
    </row>
    <row r="43" spans="2:18" ht="13.7">
      <c r="B43" s="702"/>
      <c r="C43" s="670"/>
      <c r="D43" s="670"/>
      <c r="E43" s="687"/>
      <c r="F43" s="687"/>
      <c r="G43" s="687"/>
      <c r="H43" s="688"/>
      <c r="I43" s="687"/>
      <c r="J43" s="687"/>
      <c r="K43" s="687"/>
      <c r="L43" s="687"/>
      <c r="M43" s="687"/>
      <c r="N43" s="687"/>
      <c r="O43" s="687"/>
      <c r="P43" s="689"/>
      <c r="Q43" s="690"/>
      <c r="R43" s="690"/>
    </row>
    <row r="44" spans="2:18" ht="13.7">
      <c r="B44" s="703"/>
      <c r="C44" s="670"/>
      <c r="D44" s="670"/>
      <c r="E44" s="704"/>
      <c r="F44" s="704"/>
      <c r="G44" s="704"/>
      <c r="H44" s="705"/>
      <c r="I44" s="704"/>
      <c r="J44" s="704"/>
      <c r="K44" s="704"/>
      <c r="L44" s="704"/>
      <c r="M44" s="704"/>
      <c r="N44" s="704"/>
      <c r="O44" s="704"/>
      <c r="P44" s="689"/>
      <c r="Q44" s="707"/>
      <c r="R44" s="707"/>
    </row>
    <row r="45" spans="2:18" ht="13.7">
      <c r="B45" s="703"/>
      <c r="C45" s="670"/>
      <c r="D45" s="670"/>
      <c r="E45" s="704"/>
      <c r="F45" s="704"/>
      <c r="G45" s="704"/>
      <c r="H45" s="705"/>
      <c r="I45" s="704"/>
      <c r="J45" s="704"/>
      <c r="K45" s="704"/>
      <c r="L45" s="704"/>
      <c r="M45" s="704"/>
      <c r="N45" s="704"/>
      <c r="O45" s="704"/>
      <c r="P45" s="689"/>
      <c r="Q45" s="707"/>
      <c r="R45" s="707"/>
    </row>
    <row r="46" spans="2:18" ht="15.15">
      <c r="B46" s="703"/>
      <c r="C46" s="670"/>
      <c r="D46" s="670"/>
      <c r="E46" s="708"/>
      <c r="F46" s="708"/>
      <c r="G46" s="708"/>
      <c r="H46" s="709"/>
      <c r="I46" s="708"/>
      <c r="J46" s="708"/>
      <c r="K46" s="708"/>
      <c r="L46" s="708"/>
      <c r="M46" s="708"/>
      <c r="N46" s="708"/>
      <c r="O46" s="708"/>
      <c r="P46" s="689"/>
      <c r="Q46" s="711"/>
      <c r="R46" s="711"/>
    </row>
    <row r="47" spans="2:18" ht="13.7">
      <c r="B47" s="712"/>
      <c r="C47" s="689"/>
      <c r="D47" s="689"/>
      <c r="E47" s="713"/>
      <c r="F47" s="713"/>
      <c r="G47" s="713"/>
      <c r="H47" s="714"/>
      <c r="I47" s="713"/>
      <c r="J47" s="713"/>
      <c r="K47" s="713"/>
      <c r="L47" s="713"/>
      <c r="M47" s="713"/>
      <c r="N47" s="713"/>
      <c r="O47" s="713"/>
      <c r="P47" s="689"/>
      <c r="Q47" s="716"/>
      <c r="R47" s="716"/>
    </row>
    <row r="48" spans="2:18">
      <c r="B48" s="723"/>
      <c r="C48" s="689"/>
      <c r="D48" s="689"/>
      <c r="E48" s="730"/>
      <c r="F48" s="730"/>
      <c r="G48" s="730"/>
      <c r="H48" s="731"/>
      <c r="I48" s="730"/>
      <c r="J48" s="730"/>
      <c r="K48" s="730"/>
      <c r="L48" s="730"/>
      <c r="M48" s="730"/>
      <c r="N48" s="730"/>
      <c r="O48" s="730"/>
      <c r="P48" s="689"/>
      <c r="Q48" s="706"/>
      <c r="R48" s="707"/>
    </row>
    <row r="49" spans="2:18" ht="13.7">
      <c r="B49" s="732"/>
      <c r="C49" s="670"/>
      <c r="D49" s="670"/>
      <c r="E49" s="687"/>
      <c r="F49" s="687"/>
      <c r="G49" s="687"/>
      <c r="H49" s="688"/>
      <c r="I49" s="687"/>
      <c r="J49" s="687"/>
      <c r="K49" s="687"/>
      <c r="L49" s="687"/>
      <c r="M49" s="687"/>
      <c r="N49" s="687"/>
      <c r="O49" s="687"/>
      <c r="P49" s="689"/>
      <c r="Q49" s="690"/>
      <c r="R49" s="690"/>
    </row>
    <row r="50" spans="2:18" ht="13.7">
      <c r="B50" s="703"/>
      <c r="C50" s="670"/>
      <c r="D50" s="670"/>
      <c r="E50" s="687"/>
      <c r="F50" s="704"/>
      <c r="G50" s="704"/>
      <c r="H50" s="733"/>
      <c r="I50" s="734"/>
      <c r="J50" s="734"/>
      <c r="K50" s="734"/>
      <c r="L50" s="734"/>
      <c r="M50" s="734"/>
      <c r="N50" s="734"/>
      <c r="O50" s="734"/>
      <c r="P50" s="689"/>
      <c r="Q50" s="735"/>
      <c r="R50" s="735"/>
    </row>
    <row r="51" spans="2:18" ht="13.7">
      <c r="B51" s="703"/>
      <c r="C51" s="670"/>
      <c r="D51" s="670"/>
      <c r="E51" s="687"/>
      <c r="F51" s="734"/>
      <c r="G51" s="734"/>
      <c r="H51" s="705"/>
      <c r="I51" s="704"/>
      <c r="J51" s="704"/>
      <c r="K51" s="704"/>
      <c r="L51" s="704"/>
      <c r="M51" s="704"/>
      <c r="N51" s="704"/>
      <c r="O51" s="704"/>
      <c r="P51" s="689"/>
      <c r="Q51" s="735"/>
      <c r="R51" s="735"/>
    </row>
    <row r="52" spans="2:18" ht="13.7">
      <c r="B52" s="723"/>
      <c r="C52" s="670"/>
      <c r="D52" s="670"/>
      <c r="E52" s="730"/>
      <c r="F52" s="734"/>
      <c r="G52" s="734"/>
      <c r="H52" s="733"/>
      <c r="I52" s="734"/>
      <c r="J52" s="734"/>
      <c r="K52" s="734"/>
      <c r="L52" s="734"/>
      <c r="M52" s="734"/>
      <c r="N52" s="734"/>
      <c r="O52" s="734"/>
      <c r="P52" s="689"/>
      <c r="Q52" s="735"/>
      <c r="R52" s="735"/>
    </row>
    <row r="53" spans="2:18" ht="13.7">
      <c r="B53" s="689"/>
      <c r="C53" s="670"/>
      <c r="D53" s="670"/>
      <c r="E53" s="687"/>
      <c r="F53" s="687"/>
      <c r="G53" s="687"/>
      <c r="H53" s="688"/>
      <c r="I53" s="687"/>
      <c r="J53" s="687"/>
      <c r="K53" s="687"/>
      <c r="L53" s="687"/>
      <c r="M53" s="687"/>
      <c r="N53" s="687"/>
      <c r="O53" s="687"/>
      <c r="P53" s="689"/>
      <c r="Q53" s="690"/>
      <c r="R53" s="690"/>
    </row>
    <row r="54" spans="2:18" ht="13.7">
      <c r="B54" s="683"/>
      <c r="C54" s="684"/>
      <c r="D54" s="670"/>
      <c r="E54" s="687"/>
      <c r="F54" s="687"/>
      <c r="G54" s="736"/>
      <c r="H54" s="688"/>
      <c r="I54" s="687"/>
      <c r="J54" s="687"/>
      <c r="K54" s="687"/>
      <c r="L54" s="687"/>
      <c r="M54" s="687"/>
      <c r="N54" s="687"/>
      <c r="O54" s="687"/>
      <c r="P54" s="689"/>
      <c r="Q54" s="690"/>
      <c r="R54" s="690"/>
    </row>
    <row r="55" spans="2:18">
      <c r="B55" s="679"/>
      <c r="C55" s="679"/>
      <c r="D55" s="679"/>
      <c r="E55" s="691"/>
      <c r="F55" s="691"/>
      <c r="G55" s="691"/>
      <c r="H55" s="737"/>
      <c r="I55" s="738"/>
      <c r="J55" s="738"/>
      <c r="K55" s="738"/>
      <c r="L55" s="738"/>
      <c r="M55" s="738"/>
      <c r="N55" s="738"/>
      <c r="O55" s="738"/>
      <c r="P55" s="679"/>
      <c r="Q55" s="693"/>
      <c r="R55" s="693"/>
    </row>
    <row r="56" spans="2:18">
      <c r="B56" s="679"/>
      <c r="C56" s="679"/>
      <c r="D56" s="679"/>
      <c r="E56" s="691"/>
      <c r="F56" s="691"/>
      <c r="G56" s="691"/>
      <c r="H56" s="737"/>
      <c r="I56" s="738"/>
      <c r="J56" s="738"/>
      <c r="K56" s="738"/>
      <c r="L56" s="738"/>
      <c r="M56" s="738"/>
      <c r="N56" s="738"/>
      <c r="O56" s="738"/>
      <c r="P56" s="679"/>
      <c r="Q56" s="693"/>
      <c r="R56" s="693"/>
    </row>
    <row r="57" spans="2:18">
      <c r="B57" s="679"/>
      <c r="C57" s="679"/>
      <c r="D57" s="679"/>
      <c r="E57" s="691"/>
      <c r="F57" s="691"/>
      <c r="G57" s="691"/>
      <c r="H57" s="737"/>
      <c r="I57" s="738"/>
      <c r="J57" s="738"/>
      <c r="K57" s="738"/>
      <c r="L57" s="738"/>
      <c r="M57" s="738"/>
      <c r="N57" s="738"/>
      <c r="O57" s="738"/>
      <c r="P57" s="679"/>
      <c r="Q57" s="693"/>
      <c r="R57" s="693"/>
    </row>
    <row r="58" spans="2:18">
      <c r="B58" s="721"/>
      <c r="C58" s="679"/>
      <c r="D58" s="679"/>
      <c r="E58" s="691"/>
      <c r="F58" s="691"/>
      <c r="G58" s="691"/>
      <c r="H58" s="737"/>
      <c r="I58" s="738"/>
      <c r="J58" s="738"/>
      <c r="K58" s="738"/>
      <c r="L58" s="738"/>
      <c r="M58" s="738"/>
      <c r="N58" s="738"/>
      <c r="O58" s="738"/>
      <c r="P58" s="679"/>
      <c r="Q58" s="693"/>
      <c r="R58" s="693"/>
    </row>
    <row r="59" spans="2:18" ht="15.15">
      <c r="B59" s="679"/>
      <c r="C59" s="679"/>
      <c r="D59" s="679"/>
      <c r="E59" s="695"/>
      <c r="F59" s="695"/>
      <c r="G59" s="695"/>
      <c r="H59" s="739"/>
      <c r="I59" s="740"/>
      <c r="J59" s="740"/>
      <c r="K59" s="740"/>
      <c r="L59" s="740"/>
      <c r="M59" s="740"/>
      <c r="N59" s="740"/>
      <c r="O59" s="740"/>
      <c r="P59" s="741"/>
      <c r="Q59" s="742"/>
      <c r="R59" s="742"/>
    </row>
    <row r="60" spans="2:18" ht="13.7">
      <c r="B60" s="698"/>
      <c r="C60" s="689"/>
      <c r="D60" s="689"/>
      <c r="E60" s="700"/>
      <c r="F60" s="700"/>
      <c r="G60" s="700"/>
      <c r="H60" s="701"/>
      <c r="I60" s="700"/>
      <c r="J60" s="700"/>
      <c r="K60" s="700"/>
      <c r="L60" s="700"/>
      <c r="M60" s="700"/>
      <c r="N60" s="700"/>
      <c r="O60" s="700"/>
      <c r="P60" s="689"/>
      <c r="Q60" s="690"/>
      <c r="R60" s="690"/>
    </row>
    <row r="61" spans="2:18">
      <c r="B61" s="679"/>
      <c r="C61" s="679"/>
      <c r="D61" s="679"/>
      <c r="E61" s="691"/>
      <c r="F61" s="691"/>
      <c r="G61" s="691"/>
      <c r="H61" s="737"/>
      <c r="I61" s="738"/>
      <c r="J61" s="738"/>
      <c r="K61" s="738"/>
      <c r="L61" s="738"/>
      <c r="M61" s="738"/>
      <c r="N61" s="738"/>
      <c r="O61" s="738"/>
      <c r="P61" s="679"/>
      <c r="Q61" s="693"/>
      <c r="R61" s="693"/>
    </row>
    <row r="62" spans="2:18">
      <c r="B62" s="679"/>
      <c r="C62" s="679"/>
      <c r="D62" s="679"/>
      <c r="E62" s="691"/>
      <c r="F62" s="691"/>
      <c r="G62" s="691"/>
      <c r="H62" s="737"/>
      <c r="I62" s="738"/>
      <c r="J62" s="738"/>
      <c r="K62" s="738"/>
      <c r="L62" s="738"/>
      <c r="M62" s="738"/>
      <c r="N62" s="738"/>
      <c r="O62" s="738"/>
      <c r="P62" s="679"/>
      <c r="Q62" s="693"/>
      <c r="R62" s="693"/>
    </row>
    <row r="63" spans="2:18">
      <c r="B63" s="679"/>
      <c r="C63" s="679"/>
      <c r="D63" s="679"/>
      <c r="E63" s="691"/>
      <c r="F63" s="691"/>
      <c r="G63" s="691"/>
      <c r="H63" s="737"/>
      <c r="I63" s="738"/>
      <c r="J63" s="738"/>
      <c r="K63" s="738"/>
      <c r="L63" s="738"/>
      <c r="M63" s="738"/>
      <c r="N63" s="738"/>
      <c r="O63" s="738"/>
      <c r="P63" s="679"/>
      <c r="Q63" s="693"/>
      <c r="R63" s="693"/>
    </row>
    <row r="64" spans="2:18">
      <c r="B64" s="679"/>
      <c r="C64" s="679"/>
      <c r="D64" s="679"/>
      <c r="E64" s="691"/>
      <c r="F64" s="691"/>
      <c r="G64" s="691"/>
      <c r="H64" s="737"/>
      <c r="I64" s="738"/>
      <c r="J64" s="738"/>
      <c r="K64" s="738"/>
      <c r="L64" s="738"/>
      <c r="M64" s="738"/>
      <c r="N64" s="738"/>
      <c r="O64" s="738"/>
      <c r="P64" s="679"/>
      <c r="Q64" s="693"/>
      <c r="R64" s="693"/>
    </row>
    <row r="65" spans="2:18" ht="15.15">
      <c r="B65" s="679"/>
      <c r="C65" s="679"/>
      <c r="D65" s="679"/>
      <c r="E65" s="695"/>
      <c r="F65" s="695"/>
      <c r="G65" s="695"/>
      <c r="H65" s="739"/>
      <c r="I65" s="740"/>
      <c r="J65" s="740"/>
      <c r="K65" s="740"/>
      <c r="L65" s="740"/>
      <c r="M65" s="740"/>
      <c r="N65" s="740"/>
      <c r="O65" s="740"/>
      <c r="P65" s="679"/>
      <c r="Q65" s="697"/>
      <c r="R65" s="697"/>
    </row>
    <row r="66" spans="2:18" ht="13.7">
      <c r="B66" s="698"/>
      <c r="C66" s="679"/>
      <c r="D66" s="743"/>
      <c r="E66" s="700"/>
      <c r="F66" s="700"/>
      <c r="G66" s="700"/>
      <c r="H66" s="701"/>
      <c r="I66" s="700"/>
      <c r="J66" s="700"/>
      <c r="K66" s="700"/>
      <c r="L66" s="700"/>
      <c r="M66" s="700"/>
      <c r="N66" s="700"/>
      <c r="O66" s="700"/>
      <c r="P66" s="679"/>
      <c r="Q66" s="690"/>
      <c r="R66" s="690"/>
    </row>
    <row r="67" spans="2:18" ht="15.15">
      <c r="B67" s="679"/>
      <c r="C67" s="679"/>
      <c r="D67" s="679"/>
      <c r="E67" s="740"/>
      <c r="F67" s="740"/>
      <c r="G67" s="740"/>
      <c r="H67" s="696"/>
      <c r="I67" s="695"/>
      <c r="J67" s="695"/>
      <c r="K67" s="695"/>
      <c r="L67" s="695"/>
      <c r="M67" s="695"/>
      <c r="N67" s="695"/>
      <c r="O67" s="695"/>
      <c r="P67" s="679"/>
      <c r="Q67" s="697"/>
      <c r="R67" s="697"/>
    </row>
    <row r="68" spans="2:18" ht="13.7">
      <c r="B68" s="698"/>
      <c r="C68" s="689"/>
      <c r="D68" s="689"/>
      <c r="E68" s="765"/>
      <c r="F68" s="765"/>
      <c r="G68" s="765"/>
      <c r="H68" s="764"/>
      <c r="I68" s="763"/>
      <c r="J68" s="763"/>
      <c r="K68" s="763"/>
      <c r="L68" s="763"/>
      <c r="M68" s="763"/>
      <c r="N68" s="763"/>
      <c r="O68" s="763"/>
      <c r="P68" s="689"/>
      <c r="Q68" s="690"/>
      <c r="R68" s="690"/>
    </row>
    <row r="69" spans="2:18">
      <c r="B69" s="703"/>
      <c r="C69" s="669"/>
      <c r="D69" s="669"/>
      <c r="E69" s="726"/>
      <c r="F69" s="726"/>
      <c r="G69" s="726"/>
      <c r="H69" s="725"/>
      <c r="I69" s="726"/>
      <c r="J69" s="726"/>
      <c r="K69" s="726"/>
      <c r="L69" s="726"/>
      <c r="M69" s="726"/>
      <c r="N69" s="726"/>
      <c r="O69" s="726"/>
      <c r="P69" s="669"/>
      <c r="Q69" s="693"/>
      <c r="R69" s="693"/>
    </row>
    <row r="70" spans="2:18">
      <c r="B70" s="679"/>
      <c r="C70" s="679"/>
      <c r="D70" s="679"/>
      <c r="E70" s="686"/>
      <c r="F70" s="686"/>
      <c r="G70" s="686"/>
      <c r="H70" s="744"/>
      <c r="I70" s="745"/>
      <c r="J70" s="745"/>
      <c r="K70" s="745"/>
      <c r="L70" s="745"/>
      <c r="M70" s="745"/>
      <c r="N70" s="686"/>
      <c r="O70" s="686"/>
      <c r="P70" s="679"/>
      <c r="Q70" s="693"/>
      <c r="R70" s="693"/>
    </row>
    <row r="71" spans="2:18">
      <c r="B71" s="702"/>
      <c r="C71" s="679"/>
      <c r="D71" s="679"/>
      <c r="E71" s="686"/>
      <c r="F71" s="686"/>
      <c r="G71" s="686"/>
      <c r="H71" s="746"/>
      <c r="I71" s="686"/>
      <c r="J71" s="686"/>
      <c r="K71" s="686"/>
      <c r="L71" s="686"/>
      <c r="M71" s="686"/>
      <c r="N71" s="686"/>
      <c r="O71" s="686"/>
      <c r="P71" s="679"/>
      <c r="Q71" s="693"/>
      <c r="R71" s="693"/>
    </row>
    <row r="72" spans="2:18">
      <c r="B72" s="703"/>
      <c r="C72" s="679"/>
      <c r="D72" s="679"/>
      <c r="E72" s="704"/>
      <c r="F72" s="704"/>
      <c r="G72" s="704"/>
      <c r="H72" s="705"/>
      <c r="I72" s="704"/>
      <c r="J72" s="704"/>
      <c r="K72" s="704"/>
      <c r="L72" s="704"/>
      <c r="M72" s="704"/>
      <c r="N72" s="704"/>
      <c r="O72" s="704"/>
      <c r="P72" s="679"/>
      <c r="Q72" s="707"/>
      <c r="R72" s="707"/>
    </row>
    <row r="73" spans="2:18" ht="15.15">
      <c r="B73" s="703"/>
      <c r="C73" s="679"/>
      <c r="D73" s="679"/>
      <c r="E73" s="708"/>
      <c r="F73" s="708"/>
      <c r="G73" s="708"/>
      <c r="H73" s="709"/>
      <c r="I73" s="708"/>
      <c r="J73" s="708"/>
      <c r="K73" s="708"/>
      <c r="L73" s="708"/>
      <c r="M73" s="708"/>
      <c r="N73" s="708"/>
      <c r="O73" s="708"/>
      <c r="P73" s="679"/>
      <c r="Q73" s="711"/>
      <c r="R73" s="711"/>
    </row>
    <row r="74" spans="2:18" ht="13.7">
      <c r="B74" s="712"/>
      <c r="C74" s="689"/>
      <c r="D74" s="689"/>
      <c r="E74" s="713"/>
      <c r="F74" s="713"/>
      <c r="G74" s="713"/>
      <c r="H74" s="714"/>
      <c r="I74" s="713"/>
      <c r="J74" s="713"/>
      <c r="K74" s="713"/>
      <c r="L74" s="713"/>
      <c r="M74" s="713"/>
      <c r="N74" s="713"/>
      <c r="O74" s="713"/>
      <c r="P74" s="689"/>
      <c r="Q74" s="716"/>
      <c r="R74" s="716"/>
    </row>
    <row r="75" spans="2:18">
      <c r="B75" s="703"/>
      <c r="C75" s="679"/>
      <c r="D75" s="679"/>
      <c r="E75" s="704"/>
      <c r="F75" s="704"/>
      <c r="G75" s="704"/>
      <c r="H75" s="733"/>
      <c r="I75" s="704"/>
      <c r="J75" s="704"/>
      <c r="K75" s="704"/>
      <c r="L75" s="704"/>
      <c r="M75" s="704"/>
      <c r="N75" s="704"/>
      <c r="O75" s="704"/>
      <c r="P75" s="679"/>
      <c r="Q75" s="707"/>
      <c r="R75" s="707"/>
    </row>
    <row r="76" spans="2:18">
      <c r="B76" s="703"/>
      <c r="C76" s="679"/>
      <c r="D76" s="679"/>
      <c r="E76" s="704"/>
      <c r="F76" s="704"/>
      <c r="G76" s="704"/>
      <c r="H76" s="705"/>
      <c r="I76" s="704"/>
      <c r="J76" s="704"/>
      <c r="K76" s="704"/>
      <c r="L76" s="704"/>
      <c r="M76" s="704"/>
      <c r="N76" s="704"/>
      <c r="O76" s="704"/>
      <c r="P76" s="679"/>
      <c r="Q76" s="707"/>
      <c r="R76" s="707"/>
    </row>
    <row r="77" spans="2:18" ht="15.15">
      <c r="B77" s="703"/>
      <c r="C77" s="679"/>
      <c r="D77" s="679"/>
      <c r="E77" s="708"/>
      <c r="F77" s="708"/>
      <c r="G77" s="708"/>
      <c r="H77" s="709"/>
      <c r="I77" s="708"/>
      <c r="J77" s="708"/>
      <c r="K77" s="708"/>
      <c r="L77" s="708"/>
      <c r="M77" s="708"/>
      <c r="N77" s="708"/>
      <c r="O77" s="708"/>
      <c r="P77" s="679"/>
      <c r="Q77" s="711"/>
      <c r="R77" s="711"/>
    </row>
    <row r="78" spans="2:18" ht="13.7">
      <c r="B78" s="712"/>
      <c r="C78" s="689"/>
      <c r="D78" s="689"/>
      <c r="E78" s="713"/>
      <c r="F78" s="713"/>
      <c r="G78" s="713"/>
      <c r="H78" s="714"/>
      <c r="I78" s="713"/>
      <c r="J78" s="713"/>
      <c r="K78" s="713"/>
      <c r="L78" s="713"/>
      <c r="M78" s="713"/>
      <c r="N78" s="713"/>
      <c r="O78" s="713"/>
      <c r="P78" s="689"/>
      <c r="Q78" s="716"/>
      <c r="R78" s="716"/>
    </row>
    <row r="79" spans="2:18">
      <c r="B79" s="703"/>
      <c r="C79" s="679"/>
      <c r="D79" s="679"/>
      <c r="E79" s="704"/>
      <c r="F79" s="704"/>
      <c r="G79" s="704"/>
      <c r="H79" s="705"/>
      <c r="I79" s="704"/>
      <c r="J79" s="704"/>
      <c r="K79" s="704"/>
      <c r="L79" s="704"/>
      <c r="M79" s="704"/>
      <c r="N79" s="704"/>
      <c r="O79" s="704"/>
      <c r="P79" s="679"/>
      <c r="Q79" s="707"/>
      <c r="R79" s="707"/>
    </row>
    <row r="80" spans="2:18">
      <c r="B80" s="703"/>
      <c r="C80" s="679"/>
      <c r="D80" s="679"/>
      <c r="E80" s="704"/>
      <c r="F80" s="704"/>
      <c r="G80" s="704"/>
      <c r="H80" s="705"/>
      <c r="I80" s="704"/>
      <c r="J80" s="704"/>
      <c r="K80" s="704"/>
      <c r="L80" s="704"/>
      <c r="M80" s="704"/>
      <c r="N80" s="704"/>
      <c r="O80" s="704"/>
      <c r="P80" s="679"/>
      <c r="Q80" s="707"/>
      <c r="R80" s="707"/>
    </row>
    <row r="81" spans="2:18">
      <c r="B81" s="703"/>
      <c r="C81" s="679"/>
      <c r="D81" s="679"/>
      <c r="E81" s="704"/>
      <c r="F81" s="704"/>
      <c r="G81" s="704"/>
      <c r="H81" s="733"/>
      <c r="I81" s="704"/>
      <c r="J81" s="704"/>
      <c r="K81" s="704"/>
      <c r="L81" s="704"/>
      <c r="M81" s="704"/>
      <c r="N81" s="704"/>
      <c r="O81" s="704"/>
      <c r="P81" s="679"/>
      <c r="Q81" s="707"/>
      <c r="R81" s="707"/>
    </row>
    <row r="82" spans="2:18" ht="15.15">
      <c r="B82" s="703"/>
      <c r="C82" s="679"/>
      <c r="D82" s="679"/>
      <c r="E82" s="708"/>
      <c r="F82" s="708"/>
      <c r="G82" s="708"/>
      <c r="H82" s="709"/>
      <c r="I82" s="708"/>
      <c r="J82" s="708"/>
      <c r="K82" s="708"/>
      <c r="L82" s="708"/>
      <c r="M82" s="708"/>
      <c r="N82" s="708"/>
      <c r="O82" s="708"/>
      <c r="P82" s="679"/>
      <c r="Q82" s="711"/>
      <c r="R82" s="711"/>
    </row>
    <row r="83" spans="2:18" ht="13.7">
      <c r="B83" s="712"/>
      <c r="C83" s="689"/>
      <c r="D83" s="689"/>
      <c r="E83" s="713"/>
      <c r="F83" s="713"/>
      <c r="G83" s="713"/>
      <c r="H83" s="714"/>
      <c r="I83" s="713"/>
      <c r="J83" s="713"/>
      <c r="K83" s="713"/>
      <c r="L83" s="713"/>
      <c r="M83" s="713"/>
      <c r="N83" s="713"/>
      <c r="O83" s="713"/>
      <c r="P83" s="689"/>
      <c r="Q83" s="716"/>
      <c r="R83" s="716"/>
    </row>
    <row r="84" spans="2:18" ht="13.7">
      <c r="B84" s="712"/>
      <c r="C84" s="689"/>
      <c r="D84" s="689"/>
      <c r="E84" s="766"/>
      <c r="F84" s="766"/>
      <c r="G84" s="766"/>
      <c r="H84" s="766"/>
      <c r="I84" s="766"/>
      <c r="J84" s="766"/>
      <c r="K84" s="766"/>
      <c r="L84" s="766"/>
      <c r="M84" s="766"/>
      <c r="N84" s="766"/>
      <c r="O84" s="766"/>
      <c r="P84" s="689"/>
      <c r="Q84" s="716"/>
      <c r="R84" s="716"/>
    </row>
    <row r="85" spans="2:18" ht="13.7">
      <c r="B85" s="703"/>
      <c r="C85" s="679"/>
      <c r="D85" s="679"/>
      <c r="E85" s="686"/>
      <c r="F85" s="686"/>
      <c r="G85" s="686"/>
      <c r="H85" s="746"/>
      <c r="I85" s="686"/>
      <c r="J85" s="686"/>
      <c r="K85" s="686"/>
      <c r="L85" s="686"/>
      <c r="M85" s="686"/>
      <c r="N85" s="686"/>
      <c r="O85" s="686"/>
      <c r="P85" s="679"/>
      <c r="Q85" s="670"/>
      <c r="R85" s="670"/>
    </row>
    <row r="86" spans="2:18" ht="13.7">
      <c r="B86" s="702"/>
      <c r="C86" s="679"/>
      <c r="D86" s="679"/>
      <c r="E86" s="686"/>
      <c r="F86" s="747"/>
      <c r="G86" s="747"/>
      <c r="H86" s="746"/>
      <c r="I86" s="686"/>
      <c r="J86" s="686"/>
      <c r="K86" s="686"/>
      <c r="L86" s="686"/>
      <c r="M86" s="686"/>
      <c r="N86" s="686"/>
      <c r="O86" s="686"/>
      <c r="P86" s="679"/>
      <c r="Q86" s="670"/>
      <c r="R86" s="670"/>
    </row>
    <row r="87" spans="2:18">
      <c r="B87" s="703"/>
      <c r="C87" s="679"/>
      <c r="D87" s="679"/>
      <c r="E87" s="704"/>
      <c r="F87" s="704"/>
      <c r="G87" s="704"/>
      <c r="H87" s="705"/>
      <c r="I87" s="704"/>
      <c r="J87" s="704"/>
      <c r="K87" s="704"/>
      <c r="L87" s="704"/>
      <c r="M87" s="704"/>
      <c r="N87" s="704"/>
      <c r="O87" s="704"/>
      <c r="P87" s="679"/>
      <c r="Q87" s="706"/>
      <c r="R87" s="707"/>
    </row>
    <row r="88" spans="2:18">
      <c r="B88" s="703"/>
      <c r="C88" s="679"/>
      <c r="D88" s="679"/>
      <c r="E88" s="708"/>
      <c r="F88" s="708"/>
      <c r="G88" s="708"/>
      <c r="H88" s="709"/>
      <c r="I88" s="708"/>
      <c r="J88" s="708"/>
      <c r="K88" s="708"/>
      <c r="L88" s="708"/>
      <c r="M88" s="708"/>
      <c r="N88" s="708"/>
      <c r="O88" s="708"/>
      <c r="P88" s="679"/>
      <c r="Q88" s="706"/>
      <c r="R88" s="707"/>
    </row>
    <row r="89" spans="2:18" ht="13.7">
      <c r="B89" s="712"/>
      <c r="C89" s="689"/>
      <c r="D89" s="689"/>
      <c r="E89" s="713"/>
      <c r="F89" s="713"/>
      <c r="G89" s="713"/>
      <c r="H89" s="714"/>
      <c r="I89" s="713"/>
      <c r="J89" s="713"/>
      <c r="K89" s="713"/>
      <c r="L89" s="713"/>
      <c r="M89" s="713"/>
      <c r="N89" s="713"/>
      <c r="O89" s="713"/>
      <c r="P89" s="689"/>
      <c r="Q89" s="715"/>
      <c r="R89" s="716"/>
    </row>
    <row r="90" spans="2:18">
      <c r="B90" s="703"/>
      <c r="C90" s="679"/>
      <c r="D90" s="679"/>
      <c r="E90" s="704"/>
      <c r="F90" s="704"/>
      <c r="G90" s="704"/>
      <c r="H90" s="705"/>
      <c r="I90" s="704"/>
      <c r="J90" s="704"/>
      <c r="K90" s="704"/>
      <c r="L90" s="704"/>
      <c r="M90" s="704"/>
      <c r="N90" s="704"/>
      <c r="O90" s="704"/>
      <c r="P90" s="679"/>
      <c r="Q90" s="706"/>
      <c r="R90" s="707"/>
    </row>
    <row r="91" spans="2:18">
      <c r="B91" s="703"/>
      <c r="C91" s="679"/>
      <c r="D91" s="679"/>
      <c r="E91" s="704"/>
      <c r="F91" s="704"/>
      <c r="G91" s="704"/>
      <c r="H91" s="705"/>
      <c r="I91" s="704"/>
      <c r="J91" s="704"/>
      <c r="K91" s="704"/>
      <c r="L91" s="704"/>
      <c r="M91" s="704"/>
      <c r="N91" s="704"/>
      <c r="O91" s="704"/>
      <c r="P91" s="679"/>
      <c r="Q91" s="706"/>
      <c r="R91" s="707"/>
    </row>
    <row r="92" spans="2:18" ht="15.15">
      <c r="B92" s="703"/>
      <c r="C92" s="679"/>
      <c r="D92" s="679"/>
      <c r="E92" s="708"/>
      <c r="F92" s="708"/>
      <c r="G92" s="708"/>
      <c r="H92" s="709"/>
      <c r="I92" s="708"/>
      <c r="J92" s="708"/>
      <c r="K92" s="708"/>
      <c r="L92" s="708"/>
      <c r="M92" s="708"/>
      <c r="N92" s="708"/>
      <c r="O92" s="708"/>
      <c r="P92" s="679"/>
      <c r="Q92" s="710"/>
      <c r="R92" s="711"/>
    </row>
    <row r="93" spans="2:18" ht="13.7">
      <c r="B93" s="712"/>
      <c r="C93" s="689"/>
      <c r="D93" s="689"/>
      <c r="E93" s="713"/>
      <c r="F93" s="713"/>
      <c r="G93" s="713"/>
      <c r="H93" s="714"/>
      <c r="I93" s="713"/>
      <c r="J93" s="713"/>
      <c r="K93" s="713"/>
      <c r="L93" s="713"/>
      <c r="M93" s="713"/>
      <c r="N93" s="713"/>
      <c r="O93" s="713"/>
      <c r="P93" s="679"/>
      <c r="Q93" s="715"/>
      <c r="R93" s="716"/>
    </row>
    <row r="94" spans="2:18">
      <c r="B94" s="703"/>
      <c r="C94" s="679"/>
      <c r="D94" s="679"/>
      <c r="E94" s="704"/>
      <c r="F94" s="704"/>
      <c r="G94" s="704"/>
      <c r="H94" s="705"/>
      <c r="I94" s="704"/>
      <c r="J94" s="704"/>
      <c r="K94" s="704"/>
      <c r="L94" s="704"/>
      <c r="M94" s="704"/>
      <c r="N94" s="704"/>
      <c r="O94" s="704"/>
      <c r="P94" s="679"/>
      <c r="Q94" s="706"/>
      <c r="R94" s="707"/>
    </row>
    <row r="95" spans="2:18">
      <c r="B95" s="703"/>
      <c r="C95" s="679"/>
      <c r="D95" s="679"/>
      <c r="E95" s="704"/>
      <c r="F95" s="704"/>
      <c r="G95" s="704"/>
      <c r="H95" s="733"/>
      <c r="I95" s="734"/>
      <c r="J95" s="734"/>
      <c r="K95" s="734"/>
      <c r="L95" s="734"/>
      <c r="M95" s="734"/>
      <c r="N95" s="734"/>
      <c r="O95" s="734"/>
      <c r="P95" s="679"/>
      <c r="Q95" s="706"/>
      <c r="R95" s="707"/>
    </row>
    <row r="96" spans="2:18">
      <c r="B96" s="703"/>
      <c r="C96" s="679"/>
      <c r="D96" s="679"/>
      <c r="E96" s="704"/>
      <c r="F96" s="704"/>
      <c r="G96" s="704"/>
      <c r="H96" s="705"/>
      <c r="I96" s="704"/>
      <c r="J96" s="704"/>
      <c r="K96" s="704"/>
      <c r="L96" s="704"/>
      <c r="M96" s="704"/>
      <c r="N96" s="704"/>
      <c r="O96" s="704"/>
      <c r="P96" s="679"/>
      <c r="Q96" s="706"/>
      <c r="R96" s="707"/>
    </row>
    <row r="97" spans="2:18">
      <c r="B97" s="703"/>
      <c r="C97" s="679"/>
      <c r="D97" s="679"/>
      <c r="E97" s="708"/>
      <c r="F97" s="708"/>
      <c r="G97" s="708"/>
      <c r="H97" s="709"/>
      <c r="I97" s="708"/>
      <c r="J97" s="708"/>
      <c r="K97" s="708"/>
      <c r="L97" s="708"/>
      <c r="M97" s="708"/>
      <c r="N97" s="708"/>
      <c r="O97" s="708"/>
      <c r="P97" s="679"/>
      <c r="Q97" s="706"/>
      <c r="R97" s="707"/>
    </row>
    <row r="98" spans="2:18" ht="13.7">
      <c r="B98" s="712"/>
      <c r="C98" s="679"/>
      <c r="D98" s="679"/>
      <c r="E98" s="713"/>
      <c r="F98" s="713"/>
      <c r="G98" s="713"/>
      <c r="H98" s="714"/>
      <c r="I98" s="713"/>
      <c r="J98" s="713"/>
      <c r="K98" s="713"/>
      <c r="L98" s="713"/>
      <c r="M98" s="713"/>
      <c r="N98" s="713"/>
      <c r="O98" s="713"/>
      <c r="P98" s="679"/>
      <c r="Q98" s="706"/>
      <c r="R98" s="707"/>
    </row>
    <row r="99" spans="2:18" ht="13.7">
      <c r="B99" s="712"/>
      <c r="C99" s="679"/>
      <c r="D99" s="679"/>
      <c r="E99" s="713"/>
      <c r="F99" s="713"/>
      <c r="G99" s="713"/>
      <c r="H99" s="714"/>
      <c r="I99" s="713"/>
      <c r="J99" s="713"/>
      <c r="K99" s="713"/>
      <c r="L99" s="713"/>
      <c r="M99" s="713"/>
      <c r="N99" s="713"/>
      <c r="O99" s="713"/>
      <c r="P99" s="679"/>
      <c r="Q99" s="706"/>
      <c r="R99" s="707"/>
    </row>
    <row r="100" spans="2:18" ht="13.7">
      <c r="B100" s="748"/>
      <c r="C100" s="749"/>
      <c r="D100" s="749"/>
      <c r="E100" s="750"/>
      <c r="F100" s="750"/>
      <c r="G100" s="750"/>
      <c r="H100" s="751"/>
      <c r="I100" s="750"/>
      <c r="J100" s="750"/>
      <c r="K100" s="750"/>
      <c r="L100" s="750"/>
      <c r="M100" s="750"/>
      <c r="N100" s="686"/>
      <c r="O100" s="686"/>
      <c r="P100" s="749"/>
      <c r="Q100" s="730"/>
      <c r="R100" s="730"/>
    </row>
    <row r="101" spans="2:18" ht="13.7">
      <c r="B101" s="752"/>
      <c r="C101" s="679"/>
      <c r="D101" s="679"/>
      <c r="E101" s="686"/>
      <c r="F101" s="686"/>
      <c r="G101" s="686"/>
      <c r="H101" s="746"/>
      <c r="I101" s="686"/>
      <c r="J101" s="686"/>
      <c r="K101" s="686"/>
      <c r="L101" s="686"/>
      <c r="M101" s="686"/>
      <c r="N101" s="686"/>
      <c r="O101" s="686"/>
      <c r="P101" s="679"/>
      <c r="Q101" s="693"/>
      <c r="R101" s="693"/>
    </row>
    <row r="102" spans="2:18">
      <c r="B102" s="525"/>
      <c r="C102" s="490"/>
      <c r="D102" s="490"/>
      <c r="E102" s="526"/>
      <c r="F102" s="526"/>
      <c r="G102" s="526"/>
      <c r="H102" s="492"/>
      <c r="I102" s="491"/>
      <c r="J102" s="491"/>
      <c r="K102" s="491"/>
      <c r="L102" s="491"/>
      <c r="M102" s="491"/>
      <c r="N102" s="491"/>
      <c r="O102" s="491"/>
      <c r="P102" s="490"/>
      <c r="Q102" s="513"/>
      <c r="R102" s="513"/>
    </row>
    <row r="103" spans="2:18">
      <c r="B103" s="490"/>
      <c r="C103" s="465"/>
      <c r="D103" s="527"/>
      <c r="E103" s="507"/>
      <c r="F103" s="507"/>
      <c r="G103" s="507"/>
      <c r="H103" s="508"/>
      <c r="I103" s="507"/>
      <c r="J103" s="507"/>
      <c r="K103" s="507"/>
      <c r="L103" s="507"/>
      <c r="M103" s="507"/>
      <c r="N103" s="507"/>
      <c r="O103" s="507"/>
      <c r="P103" s="490"/>
      <c r="Q103" s="513"/>
      <c r="R103" s="480"/>
    </row>
    <row r="104" spans="2:18">
      <c r="B104" s="506"/>
      <c r="C104" s="465"/>
      <c r="D104" s="465"/>
      <c r="E104" s="491"/>
      <c r="F104" s="491"/>
      <c r="G104" s="491"/>
      <c r="H104" s="492"/>
      <c r="I104" s="491"/>
      <c r="J104" s="491"/>
      <c r="K104" s="491"/>
      <c r="L104" s="491"/>
      <c r="M104" s="491"/>
      <c r="N104" s="491"/>
      <c r="O104" s="491"/>
      <c r="P104" s="490"/>
      <c r="Q104" s="513"/>
      <c r="R104" s="513"/>
    </row>
    <row r="105" spans="2:18">
      <c r="B105" s="525"/>
      <c r="C105" s="528"/>
      <c r="D105" s="528"/>
      <c r="E105" s="473"/>
      <c r="F105" s="473"/>
      <c r="G105" s="473"/>
      <c r="H105" s="529"/>
      <c r="I105" s="473"/>
      <c r="J105" s="473"/>
      <c r="K105" s="473"/>
      <c r="L105" s="473"/>
      <c r="M105" s="473"/>
      <c r="N105" s="491"/>
      <c r="O105" s="491"/>
      <c r="P105" s="490"/>
      <c r="Q105" s="513"/>
      <c r="R105" s="513"/>
    </row>
    <row r="106" spans="2:18">
      <c r="B106" s="506"/>
      <c r="C106" s="528"/>
      <c r="D106" s="530"/>
      <c r="E106" s="491"/>
      <c r="F106" s="491"/>
      <c r="G106" s="491"/>
      <c r="H106" s="492"/>
      <c r="I106" s="491"/>
      <c r="J106" s="491"/>
      <c r="K106" s="491"/>
      <c r="L106" s="491"/>
      <c r="M106" s="491"/>
      <c r="N106" s="491"/>
      <c r="O106" s="491"/>
      <c r="P106" s="490"/>
      <c r="Q106" s="513"/>
      <c r="R106" s="513"/>
    </row>
    <row r="107" spans="2:18">
      <c r="B107" s="506"/>
      <c r="C107" s="489"/>
      <c r="D107" s="489"/>
      <c r="E107" s="495"/>
      <c r="F107" s="495"/>
      <c r="G107" s="495"/>
      <c r="H107" s="496"/>
      <c r="I107" s="495"/>
      <c r="J107" s="495"/>
      <c r="K107" s="495"/>
      <c r="L107" s="495"/>
      <c r="M107" s="495"/>
      <c r="N107" s="495"/>
      <c r="O107" s="495"/>
      <c r="P107" s="490"/>
      <c r="Q107" s="531"/>
      <c r="R107" s="531"/>
    </row>
    <row r="108" spans="2:18" ht="13.7">
      <c r="B108" s="532"/>
      <c r="C108" s="528"/>
      <c r="D108" s="528"/>
      <c r="E108" s="500"/>
      <c r="F108" s="500"/>
      <c r="G108" s="500"/>
      <c r="H108" s="501"/>
      <c r="I108" s="500"/>
      <c r="J108" s="500"/>
      <c r="K108" s="500"/>
      <c r="L108" s="500"/>
      <c r="M108" s="500"/>
      <c r="N108" s="500"/>
      <c r="O108" s="500"/>
      <c r="P108" s="490"/>
      <c r="Q108" s="533"/>
      <c r="R108" s="533"/>
    </row>
    <row r="109" spans="2:18">
      <c r="B109" s="506"/>
      <c r="C109" s="490"/>
      <c r="D109" s="490"/>
      <c r="E109" s="491"/>
      <c r="F109" s="491"/>
      <c r="G109" s="491"/>
      <c r="H109" s="492"/>
      <c r="I109" s="491"/>
      <c r="J109" s="491"/>
      <c r="K109" s="491"/>
      <c r="L109" s="491"/>
      <c r="M109" s="491"/>
      <c r="N109" s="491"/>
      <c r="O109" s="491"/>
      <c r="P109" s="490"/>
      <c r="Q109" s="513"/>
      <c r="R109" s="513"/>
    </row>
    <row r="110" spans="2:18">
      <c r="B110" s="525"/>
      <c r="C110" s="465"/>
      <c r="D110" s="465"/>
      <c r="E110" s="473"/>
      <c r="F110" s="534"/>
      <c r="G110" s="534"/>
      <c r="H110" s="535"/>
      <c r="I110" s="521"/>
      <c r="J110" s="521"/>
      <c r="K110" s="521"/>
      <c r="L110" s="521"/>
      <c r="M110" s="521"/>
      <c r="N110" s="473"/>
      <c r="O110" s="473"/>
      <c r="P110" s="465"/>
      <c r="Q110" s="480"/>
      <c r="R110" s="480"/>
    </row>
    <row r="111" spans="2:18">
      <c r="B111" s="506"/>
      <c r="C111" s="465"/>
      <c r="D111" s="465"/>
      <c r="E111" s="491"/>
      <c r="F111" s="491"/>
      <c r="G111" s="491"/>
      <c r="H111" s="492"/>
      <c r="I111" s="491"/>
      <c r="J111" s="491"/>
      <c r="K111" s="491"/>
      <c r="L111" s="491"/>
      <c r="M111" s="491"/>
      <c r="N111" s="491"/>
      <c r="O111" s="491"/>
      <c r="P111" s="536"/>
      <c r="Q111" s="513"/>
      <c r="R111" s="513"/>
    </row>
    <row r="112" spans="2:18">
      <c r="B112" s="506"/>
      <c r="C112" s="528"/>
      <c r="D112" s="528"/>
      <c r="E112" s="495"/>
      <c r="F112" s="495"/>
      <c r="G112" s="495"/>
      <c r="H112" s="496"/>
      <c r="I112" s="495"/>
      <c r="J112" s="495"/>
      <c r="K112" s="495"/>
      <c r="L112" s="495"/>
      <c r="M112" s="495"/>
      <c r="N112" s="495"/>
      <c r="O112" s="495"/>
      <c r="P112" s="536"/>
      <c r="Q112" s="484"/>
      <c r="R112" s="484"/>
    </row>
    <row r="113" spans="2:18" ht="13.7">
      <c r="B113" s="532"/>
      <c r="C113" s="537"/>
      <c r="D113" s="538"/>
      <c r="E113" s="500"/>
      <c r="F113" s="500"/>
      <c r="G113" s="500"/>
      <c r="H113" s="501"/>
      <c r="I113" s="500"/>
      <c r="J113" s="500"/>
      <c r="K113" s="500"/>
      <c r="L113" s="500"/>
      <c r="M113" s="500"/>
      <c r="N113" s="500"/>
      <c r="O113" s="500"/>
      <c r="P113" s="465"/>
      <c r="Q113" s="477"/>
      <c r="R113" s="477"/>
    </row>
    <row r="114" spans="2:18">
      <c r="B114" s="539"/>
      <c r="C114" s="537"/>
      <c r="D114" s="538"/>
      <c r="E114" s="491"/>
      <c r="F114" s="491"/>
      <c r="G114" s="491"/>
      <c r="H114" s="492"/>
      <c r="I114" s="491"/>
      <c r="J114" s="491"/>
      <c r="K114" s="491"/>
      <c r="L114" s="491"/>
      <c r="M114" s="491"/>
      <c r="N114" s="491"/>
      <c r="O114" s="491"/>
      <c r="P114" s="465"/>
      <c r="Q114" s="513"/>
      <c r="R114" s="513"/>
    </row>
    <row r="115" spans="2:18">
      <c r="B115" s="540"/>
      <c r="C115" s="465"/>
      <c r="D115" s="465"/>
      <c r="E115" s="473"/>
      <c r="F115" s="541"/>
      <c r="G115" s="541"/>
      <c r="H115" s="520"/>
      <c r="I115" s="473"/>
      <c r="J115" s="473"/>
      <c r="K115" s="473"/>
      <c r="L115" s="473"/>
      <c r="M115" s="473"/>
      <c r="N115" s="473"/>
      <c r="O115" s="473"/>
      <c r="P115" s="465"/>
      <c r="Q115" s="480"/>
      <c r="R115" s="480"/>
    </row>
    <row r="116" spans="2:18">
      <c r="B116" s="525"/>
      <c r="C116" s="465"/>
      <c r="D116" s="465"/>
      <c r="E116" s="473"/>
      <c r="F116" s="473"/>
      <c r="G116" s="473"/>
      <c r="H116" s="520"/>
      <c r="I116" s="473"/>
      <c r="J116" s="473"/>
      <c r="K116" s="473"/>
      <c r="L116" s="473"/>
      <c r="M116" s="473"/>
      <c r="N116" s="473"/>
      <c r="O116" s="473"/>
      <c r="P116" s="465"/>
      <c r="Q116" s="480"/>
      <c r="R116" s="480"/>
    </row>
    <row r="117" spans="2:18">
      <c r="B117" s="506"/>
      <c r="C117" s="465"/>
      <c r="D117" s="465"/>
      <c r="E117" s="491"/>
      <c r="F117" s="491"/>
      <c r="G117" s="491"/>
      <c r="H117" s="492"/>
      <c r="I117" s="491"/>
      <c r="J117" s="491"/>
      <c r="K117" s="491"/>
      <c r="L117" s="491"/>
      <c r="M117" s="491"/>
      <c r="N117" s="491"/>
      <c r="O117" s="491"/>
      <c r="P117" s="465"/>
      <c r="Q117" s="480"/>
      <c r="R117" s="480"/>
    </row>
    <row r="118" spans="2:18">
      <c r="B118" s="506"/>
      <c r="C118" s="465"/>
      <c r="D118" s="465"/>
      <c r="E118" s="491"/>
      <c r="F118" s="491"/>
      <c r="G118" s="491"/>
      <c r="H118" s="492"/>
      <c r="I118" s="491"/>
      <c r="J118" s="491"/>
      <c r="K118" s="491"/>
      <c r="L118" s="491"/>
      <c r="M118" s="491"/>
      <c r="N118" s="491"/>
      <c r="O118" s="491"/>
      <c r="P118" s="511"/>
      <c r="Q118" s="480"/>
      <c r="R118" s="480"/>
    </row>
    <row r="119" spans="2:18">
      <c r="B119" s="455"/>
      <c r="C119" s="455"/>
      <c r="D119" s="455"/>
      <c r="E119" s="523"/>
      <c r="F119" s="523"/>
      <c r="G119" s="523"/>
      <c r="H119" s="542"/>
      <c r="I119" s="523"/>
      <c r="J119" s="523"/>
      <c r="K119" s="523"/>
      <c r="L119" s="523"/>
      <c r="M119" s="523"/>
      <c r="N119" s="523"/>
      <c r="O119" s="523"/>
      <c r="P119" s="455"/>
      <c r="Q119" s="455"/>
      <c r="R119" s="455"/>
    </row>
    <row r="120" spans="2:18" ht="13.7">
      <c r="B120" s="524"/>
      <c r="C120" s="455"/>
      <c r="D120" s="455"/>
      <c r="E120" s="523"/>
      <c r="F120" s="523"/>
      <c r="G120" s="523"/>
      <c r="H120" s="492"/>
      <c r="I120" s="491"/>
      <c r="J120" s="491"/>
      <c r="K120" s="491"/>
      <c r="L120" s="491"/>
      <c r="M120" s="491"/>
      <c r="N120" s="523"/>
      <c r="O120" s="523"/>
      <c r="P120" s="455"/>
      <c r="Q120" s="455"/>
      <c r="R120" s="455"/>
    </row>
    <row r="121" spans="2:18">
      <c r="B121" s="490"/>
      <c r="C121" s="455"/>
      <c r="D121" s="455"/>
      <c r="E121" s="523"/>
      <c r="F121" s="491"/>
      <c r="G121" s="491"/>
      <c r="H121" s="492"/>
      <c r="I121" s="491"/>
      <c r="J121" s="491"/>
      <c r="K121" s="491"/>
      <c r="L121" s="491"/>
      <c r="M121" s="491"/>
      <c r="N121" s="491"/>
      <c r="O121" s="491"/>
      <c r="P121" s="455"/>
      <c r="Q121" s="513"/>
      <c r="R121" s="513"/>
    </row>
    <row r="122" spans="2:18">
      <c r="B122" s="490"/>
      <c r="C122" s="455"/>
      <c r="D122" s="455"/>
      <c r="E122" s="523"/>
      <c r="F122" s="523"/>
      <c r="G122" s="523"/>
      <c r="H122" s="492"/>
      <c r="I122" s="491"/>
      <c r="J122" s="491"/>
      <c r="K122" s="491"/>
      <c r="L122" s="491"/>
      <c r="M122" s="491"/>
      <c r="N122" s="491"/>
      <c r="O122" s="491"/>
      <c r="P122" s="455"/>
      <c r="Q122" s="513"/>
      <c r="R122" s="513"/>
    </row>
    <row r="123" spans="2:18">
      <c r="B123" s="455"/>
      <c r="C123" s="455"/>
      <c r="D123" s="455"/>
      <c r="E123" s="523"/>
      <c r="F123" s="523"/>
      <c r="G123" s="523"/>
      <c r="H123" s="542"/>
      <c r="I123" s="523"/>
      <c r="J123" s="523"/>
      <c r="K123" s="523"/>
      <c r="L123" s="523"/>
      <c r="M123" s="523"/>
      <c r="N123" s="523"/>
      <c r="O123" s="523"/>
      <c r="P123" s="455"/>
      <c r="Q123" s="455"/>
      <c r="R123" s="455"/>
    </row>
    <row r="124" spans="2:18" ht="13.7">
      <c r="B124" s="524"/>
      <c r="C124" s="455"/>
      <c r="D124" s="455"/>
      <c r="E124" s="523"/>
      <c r="F124" s="523"/>
      <c r="G124" s="523"/>
      <c r="H124" s="542"/>
      <c r="I124" s="523"/>
      <c r="J124" s="523"/>
      <c r="K124" s="523"/>
      <c r="L124" s="523"/>
      <c r="M124" s="523"/>
      <c r="N124" s="523"/>
      <c r="O124" s="523"/>
      <c r="P124" s="455"/>
      <c r="Q124" s="455"/>
      <c r="R124" s="455"/>
    </row>
    <row r="125" spans="2:18">
      <c r="B125" s="490"/>
      <c r="C125" s="455"/>
      <c r="D125" s="455"/>
      <c r="E125" s="507"/>
      <c r="F125" s="507"/>
      <c r="G125" s="507"/>
      <c r="H125" s="508"/>
      <c r="I125" s="507"/>
      <c r="J125" s="507"/>
      <c r="K125" s="507"/>
      <c r="L125" s="507"/>
      <c r="M125" s="507"/>
      <c r="N125" s="507"/>
      <c r="O125" s="507"/>
      <c r="P125" s="455"/>
      <c r="Q125" s="480"/>
      <c r="R125" s="480"/>
    </row>
    <row r="126" spans="2:18">
      <c r="B126" s="506"/>
      <c r="C126" s="465"/>
      <c r="D126" s="465"/>
      <c r="E126" s="491"/>
      <c r="F126" s="491"/>
      <c r="G126" s="491"/>
      <c r="H126" s="492"/>
      <c r="I126" s="491"/>
      <c r="J126" s="491"/>
      <c r="K126" s="491"/>
      <c r="L126" s="491"/>
      <c r="M126" s="491"/>
      <c r="N126" s="491"/>
      <c r="O126" s="491"/>
      <c r="P126" s="465"/>
      <c r="Q126" s="455"/>
      <c r="R126" s="455"/>
    </row>
    <row r="127" spans="2:18">
      <c r="B127" s="455"/>
      <c r="C127" s="455"/>
      <c r="D127" s="455"/>
      <c r="E127" s="523"/>
      <c r="F127" s="523"/>
      <c r="G127" s="523"/>
      <c r="H127" s="542"/>
      <c r="I127" s="523"/>
      <c r="J127" s="523"/>
      <c r="K127" s="523"/>
      <c r="L127" s="523"/>
      <c r="M127" s="523"/>
      <c r="N127" s="523"/>
      <c r="O127" s="523"/>
      <c r="P127" s="455"/>
      <c r="Q127" s="455"/>
      <c r="R127" s="455"/>
    </row>
    <row r="128" spans="2:18" ht="13.7">
      <c r="B128" s="524"/>
      <c r="C128" s="454"/>
      <c r="D128" s="454"/>
      <c r="E128" s="528"/>
      <c r="F128" s="528"/>
      <c r="G128" s="528"/>
      <c r="H128" s="543"/>
      <c r="I128" s="521"/>
      <c r="J128" s="528"/>
      <c r="K128" s="528"/>
      <c r="L128" s="528"/>
      <c r="M128" s="528"/>
      <c r="N128" s="528"/>
      <c r="O128" s="528"/>
      <c r="P128" s="454"/>
      <c r="Q128" s="454"/>
      <c r="R128" s="454"/>
    </row>
    <row r="129" spans="2:18" ht="13.7">
      <c r="B129" s="544"/>
      <c r="C129" s="454"/>
      <c r="D129" s="454"/>
      <c r="E129" s="528"/>
      <c r="F129" s="528"/>
      <c r="G129" s="528"/>
      <c r="H129" s="543"/>
      <c r="I129" s="521"/>
      <c r="J129" s="528"/>
      <c r="K129" s="528"/>
      <c r="L129" s="528"/>
      <c r="M129" s="528"/>
      <c r="N129" s="528"/>
      <c r="O129" s="528"/>
      <c r="P129" s="454"/>
      <c r="Q129" s="454"/>
      <c r="R129" s="454"/>
    </row>
    <row r="130" spans="2:18">
      <c r="B130" s="490"/>
      <c r="C130" s="490"/>
      <c r="D130" s="490"/>
      <c r="E130" s="545"/>
      <c r="F130" s="545"/>
      <c r="G130" s="545"/>
      <c r="H130" s="546"/>
      <c r="I130" s="545"/>
      <c r="J130" s="545"/>
      <c r="K130" s="545"/>
      <c r="L130" s="545"/>
      <c r="M130" s="545"/>
      <c r="N130" s="545"/>
      <c r="O130" s="545"/>
      <c r="P130" s="490"/>
      <c r="Q130" s="480"/>
      <c r="R130" s="480"/>
    </row>
    <row r="131" spans="2:18">
      <c r="B131" s="506"/>
      <c r="C131" s="490"/>
      <c r="D131" s="490"/>
      <c r="E131" s="491"/>
      <c r="F131" s="491"/>
      <c r="G131" s="491"/>
      <c r="H131" s="492"/>
      <c r="I131" s="491"/>
      <c r="J131" s="491"/>
      <c r="K131" s="491"/>
      <c r="L131" s="491"/>
      <c r="M131" s="491"/>
      <c r="N131" s="491"/>
      <c r="O131" s="491"/>
      <c r="P131" s="490"/>
      <c r="Q131" s="513"/>
      <c r="R131" s="513"/>
    </row>
    <row r="132" spans="2:18">
      <c r="B132" s="506"/>
      <c r="C132" s="490"/>
      <c r="D132" s="490"/>
      <c r="E132" s="547"/>
      <c r="F132" s="548"/>
      <c r="G132" s="548"/>
      <c r="H132" s="549"/>
      <c r="I132" s="537"/>
      <c r="J132" s="537"/>
      <c r="K132" s="537"/>
      <c r="L132" s="537"/>
      <c r="M132" s="537"/>
      <c r="N132" s="537"/>
      <c r="O132" s="537"/>
      <c r="P132" s="490"/>
      <c r="Q132" s="480"/>
      <c r="R132" s="480"/>
    </row>
    <row r="133" spans="2:18">
      <c r="B133" s="506"/>
      <c r="C133" s="490"/>
      <c r="D133" s="490"/>
      <c r="E133" s="545"/>
      <c r="F133" s="545"/>
      <c r="G133" s="545"/>
      <c r="H133" s="546"/>
      <c r="I133" s="545"/>
      <c r="J133" s="545"/>
      <c r="K133" s="545"/>
      <c r="L133" s="545"/>
      <c r="M133" s="545"/>
      <c r="N133" s="545"/>
      <c r="O133" s="545"/>
      <c r="P133" s="490"/>
      <c r="Q133" s="480"/>
      <c r="R133" s="480"/>
    </row>
    <row r="134" spans="2:18">
      <c r="B134" s="539"/>
      <c r="C134" s="490"/>
      <c r="D134" s="490"/>
      <c r="E134" s="491"/>
      <c r="F134" s="491"/>
      <c r="G134" s="491"/>
      <c r="H134" s="492"/>
      <c r="I134" s="491"/>
      <c r="J134" s="491"/>
      <c r="K134" s="491"/>
      <c r="L134" s="491"/>
      <c r="M134" s="491"/>
      <c r="N134" s="491"/>
      <c r="O134" s="491"/>
      <c r="P134" s="490"/>
      <c r="Q134" s="513"/>
      <c r="R134" s="513"/>
    </row>
    <row r="135" spans="2:18">
      <c r="B135" s="539"/>
      <c r="C135" s="490"/>
      <c r="D135" s="490"/>
      <c r="E135" s="491"/>
      <c r="F135" s="491"/>
      <c r="G135" s="491"/>
      <c r="H135" s="492"/>
      <c r="I135" s="491"/>
      <c r="J135" s="491"/>
      <c r="K135" s="491"/>
      <c r="L135" s="491"/>
      <c r="M135" s="491"/>
      <c r="N135" s="491"/>
      <c r="O135" s="491"/>
      <c r="P135" s="490"/>
      <c r="Q135" s="513"/>
      <c r="R135" s="513"/>
    </row>
    <row r="136" spans="2:18" ht="13.7">
      <c r="B136" s="544"/>
      <c r="C136" s="490"/>
      <c r="D136" s="490"/>
      <c r="E136" s="491"/>
      <c r="F136" s="491"/>
      <c r="G136" s="491"/>
      <c r="H136" s="492"/>
      <c r="I136" s="491"/>
      <c r="J136" s="491"/>
      <c r="K136" s="491"/>
      <c r="L136" s="491"/>
      <c r="M136" s="491"/>
      <c r="N136" s="491"/>
      <c r="O136" s="491"/>
      <c r="P136" s="490"/>
      <c r="Q136" s="513"/>
      <c r="R136" s="513"/>
    </row>
    <row r="137" spans="2:18">
      <c r="B137" s="490"/>
      <c r="C137" s="465"/>
      <c r="D137" s="465"/>
      <c r="E137" s="526"/>
      <c r="F137" s="526"/>
      <c r="G137" s="526"/>
      <c r="H137" s="550"/>
      <c r="I137" s="551"/>
      <c r="J137" s="551"/>
      <c r="K137" s="551"/>
      <c r="L137" s="551"/>
      <c r="M137" s="551"/>
      <c r="N137" s="551"/>
      <c r="O137" s="551"/>
      <c r="P137" s="465"/>
      <c r="Q137" s="480"/>
      <c r="R137" s="480"/>
    </row>
    <row r="138" spans="2:18">
      <c r="B138" s="506"/>
      <c r="C138" s="490"/>
      <c r="D138" s="490"/>
      <c r="E138" s="491"/>
      <c r="F138" s="491"/>
      <c r="G138" s="491"/>
      <c r="H138" s="492"/>
      <c r="I138" s="491"/>
      <c r="J138" s="491"/>
      <c r="K138" s="491"/>
      <c r="L138" s="491"/>
      <c r="M138" s="491"/>
      <c r="N138" s="491"/>
      <c r="O138" s="491"/>
      <c r="P138" s="552"/>
      <c r="Q138" s="513"/>
      <c r="R138" s="513"/>
    </row>
    <row r="139" spans="2:18">
      <c r="B139" s="506"/>
      <c r="C139" s="490"/>
      <c r="D139" s="490"/>
      <c r="E139" s="491"/>
      <c r="F139" s="491"/>
      <c r="G139" s="491"/>
      <c r="H139" s="492"/>
      <c r="I139" s="491"/>
      <c r="J139" s="491"/>
      <c r="K139" s="491"/>
      <c r="L139" s="491"/>
      <c r="M139" s="491"/>
      <c r="N139" s="491"/>
      <c r="O139" s="491"/>
      <c r="P139" s="552"/>
      <c r="Q139" s="513"/>
      <c r="R139" s="513"/>
    </row>
    <row r="140" spans="2:18">
      <c r="B140" s="490"/>
      <c r="C140" s="465"/>
      <c r="D140" s="465"/>
      <c r="E140" s="526"/>
      <c r="F140" s="526"/>
      <c r="G140" s="526"/>
      <c r="H140" s="550"/>
      <c r="I140" s="551"/>
      <c r="J140" s="551"/>
      <c r="K140" s="551"/>
      <c r="L140" s="551"/>
      <c r="M140" s="551"/>
      <c r="N140" s="551"/>
      <c r="O140" s="551"/>
      <c r="P140" s="465"/>
      <c r="Q140" s="480"/>
      <c r="R140" s="480"/>
    </row>
    <row r="141" spans="2:18">
      <c r="B141" s="506"/>
      <c r="C141" s="490"/>
      <c r="D141" s="490"/>
      <c r="E141" s="491"/>
      <c r="F141" s="491"/>
      <c r="G141" s="491"/>
      <c r="H141" s="492"/>
      <c r="I141" s="491"/>
      <c r="J141" s="491"/>
      <c r="K141" s="491"/>
      <c r="L141" s="491"/>
      <c r="M141" s="491"/>
      <c r="N141" s="491"/>
      <c r="O141" s="491"/>
      <c r="P141" s="552"/>
      <c r="Q141" s="513"/>
      <c r="R141" s="513"/>
    </row>
    <row r="142" spans="2:18">
      <c r="B142" s="506"/>
      <c r="C142" s="465"/>
      <c r="D142" s="465"/>
      <c r="E142" s="491"/>
      <c r="F142" s="491"/>
      <c r="G142" s="491"/>
      <c r="H142" s="492"/>
      <c r="I142" s="491"/>
      <c r="J142" s="491"/>
      <c r="K142" s="491"/>
      <c r="L142" s="491"/>
      <c r="M142" s="491"/>
      <c r="N142" s="491"/>
      <c r="O142" s="491"/>
      <c r="P142" s="465"/>
      <c r="Q142" s="480"/>
      <c r="R142" s="480"/>
    </row>
    <row r="143" spans="2:18" ht="13.7">
      <c r="B143" s="544"/>
      <c r="C143" s="544"/>
      <c r="D143" s="544"/>
      <c r="E143" s="553"/>
      <c r="F143" s="553"/>
      <c r="G143" s="553"/>
      <c r="H143" s="554"/>
      <c r="I143" s="553"/>
      <c r="J143" s="553"/>
      <c r="K143" s="553"/>
      <c r="L143" s="553"/>
      <c r="M143" s="553"/>
      <c r="N143" s="553"/>
      <c r="O143" s="553"/>
      <c r="P143" s="544"/>
      <c r="Q143" s="477"/>
      <c r="R143" s="477"/>
    </row>
    <row r="144" spans="2:18">
      <c r="B144" s="506"/>
      <c r="C144" s="490"/>
      <c r="D144" s="490"/>
      <c r="E144" s="491"/>
      <c r="F144" s="491"/>
      <c r="G144" s="491"/>
      <c r="H144" s="492"/>
      <c r="I144" s="491"/>
      <c r="J144" s="491"/>
      <c r="K144" s="491"/>
      <c r="L144" s="491"/>
      <c r="M144" s="491"/>
      <c r="N144" s="491"/>
      <c r="O144" s="491"/>
      <c r="P144" s="552"/>
      <c r="Q144" s="513"/>
      <c r="R144" s="513"/>
    </row>
    <row r="145" spans="2:18">
      <c r="B145" s="506"/>
      <c r="C145" s="465"/>
      <c r="D145" s="465"/>
      <c r="E145" s="526"/>
      <c r="F145" s="526"/>
      <c r="G145" s="526"/>
      <c r="H145" s="492"/>
      <c r="I145" s="491"/>
      <c r="J145" s="491"/>
      <c r="K145" s="491"/>
      <c r="L145" s="491"/>
      <c r="M145" s="491"/>
      <c r="N145" s="473"/>
      <c r="O145" s="473"/>
      <c r="P145" s="465"/>
      <c r="Q145" s="480"/>
      <c r="R145" s="480"/>
    </row>
    <row r="146" spans="2:18" ht="13.7">
      <c r="B146" s="544"/>
      <c r="C146" s="490"/>
      <c r="D146" s="490"/>
      <c r="E146" s="491"/>
      <c r="F146" s="491"/>
      <c r="G146" s="491"/>
      <c r="H146" s="492"/>
      <c r="I146" s="491"/>
      <c r="J146" s="491"/>
      <c r="K146" s="491"/>
      <c r="L146" s="491"/>
      <c r="M146" s="491"/>
      <c r="N146" s="491"/>
      <c r="O146" s="491"/>
      <c r="P146" s="552"/>
      <c r="Q146" s="513"/>
      <c r="R146" s="513"/>
    </row>
    <row r="147" spans="2:18">
      <c r="B147" s="490"/>
      <c r="C147" s="490"/>
      <c r="D147" s="490"/>
      <c r="E147" s="526"/>
      <c r="F147" s="526"/>
      <c r="G147" s="526"/>
      <c r="H147" s="555"/>
      <c r="I147" s="526"/>
      <c r="J147" s="526"/>
      <c r="K147" s="526"/>
      <c r="L147" s="526"/>
      <c r="M147" s="526"/>
      <c r="N147" s="526"/>
      <c r="O147" s="526"/>
      <c r="P147" s="552"/>
      <c r="Q147" s="480"/>
      <c r="R147" s="480"/>
    </row>
    <row r="148" spans="2:18">
      <c r="B148" s="506"/>
      <c r="C148" s="490"/>
      <c r="D148" s="490"/>
      <c r="E148" s="491"/>
      <c r="F148" s="491"/>
      <c r="G148" s="491"/>
      <c r="H148" s="492"/>
      <c r="I148" s="491"/>
      <c r="J148" s="491"/>
      <c r="K148" s="491"/>
      <c r="L148" s="491"/>
      <c r="M148" s="491"/>
      <c r="N148" s="491"/>
      <c r="O148" s="491"/>
      <c r="P148" s="552"/>
      <c r="Q148" s="513"/>
      <c r="R148" s="513"/>
    </row>
    <row r="149" spans="2:18">
      <c r="B149" s="506"/>
      <c r="C149" s="490"/>
      <c r="D149" s="490"/>
      <c r="E149" s="491"/>
      <c r="F149" s="491"/>
      <c r="G149" s="491"/>
      <c r="H149" s="492"/>
      <c r="I149" s="491"/>
      <c r="J149" s="491"/>
      <c r="K149" s="491"/>
      <c r="L149" s="491"/>
      <c r="M149" s="491"/>
      <c r="N149" s="491"/>
      <c r="O149" s="491"/>
      <c r="P149" s="490"/>
      <c r="Q149" s="513"/>
      <c r="R149" s="513"/>
    </row>
    <row r="150" spans="2:18" ht="13.7">
      <c r="B150" s="544"/>
      <c r="C150" s="490"/>
      <c r="D150" s="490"/>
      <c r="E150" s="491"/>
      <c r="F150" s="491"/>
      <c r="G150" s="491"/>
      <c r="H150" s="492"/>
      <c r="I150" s="491"/>
      <c r="J150" s="491"/>
      <c r="K150" s="491"/>
      <c r="L150" s="491"/>
      <c r="M150" s="491"/>
      <c r="N150" s="491"/>
      <c r="O150" s="491"/>
      <c r="P150" s="490"/>
      <c r="Q150" s="513"/>
      <c r="R150" s="513"/>
    </row>
    <row r="151" spans="2:18">
      <c r="B151" s="490"/>
      <c r="C151" s="490"/>
      <c r="D151" s="490"/>
      <c r="E151" s="507"/>
      <c r="F151" s="507"/>
      <c r="G151" s="507"/>
      <c r="H151" s="508"/>
      <c r="I151" s="507"/>
      <c r="J151" s="507"/>
      <c r="K151" s="507"/>
      <c r="L151" s="507"/>
      <c r="M151" s="507"/>
      <c r="N151" s="507"/>
      <c r="O151" s="507"/>
      <c r="P151" s="490"/>
      <c r="Q151" s="480"/>
      <c r="R151" s="480"/>
    </row>
    <row r="152" spans="2:18" ht="15.15">
      <c r="B152" s="490"/>
      <c r="C152" s="465"/>
      <c r="D152" s="465"/>
      <c r="E152" s="556"/>
      <c r="F152" s="556"/>
      <c r="G152" s="556"/>
      <c r="H152" s="557"/>
      <c r="I152" s="556"/>
      <c r="J152" s="556"/>
      <c r="K152" s="556"/>
      <c r="L152" s="556"/>
      <c r="M152" s="556"/>
      <c r="N152" s="556"/>
      <c r="O152" s="556"/>
      <c r="P152" s="465"/>
      <c r="Q152" s="484"/>
      <c r="R152" s="484"/>
    </row>
    <row r="153" spans="2:18" ht="13.7">
      <c r="B153" s="499"/>
      <c r="C153" s="476"/>
      <c r="D153" s="476"/>
      <c r="E153" s="558"/>
      <c r="F153" s="558"/>
      <c r="G153" s="558"/>
      <c r="H153" s="559"/>
      <c r="I153" s="558"/>
      <c r="J153" s="558"/>
      <c r="K153" s="558"/>
      <c r="L153" s="558"/>
      <c r="M153" s="558"/>
      <c r="N153" s="558"/>
      <c r="O153" s="558"/>
      <c r="P153" s="476"/>
      <c r="Q153" s="477"/>
      <c r="R153" s="477"/>
    </row>
    <row r="154" spans="2:18" ht="13.7">
      <c r="B154" s="506"/>
      <c r="C154" s="476"/>
      <c r="D154" s="476"/>
      <c r="E154" s="491"/>
      <c r="F154" s="491"/>
      <c r="G154" s="491"/>
      <c r="H154" s="492"/>
      <c r="I154" s="491"/>
      <c r="J154" s="491"/>
      <c r="K154" s="491"/>
      <c r="L154" s="491"/>
      <c r="M154" s="491"/>
      <c r="N154" s="491"/>
      <c r="O154" s="491"/>
      <c r="P154" s="476"/>
      <c r="Q154" s="503"/>
      <c r="R154" s="503"/>
    </row>
    <row r="155" spans="2:18" ht="13.7">
      <c r="B155" s="524"/>
      <c r="C155" s="465"/>
      <c r="D155" s="465"/>
      <c r="E155" s="560"/>
      <c r="F155" s="560"/>
      <c r="G155" s="491"/>
      <c r="H155" s="492"/>
      <c r="I155" s="491"/>
      <c r="J155" s="560"/>
      <c r="K155" s="560"/>
      <c r="L155" s="560"/>
      <c r="M155" s="560"/>
      <c r="N155" s="473"/>
      <c r="O155" s="473"/>
      <c r="P155" s="465"/>
      <c r="Q155" s="480"/>
      <c r="R155" s="480"/>
    </row>
    <row r="156" spans="2:18" ht="13.7">
      <c r="B156" s="524"/>
      <c r="C156" s="465"/>
      <c r="D156" s="465"/>
      <c r="E156" s="491"/>
      <c r="F156" s="491"/>
      <c r="G156" s="491"/>
      <c r="H156" s="492"/>
      <c r="I156" s="491"/>
      <c r="J156" s="491"/>
      <c r="K156" s="491"/>
      <c r="L156" s="491"/>
      <c r="M156" s="491"/>
      <c r="N156" s="473"/>
      <c r="O156" s="473"/>
      <c r="P156" s="465"/>
      <c r="Q156" s="480"/>
      <c r="R156" s="480"/>
    </row>
    <row r="157" spans="2:18">
      <c r="B157" s="490"/>
      <c r="C157" s="465"/>
      <c r="D157" s="465"/>
      <c r="E157" s="507"/>
      <c r="F157" s="507"/>
      <c r="G157" s="507"/>
      <c r="H157" s="508"/>
      <c r="I157" s="507"/>
      <c r="J157" s="507"/>
      <c r="K157" s="507"/>
      <c r="L157" s="507"/>
      <c r="M157" s="507"/>
      <c r="N157" s="507"/>
      <c r="O157" s="507"/>
      <c r="P157" s="465"/>
      <c r="Q157" s="480"/>
      <c r="R157" s="480"/>
    </row>
    <row r="158" spans="2:18">
      <c r="B158" s="490"/>
      <c r="C158" s="465"/>
      <c r="D158" s="465"/>
      <c r="E158" s="507"/>
      <c r="F158" s="507"/>
      <c r="G158" s="507"/>
      <c r="H158" s="508"/>
      <c r="I158" s="507"/>
      <c r="J158" s="507"/>
      <c r="K158" s="507"/>
      <c r="L158" s="507"/>
      <c r="M158" s="507"/>
      <c r="N158" s="507"/>
      <c r="O158" s="507"/>
      <c r="P158" s="465"/>
      <c r="Q158" s="480"/>
      <c r="R158" s="480"/>
    </row>
    <row r="159" spans="2:18">
      <c r="B159" s="506"/>
      <c r="C159" s="465"/>
      <c r="D159" s="465"/>
      <c r="E159" s="491"/>
      <c r="F159" s="491"/>
      <c r="G159" s="491"/>
      <c r="H159" s="492"/>
      <c r="I159" s="491"/>
      <c r="J159" s="491"/>
      <c r="K159" s="491"/>
      <c r="L159" s="491"/>
      <c r="M159" s="491"/>
      <c r="N159" s="491"/>
      <c r="O159" s="491"/>
      <c r="P159" s="465"/>
      <c r="Q159" s="480"/>
      <c r="R159" s="480"/>
    </row>
    <row r="160" spans="2:18">
      <c r="B160" s="465"/>
      <c r="C160" s="465"/>
      <c r="D160" s="465"/>
      <c r="E160" s="491"/>
      <c r="F160" s="491"/>
      <c r="G160" s="491"/>
      <c r="H160" s="492"/>
      <c r="I160" s="491"/>
      <c r="J160" s="491"/>
      <c r="K160" s="491"/>
      <c r="L160" s="491"/>
      <c r="M160" s="491"/>
      <c r="N160" s="473"/>
      <c r="O160" s="473"/>
      <c r="P160" s="465"/>
      <c r="Q160" s="480"/>
      <c r="R160" s="480"/>
    </row>
    <row r="161" spans="2:18" ht="13.7">
      <c r="B161" s="476"/>
      <c r="C161" s="476"/>
      <c r="D161" s="476"/>
      <c r="E161" s="487"/>
      <c r="F161" s="487"/>
      <c r="G161" s="487"/>
      <c r="H161" s="488"/>
      <c r="I161" s="487"/>
      <c r="J161" s="487"/>
      <c r="K161" s="487"/>
      <c r="L161" s="487"/>
      <c r="M161" s="487"/>
      <c r="N161" s="487"/>
      <c r="O161" s="487"/>
      <c r="P161" s="476"/>
      <c r="Q161" s="477"/>
      <c r="R161" s="477"/>
    </row>
    <row r="162" spans="2:18">
      <c r="B162" s="490"/>
      <c r="C162" s="465"/>
      <c r="D162" s="465"/>
      <c r="E162" s="491"/>
      <c r="F162" s="491"/>
      <c r="G162" s="491"/>
      <c r="H162" s="492"/>
      <c r="I162" s="491"/>
      <c r="J162" s="491"/>
      <c r="K162" s="491"/>
      <c r="L162" s="491"/>
      <c r="M162" s="491"/>
      <c r="N162" s="491"/>
      <c r="O162" s="491"/>
      <c r="P162" s="465"/>
      <c r="Q162" s="493"/>
      <c r="R162" s="494"/>
    </row>
    <row r="163" spans="2:18">
      <c r="B163" s="490"/>
      <c r="C163" s="465"/>
      <c r="D163" s="465"/>
      <c r="E163" s="491"/>
      <c r="F163" s="491"/>
      <c r="G163" s="491"/>
      <c r="H163" s="492"/>
      <c r="I163" s="491"/>
      <c r="J163" s="491"/>
      <c r="K163" s="491"/>
      <c r="L163" s="491"/>
      <c r="M163" s="491"/>
      <c r="N163" s="491"/>
      <c r="O163" s="491"/>
      <c r="P163" s="465"/>
      <c r="Q163" s="493"/>
      <c r="R163" s="494"/>
    </row>
    <row r="164" spans="2:18">
      <c r="B164" s="490"/>
      <c r="C164" s="465"/>
      <c r="D164" s="465"/>
      <c r="E164" s="491"/>
      <c r="F164" s="491"/>
      <c r="G164" s="491"/>
      <c r="H164" s="492"/>
      <c r="I164" s="491"/>
      <c r="J164" s="491"/>
      <c r="K164" s="491"/>
      <c r="L164" s="491"/>
      <c r="M164" s="491"/>
      <c r="N164" s="491"/>
      <c r="O164" s="491"/>
      <c r="P164" s="465"/>
      <c r="Q164" s="493"/>
      <c r="R164" s="494"/>
    </row>
    <row r="165" spans="2:18" ht="13.7">
      <c r="B165" s="544"/>
      <c r="C165" s="476"/>
      <c r="D165" s="476"/>
      <c r="E165" s="558"/>
      <c r="F165" s="558"/>
      <c r="G165" s="558"/>
      <c r="H165" s="559"/>
      <c r="I165" s="558"/>
      <c r="J165" s="558"/>
      <c r="K165" s="558"/>
      <c r="L165" s="558"/>
      <c r="M165" s="558"/>
      <c r="N165" s="558"/>
      <c r="O165" s="558"/>
      <c r="P165" s="476"/>
      <c r="Q165" s="477"/>
      <c r="R165" s="477"/>
    </row>
    <row r="166" spans="2:18">
      <c r="B166" s="506"/>
      <c r="C166" s="465"/>
      <c r="D166" s="465"/>
      <c r="E166" s="491"/>
      <c r="F166" s="491"/>
      <c r="G166" s="491"/>
      <c r="H166" s="492"/>
      <c r="I166" s="491"/>
      <c r="J166" s="491"/>
      <c r="K166" s="491"/>
      <c r="L166" s="491"/>
      <c r="M166" s="491"/>
      <c r="N166" s="491"/>
      <c r="O166" s="491"/>
      <c r="P166" s="465"/>
      <c r="Q166" s="493"/>
      <c r="R166" s="493"/>
    </row>
    <row r="167" spans="2:18">
      <c r="B167" s="506"/>
      <c r="C167" s="465"/>
      <c r="D167" s="465"/>
      <c r="E167" s="491"/>
      <c r="F167" s="491"/>
      <c r="G167" s="491"/>
      <c r="H167" s="492"/>
      <c r="I167" s="491"/>
      <c r="J167" s="491"/>
      <c r="K167" s="491"/>
      <c r="L167" s="491"/>
      <c r="M167" s="491"/>
      <c r="N167" s="491"/>
      <c r="O167" s="491"/>
      <c r="P167" s="465"/>
      <c r="Q167" s="493"/>
      <c r="R167" s="494"/>
    </row>
    <row r="168" spans="2:18">
      <c r="B168" s="465"/>
      <c r="C168" s="465"/>
      <c r="D168" s="465"/>
      <c r="E168" s="473"/>
      <c r="F168" s="473"/>
      <c r="G168" s="473"/>
      <c r="H168" s="520"/>
      <c r="I168" s="473"/>
      <c r="J168" s="473"/>
      <c r="K168" s="473"/>
      <c r="L168" s="473"/>
      <c r="M168" s="473"/>
      <c r="N168" s="473"/>
      <c r="O168" s="473"/>
      <c r="P168" s="465"/>
      <c r="Q168" s="480"/>
      <c r="R168" s="480"/>
    </row>
    <row r="169" spans="2:18">
      <c r="B169" s="470"/>
      <c r="C169" s="471"/>
      <c r="D169" s="465"/>
      <c r="E169" s="473"/>
      <c r="F169" s="473"/>
      <c r="G169" s="473"/>
      <c r="H169" s="520"/>
      <c r="I169" s="473"/>
      <c r="J169" s="473"/>
      <c r="K169" s="473"/>
      <c r="L169" s="473"/>
      <c r="M169" s="473"/>
      <c r="N169" s="473"/>
      <c r="O169" s="473"/>
      <c r="P169" s="465"/>
      <c r="Q169" s="480"/>
      <c r="R169" s="480"/>
    </row>
    <row r="170" spans="2:18" s="773" customFormat="1">
      <c r="B170" s="769"/>
      <c r="C170" s="769"/>
      <c r="D170" s="769"/>
      <c r="E170" s="770"/>
      <c r="F170" s="770"/>
      <c r="G170" s="770"/>
      <c r="H170" s="771"/>
      <c r="I170" s="770"/>
      <c r="J170" s="770"/>
      <c r="K170" s="770"/>
      <c r="L170" s="770"/>
      <c r="M170" s="770"/>
      <c r="N170" s="770"/>
      <c r="O170" s="770"/>
      <c r="P170" s="769"/>
      <c r="Q170" s="772"/>
      <c r="R170" s="772"/>
    </row>
    <row r="171" spans="2:18" s="773" customFormat="1">
      <c r="B171" s="769"/>
      <c r="C171" s="769"/>
      <c r="D171" s="769"/>
      <c r="E171" s="770"/>
      <c r="F171" s="770"/>
      <c r="G171" s="770"/>
      <c r="H171" s="771"/>
      <c r="I171" s="770"/>
      <c r="J171" s="770"/>
      <c r="K171" s="770"/>
      <c r="L171" s="770"/>
      <c r="M171" s="770"/>
      <c r="N171" s="770"/>
      <c r="O171" s="770"/>
      <c r="P171" s="769"/>
      <c r="Q171" s="772"/>
      <c r="R171" s="772"/>
    </row>
    <row r="172" spans="2:18">
      <c r="B172" s="465"/>
      <c r="C172" s="465"/>
      <c r="D172" s="465"/>
      <c r="E172" s="478"/>
      <c r="F172" s="478"/>
      <c r="G172" s="478"/>
      <c r="H172" s="479"/>
      <c r="I172" s="478"/>
      <c r="J172" s="478"/>
      <c r="K172" s="478"/>
      <c r="L172" s="478"/>
      <c r="M172" s="478"/>
      <c r="N172" s="478"/>
      <c r="O172" s="478"/>
      <c r="P172" s="465"/>
      <c r="Q172" s="480"/>
      <c r="R172" s="480"/>
    </row>
    <row r="173" spans="2:18">
      <c r="B173" s="523"/>
      <c r="C173" s="561"/>
      <c r="D173" s="465"/>
      <c r="E173" s="478"/>
      <c r="F173" s="478"/>
      <c r="G173" s="478"/>
      <c r="H173" s="479"/>
      <c r="I173" s="478"/>
      <c r="J173" s="478"/>
      <c r="K173" s="478"/>
      <c r="L173" s="478"/>
      <c r="M173" s="478"/>
      <c r="N173" s="478"/>
      <c r="O173" s="478"/>
      <c r="P173" s="465"/>
      <c r="Q173" s="480"/>
      <c r="R173" s="480"/>
    </row>
    <row r="174" spans="2:18">
      <c r="B174" s="523"/>
      <c r="C174" s="465"/>
      <c r="D174" s="523"/>
      <c r="E174" s="478"/>
      <c r="F174" s="478"/>
      <c r="G174" s="478"/>
      <c r="H174" s="479"/>
      <c r="I174" s="478"/>
      <c r="J174" s="478"/>
      <c r="K174" s="478"/>
      <c r="L174" s="478"/>
      <c r="M174" s="478"/>
      <c r="N174" s="478"/>
      <c r="O174" s="478"/>
      <c r="P174" s="465"/>
      <c r="Q174" s="480"/>
      <c r="R174" s="480"/>
    </row>
    <row r="175" spans="2:18" s="773" customFormat="1">
      <c r="B175" s="774"/>
      <c r="C175" s="769"/>
      <c r="D175" s="769"/>
      <c r="E175" s="770"/>
      <c r="F175" s="770"/>
      <c r="G175" s="770"/>
      <c r="H175" s="771"/>
      <c r="I175" s="770"/>
      <c r="J175" s="770"/>
      <c r="K175" s="770"/>
      <c r="L175" s="770"/>
      <c r="M175" s="770"/>
      <c r="N175" s="770"/>
      <c r="O175" s="770"/>
      <c r="P175" s="769"/>
      <c r="Q175" s="772"/>
      <c r="R175" s="772"/>
    </row>
    <row r="176" spans="2:18" ht="15.15">
      <c r="B176" s="523"/>
      <c r="C176" s="465"/>
      <c r="D176" s="465"/>
      <c r="E176" s="482"/>
      <c r="F176" s="482"/>
      <c r="G176" s="482"/>
      <c r="H176" s="483"/>
      <c r="I176" s="482"/>
      <c r="J176" s="482"/>
      <c r="K176" s="482"/>
      <c r="L176" s="482"/>
      <c r="M176" s="482"/>
      <c r="N176" s="482"/>
      <c r="O176" s="482"/>
      <c r="P176" s="465"/>
      <c r="Q176" s="484"/>
      <c r="R176" s="484"/>
    </row>
    <row r="177" spans="2:18" ht="13.7">
      <c r="B177" s="562"/>
      <c r="C177" s="465"/>
      <c r="D177" s="465"/>
      <c r="E177" s="487"/>
      <c r="F177" s="487"/>
      <c r="G177" s="487"/>
      <c r="H177" s="488"/>
      <c r="I177" s="487"/>
      <c r="J177" s="487"/>
      <c r="K177" s="487"/>
      <c r="L177" s="487"/>
      <c r="M177" s="487"/>
      <c r="N177" s="487"/>
      <c r="O177" s="487"/>
      <c r="P177" s="465"/>
      <c r="Q177" s="477"/>
      <c r="R177" s="477"/>
    </row>
    <row r="178" spans="2:18" ht="15.15">
      <c r="B178" s="465"/>
      <c r="C178" s="465"/>
      <c r="D178" s="465"/>
      <c r="E178" s="482"/>
      <c r="F178" s="482"/>
      <c r="G178" s="482"/>
      <c r="H178" s="483"/>
      <c r="I178" s="482"/>
      <c r="J178" s="482"/>
      <c r="K178" s="482"/>
      <c r="L178" s="482"/>
      <c r="M178" s="482"/>
      <c r="N178" s="482"/>
      <c r="O178" s="482"/>
      <c r="P178" s="465"/>
      <c r="Q178" s="477"/>
      <c r="R178" s="477"/>
    </row>
    <row r="179" spans="2:18" ht="13.7">
      <c r="B179" s="562"/>
      <c r="C179" s="465"/>
      <c r="D179" s="465"/>
      <c r="E179" s="767"/>
      <c r="F179" s="767"/>
      <c r="G179" s="767"/>
      <c r="H179" s="768"/>
      <c r="I179" s="768"/>
      <c r="J179" s="768"/>
      <c r="K179" s="768"/>
      <c r="L179" s="768"/>
      <c r="M179" s="768"/>
      <c r="N179" s="768"/>
      <c r="O179" s="768"/>
      <c r="P179" s="465"/>
      <c r="Q179" s="477"/>
      <c r="R179" s="477"/>
    </row>
    <row r="180" spans="2:18">
      <c r="B180" s="465"/>
      <c r="C180" s="465"/>
      <c r="D180" s="465"/>
      <c r="E180" s="473"/>
      <c r="F180" s="473"/>
      <c r="G180" s="473"/>
      <c r="H180" s="520"/>
      <c r="I180" s="473"/>
      <c r="J180" s="473"/>
      <c r="K180" s="473"/>
      <c r="L180" s="473"/>
      <c r="M180" s="473"/>
      <c r="N180" s="473"/>
      <c r="O180" s="473"/>
      <c r="P180" s="465"/>
      <c r="Q180" s="480"/>
      <c r="R180" s="480"/>
    </row>
    <row r="181" spans="2:18">
      <c r="B181" s="489"/>
      <c r="C181" s="465"/>
      <c r="D181" s="465"/>
      <c r="E181" s="473"/>
      <c r="F181" s="473"/>
      <c r="G181" s="473"/>
      <c r="H181" s="520"/>
      <c r="I181" s="473"/>
      <c r="J181" s="473"/>
      <c r="K181" s="473"/>
      <c r="L181" s="473"/>
      <c r="M181" s="473"/>
      <c r="N181" s="473"/>
      <c r="O181" s="473"/>
      <c r="P181" s="465"/>
      <c r="Q181" s="480"/>
      <c r="R181" s="480"/>
    </row>
    <row r="182" spans="2:18">
      <c r="B182" s="490"/>
      <c r="C182" s="465"/>
      <c r="D182" s="465"/>
      <c r="E182" s="491"/>
      <c r="F182" s="491"/>
      <c r="G182" s="491"/>
      <c r="H182" s="492"/>
      <c r="I182" s="491"/>
      <c r="J182" s="491"/>
      <c r="K182" s="491"/>
      <c r="L182" s="491"/>
      <c r="M182" s="491"/>
      <c r="N182" s="491"/>
      <c r="O182" s="491"/>
      <c r="P182" s="465"/>
      <c r="Q182" s="494"/>
      <c r="R182" s="494"/>
    </row>
    <row r="183" spans="2:18">
      <c r="B183" s="490"/>
      <c r="C183" s="465"/>
      <c r="D183" s="465"/>
      <c r="E183" s="491"/>
      <c r="F183" s="491"/>
      <c r="G183" s="491"/>
      <c r="H183" s="492"/>
      <c r="I183" s="491"/>
      <c r="J183" s="491"/>
      <c r="K183" s="491"/>
      <c r="L183" s="491"/>
      <c r="M183" s="491"/>
      <c r="N183" s="491"/>
      <c r="O183" s="491"/>
      <c r="P183" s="465"/>
      <c r="Q183" s="494"/>
      <c r="R183" s="494"/>
    </row>
    <row r="184" spans="2:18">
      <c r="B184" s="490"/>
      <c r="C184" s="465"/>
      <c r="D184" s="465"/>
      <c r="E184" s="491"/>
      <c r="F184" s="491"/>
      <c r="G184" s="491"/>
      <c r="H184" s="492"/>
      <c r="I184" s="491"/>
      <c r="J184" s="491"/>
      <c r="K184" s="491"/>
      <c r="L184" s="491"/>
      <c r="M184" s="491"/>
      <c r="N184" s="491"/>
      <c r="O184" s="491"/>
      <c r="P184" s="465"/>
      <c r="Q184" s="494"/>
      <c r="R184" s="494"/>
    </row>
    <row r="185" spans="2:18">
      <c r="B185" s="490"/>
      <c r="C185" s="465"/>
      <c r="D185" s="465"/>
      <c r="E185" s="491"/>
      <c r="F185" s="491"/>
      <c r="G185" s="491"/>
      <c r="H185" s="492"/>
      <c r="I185" s="491"/>
      <c r="J185" s="491"/>
      <c r="K185" s="491"/>
      <c r="L185" s="491"/>
      <c r="M185" s="491"/>
      <c r="N185" s="491"/>
      <c r="O185" s="491"/>
      <c r="P185" s="465"/>
      <c r="Q185" s="494"/>
      <c r="R185" s="494"/>
    </row>
    <row r="186" spans="2:18">
      <c r="B186" s="490"/>
      <c r="C186" s="465"/>
      <c r="D186" s="465"/>
      <c r="E186" s="491"/>
      <c r="F186" s="491"/>
      <c r="G186" s="491"/>
      <c r="H186" s="492"/>
      <c r="I186" s="491"/>
      <c r="J186" s="491"/>
      <c r="K186" s="491"/>
      <c r="L186" s="491"/>
      <c r="M186" s="491"/>
      <c r="N186" s="491"/>
      <c r="O186" s="491"/>
      <c r="P186" s="465"/>
      <c r="Q186" s="494"/>
      <c r="R186" s="494"/>
    </row>
    <row r="187" spans="2:18">
      <c r="B187" s="490"/>
      <c r="C187" s="465"/>
      <c r="D187" s="465"/>
      <c r="E187" s="491"/>
      <c r="F187" s="491"/>
      <c r="G187" s="491"/>
      <c r="H187" s="492"/>
      <c r="I187" s="491"/>
      <c r="J187" s="491"/>
      <c r="K187" s="491"/>
      <c r="L187" s="491"/>
      <c r="M187" s="491"/>
      <c r="N187" s="491"/>
      <c r="O187" s="491"/>
      <c r="P187" s="465"/>
      <c r="Q187" s="494"/>
      <c r="R187" s="494"/>
    </row>
    <row r="188" spans="2:18" ht="15.15">
      <c r="B188" s="490"/>
      <c r="C188" s="465"/>
      <c r="D188" s="465"/>
      <c r="E188" s="495"/>
      <c r="F188" s="495"/>
      <c r="G188" s="495"/>
      <c r="H188" s="496"/>
      <c r="I188" s="495"/>
      <c r="J188" s="495"/>
      <c r="K188" s="495"/>
      <c r="L188" s="495"/>
      <c r="M188" s="495"/>
      <c r="N188" s="495"/>
      <c r="O188" s="495"/>
      <c r="P188" s="465"/>
      <c r="Q188" s="498"/>
      <c r="R188" s="498"/>
    </row>
    <row r="189" spans="2:18" ht="13.7">
      <c r="B189" s="499"/>
      <c r="C189" s="465"/>
      <c r="D189" s="465"/>
      <c r="E189" s="500"/>
      <c r="F189" s="500"/>
      <c r="G189" s="500"/>
      <c r="H189" s="501"/>
      <c r="I189" s="500"/>
      <c r="J189" s="500"/>
      <c r="K189" s="500"/>
      <c r="L189" s="500"/>
      <c r="M189" s="500"/>
      <c r="N189" s="500"/>
      <c r="O189" s="500"/>
      <c r="P189" s="465"/>
      <c r="Q189" s="503"/>
      <c r="R189" s="503"/>
    </row>
    <row r="190" spans="2:18" ht="13.7">
      <c r="B190" s="499"/>
      <c r="C190" s="476"/>
      <c r="D190" s="476"/>
      <c r="E190" s="500"/>
      <c r="F190" s="500"/>
      <c r="G190" s="500"/>
      <c r="H190" s="501"/>
      <c r="I190" s="500"/>
      <c r="J190" s="500"/>
      <c r="K190" s="500"/>
      <c r="L190" s="500"/>
      <c r="M190" s="500"/>
      <c r="N190" s="500"/>
      <c r="O190" s="500"/>
      <c r="P190" s="563"/>
      <c r="Q190" s="503"/>
      <c r="R190" s="503"/>
    </row>
    <row r="191" spans="2:18">
      <c r="B191" s="465"/>
      <c r="C191" s="465"/>
      <c r="D191" s="465"/>
      <c r="E191" s="473"/>
      <c r="F191" s="473"/>
      <c r="G191" s="473"/>
      <c r="H191" s="520"/>
      <c r="I191" s="473"/>
      <c r="J191" s="473"/>
      <c r="K191" s="473"/>
      <c r="L191" s="473"/>
      <c r="M191" s="473"/>
      <c r="N191" s="473"/>
      <c r="O191" s="473"/>
      <c r="P191" s="465"/>
      <c r="Q191" s="480"/>
      <c r="R191" s="480"/>
    </row>
    <row r="192" spans="2:18">
      <c r="B192" s="489"/>
      <c r="C192" s="465"/>
      <c r="D192" s="465"/>
      <c r="E192" s="473"/>
      <c r="F192" s="473"/>
      <c r="G192" s="473"/>
      <c r="H192" s="520"/>
      <c r="I192" s="473"/>
      <c r="J192" s="473"/>
      <c r="K192" s="473"/>
      <c r="L192" s="473"/>
      <c r="M192" s="473"/>
      <c r="N192" s="473"/>
      <c r="O192" s="473"/>
      <c r="P192" s="465"/>
      <c r="Q192" s="480"/>
      <c r="R192" s="480"/>
    </row>
    <row r="193" spans="2:18">
      <c r="B193" s="490"/>
      <c r="C193" s="465"/>
      <c r="D193" s="465"/>
      <c r="E193" s="491"/>
      <c r="F193" s="491"/>
      <c r="G193" s="491"/>
      <c r="H193" s="492"/>
      <c r="I193" s="491"/>
      <c r="J193" s="491"/>
      <c r="K193" s="491"/>
      <c r="L193" s="491"/>
      <c r="M193" s="491"/>
      <c r="N193" s="491"/>
      <c r="O193" s="491"/>
      <c r="P193" s="465"/>
      <c r="Q193" s="493"/>
      <c r="R193" s="493"/>
    </row>
    <row r="194" spans="2:18">
      <c r="B194" s="490"/>
      <c r="C194" s="465"/>
      <c r="D194" s="465"/>
      <c r="E194" s="491"/>
      <c r="F194" s="491"/>
      <c r="G194" s="491"/>
      <c r="H194" s="492"/>
      <c r="I194" s="491"/>
      <c r="J194" s="491"/>
      <c r="K194" s="491"/>
      <c r="L194" s="491"/>
      <c r="M194" s="491"/>
      <c r="N194" s="491"/>
      <c r="O194" s="491"/>
      <c r="P194" s="465"/>
      <c r="Q194" s="493"/>
      <c r="R194" s="493"/>
    </row>
    <row r="195" spans="2:18">
      <c r="B195" s="490"/>
      <c r="C195" s="465"/>
      <c r="D195" s="465"/>
      <c r="E195" s="491"/>
      <c r="F195" s="491"/>
      <c r="G195" s="491"/>
      <c r="H195" s="492"/>
      <c r="I195" s="491"/>
      <c r="J195" s="491"/>
      <c r="K195" s="491"/>
      <c r="L195" s="491"/>
      <c r="M195" s="491"/>
      <c r="N195" s="491"/>
      <c r="O195" s="491"/>
      <c r="P195" s="465"/>
      <c r="Q195" s="493"/>
      <c r="R195" s="493"/>
    </row>
    <row r="196" spans="2:18">
      <c r="B196" s="490"/>
      <c r="C196" s="465"/>
      <c r="D196" s="465"/>
      <c r="E196" s="491"/>
      <c r="F196" s="491"/>
      <c r="G196" s="491"/>
      <c r="H196" s="492"/>
      <c r="I196" s="491"/>
      <c r="J196" s="491"/>
      <c r="K196" s="491"/>
      <c r="L196" s="491"/>
      <c r="M196" s="491"/>
      <c r="N196" s="491"/>
      <c r="O196" s="491"/>
      <c r="P196" s="465"/>
      <c r="Q196" s="493"/>
      <c r="R196" s="493"/>
    </row>
    <row r="197" spans="2:18">
      <c r="B197" s="490"/>
      <c r="C197" s="465"/>
      <c r="D197" s="465"/>
      <c r="E197" s="491"/>
      <c r="F197" s="491"/>
      <c r="G197" s="491"/>
      <c r="H197" s="492"/>
      <c r="I197" s="491"/>
      <c r="J197" s="491"/>
      <c r="K197" s="491"/>
      <c r="L197" s="491"/>
      <c r="M197" s="491"/>
      <c r="N197" s="491"/>
      <c r="O197" s="491"/>
      <c r="P197" s="465"/>
      <c r="Q197" s="493"/>
      <c r="R197" s="493"/>
    </row>
    <row r="198" spans="2:18">
      <c r="B198" s="490"/>
      <c r="C198" s="465"/>
      <c r="D198" s="465"/>
      <c r="E198" s="491"/>
      <c r="F198" s="491"/>
      <c r="G198" s="491"/>
      <c r="H198" s="492"/>
      <c r="I198" s="491"/>
      <c r="J198" s="491"/>
      <c r="K198" s="491"/>
      <c r="L198" s="491"/>
      <c r="M198" s="491"/>
      <c r="N198" s="491"/>
      <c r="O198" s="491"/>
      <c r="P198" s="465"/>
      <c r="Q198" s="493"/>
      <c r="R198" s="493"/>
    </row>
    <row r="199" spans="2:18" ht="15.15">
      <c r="B199" s="490"/>
      <c r="C199" s="564"/>
      <c r="D199" s="564"/>
      <c r="E199" s="495"/>
      <c r="F199" s="495"/>
      <c r="G199" s="495"/>
      <c r="H199" s="496"/>
      <c r="I199" s="495"/>
      <c r="J199" s="495"/>
      <c r="K199" s="495"/>
      <c r="L199" s="495"/>
      <c r="M199" s="495"/>
      <c r="N199" s="495"/>
      <c r="O199" s="495"/>
      <c r="P199" s="465"/>
      <c r="Q199" s="565"/>
      <c r="R199" s="497"/>
    </row>
    <row r="200" spans="2:18" ht="15.15">
      <c r="B200" s="499"/>
      <c r="C200" s="564"/>
      <c r="D200" s="564"/>
      <c r="E200" s="500"/>
      <c r="F200" s="500"/>
      <c r="G200" s="500"/>
      <c r="H200" s="501"/>
      <c r="I200" s="500"/>
      <c r="J200" s="500"/>
      <c r="K200" s="500"/>
      <c r="L200" s="500"/>
      <c r="M200" s="500"/>
      <c r="N200" s="500"/>
      <c r="O200" s="500"/>
      <c r="P200" s="465"/>
      <c r="Q200" s="565"/>
      <c r="R200" s="497"/>
    </row>
    <row r="201" spans="2:18" ht="13.7">
      <c r="B201" s="499"/>
      <c r="C201" s="476"/>
      <c r="D201" s="476"/>
      <c r="E201" s="500"/>
      <c r="F201" s="500"/>
      <c r="G201" s="500"/>
      <c r="H201" s="501"/>
      <c r="I201" s="500"/>
      <c r="J201" s="500"/>
      <c r="K201" s="500"/>
      <c r="L201" s="500"/>
      <c r="M201" s="500"/>
      <c r="N201" s="500"/>
      <c r="O201" s="500"/>
      <c r="P201" s="465"/>
      <c r="Q201" s="502"/>
      <c r="R201" s="502"/>
    </row>
    <row r="202" spans="2:18">
      <c r="B202" s="465"/>
      <c r="C202" s="465"/>
      <c r="D202" s="465"/>
      <c r="E202" s="473"/>
      <c r="F202" s="473"/>
      <c r="G202" s="473"/>
      <c r="H202" s="520"/>
      <c r="I202" s="473"/>
      <c r="J202" s="473"/>
      <c r="K202" s="473"/>
      <c r="L202" s="473"/>
      <c r="M202" s="473"/>
      <c r="N202" s="473"/>
      <c r="O202" s="473"/>
      <c r="P202" s="465"/>
      <c r="Q202" s="480"/>
      <c r="R202" s="480"/>
    </row>
    <row r="203" spans="2:18" ht="13.7">
      <c r="B203" s="524"/>
      <c r="C203" s="465"/>
      <c r="D203" s="465"/>
      <c r="E203" s="473"/>
      <c r="F203" s="473"/>
      <c r="G203" s="473"/>
      <c r="H203" s="520"/>
      <c r="I203" s="473"/>
      <c r="J203" s="473"/>
      <c r="K203" s="473"/>
      <c r="L203" s="473"/>
      <c r="M203" s="473"/>
      <c r="N203" s="473"/>
      <c r="O203" s="473"/>
      <c r="P203" s="465"/>
      <c r="Q203" s="480"/>
      <c r="R203" s="480"/>
    </row>
    <row r="204" spans="2:18">
      <c r="B204" s="490"/>
      <c r="C204" s="465"/>
      <c r="D204" s="465"/>
      <c r="E204" s="507"/>
      <c r="F204" s="507"/>
      <c r="G204" s="507"/>
      <c r="H204" s="508"/>
      <c r="I204" s="507"/>
      <c r="J204" s="507"/>
      <c r="K204" s="507"/>
      <c r="L204" s="507"/>
      <c r="M204" s="507"/>
      <c r="N204" s="507"/>
      <c r="O204" s="507"/>
      <c r="P204" s="465"/>
      <c r="Q204" s="480"/>
      <c r="R204" s="480"/>
    </row>
    <row r="205" spans="2:18">
      <c r="B205" s="506"/>
      <c r="C205" s="465"/>
      <c r="D205" s="465"/>
      <c r="E205" s="491"/>
      <c r="F205" s="491"/>
      <c r="G205" s="491"/>
      <c r="H205" s="492"/>
      <c r="I205" s="491"/>
      <c r="J205" s="491"/>
      <c r="K205" s="491"/>
      <c r="L205" s="491"/>
      <c r="M205" s="491"/>
      <c r="N205" s="491"/>
      <c r="O205" s="491"/>
      <c r="P205" s="465"/>
      <c r="Q205" s="480"/>
      <c r="R205" s="480"/>
    </row>
    <row r="206" spans="2:18">
      <c r="B206" s="465"/>
      <c r="C206" s="465"/>
      <c r="D206" s="465"/>
      <c r="E206" s="473"/>
      <c r="F206" s="473"/>
      <c r="G206" s="473"/>
      <c r="H206" s="520"/>
      <c r="I206" s="473"/>
      <c r="J206" s="473"/>
      <c r="K206" s="473"/>
      <c r="L206" s="473"/>
      <c r="M206" s="473"/>
      <c r="N206" s="473"/>
      <c r="O206" s="473"/>
      <c r="P206" s="465"/>
      <c r="Q206" s="480"/>
      <c r="R206" s="480"/>
    </row>
    <row r="207" spans="2:18" s="773" customFormat="1">
      <c r="B207" s="769"/>
      <c r="C207" s="769"/>
      <c r="D207" s="769"/>
      <c r="E207" s="775"/>
      <c r="F207" s="775"/>
      <c r="G207" s="775"/>
      <c r="H207" s="776"/>
      <c r="I207" s="775"/>
      <c r="J207" s="775"/>
      <c r="K207" s="775"/>
      <c r="L207" s="775"/>
      <c r="M207" s="775"/>
      <c r="N207" s="775"/>
      <c r="O207" s="775"/>
      <c r="P207" s="769"/>
      <c r="Q207" s="772"/>
      <c r="R207" s="772"/>
    </row>
    <row r="208" spans="2:18">
      <c r="B208" s="490"/>
      <c r="C208" s="465"/>
      <c r="D208" s="465"/>
      <c r="E208" s="491"/>
      <c r="F208" s="491"/>
      <c r="G208" s="491"/>
      <c r="H208" s="492"/>
      <c r="I208" s="491"/>
      <c r="J208" s="491"/>
      <c r="K208" s="491"/>
      <c r="L208" s="491"/>
      <c r="M208" s="491"/>
      <c r="N208" s="491"/>
      <c r="O208" s="491"/>
      <c r="P208" s="465"/>
      <c r="Q208" s="493"/>
      <c r="R208" s="493"/>
    </row>
    <row r="209" spans="2:18">
      <c r="B209" s="490"/>
      <c r="C209" s="465"/>
      <c r="D209" s="465"/>
      <c r="E209" s="491"/>
      <c r="F209" s="491"/>
      <c r="G209" s="491"/>
      <c r="H209" s="492"/>
      <c r="I209" s="491"/>
      <c r="J209" s="491"/>
      <c r="K209" s="491"/>
      <c r="L209" s="491"/>
      <c r="M209" s="491"/>
      <c r="N209" s="491"/>
      <c r="O209" s="491"/>
      <c r="P209" s="465"/>
      <c r="Q209" s="493"/>
      <c r="R209" s="493"/>
    </row>
    <row r="210" spans="2:18">
      <c r="B210" s="490"/>
      <c r="C210" s="465"/>
      <c r="D210" s="465"/>
      <c r="E210" s="473"/>
      <c r="F210" s="473"/>
      <c r="G210" s="473"/>
      <c r="H210" s="520"/>
      <c r="I210" s="473"/>
      <c r="J210" s="473"/>
      <c r="K210" s="473"/>
      <c r="L210" s="473"/>
      <c r="M210" s="473"/>
      <c r="N210" s="473"/>
      <c r="O210" s="473"/>
      <c r="P210" s="465"/>
      <c r="Q210" s="480"/>
      <c r="R210" s="480"/>
    </row>
    <row r="211" spans="2:18" ht="13.7">
      <c r="B211" s="476"/>
      <c r="C211" s="465"/>
      <c r="D211" s="465"/>
      <c r="E211" s="487"/>
      <c r="F211" s="487"/>
      <c r="G211" s="487"/>
      <c r="H211" s="488"/>
      <c r="I211" s="487"/>
      <c r="J211" s="767"/>
      <c r="K211" s="767"/>
      <c r="L211" s="767"/>
      <c r="M211" s="767"/>
      <c r="N211" s="767"/>
      <c r="O211" s="767"/>
      <c r="P211" s="465"/>
      <c r="Q211" s="477"/>
      <c r="R211" s="477"/>
    </row>
    <row r="212" spans="2:18">
      <c r="B212" s="490"/>
      <c r="C212" s="465"/>
      <c r="D212" s="465"/>
      <c r="E212" s="491"/>
      <c r="F212" s="491"/>
      <c r="G212" s="491"/>
      <c r="H212" s="492"/>
      <c r="I212" s="491"/>
      <c r="J212" s="491"/>
      <c r="K212" s="491"/>
      <c r="L212" s="491"/>
      <c r="M212" s="491"/>
      <c r="N212" s="491"/>
      <c r="O212" s="491"/>
      <c r="P212" s="465"/>
      <c r="Q212" s="493"/>
      <c r="R212" s="493"/>
    </row>
    <row r="213" spans="2:18">
      <c r="B213" s="490"/>
      <c r="C213" s="465"/>
      <c r="D213" s="465"/>
      <c r="E213" s="491"/>
      <c r="F213" s="491"/>
      <c r="G213" s="491"/>
      <c r="H213" s="492"/>
      <c r="I213" s="491"/>
      <c r="J213" s="491"/>
      <c r="K213" s="491"/>
      <c r="L213" s="491"/>
      <c r="M213" s="491"/>
      <c r="N213" s="491"/>
      <c r="O213" s="491"/>
      <c r="P213" s="465"/>
      <c r="Q213" s="493"/>
      <c r="R213" s="493"/>
    </row>
    <row r="214" spans="2:18">
      <c r="B214" s="490"/>
      <c r="C214" s="465"/>
      <c r="D214" s="465"/>
      <c r="E214" s="491"/>
      <c r="F214" s="491"/>
      <c r="G214" s="491"/>
      <c r="H214" s="492"/>
      <c r="I214" s="491"/>
      <c r="J214" s="491"/>
      <c r="K214" s="491"/>
      <c r="L214" s="491"/>
      <c r="M214" s="491"/>
      <c r="N214" s="491"/>
      <c r="O214" s="491"/>
      <c r="P214" s="465"/>
      <c r="Q214" s="493"/>
      <c r="R214" s="493"/>
    </row>
    <row r="215" spans="2:18" ht="13.7">
      <c r="B215" s="544"/>
      <c r="C215" s="476"/>
      <c r="D215" s="476"/>
      <c r="E215" s="558"/>
      <c r="F215" s="558"/>
      <c r="G215" s="558"/>
      <c r="H215" s="559"/>
      <c r="I215" s="558"/>
      <c r="J215" s="558"/>
      <c r="K215" s="558"/>
      <c r="L215" s="558"/>
      <c r="M215" s="558"/>
      <c r="N215" s="558"/>
      <c r="O215" s="558"/>
      <c r="P215" s="476"/>
      <c r="Q215" s="477"/>
      <c r="R215" s="477"/>
    </row>
    <row r="216" spans="2:18">
      <c r="B216" s="490"/>
      <c r="C216" s="465"/>
      <c r="D216" s="465"/>
      <c r="E216" s="491"/>
      <c r="F216" s="491"/>
      <c r="G216" s="491"/>
      <c r="H216" s="492"/>
      <c r="I216" s="491"/>
      <c r="J216" s="491"/>
      <c r="K216" s="491"/>
      <c r="L216" s="491"/>
      <c r="M216" s="491"/>
      <c r="N216" s="491"/>
      <c r="O216" s="491"/>
      <c r="P216" s="465"/>
      <c r="Q216" s="493"/>
      <c r="R216" s="493"/>
    </row>
    <row r="217" spans="2:18">
      <c r="B217" s="490"/>
      <c r="C217" s="465"/>
      <c r="D217" s="465"/>
      <c r="E217" s="491"/>
      <c r="F217" s="491"/>
      <c r="G217" s="491"/>
      <c r="H217" s="492"/>
      <c r="I217" s="491"/>
      <c r="J217" s="491"/>
      <c r="K217" s="491"/>
      <c r="L217" s="491"/>
      <c r="M217" s="491"/>
      <c r="N217" s="491"/>
      <c r="O217" s="491"/>
      <c r="P217" s="465"/>
      <c r="Q217" s="493"/>
      <c r="R217" s="493"/>
    </row>
    <row r="218" spans="2:18">
      <c r="B218" s="465"/>
      <c r="C218" s="465"/>
      <c r="D218" s="465"/>
      <c r="E218" s="473"/>
      <c r="F218" s="473"/>
      <c r="G218" s="473"/>
      <c r="H218" s="520"/>
      <c r="I218" s="473"/>
      <c r="J218" s="473"/>
      <c r="K218" s="473"/>
      <c r="L218" s="473"/>
      <c r="M218" s="473"/>
      <c r="N218" s="473"/>
      <c r="O218" s="473"/>
      <c r="P218" s="465"/>
      <c r="Q218" s="480"/>
      <c r="R218" s="480"/>
    </row>
    <row r="219" spans="2:18">
      <c r="B219" s="465"/>
      <c r="C219" s="465"/>
      <c r="D219" s="465"/>
      <c r="E219" s="478"/>
      <c r="F219" s="478"/>
      <c r="G219" s="478"/>
      <c r="H219" s="479"/>
      <c r="I219" s="478"/>
      <c r="J219" s="478"/>
      <c r="K219" s="478"/>
      <c r="L219" s="478"/>
      <c r="M219" s="478"/>
      <c r="N219" s="478"/>
      <c r="O219" s="478"/>
      <c r="P219" s="465"/>
      <c r="Q219" s="480"/>
      <c r="R219" s="480"/>
    </row>
    <row r="220" spans="2:18">
      <c r="B220" s="465"/>
      <c r="C220" s="465"/>
      <c r="D220" s="465"/>
      <c r="E220" s="478"/>
      <c r="F220" s="478"/>
      <c r="G220" s="478"/>
      <c r="H220" s="479"/>
      <c r="I220" s="478"/>
      <c r="J220" s="478"/>
      <c r="K220" s="478"/>
      <c r="L220" s="478"/>
      <c r="M220" s="478"/>
      <c r="N220" s="478"/>
      <c r="O220" s="478"/>
      <c r="P220" s="465"/>
      <c r="Q220" s="480"/>
      <c r="R220" s="480"/>
    </row>
    <row r="221" spans="2:18">
      <c r="B221" s="465"/>
      <c r="C221" s="465"/>
      <c r="D221" s="465"/>
      <c r="E221" s="478"/>
      <c r="F221" s="478"/>
      <c r="G221" s="478"/>
      <c r="H221" s="479"/>
      <c r="I221" s="478"/>
      <c r="J221" s="478"/>
      <c r="K221" s="478"/>
      <c r="L221" s="478"/>
      <c r="M221" s="478"/>
      <c r="N221" s="478"/>
      <c r="O221" s="478"/>
      <c r="P221" s="465"/>
      <c r="Q221" s="480"/>
      <c r="R221" s="480"/>
    </row>
    <row r="222" spans="2:18" ht="15.15">
      <c r="B222" s="465"/>
      <c r="C222" s="465"/>
      <c r="D222" s="465"/>
      <c r="E222" s="482"/>
      <c r="F222" s="482"/>
      <c r="G222" s="482"/>
      <c r="H222" s="483"/>
      <c r="I222" s="482"/>
      <c r="J222" s="482"/>
      <c r="K222" s="482"/>
      <c r="L222" s="482"/>
      <c r="M222" s="482"/>
      <c r="N222" s="482"/>
      <c r="O222" s="482"/>
      <c r="P222" s="465"/>
      <c r="Q222" s="480"/>
      <c r="R222" s="480"/>
    </row>
    <row r="223" spans="2:18" ht="13.7">
      <c r="B223" s="485"/>
      <c r="C223" s="476"/>
      <c r="D223" s="476"/>
      <c r="E223" s="487"/>
      <c r="F223" s="487"/>
      <c r="G223" s="487"/>
      <c r="H223" s="488"/>
      <c r="I223" s="487"/>
      <c r="J223" s="487"/>
      <c r="K223" s="487"/>
      <c r="L223" s="487"/>
      <c r="M223" s="487"/>
      <c r="N223" s="474"/>
      <c r="O223" s="474"/>
      <c r="P223" s="476"/>
      <c r="Q223" s="477"/>
      <c r="R223" s="477"/>
    </row>
    <row r="224" spans="2:18" ht="15.15">
      <c r="B224" s="566"/>
      <c r="C224" s="465"/>
      <c r="D224" s="465"/>
      <c r="E224" s="567"/>
      <c r="F224" s="567"/>
      <c r="G224" s="474"/>
      <c r="H224" s="475"/>
      <c r="I224" s="567"/>
      <c r="J224" s="567"/>
      <c r="K224" s="567"/>
      <c r="L224" s="567"/>
      <c r="M224" s="567"/>
      <c r="N224" s="567"/>
      <c r="O224" s="567"/>
      <c r="P224" s="465"/>
      <c r="Q224" s="480"/>
      <c r="R224" s="480"/>
    </row>
    <row r="225" spans="2:18" ht="13.7">
      <c r="B225" s="485"/>
      <c r="C225" s="465"/>
      <c r="D225" s="465"/>
      <c r="E225" s="487"/>
      <c r="F225" s="487"/>
      <c r="G225" s="487"/>
      <c r="H225" s="488"/>
      <c r="I225" s="487"/>
      <c r="J225" s="767"/>
      <c r="K225" s="767"/>
      <c r="L225" s="767"/>
      <c r="M225" s="767"/>
      <c r="N225" s="767"/>
      <c r="O225" s="767"/>
      <c r="P225" s="465"/>
      <c r="Q225" s="477"/>
      <c r="R225" s="477"/>
    </row>
    <row r="226" spans="2:18">
      <c r="B226" s="506"/>
      <c r="C226" s="465"/>
      <c r="D226" s="465"/>
      <c r="E226" s="491"/>
      <c r="F226" s="491"/>
      <c r="G226" s="491"/>
      <c r="H226" s="492"/>
      <c r="I226" s="491"/>
      <c r="J226" s="491"/>
      <c r="K226" s="491"/>
      <c r="L226" s="491"/>
      <c r="M226" s="491"/>
      <c r="N226" s="491"/>
      <c r="O226" s="491"/>
      <c r="P226" s="465"/>
      <c r="Q226" s="493"/>
      <c r="R226" s="493"/>
    </row>
    <row r="227" spans="2:18">
      <c r="B227" s="506"/>
      <c r="C227" s="465"/>
      <c r="D227" s="465"/>
      <c r="E227" s="491"/>
      <c r="F227" s="491"/>
      <c r="G227" s="491"/>
      <c r="H227" s="492"/>
      <c r="I227" s="491"/>
      <c r="J227" s="491"/>
      <c r="K227" s="491"/>
      <c r="L227" s="491"/>
      <c r="M227" s="491"/>
      <c r="N227" s="491"/>
      <c r="O227" s="491"/>
      <c r="P227" s="465"/>
      <c r="Q227" s="493"/>
      <c r="R227" s="493"/>
    </row>
    <row r="228" spans="2:18" ht="13.7">
      <c r="B228" s="568"/>
      <c r="C228" s="569"/>
      <c r="D228" s="569"/>
      <c r="E228" s="570"/>
      <c r="F228" s="570"/>
      <c r="G228" s="570"/>
      <c r="H228" s="492"/>
      <c r="I228" s="491"/>
      <c r="J228" s="491"/>
      <c r="K228" s="491"/>
      <c r="L228" s="491"/>
      <c r="M228" s="491"/>
      <c r="N228" s="491"/>
      <c r="O228" s="491"/>
      <c r="P228" s="465"/>
      <c r="Q228" s="493"/>
      <c r="R228" s="493"/>
    </row>
    <row r="229" spans="2:18" ht="13.7">
      <c r="B229" s="544"/>
      <c r="C229" s="465"/>
      <c r="D229" s="465"/>
      <c r="E229" s="558"/>
      <c r="F229" s="558"/>
      <c r="G229" s="558"/>
      <c r="H229" s="559"/>
      <c r="I229" s="558"/>
      <c r="J229" s="558"/>
      <c r="K229" s="558"/>
      <c r="L229" s="558"/>
      <c r="M229" s="558"/>
      <c r="N229" s="558"/>
      <c r="O229" s="558"/>
      <c r="P229" s="465"/>
      <c r="Q229" s="477"/>
      <c r="R229" s="477"/>
    </row>
    <row r="230" spans="2:18">
      <c r="B230" s="490"/>
      <c r="C230" s="465"/>
      <c r="D230" s="465"/>
      <c r="E230" s="491"/>
      <c r="F230" s="491"/>
      <c r="G230" s="491"/>
      <c r="H230" s="492"/>
      <c r="I230" s="491"/>
      <c r="J230" s="491"/>
      <c r="K230" s="491"/>
      <c r="L230" s="491"/>
      <c r="M230" s="491"/>
      <c r="N230" s="491"/>
      <c r="O230" s="491"/>
      <c r="P230" s="465"/>
      <c r="Q230" s="493"/>
      <c r="R230" s="493"/>
    </row>
    <row r="231" spans="2:18">
      <c r="B231" s="490"/>
      <c r="C231" s="465"/>
      <c r="D231" s="465"/>
      <c r="E231" s="491"/>
      <c r="F231" s="491"/>
      <c r="G231" s="491"/>
      <c r="H231" s="492"/>
      <c r="I231" s="491"/>
      <c r="J231" s="491"/>
      <c r="K231" s="491"/>
      <c r="L231" s="491"/>
      <c r="M231" s="491"/>
      <c r="N231" s="491"/>
      <c r="O231" s="491"/>
      <c r="P231" s="465"/>
      <c r="Q231" s="493"/>
      <c r="R231" s="493"/>
    </row>
    <row r="232" spans="2:18">
      <c r="B232" s="455"/>
      <c r="C232" s="455"/>
      <c r="D232" s="455"/>
      <c r="E232" s="523"/>
      <c r="F232" s="523"/>
      <c r="G232" s="487"/>
      <c r="H232" s="488"/>
      <c r="I232" s="487"/>
      <c r="J232" s="523"/>
      <c r="K232" s="523"/>
      <c r="L232" s="523"/>
      <c r="M232" s="523"/>
      <c r="N232" s="523"/>
      <c r="O232" s="523"/>
      <c r="P232" s="455"/>
      <c r="Q232" s="455"/>
      <c r="R232" s="455"/>
    </row>
    <row r="233" spans="2:18" ht="13.7">
      <c r="B233" s="485"/>
      <c r="C233" s="476"/>
      <c r="D233" s="476"/>
      <c r="E233" s="487"/>
      <c r="F233" s="487"/>
      <c r="G233" s="487"/>
      <c r="H233" s="488"/>
      <c r="I233" s="768"/>
      <c r="J233" s="768"/>
      <c r="K233" s="768"/>
      <c r="L233" s="768"/>
      <c r="M233" s="768"/>
      <c r="N233" s="768"/>
      <c r="O233" s="768"/>
      <c r="P233" s="476"/>
      <c r="Q233" s="477"/>
      <c r="R233" s="477"/>
    </row>
    <row r="234" spans="2:18">
      <c r="B234" s="490"/>
      <c r="C234" s="465"/>
      <c r="D234" s="465"/>
      <c r="E234" s="491"/>
      <c r="F234" s="491"/>
      <c r="G234" s="491"/>
      <c r="H234" s="492"/>
      <c r="I234" s="491"/>
      <c r="J234" s="491"/>
      <c r="K234" s="491"/>
      <c r="L234" s="491"/>
      <c r="M234" s="491"/>
      <c r="N234" s="491"/>
      <c r="O234" s="491"/>
      <c r="P234" s="465"/>
      <c r="Q234" s="480"/>
      <c r="R234" s="480"/>
    </row>
    <row r="235" spans="2:18">
      <c r="B235" s="465"/>
      <c r="C235" s="465"/>
      <c r="D235" s="465"/>
      <c r="E235" s="473"/>
      <c r="F235" s="473"/>
      <c r="G235" s="473"/>
      <c r="H235" s="492"/>
      <c r="I235" s="491"/>
      <c r="J235" s="491"/>
      <c r="K235" s="491"/>
      <c r="L235" s="491"/>
      <c r="M235" s="491"/>
      <c r="N235" s="473"/>
      <c r="O235" s="473"/>
      <c r="P235" s="465"/>
      <c r="Q235" s="480"/>
      <c r="R235" s="480"/>
    </row>
    <row r="236" spans="2:18" ht="13.7">
      <c r="B236" s="476"/>
      <c r="C236" s="465"/>
      <c r="D236" s="465"/>
      <c r="E236" s="487"/>
      <c r="F236" s="487"/>
      <c r="G236" s="487"/>
      <c r="H236" s="488"/>
      <c r="I236" s="487"/>
      <c r="J236" s="487"/>
      <c r="K236" s="487"/>
      <c r="L236" s="487"/>
      <c r="M236" s="487"/>
      <c r="N236" s="487"/>
      <c r="O236" s="487"/>
      <c r="P236" s="465"/>
      <c r="Q236" s="477"/>
      <c r="R236" s="477"/>
    </row>
    <row r="237" spans="2:18">
      <c r="B237" s="490"/>
      <c r="C237" s="465"/>
      <c r="D237" s="465"/>
      <c r="E237" s="491"/>
      <c r="F237" s="491"/>
      <c r="G237" s="491"/>
      <c r="H237" s="492"/>
      <c r="I237" s="491"/>
      <c r="J237" s="491"/>
      <c r="K237" s="491"/>
      <c r="L237" s="491"/>
      <c r="M237" s="491"/>
      <c r="N237" s="491"/>
      <c r="O237" s="491"/>
      <c r="P237" s="465"/>
      <c r="Q237" s="493"/>
      <c r="R237" s="493"/>
    </row>
    <row r="238" spans="2:18">
      <c r="B238" s="490"/>
      <c r="C238" s="465"/>
      <c r="D238" s="465"/>
      <c r="E238" s="491"/>
      <c r="F238" s="491"/>
      <c r="G238" s="491"/>
      <c r="H238" s="492"/>
      <c r="I238" s="491"/>
      <c r="J238" s="491"/>
      <c r="K238" s="491"/>
      <c r="L238" s="491"/>
      <c r="M238" s="491"/>
      <c r="N238" s="491"/>
      <c r="O238" s="491"/>
      <c r="P238" s="465"/>
      <c r="Q238" s="493"/>
      <c r="R238" s="493"/>
    </row>
    <row r="239" spans="2:18">
      <c r="B239" s="465"/>
      <c r="C239" s="465"/>
      <c r="D239" s="465"/>
      <c r="E239" s="473"/>
      <c r="F239" s="473"/>
      <c r="G239" s="473"/>
      <c r="H239" s="520"/>
      <c r="I239" s="473"/>
      <c r="J239" s="473"/>
      <c r="K239" s="473"/>
      <c r="L239" s="473"/>
      <c r="M239" s="473"/>
      <c r="N239" s="473"/>
      <c r="O239" s="473"/>
      <c r="P239" s="465"/>
      <c r="Q239" s="480"/>
      <c r="R239" s="480"/>
    </row>
    <row r="240" spans="2:18">
      <c r="B240" s="470"/>
      <c r="C240" s="471"/>
      <c r="D240" s="465"/>
      <c r="E240" s="473"/>
      <c r="F240" s="473"/>
      <c r="G240" s="473"/>
      <c r="H240" s="520"/>
      <c r="I240" s="473"/>
      <c r="J240" s="473"/>
      <c r="K240" s="473"/>
      <c r="L240" s="473"/>
      <c r="M240" s="473"/>
      <c r="N240" s="473"/>
      <c r="O240" s="473"/>
      <c r="P240" s="465"/>
      <c r="Q240" s="480"/>
      <c r="R240" s="480"/>
    </row>
    <row r="241" spans="2:18">
      <c r="B241" s="465"/>
      <c r="C241" s="465"/>
      <c r="D241" s="465"/>
      <c r="E241" s="478"/>
      <c r="F241" s="478"/>
      <c r="G241" s="478"/>
      <c r="H241" s="479"/>
      <c r="I241" s="780"/>
      <c r="J241" s="780"/>
      <c r="K241" s="780"/>
      <c r="L241" s="780"/>
      <c r="M241" s="780"/>
      <c r="N241" s="780"/>
      <c r="O241" s="780"/>
      <c r="P241" s="465"/>
      <c r="Q241" s="480"/>
      <c r="R241" s="480"/>
    </row>
    <row r="242" spans="2:18">
      <c r="B242" s="465"/>
      <c r="C242" s="465"/>
      <c r="D242" s="465"/>
      <c r="E242" s="478"/>
      <c r="F242" s="478"/>
      <c r="G242" s="478"/>
      <c r="H242" s="479"/>
      <c r="I242" s="780"/>
      <c r="J242" s="780"/>
      <c r="K242" s="780"/>
      <c r="L242" s="780"/>
      <c r="M242" s="780"/>
      <c r="N242" s="780"/>
      <c r="O242" s="780"/>
      <c r="P242" s="465"/>
      <c r="Q242" s="480"/>
      <c r="R242" s="480"/>
    </row>
    <row r="243" spans="2:18" ht="15.15">
      <c r="B243" s="465"/>
      <c r="C243" s="465"/>
      <c r="D243" s="465"/>
      <c r="E243" s="482"/>
      <c r="F243" s="482"/>
      <c r="G243" s="482"/>
      <c r="H243" s="483"/>
      <c r="I243" s="482"/>
      <c r="J243" s="482"/>
      <c r="K243" s="482"/>
      <c r="L243" s="482"/>
      <c r="M243" s="482"/>
      <c r="N243" s="482"/>
      <c r="O243" s="482"/>
      <c r="P243" s="465"/>
      <c r="Q243" s="480"/>
      <c r="R243" s="480"/>
    </row>
    <row r="244" spans="2:18" ht="13.7">
      <c r="B244" s="485"/>
      <c r="C244" s="476"/>
      <c r="D244" s="476"/>
      <c r="E244" s="487"/>
      <c r="F244" s="487"/>
      <c r="G244" s="487"/>
      <c r="H244" s="488"/>
      <c r="I244" s="487"/>
      <c r="J244" s="487"/>
      <c r="K244" s="487"/>
      <c r="L244" s="487"/>
      <c r="M244" s="487"/>
      <c r="N244" s="487"/>
      <c r="O244" s="487"/>
      <c r="P244" s="476"/>
      <c r="Q244" s="477"/>
      <c r="R244" s="477"/>
    </row>
    <row r="245" spans="2:18">
      <c r="B245" s="523"/>
      <c r="C245" s="465"/>
      <c r="D245" s="465"/>
      <c r="E245" s="478"/>
      <c r="F245" s="478"/>
      <c r="G245" s="478"/>
      <c r="H245" s="479"/>
      <c r="I245" s="780"/>
      <c r="J245" s="781"/>
      <c r="K245" s="781"/>
      <c r="L245" s="781"/>
      <c r="M245" s="781"/>
      <c r="N245" s="781"/>
      <c r="O245" s="781"/>
      <c r="P245" s="465"/>
      <c r="Q245" s="480"/>
      <c r="R245" s="480"/>
    </row>
    <row r="246" spans="2:18">
      <c r="B246" s="465"/>
      <c r="C246" s="465"/>
      <c r="D246" s="465"/>
      <c r="E246" s="478"/>
      <c r="F246" s="478"/>
      <c r="G246" s="478"/>
      <c r="H246" s="479"/>
      <c r="I246" s="478"/>
      <c r="J246" s="478"/>
      <c r="K246" s="478"/>
      <c r="L246" s="478"/>
      <c r="M246" s="478"/>
      <c r="N246" s="478"/>
      <c r="O246" s="478"/>
      <c r="P246" s="465"/>
      <c r="Q246" s="480"/>
      <c r="R246" s="480"/>
    </row>
    <row r="247" spans="2:18">
      <c r="B247" s="465"/>
      <c r="C247" s="465"/>
      <c r="D247" s="465"/>
      <c r="E247" s="478"/>
      <c r="F247" s="478"/>
      <c r="G247" s="478"/>
      <c r="H247" s="479"/>
      <c r="I247" s="780"/>
      <c r="J247" s="780"/>
      <c r="K247" s="780"/>
      <c r="L247" s="780"/>
      <c r="M247" s="780"/>
      <c r="N247" s="780"/>
      <c r="O247" s="780"/>
      <c r="P247" s="465"/>
      <c r="Q247" s="480"/>
      <c r="R247" s="480"/>
    </row>
    <row r="248" spans="2:18" ht="15.15">
      <c r="B248" s="465"/>
      <c r="C248" s="465"/>
      <c r="D248" s="465"/>
      <c r="E248" s="478"/>
      <c r="F248" s="478"/>
      <c r="G248" s="478"/>
      <c r="H248" s="479"/>
      <c r="I248" s="782"/>
      <c r="J248" s="784"/>
      <c r="K248" s="784"/>
      <c r="L248" s="784"/>
      <c r="M248" s="784"/>
      <c r="N248" s="784"/>
      <c r="O248" s="784"/>
      <c r="P248" s="783"/>
      <c r="Q248" s="480"/>
      <c r="R248" s="480"/>
    </row>
    <row r="249" spans="2:18">
      <c r="B249" s="465"/>
      <c r="C249" s="465"/>
      <c r="D249" s="465"/>
      <c r="E249" s="478"/>
      <c r="F249" s="478"/>
      <c r="G249" s="478"/>
      <c r="H249" s="479"/>
      <c r="I249" s="478"/>
      <c r="J249" s="478"/>
      <c r="K249" s="478"/>
      <c r="L249" s="478"/>
      <c r="M249" s="478"/>
      <c r="N249" s="478"/>
      <c r="O249" s="478"/>
      <c r="P249" s="465"/>
      <c r="Q249" s="480"/>
      <c r="R249" s="480"/>
    </row>
    <row r="250" spans="2:18">
      <c r="B250" s="465"/>
      <c r="C250" s="465"/>
      <c r="D250" s="465"/>
      <c r="E250" s="478"/>
      <c r="F250" s="478"/>
      <c r="G250" s="478"/>
      <c r="H250" s="479"/>
      <c r="I250" s="478"/>
      <c r="J250" s="478"/>
      <c r="K250" s="478"/>
      <c r="L250" s="478"/>
      <c r="M250" s="478"/>
      <c r="N250" s="478"/>
      <c r="O250" s="478"/>
      <c r="P250" s="465"/>
      <c r="Q250" s="480"/>
      <c r="R250" s="480"/>
    </row>
    <row r="251" spans="2:18" ht="15.15">
      <c r="B251" s="465"/>
      <c r="C251" s="465"/>
      <c r="D251" s="465"/>
      <c r="E251" s="482"/>
      <c r="F251" s="482"/>
      <c r="G251" s="482"/>
      <c r="H251" s="483"/>
      <c r="I251" s="482"/>
      <c r="J251" s="482"/>
      <c r="K251" s="482"/>
      <c r="L251" s="482"/>
      <c r="M251" s="482"/>
      <c r="N251" s="482"/>
      <c r="O251" s="482"/>
      <c r="P251" s="465"/>
      <c r="Q251" s="480"/>
      <c r="R251" s="480"/>
    </row>
    <row r="252" spans="2:18">
      <c r="B252" s="571"/>
      <c r="C252" s="465"/>
      <c r="D252" s="465"/>
      <c r="E252" s="487"/>
      <c r="F252" s="487"/>
      <c r="G252" s="487"/>
      <c r="H252" s="488"/>
      <c r="I252" s="487"/>
      <c r="J252" s="487"/>
      <c r="K252" s="487"/>
      <c r="L252" s="487"/>
      <c r="M252" s="487"/>
      <c r="N252" s="487"/>
      <c r="O252" s="487"/>
      <c r="P252" s="465"/>
      <c r="Q252" s="480"/>
      <c r="R252" s="480"/>
    </row>
    <row r="253" spans="2:18" ht="13.7">
      <c r="B253" s="572"/>
      <c r="C253" s="465"/>
      <c r="D253" s="465"/>
      <c r="E253" s="473"/>
      <c r="F253" s="558"/>
      <c r="G253" s="558"/>
      <c r="H253" s="559"/>
      <c r="I253" s="510"/>
      <c r="J253" s="510"/>
      <c r="K253" s="510"/>
      <c r="L253" s="510"/>
      <c r="M253" s="510"/>
      <c r="N253" s="510"/>
      <c r="O253" s="510"/>
      <c r="P253" s="465"/>
      <c r="Q253" s="480"/>
      <c r="R253" s="480"/>
    </row>
    <row r="254" spans="2:18">
      <c r="B254" s="573"/>
      <c r="C254" s="465"/>
      <c r="D254" s="465"/>
      <c r="E254" s="507"/>
      <c r="F254" s="507"/>
      <c r="G254" s="507"/>
      <c r="H254" s="508"/>
      <c r="I254" s="507"/>
      <c r="J254" s="507"/>
      <c r="K254" s="507"/>
      <c r="L254" s="507"/>
      <c r="M254" s="507"/>
      <c r="N254" s="507"/>
      <c r="O254" s="507"/>
      <c r="P254" s="465"/>
      <c r="Q254" s="480"/>
      <c r="R254" s="480"/>
    </row>
    <row r="255" spans="2:18" ht="13.7">
      <c r="B255" s="574"/>
      <c r="C255" s="465"/>
      <c r="D255" s="465"/>
      <c r="E255" s="473"/>
      <c r="F255" s="510"/>
      <c r="G255" s="510"/>
      <c r="H255" s="575"/>
      <c r="I255" s="510"/>
      <c r="J255" s="510"/>
      <c r="K255" s="510"/>
      <c r="L255" s="510"/>
      <c r="M255" s="510"/>
      <c r="N255" s="510"/>
      <c r="O255" s="510"/>
      <c r="P255" s="465"/>
      <c r="Q255" s="480"/>
      <c r="R255" s="480"/>
    </row>
    <row r="256" spans="2:18">
      <c r="B256" s="576"/>
      <c r="C256" s="465"/>
      <c r="D256" s="465"/>
      <c r="E256" s="473"/>
      <c r="F256" s="473"/>
      <c r="G256" s="473"/>
      <c r="H256" s="520"/>
      <c r="I256" s="473"/>
      <c r="J256" s="473"/>
      <c r="K256" s="473"/>
      <c r="L256" s="473"/>
      <c r="M256" s="473"/>
      <c r="N256" s="473"/>
      <c r="O256" s="473"/>
      <c r="P256" s="465"/>
      <c r="Q256" s="480"/>
      <c r="R256" s="480"/>
    </row>
    <row r="257" spans="2:18">
      <c r="B257" s="573"/>
      <c r="C257" s="465"/>
      <c r="D257" s="465"/>
      <c r="E257" s="507"/>
      <c r="F257" s="507"/>
      <c r="G257" s="507"/>
      <c r="H257" s="577"/>
      <c r="I257" s="578"/>
      <c r="J257" s="578"/>
      <c r="K257" s="578"/>
      <c r="L257" s="578"/>
      <c r="M257" s="578"/>
      <c r="N257" s="578"/>
      <c r="O257" s="578"/>
      <c r="P257" s="465"/>
      <c r="Q257" s="480"/>
      <c r="R257" s="480"/>
    </row>
    <row r="258" spans="2:18">
      <c r="B258" s="573"/>
      <c r="C258" s="465"/>
      <c r="D258" s="465"/>
      <c r="E258" s="507"/>
      <c r="F258" s="507"/>
      <c r="G258" s="507"/>
      <c r="H258" s="577"/>
      <c r="I258" s="578"/>
      <c r="J258" s="578"/>
      <c r="K258" s="578"/>
      <c r="L258" s="578"/>
      <c r="M258" s="578"/>
      <c r="N258" s="578"/>
      <c r="O258" s="578"/>
      <c r="P258" s="465"/>
      <c r="Q258" s="480"/>
      <c r="R258" s="480"/>
    </row>
    <row r="259" spans="2:18" ht="15.15">
      <c r="B259" s="573"/>
      <c r="C259" s="465"/>
      <c r="D259" s="465"/>
      <c r="E259" s="556"/>
      <c r="F259" s="556"/>
      <c r="G259" s="556"/>
      <c r="H259" s="579"/>
      <c r="I259" s="580"/>
      <c r="J259" s="580"/>
      <c r="K259" s="580"/>
      <c r="L259" s="580"/>
      <c r="M259" s="580"/>
      <c r="N259" s="580"/>
      <c r="O259" s="580"/>
      <c r="P259" s="465"/>
      <c r="Q259" s="480"/>
      <c r="R259" s="480"/>
    </row>
    <row r="260" spans="2:18" ht="13.7">
      <c r="B260" s="581"/>
      <c r="C260" s="476"/>
      <c r="D260" s="476"/>
      <c r="E260" s="558"/>
      <c r="F260" s="558"/>
      <c r="G260" s="558"/>
      <c r="H260" s="559"/>
      <c r="I260" s="558"/>
      <c r="J260" s="558"/>
      <c r="K260" s="558"/>
      <c r="L260" s="558"/>
      <c r="M260" s="558"/>
      <c r="N260" s="558"/>
      <c r="O260" s="558"/>
      <c r="P260" s="476"/>
      <c r="Q260" s="477"/>
      <c r="R260" s="477"/>
    </row>
    <row r="261" spans="2:18">
      <c r="B261" s="573"/>
      <c r="C261" s="465"/>
      <c r="D261" s="465"/>
      <c r="E261" s="491"/>
      <c r="F261" s="491"/>
      <c r="G261" s="491"/>
      <c r="H261" s="492"/>
      <c r="I261" s="491"/>
      <c r="J261" s="491"/>
      <c r="K261" s="491"/>
      <c r="L261" s="491"/>
      <c r="M261" s="491"/>
      <c r="N261" s="491"/>
      <c r="O261" s="491"/>
      <c r="P261" s="465"/>
      <c r="Q261" s="480"/>
      <c r="R261" s="480"/>
    </row>
    <row r="262" spans="2:18">
      <c r="B262" s="573"/>
      <c r="C262" s="465"/>
      <c r="D262" s="465"/>
      <c r="E262" s="491"/>
      <c r="F262" s="491"/>
      <c r="G262" s="491"/>
      <c r="H262" s="492"/>
      <c r="I262" s="491"/>
      <c r="J262" s="491"/>
      <c r="K262" s="491"/>
      <c r="L262" s="491"/>
      <c r="M262" s="491"/>
      <c r="N262" s="491"/>
      <c r="O262" s="491"/>
      <c r="P262" s="465"/>
      <c r="Q262" s="480"/>
      <c r="R262" s="480"/>
    </row>
    <row r="263" spans="2:18">
      <c r="B263" s="573"/>
      <c r="C263" s="465"/>
      <c r="D263" s="465"/>
      <c r="E263" s="507"/>
      <c r="F263" s="507"/>
      <c r="G263" s="507"/>
      <c r="H263" s="577"/>
      <c r="I263" s="578"/>
      <c r="J263" s="578"/>
      <c r="K263" s="578"/>
      <c r="L263" s="578"/>
      <c r="M263" s="578"/>
      <c r="N263" s="578"/>
      <c r="O263" s="578"/>
      <c r="P263" s="465"/>
      <c r="Q263" s="480"/>
      <c r="R263" s="480"/>
    </row>
    <row r="264" spans="2:18">
      <c r="B264" s="573"/>
      <c r="C264" s="465"/>
      <c r="D264" s="465"/>
      <c r="E264" s="491"/>
      <c r="F264" s="491"/>
      <c r="G264" s="491"/>
      <c r="H264" s="492"/>
      <c r="I264" s="491"/>
      <c r="J264" s="491"/>
      <c r="K264" s="491"/>
      <c r="L264" s="491"/>
      <c r="M264" s="491"/>
      <c r="N264" s="491"/>
      <c r="O264" s="491"/>
      <c r="P264" s="465"/>
      <c r="Q264" s="480"/>
      <c r="R264" s="480"/>
    </row>
    <row r="265" spans="2:18">
      <c r="B265" s="573"/>
      <c r="C265" s="465"/>
      <c r="D265" s="465"/>
      <c r="E265" s="491"/>
      <c r="F265" s="491"/>
      <c r="G265" s="491"/>
      <c r="H265" s="492"/>
      <c r="I265" s="491"/>
      <c r="J265" s="491"/>
      <c r="K265" s="491"/>
      <c r="L265" s="491"/>
      <c r="M265" s="491"/>
      <c r="N265" s="491"/>
      <c r="O265" s="491"/>
      <c r="P265" s="465"/>
      <c r="Q265" s="480"/>
      <c r="R265" s="480"/>
    </row>
    <row r="266" spans="2:18">
      <c r="B266" s="465"/>
      <c r="C266" s="465"/>
      <c r="D266" s="465"/>
      <c r="E266" s="473"/>
      <c r="F266" s="473"/>
      <c r="G266" s="473"/>
      <c r="H266" s="520"/>
      <c r="I266" s="473"/>
      <c r="J266" s="473"/>
      <c r="K266" s="473"/>
      <c r="L266" s="473"/>
      <c r="M266" s="473"/>
      <c r="N266" s="473"/>
      <c r="O266" s="473"/>
      <c r="P266" s="465"/>
      <c r="Q266" s="480"/>
      <c r="R266" s="480"/>
    </row>
    <row r="267" spans="2:18">
      <c r="B267" s="470"/>
      <c r="C267" s="471"/>
      <c r="D267" s="465"/>
      <c r="E267" s="473"/>
      <c r="F267" s="473"/>
      <c r="G267" s="473"/>
      <c r="H267" s="520"/>
      <c r="I267" s="473"/>
      <c r="J267" s="473"/>
      <c r="K267" s="473"/>
      <c r="L267" s="473"/>
      <c r="M267" s="473"/>
      <c r="N267" s="473"/>
      <c r="O267" s="473"/>
      <c r="P267" s="465"/>
      <c r="Q267" s="480"/>
      <c r="R267" s="480"/>
    </row>
    <row r="268" spans="2:18">
      <c r="B268" s="582"/>
      <c r="C268" s="465"/>
      <c r="D268" s="465"/>
      <c r="E268" s="478"/>
      <c r="F268" s="478"/>
      <c r="G268" s="478"/>
      <c r="H268" s="479"/>
      <c r="I268" s="478"/>
      <c r="J268" s="478"/>
      <c r="K268" s="478"/>
      <c r="L268" s="478"/>
      <c r="M268" s="478"/>
      <c r="N268" s="473"/>
      <c r="O268" s="473"/>
      <c r="P268" s="465"/>
      <c r="Q268" s="480"/>
      <c r="R268" s="480"/>
    </row>
    <row r="269" spans="2:18">
      <c r="B269" s="582"/>
      <c r="C269" s="465"/>
      <c r="D269" s="465"/>
      <c r="E269" s="478"/>
      <c r="F269" s="478"/>
      <c r="G269" s="478"/>
      <c r="H269" s="479"/>
      <c r="I269" s="478"/>
      <c r="J269" s="478"/>
      <c r="K269" s="478"/>
      <c r="L269" s="478"/>
      <c r="M269" s="478"/>
      <c r="N269" s="473"/>
      <c r="O269" s="473"/>
      <c r="P269" s="465"/>
      <c r="Q269" s="480"/>
      <c r="R269" s="480"/>
    </row>
    <row r="270" spans="2:18">
      <c r="B270" s="582"/>
      <c r="C270" s="465"/>
      <c r="D270" s="465"/>
      <c r="E270" s="478"/>
      <c r="F270" s="478"/>
      <c r="G270" s="478"/>
      <c r="H270" s="479"/>
      <c r="I270" s="478"/>
      <c r="J270" s="478"/>
      <c r="K270" s="478"/>
      <c r="L270" s="478"/>
      <c r="M270" s="478"/>
      <c r="N270" s="478"/>
      <c r="O270" s="478"/>
      <c r="P270" s="465"/>
      <c r="Q270" s="480"/>
      <c r="R270" s="480"/>
    </row>
    <row r="271" spans="2:18">
      <c r="B271" s="582"/>
      <c r="C271" s="465"/>
      <c r="D271" s="465"/>
      <c r="E271" s="478"/>
      <c r="F271" s="478"/>
      <c r="G271" s="478"/>
      <c r="H271" s="479"/>
      <c r="I271" s="478"/>
      <c r="J271" s="478"/>
      <c r="K271" s="478"/>
      <c r="L271" s="478"/>
      <c r="M271" s="478"/>
      <c r="N271" s="478"/>
      <c r="O271" s="478"/>
      <c r="P271" s="465"/>
      <c r="Q271" s="480"/>
      <c r="R271" s="480"/>
    </row>
    <row r="272" spans="2:18" ht="15.15">
      <c r="B272" s="582"/>
      <c r="C272" s="465"/>
      <c r="D272" s="465"/>
      <c r="E272" s="482"/>
      <c r="F272" s="482"/>
      <c r="G272" s="482"/>
      <c r="H272" s="483"/>
      <c r="I272" s="482"/>
      <c r="J272" s="482"/>
      <c r="K272" s="482"/>
      <c r="L272" s="482"/>
      <c r="M272" s="482"/>
      <c r="N272" s="482"/>
      <c r="O272" s="482"/>
      <c r="P272" s="465"/>
      <c r="Q272" s="480"/>
      <c r="R272" s="480"/>
    </row>
    <row r="273" spans="2:18" ht="13.7">
      <c r="B273" s="583"/>
      <c r="C273" s="476"/>
      <c r="D273" s="476"/>
      <c r="E273" s="487"/>
      <c r="F273" s="487"/>
      <c r="G273" s="487"/>
      <c r="H273" s="488"/>
      <c r="I273" s="777"/>
      <c r="J273" s="778"/>
      <c r="K273" s="779"/>
      <c r="L273" s="779"/>
      <c r="M273" s="779"/>
      <c r="N273" s="779"/>
      <c r="O273" s="779"/>
      <c r="P273" s="476"/>
      <c r="Q273" s="477"/>
      <c r="R273" s="477"/>
    </row>
    <row r="274" spans="2:18">
      <c r="B274" s="465"/>
      <c r="C274" s="465"/>
      <c r="D274" s="465"/>
      <c r="E274" s="473"/>
      <c r="F274" s="473"/>
      <c r="G274" s="473"/>
      <c r="H274" s="520"/>
      <c r="I274" s="473"/>
      <c r="J274" s="473"/>
      <c r="K274" s="473"/>
      <c r="L274" s="473"/>
      <c r="M274" s="473"/>
      <c r="N274" s="473"/>
      <c r="O274" s="473"/>
      <c r="P274" s="465"/>
      <c r="Q274" s="480"/>
      <c r="R274" s="480"/>
    </row>
    <row r="275" spans="2:18">
      <c r="B275" s="584"/>
      <c r="C275" s="465"/>
      <c r="D275" s="465"/>
      <c r="E275" s="473"/>
      <c r="F275" s="473"/>
      <c r="G275" s="473"/>
      <c r="H275" s="585"/>
      <c r="I275" s="473"/>
      <c r="J275" s="473"/>
      <c r="K275" s="473"/>
      <c r="L275" s="473"/>
      <c r="M275" s="473"/>
      <c r="N275" s="473"/>
      <c r="O275" s="473"/>
      <c r="P275" s="465"/>
      <c r="Q275" s="480"/>
      <c r="R275" s="480"/>
    </row>
    <row r="276" spans="2:18">
      <c r="B276" s="490"/>
      <c r="C276" s="465"/>
      <c r="D276" s="465"/>
      <c r="E276" s="491"/>
      <c r="F276" s="491"/>
      <c r="G276" s="491"/>
      <c r="H276" s="492"/>
      <c r="I276" s="491"/>
      <c r="J276" s="491"/>
      <c r="K276" s="491"/>
      <c r="L276" s="491"/>
      <c r="M276" s="491"/>
      <c r="N276" s="491"/>
      <c r="O276" s="491"/>
      <c r="P276" s="465"/>
      <c r="Q276" s="480"/>
      <c r="R276" s="480"/>
    </row>
    <row r="277" spans="2:18">
      <c r="B277" s="490"/>
      <c r="C277" s="465"/>
      <c r="D277" s="465"/>
      <c r="E277" s="491"/>
      <c r="F277" s="491"/>
      <c r="G277" s="491"/>
      <c r="H277" s="492"/>
      <c r="I277" s="491"/>
      <c r="J277" s="491"/>
      <c r="K277" s="491"/>
      <c r="L277" s="491"/>
      <c r="M277" s="491"/>
      <c r="N277" s="491"/>
      <c r="O277" s="491"/>
      <c r="P277" s="465"/>
      <c r="Q277" s="480"/>
      <c r="R277" s="480"/>
    </row>
    <row r="278" spans="2:18">
      <c r="B278" s="490"/>
      <c r="C278" s="465"/>
      <c r="D278" s="465"/>
      <c r="E278" s="491"/>
      <c r="F278" s="491"/>
      <c r="G278" s="491"/>
      <c r="H278" s="492"/>
      <c r="I278" s="491"/>
      <c r="J278" s="491"/>
      <c r="K278" s="491"/>
      <c r="L278" s="491"/>
      <c r="M278" s="491"/>
      <c r="N278" s="491"/>
      <c r="O278" s="491"/>
      <c r="P278" s="465"/>
      <c r="Q278" s="480"/>
      <c r="R278" s="480"/>
    </row>
    <row r="279" spans="2:18">
      <c r="B279" s="490"/>
      <c r="C279" s="465"/>
      <c r="D279" s="465"/>
      <c r="E279" s="491"/>
      <c r="F279" s="491"/>
      <c r="G279" s="491"/>
      <c r="H279" s="492"/>
      <c r="I279" s="491"/>
      <c r="J279" s="491"/>
      <c r="K279" s="491"/>
      <c r="L279" s="491"/>
      <c r="M279" s="491"/>
      <c r="N279" s="491"/>
      <c r="O279" s="491"/>
      <c r="P279" s="465"/>
      <c r="Q279" s="480"/>
      <c r="R279" s="480"/>
    </row>
    <row r="280" spans="2:18">
      <c r="B280" s="490"/>
      <c r="C280" s="465"/>
      <c r="D280" s="465"/>
      <c r="E280" s="495"/>
      <c r="F280" s="495"/>
      <c r="G280" s="495"/>
      <c r="H280" s="496"/>
      <c r="I280" s="495"/>
      <c r="J280" s="495"/>
      <c r="K280" s="495"/>
      <c r="L280" s="495"/>
      <c r="M280" s="495"/>
      <c r="N280" s="495"/>
      <c r="O280" s="495"/>
      <c r="P280" s="465"/>
      <c r="Q280" s="480"/>
      <c r="R280" s="480"/>
    </row>
    <row r="281" spans="2:18" ht="13.7">
      <c r="B281" s="499"/>
      <c r="C281" s="476"/>
      <c r="D281" s="476"/>
      <c r="E281" s="500"/>
      <c r="F281" s="500"/>
      <c r="G281" s="500"/>
      <c r="H281" s="501"/>
      <c r="I281" s="500"/>
      <c r="J281" s="500"/>
      <c r="K281" s="500"/>
      <c r="L281" s="500"/>
      <c r="M281" s="500"/>
      <c r="N281" s="500"/>
      <c r="O281" s="500"/>
      <c r="P281" s="476"/>
      <c r="Q281" s="477"/>
      <c r="R281" s="477"/>
    </row>
    <row r="282" spans="2:18">
      <c r="B282" s="506"/>
      <c r="C282" s="465"/>
      <c r="D282" s="465"/>
      <c r="E282" s="491"/>
      <c r="F282" s="491"/>
      <c r="G282" s="491"/>
      <c r="H282" s="492"/>
      <c r="I282" s="491"/>
      <c r="J282" s="491"/>
      <c r="K282" s="491"/>
      <c r="L282" s="491"/>
      <c r="M282" s="491"/>
      <c r="N282" s="491"/>
      <c r="O282" s="491"/>
      <c r="P282" s="465"/>
      <c r="Q282" s="480"/>
      <c r="R282" s="480"/>
    </row>
    <row r="283" spans="2:18" ht="13.7">
      <c r="B283" s="470"/>
      <c r="C283" s="471"/>
      <c r="D283" s="476"/>
      <c r="E283" s="500"/>
      <c r="F283" s="500"/>
      <c r="G283" s="500"/>
      <c r="H283" s="501"/>
      <c r="I283" s="500"/>
      <c r="J283" s="500"/>
      <c r="K283" s="500"/>
      <c r="L283" s="500"/>
      <c r="M283" s="500"/>
      <c r="N283" s="500"/>
      <c r="O283" s="500"/>
      <c r="P283" s="476"/>
      <c r="Q283" s="477"/>
      <c r="R283" s="477"/>
    </row>
    <row r="284" spans="2:18">
      <c r="B284" s="523"/>
      <c r="C284" s="523"/>
      <c r="D284" s="465"/>
      <c r="E284" s="473"/>
      <c r="F284" s="473"/>
      <c r="G284" s="478"/>
      <c r="H284" s="479"/>
      <c r="I284" s="478"/>
      <c r="J284" s="478"/>
      <c r="K284" s="478"/>
      <c r="L284" s="478"/>
      <c r="M284" s="478"/>
      <c r="N284" s="478"/>
      <c r="O284" s="478"/>
      <c r="P284" s="465"/>
      <c r="Q284" s="480"/>
      <c r="R284" s="480"/>
    </row>
    <row r="285" spans="2:18">
      <c r="B285" s="523"/>
      <c r="C285" s="523"/>
      <c r="D285" s="465"/>
      <c r="E285" s="473"/>
      <c r="F285" s="473"/>
      <c r="G285" s="478"/>
      <c r="H285" s="479"/>
      <c r="I285" s="478"/>
      <c r="J285" s="478"/>
      <c r="K285" s="478"/>
      <c r="L285" s="478"/>
      <c r="M285" s="478"/>
      <c r="N285" s="478"/>
      <c r="O285" s="478"/>
      <c r="P285" s="465"/>
      <c r="Q285" s="480"/>
      <c r="R285" s="480"/>
    </row>
    <row r="286" spans="2:18">
      <c r="B286" s="523"/>
      <c r="C286" s="465"/>
      <c r="D286" s="465"/>
      <c r="E286" s="473"/>
      <c r="F286" s="473"/>
      <c r="G286" s="507"/>
      <c r="H286" s="508"/>
      <c r="I286" s="507"/>
      <c r="J286" s="507"/>
      <c r="K286" s="507"/>
      <c r="L286" s="507"/>
      <c r="M286" s="507"/>
      <c r="N286" s="507"/>
      <c r="O286" s="507"/>
      <c r="P286" s="465"/>
      <c r="Q286" s="586"/>
      <c r="R286" s="480"/>
    </row>
    <row r="287" spans="2:18">
      <c r="B287" s="522"/>
      <c r="C287" s="465"/>
      <c r="D287" s="465"/>
      <c r="E287" s="473"/>
      <c r="F287" s="473"/>
      <c r="G287" s="587"/>
      <c r="H287" s="588"/>
      <c r="I287" s="587"/>
      <c r="J287" s="587"/>
      <c r="K287" s="587"/>
      <c r="L287" s="587"/>
      <c r="M287" s="587"/>
      <c r="N287" s="587"/>
      <c r="O287" s="587"/>
      <c r="P287" s="465"/>
      <c r="Q287" s="480"/>
      <c r="R287" s="480"/>
    </row>
    <row r="288" spans="2:18">
      <c r="B288" s="589"/>
      <c r="C288" s="476"/>
      <c r="D288" s="476"/>
      <c r="E288" s="474"/>
      <c r="F288" s="474"/>
      <c r="G288" s="590"/>
      <c r="H288" s="591"/>
      <c r="I288" s="590"/>
      <c r="J288" s="590"/>
      <c r="K288" s="590"/>
      <c r="L288" s="590"/>
      <c r="M288" s="590"/>
      <c r="N288" s="590"/>
      <c r="O288" s="590"/>
      <c r="P288" s="476"/>
      <c r="Q288" s="493"/>
      <c r="R288" s="493"/>
    </row>
    <row r="289" spans="2:18">
      <c r="B289" s="589"/>
      <c r="C289" s="476"/>
      <c r="D289" s="476"/>
      <c r="E289" s="474"/>
      <c r="F289" s="474"/>
      <c r="G289" s="590"/>
      <c r="H289" s="590"/>
      <c r="I289" s="590"/>
      <c r="J289" s="590"/>
      <c r="K289" s="590"/>
      <c r="L289" s="590"/>
      <c r="M289" s="590"/>
      <c r="N289" s="590"/>
      <c r="O289" s="590"/>
      <c r="P289" s="476"/>
      <c r="Q289" s="493"/>
      <c r="R289" s="493"/>
    </row>
  </sheetData>
  <phoneticPr fontId="52" type="noConversion"/>
  <printOptions horizontalCentered="1"/>
  <pageMargins left="0.2" right="0.2" top="0.2" bottom="0.2" header="0.2" footer="0.2"/>
  <pageSetup paperSize="9" scale="53" fitToHeight="0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S112"/>
  <sheetViews>
    <sheetView showGridLines="0" view="pageBreakPreview" zoomScaleNormal="100" zoomScaleSheetLayoutView="100" workbookViewId="0">
      <selection activeCell="K13" sqref="K13"/>
    </sheetView>
  </sheetViews>
  <sheetFormatPr defaultRowHeight="13"/>
  <cols>
    <col min="1" max="1" width="5.85546875" style="594" customWidth="1"/>
    <col min="2" max="2" width="30.85546875" style="594" customWidth="1"/>
    <col min="3" max="5" width="9.140625" style="594"/>
    <col min="6" max="19" width="10.85546875" style="594" customWidth="1"/>
    <col min="20" max="16384" width="9.140625" style="594"/>
  </cols>
  <sheetData>
    <row r="2" spans="2:19">
      <c r="B2" s="592"/>
      <c r="C2" s="593"/>
      <c r="D2" s="593"/>
      <c r="E2" s="593"/>
      <c r="F2" s="593"/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</row>
    <row r="3" spans="2:19" ht="18.75" thickBot="1">
      <c r="B3" s="595" t="s">
        <v>1709</v>
      </c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</row>
    <row r="4" spans="2:19" ht="13.7" thickTop="1">
      <c r="B4" s="592"/>
      <c r="C4" s="593"/>
      <c r="D4" s="593"/>
      <c r="E4" s="593"/>
      <c r="F4" s="593"/>
      <c r="G4" s="593"/>
      <c r="H4" s="593"/>
      <c r="I4" s="593"/>
      <c r="J4" s="593"/>
      <c r="K4" s="593"/>
      <c r="L4" s="593"/>
      <c r="M4" s="593"/>
      <c r="N4" s="593"/>
      <c r="O4" s="593"/>
      <c r="P4" s="593"/>
      <c r="Q4" s="593"/>
      <c r="R4" s="593"/>
      <c r="S4" s="593"/>
    </row>
    <row r="5" spans="2:19" ht="15.85">
      <c r="B5" s="592"/>
      <c r="C5" s="593"/>
      <c r="D5" s="593"/>
      <c r="E5" s="593"/>
      <c r="F5" s="593"/>
      <c r="G5" s="593"/>
      <c r="H5" s="593"/>
      <c r="I5" s="593"/>
      <c r="J5" s="593"/>
      <c r="K5" s="593"/>
      <c r="L5" s="593"/>
      <c r="M5" s="593"/>
      <c r="N5" s="593"/>
      <c r="O5" s="593"/>
      <c r="P5" s="593"/>
      <c r="Q5" s="593"/>
      <c r="R5" s="597" t="s">
        <v>1702</v>
      </c>
      <c r="S5" s="597"/>
    </row>
    <row r="6" spans="2:19" ht="15.85">
      <c r="B6" s="593"/>
      <c r="C6" s="593"/>
      <c r="D6" s="593"/>
      <c r="E6" s="593"/>
      <c r="F6" s="598">
        <v>42004</v>
      </c>
      <c r="G6" s="598">
        <v>42369</v>
      </c>
      <c r="H6" s="598">
        <v>42735</v>
      </c>
      <c r="I6" s="599">
        <v>43100</v>
      </c>
      <c r="J6" s="600">
        <v>43465</v>
      </c>
      <c r="K6" s="600">
        <v>43830</v>
      </c>
      <c r="L6" s="600">
        <v>44196</v>
      </c>
      <c r="M6" s="600">
        <v>44561</v>
      </c>
      <c r="N6" s="600">
        <v>44926</v>
      </c>
      <c r="O6" s="600">
        <v>45291</v>
      </c>
      <c r="P6" s="600">
        <v>45657</v>
      </c>
      <c r="Q6" s="593"/>
      <c r="R6" s="601" t="s">
        <v>1703</v>
      </c>
      <c r="S6" s="601" t="s">
        <v>1704</v>
      </c>
    </row>
    <row r="7" spans="2:19">
      <c r="B7" s="602" t="s">
        <v>1710</v>
      </c>
      <c r="C7" s="603"/>
      <c r="D7" s="604"/>
      <c r="E7" s="593"/>
      <c r="F7" s="593"/>
      <c r="G7" s="593"/>
      <c r="H7" s="593"/>
      <c r="I7" s="605"/>
      <c r="J7" s="593"/>
      <c r="K7" s="593"/>
      <c r="L7" s="593"/>
      <c r="M7" s="593"/>
      <c r="N7" s="593"/>
      <c r="O7" s="593"/>
      <c r="P7" s="593"/>
      <c r="Q7" s="593"/>
      <c r="R7" s="593"/>
      <c r="S7" s="593"/>
    </row>
    <row r="8" spans="2:19">
      <c r="B8" s="593"/>
      <c r="C8" s="593"/>
      <c r="D8" s="593"/>
      <c r="E8" s="593"/>
      <c r="F8" s="606"/>
      <c r="G8" s="607"/>
      <c r="H8" s="607"/>
      <c r="I8" s="608"/>
      <c r="J8" s="607"/>
      <c r="K8" s="607"/>
      <c r="L8" s="607"/>
      <c r="M8" s="607"/>
      <c r="N8" s="607"/>
      <c r="O8" s="607"/>
      <c r="P8" s="607"/>
      <c r="Q8" s="593"/>
      <c r="R8" s="609"/>
      <c r="S8" s="609"/>
    </row>
    <row r="9" spans="2:19">
      <c r="B9" s="593"/>
      <c r="C9" s="593"/>
      <c r="D9" s="593"/>
      <c r="E9" s="593"/>
      <c r="F9" s="606"/>
      <c r="G9" s="607"/>
      <c r="H9" s="607"/>
      <c r="I9" s="608"/>
      <c r="J9" s="607"/>
      <c r="K9" s="607"/>
      <c r="L9" s="607"/>
      <c r="M9" s="607"/>
      <c r="N9" s="607"/>
      <c r="O9" s="607"/>
      <c r="P9" s="607"/>
      <c r="Q9" s="593"/>
      <c r="R9" s="609"/>
      <c r="S9" s="609"/>
    </row>
    <row r="10" spans="2:19">
      <c r="B10" s="593"/>
      <c r="C10" s="593"/>
      <c r="D10" s="593"/>
      <c r="E10" s="593"/>
      <c r="F10" s="606"/>
      <c r="G10" s="607"/>
      <c r="H10" s="607"/>
      <c r="I10" s="608"/>
      <c r="J10" s="607"/>
      <c r="K10" s="607"/>
      <c r="L10" s="607"/>
      <c r="M10" s="607"/>
      <c r="N10" s="607"/>
      <c r="O10" s="607"/>
      <c r="P10" s="607"/>
      <c r="Q10" s="593"/>
      <c r="R10" s="609"/>
      <c r="S10" s="609"/>
    </row>
    <row r="11" spans="2:19">
      <c r="B11" s="593"/>
      <c r="C11" s="593"/>
      <c r="D11" s="593"/>
      <c r="E11" s="593"/>
      <c r="F11" s="606"/>
      <c r="G11" s="607"/>
      <c r="H11" s="607"/>
      <c r="I11" s="608"/>
      <c r="J11" s="607"/>
      <c r="K11" s="607"/>
      <c r="L11" s="607"/>
      <c r="M11" s="607"/>
      <c r="N11" s="607"/>
      <c r="O11" s="607"/>
      <c r="P11" s="607"/>
      <c r="Q11" s="593"/>
      <c r="R11" s="609"/>
      <c r="S11" s="609"/>
    </row>
    <row r="12" spans="2:19" ht="15.15">
      <c r="B12" s="593"/>
      <c r="C12" s="593"/>
      <c r="D12" s="593"/>
      <c r="E12" s="593"/>
      <c r="F12" s="610"/>
      <c r="G12" s="611"/>
      <c r="H12" s="611"/>
      <c r="I12" s="612"/>
      <c r="J12" s="611"/>
      <c r="K12" s="611"/>
      <c r="L12" s="611"/>
      <c r="M12" s="611"/>
      <c r="N12" s="611"/>
      <c r="O12" s="611"/>
      <c r="P12" s="611"/>
      <c r="Q12" s="593"/>
      <c r="R12" s="613"/>
      <c r="S12" s="613"/>
    </row>
    <row r="13" spans="2:19" ht="13.7">
      <c r="B13" s="614" t="s">
        <v>1772</v>
      </c>
      <c r="C13" s="615"/>
      <c r="D13" s="615"/>
      <c r="E13" s="615"/>
      <c r="F13" s="616"/>
      <c r="G13" s="617"/>
      <c r="H13" s="617"/>
      <c r="I13" s="618"/>
      <c r="J13" s="617"/>
      <c r="K13" s="617"/>
      <c r="L13" s="617"/>
      <c r="M13" s="617"/>
      <c r="N13" s="617"/>
      <c r="O13" s="617"/>
      <c r="P13" s="617"/>
      <c r="Q13" s="615"/>
      <c r="R13" s="619"/>
      <c r="S13" s="619"/>
    </row>
    <row r="14" spans="2:19">
      <c r="B14" s="620"/>
      <c r="C14" s="593"/>
      <c r="D14" s="593"/>
      <c r="E14" s="593"/>
      <c r="F14" s="606"/>
      <c r="G14" s="607"/>
      <c r="H14" s="607"/>
      <c r="I14" s="608"/>
      <c r="J14" s="607"/>
      <c r="K14" s="607"/>
      <c r="L14" s="607"/>
      <c r="M14" s="607"/>
      <c r="N14" s="607"/>
      <c r="O14" s="607"/>
      <c r="P14" s="607"/>
      <c r="Q14" s="593"/>
      <c r="R14" s="609"/>
      <c r="S14" s="609"/>
    </row>
    <row r="15" spans="2:19">
      <c r="B15" s="620"/>
      <c r="C15" s="615"/>
      <c r="D15" s="615"/>
      <c r="E15" s="615"/>
      <c r="F15" s="606"/>
      <c r="G15" s="607"/>
      <c r="H15" s="607"/>
      <c r="I15" s="608"/>
      <c r="J15" s="607"/>
      <c r="K15" s="607"/>
      <c r="L15" s="607"/>
      <c r="M15" s="607"/>
      <c r="N15" s="607"/>
      <c r="O15" s="607"/>
      <c r="P15" s="607"/>
      <c r="Q15" s="615"/>
      <c r="R15" s="609"/>
      <c r="S15" s="609"/>
    </row>
    <row r="16" spans="2:19" ht="15.15">
      <c r="B16" s="593"/>
      <c r="C16" s="593"/>
      <c r="D16" s="593"/>
      <c r="E16" s="593"/>
      <c r="F16" s="610"/>
      <c r="G16" s="611"/>
      <c r="H16" s="611"/>
      <c r="I16" s="612"/>
      <c r="J16" s="611"/>
      <c r="K16" s="611"/>
      <c r="L16" s="611"/>
      <c r="M16" s="611"/>
      <c r="N16" s="611"/>
      <c r="O16" s="611"/>
      <c r="P16" s="611"/>
      <c r="Q16" s="593"/>
      <c r="R16" s="613"/>
      <c r="S16" s="613"/>
    </row>
    <row r="17" spans="2:19" ht="13.7">
      <c r="B17" s="614" t="s">
        <v>1773</v>
      </c>
      <c r="C17" s="593"/>
      <c r="D17" s="593"/>
      <c r="E17" s="593"/>
      <c r="F17" s="616"/>
      <c r="G17" s="617"/>
      <c r="H17" s="617"/>
      <c r="I17" s="618"/>
      <c r="J17" s="617"/>
      <c r="K17" s="617"/>
      <c r="L17" s="617"/>
      <c r="M17" s="617"/>
      <c r="N17" s="617"/>
      <c r="O17" s="617"/>
      <c r="P17" s="617"/>
      <c r="Q17" s="593"/>
      <c r="R17" s="619"/>
      <c r="S17" s="619"/>
    </row>
    <row r="18" spans="2:19">
      <c r="B18" s="593"/>
      <c r="C18" s="593"/>
      <c r="D18" s="593"/>
      <c r="E18" s="593"/>
      <c r="F18" s="606"/>
      <c r="G18" s="607"/>
      <c r="H18" s="607"/>
      <c r="I18" s="608"/>
      <c r="J18" s="607"/>
      <c r="K18" s="607"/>
      <c r="L18" s="607"/>
      <c r="M18" s="607"/>
      <c r="N18" s="607"/>
      <c r="O18" s="607"/>
      <c r="P18" s="607"/>
      <c r="Q18" s="593"/>
      <c r="R18" s="609"/>
      <c r="S18" s="609"/>
    </row>
    <row r="19" spans="2:19">
      <c r="B19" s="593"/>
      <c r="C19" s="593"/>
      <c r="D19" s="593"/>
      <c r="E19" s="593"/>
      <c r="F19" s="606"/>
      <c r="G19" s="607"/>
      <c r="H19" s="607"/>
      <c r="I19" s="608"/>
      <c r="J19" s="607"/>
      <c r="K19" s="607"/>
      <c r="L19" s="607"/>
      <c r="M19" s="607"/>
      <c r="N19" s="607"/>
      <c r="O19" s="607"/>
      <c r="P19" s="607"/>
      <c r="Q19" s="593"/>
      <c r="R19" s="609"/>
      <c r="S19" s="609"/>
    </row>
    <row r="20" spans="2:19">
      <c r="B20" s="593"/>
      <c r="C20" s="593"/>
      <c r="D20" s="593"/>
      <c r="E20" s="593"/>
      <c r="F20" s="606"/>
      <c r="G20" s="607"/>
      <c r="H20" s="607"/>
      <c r="I20" s="608"/>
      <c r="J20" s="607"/>
      <c r="K20" s="607"/>
      <c r="L20" s="607"/>
      <c r="M20" s="607"/>
      <c r="N20" s="607"/>
      <c r="O20" s="607"/>
      <c r="P20" s="607"/>
      <c r="Q20" s="593"/>
      <c r="R20" s="609"/>
      <c r="S20" s="609"/>
    </row>
    <row r="21" spans="2:19" ht="15.15">
      <c r="B21" s="593"/>
      <c r="C21" s="593"/>
      <c r="D21" s="593"/>
      <c r="E21" s="593"/>
      <c r="F21" s="606"/>
      <c r="G21" s="607"/>
      <c r="H21" s="607"/>
      <c r="I21" s="608"/>
      <c r="J21" s="607"/>
      <c r="K21" s="607"/>
      <c r="L21" s="607"/>
      <c r="M21" s="607"/>
      <c r="N21" s="607"/>
      <c r="O21" s="607"/>
      <c r="P21" s="607"/>
      <c r="Q21" s="621"/>
      <c r="R21" s="609"/>
      <c r="S21" s="609"/>
    </row>
    <row r="22" spans="2:19" ht="15.15">
      <c r="B22" s="593"/>
      <c r="C22" s="593"/>
      <c r="D22" s="593"/>
      <c r="E22" s="593"/>
      <c r="F22" s="610"/>
      <c r="G22" s="611"/>
      <c r="H22" s="611"/>
      <c r="I22" s="612"/>
      <c r="J22" s="611"/>
      <c r="K22" s="611"/>
      <c r="L22" s="611"/>
      <c r="M22" s="611"/>
      <c r="N22" s="611"/>
      <c r="O22" s="611"/>
      <c r="P22" s="611"/>
      <c r="Q22" s="593"/>
      <c r="R22" s="613"/>
      <c r="S22" s="613"/>
    </row>
    <row r="23" spans="2:19" ht="13.7">
      <c r="B23" s="614" t="s">
        <v>1705</v>
      </c>
      <c r="C23" s="615"/>
      <c r="D23" s="615"/>
      <c r="E23" s="615"/>
      <c r="F23" s="616"/>
      <c r="G23" s="617"/>
      <c r="H23" s="617"/>
      <c r="I23" s="618"/>
      <c r="J23" s="617"/>
      <c r="K23" s="617"/>
      <c r="L23" s="617"/>
      <c r="M23" s="617"/>
      <c r="N23" s="617"/>
      <c r="O23" s="617"/>
      <c r="P23" s="617"/>
      <c r="Q23" s="615"/>
      <c r="R23" s="619"/>
      <c r="S23" s="619"/>
    </row>
    <row r="24" spans="2:19">
      <c r="B24" s="593"/>
      <c r="C24" s="593"/>
      <c r="D24" s="593"/>
      <c r="E24" s="593"/>
      <c r="F24" s="593"/>
      <c r="G24" s="593"/>
      <c r="H24" s="593"/>
      <c r="I24" s="605"/>
      <c r="J24" s="593"/>
      <c r="K24" s="593"/>
      <c r="L24" s="593"/>
      <c r="M24" s="593"/>
      <c r="N24" s="593"/>
      <c r="O24" s="593"/>
      <c r="P24" s="593"/>
      <c r="Q24" s="593"/>
      <c r="R24" s="593"/>
      <c r="S24" s="622"/>
    </row>
    <row r="25" spans="2:19">
      <c r="B25" s="623" t="s">
        <v>1708</v>
      </c>
      <c r="C25" s="593"/>
      <c r="D25" s="593"/>
      <c r="E25" s="593"/>
      <c r="F25" s="593"/>
      <c r="G25" s="593"/>
      <c r="H25" s="593"/>
      <c r="I25" s="605"/>
      <c r="J25" s="593"/>
      <c r="K25" s="593"/>
      <c r="L25" s="593"/>
      <c r="M25" s="593"/>
      <c r="N25" s="593"/>
      <c r="O25" s="593"/>
      <c r="P25" s="593"/>
      <c r="Q25" s="593"/>
      <c r="R25" s="593"/>
      <c r="S25" s="593"/>
    </row>
    <row r="26" spans="2:19">
      <c r="B26" s="624"/>
      <c r="C26" s="593"/>
      <c r="D26" s="593"/>
      <c r="E26" s="593"/>
      <c r="F26" s="609"/>
      <c r="G26" s="609"/>
      <c r="H26" s="609"/>
      <c r="I26" s="625"/>
      <c r="J26" s="609"/>
      <c r="K26" s="609"/>
      <c r="L26" s="609"/>
      <c r="M26" s="609"/>
      <c r="N26" s="609"/>
      <c r="O26" s="609"/>
      <c r="P26" s="609"/>
      <c r="Q26" s="593"/>
      <c r="R26" s="593"/>
      <c r="S26" s="593"/>
    </row>
    <row r="27" spans="2:19">
      <c r="B27" s="624"/>
      <c r="C27" s="593"/>
      <c r="D27" s="593"/>
      <c r="E27" s="593"/>
      <c r="F27" s="609"/>
      <c r="G27" s="609"/>
      <c r="H27" s="609"/>
      <c r="I27" s="625"/>
      <c r="J27" s="609"/>
      <c r="K27" s="609"/>
      <c r="L27" s="609"/>
      <c r="M27" s="609"/>
      <c r="N27" s="609"/>
      <c r="O27" s="609"/>
      <c r="P27" s="609"/>
      <c r="Q27" s="593"/>
      <c r="R27" s="593"/>
      <c r="S27" s="593"/>
    </row>
    <row r="28" spans="2:19">
      <c r="B28" s="624"/>
      <c r="C28" s="593"/>
      <c r="D28" s="593"/>
      <c r="E28" s="593"/>
      <c r="F28" s="609"/>
      <c r="G28" s="609"/>
      <c r="H28" s="609"/>
      <c r="I28" s="625"/>
      <c r="J28" s="609"/>
      <c r="K28" s="609"/>
      <c r="L28" s="609"/>
      <c r="M28" s="609"/>
      <c r="N28" s="609"/>
      <c r="O28" s="609"/>
      <c r="P28" s="609"/>
      <c r="Q28" s="593"/>
      <c r="R28" s="593"/>
      <c r="S28" s="593"/>
    </row>
    <row r="29" spans="2:19">
      <c r="B29" s="624"/>
      <c r="C29" s="593"/>
      <c r="D29" s="593"/>
      <c r="E29" s="593"/>
      <c r="F29" s="609"/>
      <c r="G29" s="609"/>
      <c r="H29" s="609"/>
      <c r="I29" s="625"/>
      <c r="J29" s="609"/>
      <c r="K29" s="609"/>
      <c r="L29" s="609"/>
      <c r="M29" s="609"/>
      <c r="N29" s="609"/>
      <c r="O29" s="609"/>
      <c r="P29" s="609"/>
      <c r="Q29" s="593"/>
      <c r="R29" s="593"/>
      <c r="S29" s="593"/>
    </row>
    <row r="30" spans="2:19">
      <c r="B30" s="624"/>
      <c r="C30" s="593"/>
      <c r="D30" s="593"/>
      <c r="E30" s="593"/>
      <c r="F30" s="613"/>
      <c r="G30" s="613"/>
      <c r="H30" s="613"/>
      <c r="I30" s="626"/>
      <c r="J30" s="613"/>
      <c r="K30" s="613"/>
      <c r="L30" s="613"/>
      <c r="M30" s="613"/>
      <c r="N30" s="613"/>
      <c r="O30" s="613"/>
      <c r="P30" s="613"/>
      <c r="Q30" s="593"/>
      <c r="R30" s="593"/>
      <c r="S30" s="593"/>
    </row>
    <row r="31" spans="2:19" ht="13.7">
      <c r="B31" s="627" t="s">
        <v>1712</v>
      </c>
      <c r="C31" s="593"/>
      <c r="D31" s="593"/>
      <c r="E31" s="593"/>
      <c r="F31" s="619"/>
      <c r="G31" s="619"/>
      <c r="H31" s="619"/>
      <c r="I31" s="628"/>
      <c r="J31" s="619"/>
      <c r="K31" s="619"/>
      <c r="L31" s="619"/>
      <c r="M31" s="619"/>
      <c r="N31" s="619"/>
      <c r="O31" s="619"/>
      <c r="P31" s="619"/>
      <c r="Q31" s="593"/>
      <c r="R31" s="593"/>
      <c r="S31" s="593"/>
    </row>
    <row r="32" spans="2:19">
      <c r="B32" s="624"/>
      <c r="C32" s="593"/>
      <c r="D32" s="593"/>
      <c r="E32" s="593"/>
      <c r="F32" s="609"/>
      <c r="G32" s="609"/>
      <c r="H32" s="609"/>
      <c r="I32" s="625"/>
      <c r="J32" s="609"/>
      <c r="K32" s="609"/>
      <c r="L32" s="609"/>
      <c r="M32" s="491"/>
      <c r="N32" s="491"/>
      <c r="O32" s="491"/>
      <c r="P32" s="491"/>
      <c r="Q32" s="593"/>
      <c r="R32" s="593"/>
      <c r="S32" s="593"/>
    </row>
    <row r="33" spans="2:19">
      <c r="B33" s="624"/>
      <c r="C33" s="593"/>
      <c r="D33" s="593"/>
      <c r="E33" s="593"/>
      <c r="F33" s="609"/>
      <c r="G33" s="609"/>
      <c r="H33" s="609"/>
      <c r="I33" s="625"/>
      <c r="J33" s="609"/>
      <c r="K33" s="609"/>
      <c r="L33" s="609"/>
      <c r="M33" s="491"/>
      <c r="N33" s="491"/>
      <c r="O33" s="491"/>
      <c r="P33" s="491"/>
      <c r="Q33" s="593"/>
      <c r="R33" s="593"/>
      <c r="S33" s="593"/>
    </row>
    <row r="34" spans="2:19">
      <c r="B34" s="624"/>
      <c r="C34" s="593"/>
      <c r="D34" s="593"/>
      <c r="E34" s="593"/>
      <c r="F34" s="613"/>
      <c r="G34" s="613"/>
      <c r="H34" s="613"/>
      <c r="I34" s="626"/>
      <c r="J34" s="613"/>
      <c r="K34" s="613"/>
      <c r="L34" s="613"/>
      <c r="M34" s="495"/>
      <c r="N34" s="495"/>
      <c r="O34" s="495"/>
      <c r="P34" s="495"/>
      <c r="Q34" s="593"/>
      <c r="R34" s="593"/>
      <c r="S34" s="593"/>
    </row>
    <row r="35" spans="2:19" ht="13.7">
      <c r="B35" s="627" t="s">
        <v>1713</v>
      </c>
      <c r="C35" s="593"/>
      <c r="D35" s="593"/>
      <c r="E35" s="593"/>
      <c r="F35" s="619"/>
      <c r="G35" s="619"/>
      <c r="H35" s="619"/>
      <c r="I35" s="628"/>
      <c r="J35" s="619"/>
      <c r="K35" s="619"/>
      <c r="L35" s="619"/>
      <c r="M35" s="500"/>
      <c r="N35" s="500"/>
      <c r="O35" s="500"/>
      <c r="P35" s="500"/>
      <c r="Q35" s="593"/>
      <c r="R35" s="593"/>
      <c r="S35" s="593"/>
    </row>
    <row r="36" spans="2:19">
      <c r="B36" s="624"/>
      <c r="C36" s="593"/>
      <c r="D36" s="593"/>
      <c r="E36" s="593"/>
      <c r="F36" s="609"/>
      <c r="G36" s="609"/>
      <c r="H36" s="609"/>
      <c r="I36" s="625"/>
      <c r="J36" s="609"/>
      <c r="K36" s="609"/>
      <c r="L36" s="609"/>
      <c r="M36" s="491"/>
      <c r="N36" s="491"/>
      <c r="O36" s="491"/>
      <c r="P36" s="491"/>
      <c r="Q36" s="593"/>
      <c r="R36" s="593"/>
      <c r="S36" s="593"/>
    </row>
    <row r="37" spans="2:19">
      <c r="B37" s="624"/>
      <c r="C37" s="593"/>
      <c r="D37" s="593"/>
      <c r="E37" s="593"/>
      <c r="F37" s="609"/>
      <c r="G37" s="609"/>
      <c r="H37" s="609"/>
      <c r="I37" s="625"/>
      <c r="J37" s="609"/>
      <c r="K37" s="609"/>
      <c r="L37" s="609"/>
      <c r="M37" s="491"/>
      <c r="N37" s="491"/>
      <c r="O37" s="491"/>
      <c r="P37" s="491"/>
      <c r="Q37" s="593"/>
      <c r="R37" s="593"/>
      <c r="S37" s="593"/>
    </row>
    <row r="38" spans="2:19">
      <c r="B38" s="624"/>
      <c r="C38" s="593"/>
      <c r="D38" s="593"/>
      <c r="E38" s="593"/>
      <c r="F38" s="609"/>
      <c r="G38" s="609"/>
      <c r="H38" s="609"/>
      <c r="I38" s="625"/>
      <c r="J38" s="609"/>
      <c r="K38" s="609"/>
      <c r="L38" s="609"/>
      <c r="M38" s="491"/>
      <c r="N38" s="491"/>
      <c r="O38" s="491"/>
      <c r="P38" s="491"/>
      <c r="Q38" s="593"/>
      <c r="R38" s="593"/>
      <c r="S38" s="593"/>
    </row>
    <row r="39" spans="2:19">
      <c r="B39" s="624"/>
      <c r="C39" s="593"/>
      <c r="D39" s="593"/>
      <c r="E39" s="593"/>
      <c r="F39" s="613"/>
      <c r="G39" s="613"/>
      <c r="H39" s="613"/>
      <c r="I39" s="626"/>
      <c r="J39" s="613"/>
      <c r="K39" s="613"/>
      <c r="L39" s="613"/>
      <c r="M39" s="495"/>
      <c r="N39" s="495"/>
      <c r="O39" s="495"/>
      <c r="P39" s="495"/>
      <c r="Q39" s="593"/>
      <c r="R39" s="593"/>
      <c r="S39" s="593"/>
    </row>
    <row r="40" spans="2:19" ht="13.7">
      <c r="B40" s="627" t="s">
        <v>1705</v>
      </c>
      <c r="C40" s="593"/>
      <c r="D40" s="593"/>
      <c r="E40" s="593"/>
      <c r="F40" s="619"/>
      <c r="G40" s="619"/>
      <c r="H40" s="619"/>
      <c r="I40" s="628"/>
      <c r="J40" s="619"/>
      <c r="K40" s="619"/>
      <c r="L40" s="619"/>
      <c r="M40" s="500"/>
      <c r="N40" s="500"/>
      <c r="O40" s="500"/>
      <c r="P40" s="500"/>
      <c r="Q40" s="593"/>
      <c r="R40" s="593"/>
      <c r="S40" s="593"/>
    </row>
    <row r="41" spans="2:19">
      <c r="B41" s="593"/>
      <c r="C41" s="593"/>
      <c r="D41" s="593"/>
      <c r="E41" s="593"/>
      <c r="F41" s="593"/>
      <c r="G41" s="593"/>
      <c r="H41" s="593"/>
      <c r="I41" s="605"/>
      <c r="J41" s="593"/>
      <c r="K41" s="593"/>
      <c r="L41" s="593"/>
      <c r="M41" s="629"/>
      <c r="N41" s="629"/>
      <c r="O41" s="629"/>
      <c r="P41" s="629"/>
      <c r="Q41" s="593"/>
      <c r="R41" s="593"/>
      <c r="S41" s="593"/>
    </row>
    <row r="42" spans="2:19">
      <c r="B42" s="630" t="s">
        <v>1774</v>
      </c>
      <c r="C42" s="593"/>
      <c r="D42" s="593"/>
      <c r="E42" s="593"/>
      <c r="F42" s="593"/>
      <c r="G42" s="593"/>
      <c r="H42" s="593"/>
      <c r="I42" s="605"/>
      <c r="J42" s="593"/>
      <c r="K42" s="593"/>
      <c r="L42" s="593"/>
      <c r="M42" s="629"/>
      <c r="N42" s="629"/>
      <c r="O42" s="629"/>
      <c r="P42" s="629"/>
      <c r="Q42" s="593"/>
      <c r="R42" s="593"/>
      <c r="S42" s="593"/>
    </row>
    <row r="43" spans="2:19">
      <c r="B43" s="631"/>
      <c r="C43" s="593"/>
      <c r="D43" s="593"/>
      <c r="E43" s="593"/>
      <c r="F43" s="593"/>
      <c r="G43" s="593"/>
      <c r="H43" s="593"/>
      <c r="I43" s="605"/>
      <c r="J43" s="593"/>
      <c r="K43" s="593"/>
      <c r="L43" s="593"/>
      <c r="M43" s="629"/>
      <c r="N43" s="629"/>
      <c r="O43" s="629"/>
      <c r="P43" s="629"/>
      <c r="Q43" s="593"/>
      <c r="R43" s="609"/>
      <c r="S43" s="609"/>
    </row>
    <row r="44" spans="2:19">
      <c r="B44" s="631"/>
      <c r="C44" s="593"/>
      <c r="D44" s="593"/>
      <c r="E44" s="593"/>
      <c r="F44" s="593"/>
      <c r="G44" s="593"/>
      <c r="H44" s="593"/>
      <c r="I44" s="605"/>
      <c r="J44" s="593"/>
      <c r="K44" s="593"/>
      <c r="L44" s="593"/>
      <c r="M44" s="629"/>
      <c r="N44" s="629"/>
      <c r="O44" s="629"/>
      <c r="P44" s="629"/>
      <c r="Q44" s="593"/>
      <c r="R44" s="609"/>
      <c r="S44" s="609"/>
    </row>
    <row r="45" spans="2:19">
      <c r="B45" s="631"/>
      <c r="C45" s="593"/>
      <c r="D45" s="593"/>
      <c r="E45" s="593"/>
      <c r="F45" s="632"/>
      <c r="G45" s="593"/>
      <c r="H45" s="593"/>
      <c r="I45" s="605"/>
      <c r="J45" s="593"/>
      <c r="K45" s="593"/>
      <c r="L45" s="593"/>
      <c r="M45" s="629"/>
      <c r="N45" s="629"/>
      <c r="O45" s="629"/>
      <c r="P45" s="629"/>
      <c r="Q45" s="593"/>
      <c r="R45" s="609"/>
      <c r="S45" s="609"/>
    </row>
    <row r="46" spans="2:19">
      <c r="B46" s="631"/>
      <c r="C46" s="593"/>
      <c r="D46" s="593"/>
      <c r="E46" s="593"/>
      <c r="F46" s="593"/>
      <c r="G46" s="593"/>
      <c r="H46" s="593"/>
      <c r="I46" s="605"/>
      <c r="J46" s="593"/>
      <c r="K46" s="593"/>
      <c r="L46" s="593"/>
      <c r="M46" s="629"/>
      <c r="N46" s="629"/>
      <c r="O46" s="629"/>
      <c r="P46" s="629"/>
      <c r="Q46" s="593"/>
      <c r="R46" s="609"/>
      <c r="S46" s="609"/>
    </row>
    <row r="47" spans="2:19" ht="15.15">
      <c r="B47" s="631"/>
      <c r="C47" s="593"/>
      <c r="D47" s="593"/>
      <c r="E47" s="593"/>
      <c r="F47" s="633"/>
      <c r="G47" s="621"/>
      <c r="H47" s="621"/>
      <c r="I47" s="634"/>
      <c r="J47" s="621"/>
      <c r="K47" s="621"/>
      <c r="L47" s="621"/>
      <c r="M47" s="635"/>
      <c r="N47" s="635"/>
      <c r="O47" s="635"/>
      <c r="P47" s="635"/>
      <c r="Q47" s="593"/>
      <c r="R47" s="613"/>
      <c r="S47" s="613"/>
    </row>
    <row r="48" spans="2:19" ht="13.7">
      <c r="B48" s="636" t="s">
        <v>1775</v>
      </c>
      <c r="C48" s="615"/>
      <c r="D48" s="615"/>
      <c r="E48" s="615"/>
      <c r="F48" s="615"/>
      <c r="G48" s="615"/>
      <c r="H48" s="615"/>
      <c r="I48" s="637"/>
      <c r="J48" s="615"/>
      <c r="K48" s="615"/>
      <c r="L48" s="615"/>
      <c r="M48" s="638"/>
      <c r="N48" s="638"/>
      <c r="O48" s="638"/>
      <c r="P48" s="638"/>
      <c r="Q48" s="615"/>
      <c r="R48" s="619"/>
      <c r="S48" s="619"/>
    </row>
    <row r="49" spans="2:19">
      <c r="B49" s="631" t="s">
        <v>1776</v>
      </c>
      <c r="C49" s="593"/>
      <c r="D49" s="593"/>
      <c r="E49" s="593"/>
      <c r="F49" s="593"/>
      <c r="G49" s="593"/>
      <c r="H49" s="593"/>
      <c r="I49" s="605"/>
      <c r="J49" s="593"/>
      <c r="K49" s="593"/>
      <c r="L49" s="593"/>
      <c r="M49" s="629"/>
      <c r="N49" s="629"/>
      <c r="O49" s="629"/>
      <c r="P49" s="629"/>
      <c r="Q49" s="593"/>
      <c r="R49" s="609"/>
      <c r="S49" s="609"/>
    </row>
    <row r="50" spans="2:19">
      <c r="B50" s="593"/>
      <c r="C50" s="593"/>
      <c r="D50" s="593"/>
      <c r="E50" s="593"/>
      <c r="F50" s="593"/>
      <c r="G50" s="593"/>
      <c r="H50" s="593"/>
      <c r="I50" s="605"/>
      <c r="J50" s="593"/>
      <c r="K50" s="593"/>
      <c r="L50" s="593"/>
      <c r="M50" s="629"/>
      <c r="N50" s="629"/>
      <c r="O50" s="629"/>
      <c r="P50" s="629"/>
      <c r="Q50" s="593"/>
      <c r="R50" s="593"/>
      <c r="S50" s="593"/>
    </row>
    <row r="51" spans="2:19">
      <c r="B51" s="639" t="s">
        <v>1714</v>
      </c>
      <c r="C51" s="593"/>
      <c r="D51" s="593"/>
      <c r="E51" s="593"/>
      <c r="F51" s="593"/>
      <c r="G51" s="593"/>
      <c r="H51" s="593"/>
      <c r="I51" s="605"/>
      <c r="J51" s="593"/>
      <c r="K51" s="593"/>
      <c r="L51" s="593"/>
      <c r="M51" s="629"/>
      <c r="N51" s="629"/>
      <c r="O51" s="629"/>
      <c r="P51" s="629"/>
      <c r="Q51" s="593"/>
      <c r="R51" s="593"/>
      <c r="S51" s="593"/>
    </row>
    <row r="52" spans="2:19">
      <c r="B52" s="624"/>
      <c r="C52" s="593"/>
      <c r="D52" s="593"/>
      <c r="E52" s="593"/>
      <c r="F52" s="480"/>
      <c r="G52" s="480"/>
      <c r="H52" s="480"/>
      <c r="I52" s="492"/>
      <c r="J52" s="480"/>
      <c r="K52" s="480"/>
      <c r="L52" s="480"/>
      <c r="M52" s="491"/>
      <c r="N52" s="491"/>
      <c r="O52" s="491"/>
      <c r="P52" s="491"/>
      <c r="Q52" s="640"/>
      <c r="R52" s="480"/>
      <c r="S52" s="480"/>
    </row>
    <row r="53" spans="2:19">
      <c r="B53" s="624"/>
      <c r="C53" s="593"/>
      <c r="D53" s="593"/>
      <c r="E53" s="593"/>
      <c r="F53" s="491"/>
      <c r="G53" s="480"/>
      <c r="H53" s="480"/>
      <c r="I53" s="492"/>
      <c r="J53" s="480"/>
      <c r="K53" s="480"/>
      <c r="L53" s="480"/>
      <c r="M53" s="491"/>
      <c r="N53" s="491"/>
      <c r="O53" s="491"/>
      <c r="P53" s="491"/>
      <c r="Q53" s="640"/>
      <c r="R53" s="480"/>
      <c r="S53" s="480"/>
    </row>
    <row r="54" spans="2:19">
      <c r="B54" s="624"/>
      <c r="C54" s="593"/>
      <c r="D54" s="593"/>
      <c r="E54" s="593"/>
      <c r="F54" s="491"/>
      <c r="G54" s="480"/>
      <c r="H54" s="480"/>
      <c r="I54" s="492"/>
      <c r="J54" s="480"/>
      <c r="K54" s="480"/>
      <c r="L54" s="480"/>
      <c r="M54" s="491"/>
      <c r="N54" s="491"/>
      <c r="O54" s="491"/>
      <c r="P54" s="491"/>
      <c r="Q54" s="640"/>
      <c r="R54" s="480"/>
      <c r="S54" s="480"/>
    </row>
    <row r="55" spans="2:19">
      <c r="B55" s="624"/>
      <c r="C55" s="593"/>
      <c r="D55" s="593"/>
      <c r="E55" s="593"/>
      <c r="F55" s="491"/>
      <c r="G55" s="480"/>
      <c r="H55" s="480"/>
      <c r="I55" s="492"/>
      <c r="J55" s="480"/>
      <c r="K55" s="480"/>
      <c r="L55" s="480"/>
      <c r="M55" s="491"/>
      <c r="N55" s="491"/>
      <c r="O55" s="491"/>
      <c r="P55" s="491"/>
      <c r="Q55" s="640"/>
      <c r="R55" s="480"/>
      <c r="S55" s="480"/>
    </row>
    <row r="56" spans="2:19">
      <c r="B56" s="624" t="s">
        <v>1711</v>
      </c>
      <c r="C56" s="593"/>
      <c r="D56" s="593"/>
      <c r="E56" s="593"/>
      <c r="F56" s="495"/>
      <c r="G56" s="484"/>
      <c r="H56" s="484"/>
      <c r="I56" s="496"/>
      <c r="J56" s="484"/>
      <c r="K56" s="484"/>
      <c r="L56" s="484"/>
      <c r="M56" s="495"/>
      <c r="N56" s="495"/>
      <c r="O56" s="495"/>
      <c r="P56" s="495"/>
      <c r="Q56" s="640"/>
      <c r="R56" s="484"/>
      <c r="S56" s="484"/>
    </row>
    <row r="57" spans="2:19" ht="13.7">
      <c r="B57" s="627" t="s">
        <v>1772</v>
      </c>
      <c r="C57" s="593"/>
      <c r="D57" s="593"/>
      <c r="E57" s="593"/>
      <c r="F57" s="641"/>
      <c r="G57" s="619"/>
      <c r="H57" s="619"/>
      <c r="I57" s="628"/>
      <c r="J57" s="619"/>
      <c r="K57" s="619"/>
      <c r="L57" s="619"/>
      <c r="M57" s="500"/>
      <c r="N57" s="500"/>
      <c r="O57" s="500"/>
      <c r="P57" s="500"/>
      <c r="Q57" s="593"/>
      <c r="R57" s="619"/>
      <c r="S57" s="619"/>
    </row>
    <row r="58" spans="2:19">
      <c r="B58" s="624" t="s">
        <v>1777</v>
      </c>
      <c r="C58" s="593"/>
      <c r="D58" s="593"/>
      <c r="E58" s="593"/>
      <c r="F58" s="642"/>
      <c r="G58" s="609"/>
      <c r="H58" s="609"/>
      <c r="I58" s="625"/>
      <c r="J58" s="609"/>
      <c r="K58" s="609"/>
      <c r="L58" s="609"/>
      <c r="M58" s="491"/>
      <c r="N58" s="491"/>
      <c r="O58" s="491"/>
      <c r="P58" s="491"/>
      <c r="Q58" s="593"/>
      <c r="R58" s="609"/>
      <c r="S58" s="609"/>
    </row>
    <row r="59" spans="2:19">
      <c r="B59" s="593"/>
      <c r="C59" s="593"/>
      <c r="D59" s="593"/>
      <c r="E59" s="593"/>
      <c r="F59" s="593"/>
      <c r="G59" s="593"/>
      <c r="H59" s="593"/>
      <c r="I59" s="605"/>
      <c r="J59" s="593"/>
      <c r="K59" s="593"/>
      <c r="L59" s="593"/>
      <c r="M59" s="629"/>
      <c r="N59" s="629"/>
      <c r="O59" s="629"/>
      <c r="P59" s="629"/>
      <c r="Q59" s="593"/>
      <c r="R59" s="593"/>
      <c r="S59" s="593"/>
    </row>
    <row r="60" spans="2:19">
      <c r="B60" s="639" t="s">
        <v>1715</v>
      </c>
      <c r="C60" s="593"/>
      <c r="D60" s="593"/>
      <c r="E60" s="593"/>
      <c r="F60" s="593"/>
      <c r="G60" s="593"/>
      <c r="H60" s="593"/>
      <c r="I60" s="605"/>
      <c r="J60" s="593"/>
      <c r="K60" s="593"/>
      <c r="L60" s="593"/>
      <c r="M60" s="629"/>
      <c r="N60" s="629"/>
      <c r="O60" s="629"/>
      <c r="P60" s="629"/>
      <c r="Q60" s="593"/>
      <c r="R60" s="593"/>
      <c r="S60" s="593"/>
    </row>
    <row r="61" spans="2:19">
      <c r="B61" s="624"/>
      <c r="C61" s="593"/>
      <c r="D61" s="593"/>
      <c r="E61" s="593"/>
      <c r="F61" s="609"/>
      <c r="G61" s="609"/>
      <c r="H61" s="609"/>
      <c r="I61" s="625"/>
      <c r="J61" s="609"/>
      <c r="K61" s="609"/>
      <c r="L61" s="609"/>
      <c r="M61" s="491"/>
      <c r="N61" s="491"/>
      <c r="O61" s="491"/>
      <c r="P61" s="491"/>
      <c r="Q61" s="593"/>
      <c r="R61" s="493"/>
      <c r="S61" s="493"/>
    </row>
    <row r="62" spans="2:19">
      <c r="B62" s="624"/>
      <c r="C62" s="593"/>
      <c r="D62" s="593"/>
      <c r="E62" s="593"/>
      <c r="F62" s="609"/>
      <c r="G62" s="609"/>
      <c r="H62" s="609"/>
      <c r="I62" s="625"/>
      <c r="J62" s="609"/>
      <c r="K62" s="609"/>
      <c r="L62" s="609"/>
      <c r="M62" s="491"/>
      <c r="N62" s="491"/>
      <c r="O62" s="491"/>
      <c r="P62" s="491"/>
      <c r="Q62" s="593"/>
      <c r="R62" s="493"/>
      <c r="S62" s="493"/>
    </row>
    <row r="63" spans="2:19">
      <c r="B63" s="624"/>
      <c r="C63" s="593"/>
      <c r="D63" s="593"/>
      <c r="E63" s="593"/>
      <c r="F63" s="609"/>
      <c r="G63" s="609"/>
      <c r="H63" s="609"/>
      <c r="I63" s="625"/>
      <c r="J63" s="609"/>
      <c r="K63" s="609"/>
      <c r="L63" s="609"/>
      <c r="M63" s="491"/>
      <c r="N63" s="491"/>
      <c r="O63" s="491"/>
      <c r="P63" s="491"/>
      <c r="Q63" s="593"/>
      <c r="R63" s="493"/>
      <c r="S63" s="493"/>
    </row>
    <row r="64" spans="2:19">
      <c r="B64" s="624"/>
      <c r="C64" s="593"/>
      <c r="D64" s="593"/>
      <c r="E64" s="593"/>
      <c r="F64" s="609"/>
      <c r="G64" s="609"/>
      <c r="H64" s="609"/>
      <c r="I64" s="625"/>
      <c r="J64" s="609"/>
      <c r="K64" s="609"/>
      <c r="L64" s="609"/>
      <c r="M64" s="491"/>
      <c r="N64" s="491"/>
      <c r="O64" s="491"/>
      <c r="P64" s="491"/>
      <c r="Q64" s="593"/>
      <c r="R64" s="493"/>
      <c r="S64" s="493"/>
    </row>
    <row r="65" spans="2:19" ht="15.15">
      <c r="B65" s="624"/>
      <c r="C65" s="593"/>
      <c r="D65" s="593"/>
      <c r="E65" s="593"/>
      <c r="F65" s="613"/>
      <c r="G65" s="613"/>
      <c r="H65" s="613"/>
      <c r="I65" s="626"/>
      <c r="J65" s="613"/>
      <c r="K65" s="613"/>
      <c r="L65" s="613"/>
      <c r="M65" s="495"/>
      <c r="N65" s="495"/>
      <c r="O65" s="495"/>
      <c r="P65" s="495"/>
      <c r="Q65" s="593"/>
      <c r="R65" s="497"/>
      <c r="S65" s="497"/>
    </row>
    <row r="66" spans="2:19" ht="13.7">
      <c r="B66" s="627" t="s">
        <v>1772</v>
      </c>
      <c r="C66" s="593"/>
      <c r="D66" s="593"/>
      <c r="E66" s="593"/>
      <c r="F66" s="619"/>
      <c r="G66" s="619"/>
      <c r="H66" s="619"/>
      <c r="I66" s="628"/>
      <c r="J66" s="619"/>
      <c r="K66" s="619"/>
      <c r="L66" s="619"/>
      <c r="M66" s="500"/>
      <c r="N66" s="500"/>
      <c r="O66" s="500"/>
      <c r="P66" s="500"/>
      <c r="Q66" s="593"/>
      <c r="R66" s="502"/>
      <c r="S66" s="502"/>
    </row>
    <row r="67" spans="2:19">
      <c r="B67" s="624" t="s">
        <v>1777</v>
      </c>
      <c r="C67" s="593"/>
      <c r="D67" s="593"/>
      <c r="E67" s="593"/>
      <c r="F67" s="609"/>
      <c r="G67" s="609"/>
      <c r="H67" s="609"/>
      <c r="I67" s="625"/>
      <c r="J67" s="609"/>
      <c r="K67" s="609"/>
      <c r="L67" s="609"/>
      <c r="M67" s="491"/>
      <c r="N67" s="491"/>
      <c r="O67" s="491"/>
      <c r="P67" s="491"/>
      <c r="Q67" s="593"/>
      <c r="R67" s="493"/>
      <c r="S67" s="493"/>
    </row>
    <row r="68" spans="2:19">
      <c r="B68" s="593"/>
      <c r="C68" s="593"/>
      <c r="D68" s="593"/>
      <c r="E68" s="593"/>
      <c r="F68" s="593"/>
      <c r="G68" s="593"/>
      <c r="H68" s="593"/>
      <c r="I68" s="605"/>
      <c r="J68" s="593"/>
      <c r="K68" s="593"/>
      <c r="L68" s="593"/>
      <c r="M68" s="629"/>
      <c r="N68" s="629"/>
      <c r="O68" s="629"/>
      <c r="P68" s="629"/>
      <c r="Q68" s="593"/>
      <c r="R68" s="593"/>
      <c r="S68" s="593"/>
    </row>
    <row r="69" spans="2:19">
      <c r="B69" s="602" t="s">
        <v>1716</v>
      </c>
      <c r="C69" s="603"/>
      <c r="D69" s="604"/>
      <c r="E69" s="593"/>
      <c r="F69" s="593"/>
      <c r="G69" s="593"/>
      <c r="H69" s="593"/>
      <c r="I69" s="605"/>
      <c r="J69" s="593"/>
      <c r="K69" s="593"/>
      <c r="L69" s="593"/>
      <c r="M69" s="629"/>
      <c r="N69" s="629"/>
      <c r="O69" s="629"/>
      <c r="P69" s="629"/>
      <c r="Q69" s="593"/>
      <c r="R69" s="593"/>
      <c r="S69" s="593"/>
    </row>
    <row r="70" spans="2:19">
      <c r="B70" s="620"/>
      <c r="C70" s="593"/>
      <c r="D70" s="593"/>
      <c r="E70" s="593"/>
      <c r="F70" s="606"/>
      <c r="G70" s="607"/>
      <c r="H70" s="607"/>
      <c r="I70" s="608"/>
      <c r="J70" s="607"/>
      <c r="K70" s="607"/>
      <c r="L70" s="607"/>
      <c r="M70" s="607"/>
      <c r="N70" s="607"/>
      <c r="O70" s="607"/>
      <c r="P70" s="607"/>
      <c r="Q70" s="593"/>
      <c r="R70" s="609"/>
      <c r="S70" s="609"/>
    </row>
    <row r="71" spans="2:19">
      <c r="B71" s="620"/>
      <c r="C71" s="593"/>
      <c r="D71" s="593"/>
      <c r="E71" s="593"/>
      <c r="F71" s="643"/>
      <c r="G71" s="643"/>
      <c r="H71" s="643"/>
      <c r="I71" s="644"/>
      <c r="J71" s="643"/>
      <c r="K71" s="643"/>
      <c r="L71" s="643"/>
      <c r="M71" s="607"/>
      <c r="N71" s="607"/>
      <c r="O71" s="607"/>
      <c r="P71" s="607"/>
      <c r="Q71" s="593"/>
      <c r="R71" s="609"/>
      <c r="S71" s="609"/>
    </row>
    <row r="72" spans="2:19" ht="15.15">
      <c r="B72" s="620"/>
      <c r="C72" s="593"/>
      <c r="D72" s="593"/>
      <c r="E72" s="593"/>
      <c r="F72" s="645"/>
      <c r="G72" s="645"/>
      <c r="H72" s="645"/>
      <c r="I72" s="646"/>
      <c r="J72" s="645"/>
      <c r="K72" s="645"/>
      <c r="L72" s="645"/>
      <c r="M72" s="611"/>
      <c r="N72" s="611"/>
      <c r="O72" s="611"/>
      <c r="P72" s="611"/>
      <c r="Q72" s="593"/>
      <c r="R72" s="613"/>
      <c r="S72" s="613"/>
    </row>
    <row r="73" spans="2:19" ht="13.7">
      <c r="B73" s="614" t="s">
        <v>1778</v>
      </c>
      <c r="C73" s="593"/>
      <c r="D73" s="593"/>
      <c r="E73" s="593"/>
      <c r="F73" s="647"/>
      <c r="G73" s="647"/>
      <c r="H73" s="647"/>
      <c r="I73" s="648"/>
      <c r="J73" s="647"/>
      <c r="K73" s="647"/>
      <c r="L73" s="647"/>
      <c r="M73" s="617"/>
      <c r="N73" s="617"/>
      <c r="O73" s="617"/>
      <c r="P73" s="617"/>
      <c r="Q73" s="593"/>
      <c r="R73" s="619"/>
      <c r="S73" s="619"/>
    </row>
    <row r="74" spans="2:19">
      <c r="B74" s="620"/>
      <c r="C74" s="593"/>
      <c r="D74" s="593"/>
      <c r="E74" s="593"/>
      <c r="F74" s="606"/>
      <c r="G74" s="643"/>
      <c r="H74" s="643"/>
      <c r="I74" s="644"/>
      <c r="J74" s="643"/>
      <c r="K74" s="643"/>
      <c r="L74" s="643"/>
      <c r="M74" s="607"/>
      <c r="N74" s="607"/>
      <c r="O74" s="607"/>
      <c r="P74" s="607"/>
      <c r="Q74" s="593"/>
      <c r="R74" s="609"/>
      <c r="S74" s="609"/>
    </row>
    <row r="75" spans="2:19">
      <c r="B75" s="620"/>
      <c r="C75" s="593"/>
      <c r="D75" s="593"/>
      <c r="E75" s="593"/>
      <c r="F75" s="606"/>
      <c r="G75" s="643"/>
      <c r="H75" s="643"/>
      <c r="I75" s="644"/>
      <c r="J75" s="643"/>
      <c r="K75" s="643"/>
      <c r="L75" s="606"/>
      <c r="M75" s="607"/>
      <c r="N75" s="607"/>
      <c r="O75" s="607"/>
      <c r="P75" s="607"/>
      <c r="Q75" s="593"/>
      <c r="R75" s="609"/>
      <c r="S75" s="609"/>
    </row>
    <row r="76" spans="2:19">
      <c r="B76" s="620"/>
      <c r="C76" s="593"/>
      <c r="D76" s="593"/>
      <c r="E76" s="593"/>
      <c r="F76" s="643"/>
      <c r="G76" s="643"/>
      <c r="H76" s="643"/>
      <c r="I76" s="644"/>
      <c r="J76" s="643"/>
      <c r="K76" s="643"/>
      <c r="L76" s="643"/>
      <c r="M76" s="607"/>
      <c r="N76" s="607"/>
      <c r="O76" s="607"/>
      <c r="P76" s="607"/>
      <c r="Q76" s="593"/>
      <c r="R76" s="609"/>
      <c r="S76" s="609"/>
    </row>
    <row r="77" spans="2:19">
      <c r="B77" s="620"/>
      <c r="C77" s="593"/>
      <c r="D77" s="593"/>
      <c r="E77" s="593"/>
      <c r="F77" s="606"/>
      <c r="G77" s="643"/>
      <c r="H77" s="643"/>
      <c r="I77" s="644"/>
      <c r="J77" s="643"/>
      <c r="K77" s="643"/>
      <c r="L77" s="643"/>
      <c r="M77" s="607"/>
      <c r="N77" s="607"/>
      <c r="O77" s="607"/>
      <c r="P77" s="607"/>
      <c r="Q77" s="593"/>
      <c r="R77" s="609"/>
      <c r="S77" s="609"/>
    </row>
    <row r="78" spans="2:19" ht="15.15">
      <c r="B78" s="593"/>
      <c r="C78" s="593"/>
      <c r="D78" s="593"/>
      <c r="E78" s="593"/>
      <c r="F78" s="645"/>
      <c r="G78" s="645"/>
      <c r="H78" s="645"/>
      <c r="I78" s="646"/>
      <c r="J78" s="645"/>
      <c r="K78" s="645"/>
      <c r="L78" s="645"/>
      <c r="M78" s="611"/>
      <c r="N78" s="611"/>
      <c r="O78" s="611"/>
      <c r="P78" s="611"/>
      <c r="Q78" s="593"/>
      <c r="R78" s="613"/>
      <c r="S78" s="613"/>
    </row>
    <row r="79" spans="2:19" ht="13.7">
      <c r="B79" s="614" t="s">
        <v>1705</v>
      </c>
      <c r="C79" s="593"/>
      <c r="D79" s="593"/>
      <c r="E79" s="593"/>
      <c r="F79" s="647"/>
      <c r="G79" s="647"/>
      <c r="H79" s="647"/>
      <c r="I79" s="648"/>
      <c r="J79" s="647"/>
      <c r="K79" s="647"/>
      <c r="L79" s="647"/>
      <c r="M79" s="617"/>
      <c r="N79" s="617"/>
      <c r="O79" s="617"/>
      <c r="P79" s="617"/>
      <c r="Q79" s="593"/>
      <c r="R79" s="619"/>
      <c r="S79" s="619"/>
    </row>
    <row r="80" spans="2:19">
      <c r="B80" s="592"/>
      <c r="C80" s="592"/>
      <c r="D80" s="592"/>
      <c r="E80" s="592"/>
      <c r="F80" s="592"/>
      <c r="G80" s="592"/>
      <c r="H80" s="592"/>
      <c r="I80" s="649"/>
      <c r="J80" s="592"/>
      <c r="K80" s="592"/>
      <c r="L80" s="592"/>
      <c r="M80" s="650"/>
      <c r="N80" s="650"/>
      <c r="O80" s="650"/>
      <c r="P80" s="650"/>
      <c r="Q80" s="592"/>
      <c r="R80" s="592"/>
      <c r="S80" s="592"/>
    </row>
    <row r="81" spans="2:19">
      <c r="B81" s="623" t="s">
        <v>1708</v>
      </c>
      <c r="C81" s="593"/>
      <c r="D81" s="593"/>
      <c r="E81" s="593"/>
      <c r="F81" s="593"/>
      <c r="G81" s="593"/>
      <c r="H81" s="593"/>
      <c r="I81" s="605"/>
      <c r="J81" s="593"/>
      <c r="K81" s="593"/>
      <c r="L81" s="593"/>
      <c r="M81" s="629"/>
      <c r="N81" s="629"/>
      <c r="O81" s="629"/>
      <c r="P81" s="629"/>
      <c r="Q81" s="593"/>
      <c r="R81" s="593"/>
      <c r="S81" s="593"/>
    </row>
    <row r="82" spans="2:19">
      <c r="B82" s="624"/>
      <c r="C82" s="593"/>
      <c r="D82" s="593"/>
      <c r="E82" s="593"/>
      <c r="F82" s="609"/>
      <c r="G82" s="609"/>
      <c r="H82" s="609"/>
      <c r="I82" s="625"/>
      <c r="J82" s="609"/>
      <c r="K82" s="609"/>
      <c r="L82" s="609"/>
      <c r="M82" s="491"/>
      <c r="N82" s="491"/>
      <c r="O82" s="491"/>
      <c r="P82" s="491"/>
      <c r="Q82" s="593"/>
      <c r="R82" s="593"/>
      <c r="S82" s="593"/>
    </row>
    <row r="83" spans="2:19">
      <c r="B83" s="624"/>
      <c r="C83" s="593"/>
      <c r="D83" s="593"/>
      <c r="E83" s="593"/>
      <c r="F83" s="609"/>
      <c r="G83" s="609"/>
      <c r="H83" s="609"/>
      <c r="I83" s="625"/>
      <c r="J83" s="609"/>
      <c r="K83" s="609"/>
      <c r="L83" s="609"/>
      <c r="M83" s="491"/>
      <c r="N83" s="491"/>
      <c r="O83" s="491"/>
      <c r="P83" s="491"/>
      <c r="Q83" s="593"/>
      <c r="R83" s="593"/>
      <c r="S83" s="593"/>
    </row>
    <row r="84" spans="2:19">
      <c r="B84" s="624"/>
      <c r="C84" s="593"/>
      <c r="D84" s="593"/>
      <c r="E84" s="593"/>
      <c r="F84" s="613"/>
      <c r="G84" s="613"/>
      <c r="H84" s="613"/>
      <c r="I84" s="626"/>
      <c r="J84" s="613"/>
      <c r="K84" s="613"/>
      <c r="L84" s="613"/>
      <c r="M84" s="495"/>
      <c r="N84" s="495"/>
      <c r="O84" s="495"/>
      <c r="P84" s="495"/>
      <c r="Q84" s="593"/>
      <c r="R84" s="593"/>
      <c r="S84" s="593"/>
    </row>
    <row r="85" spans="2:19" ht="13.7">
      <c r="B85" s="627" t="s">
        <v>1717</v>
      </c>
      <c r="C85" s="593"/>
      <c r="D85" s="593"/>
      <c r="E85" s="593"/>
      <c r="F85" s="619"/>
      <c r="G85" s="619"/>
      <c r="H85" s="619"/>
      <c r="I85" s="628"/>
      <c r="J85" s="619"/>
      <c r="K85" s="619"/>
      <c r="L85" s="619"/>
      <c r="M85" s="500"/>
      <c r="N85" s="500"/>
      <c r="O85" s="500"/>
      <c r="P85" s="500"/>
      <c r="Q85" s="593"/>
      <c r="R85" s="593"/>
      <c r="S85" s="593"/>
    </row>
    <row r="86" spans="2:19">
      <c r="B86" s="624"/>
      <c r="C86" s="593"/>
      <c r="D86" s="593"/>
      <c r="E86" s="593"/>
      <c r="F86" s="609"/>
      <c r="G86" s="609"/>
      <c r="H86" s="609"/>
      <c r="I86" s="625"/>
      <c r="J86" s="609"/>
      <c r="K86" s="609"/>
      <c r="L86" s="609"/>
      <c r="M86" s="491"/>
      <c r="N86" s="491"/>
      <c r="O86" s="491"/>
      <c r="P86" s="491"/>
      <c r="Q86" s="593"/>
      <c r="R86" s="593"/>
      <c r="S86" s="593"/>
    </row>
    <row r="87" spans="2:19">
      <c r="B87" s="624"/>
      <c r="C87" s="593"/>
      <c r="D87" s="593"/>
      <c r="E87" s="593"/>
      <c r="F87" s="609"/>
      <c r="G87" s="609"/>
      <c r="H87" s="609"/>
      <c r="I87" s="625"/>
      <c r="J87" s="609"/>
      <c r="K87" s="609"/>
      <c r="L87" s="609"/>
      <c r="M87" s="491"/>
      <c r="N87" s="491"/>
      <c r="O87" s="491"/>
      <c r="P87" s="491"/>
      <c r="Q87" s="593"/>
      <c r="R87" s="593"/>
      <c r="S87" s="593"/>
    </row>
    <row r="88" spans="2:19">
      <c r="B88" s="624"/>
      <c r="C88" s="593"/>
      <c r="D88" s="593"/>
      <c r="E88" s="593"/>
      <c r="F88" s="609"/>
      <c r="G88" s="609"/>
      <c r="H88" s="609"/>
      <c r="I88" s="625"/>
      <c r="J88" s="609"/>
      <c r="K88" s="609"/>
      <c r="L88" s="609"/>
      <c r="M88" s="491"/>
      <c r="N88" s="491"/>
      <c r="O88" s="491"/>
      <c r="P88" s="491"/>
      <c r="Q88" s="593"/>
      <c r="R88" s="593"/>
      <c r="S88" s="593"/>
    </row>
    <row r="89" spans="2:19">
      <c r="B89" s="624"/>
      <c r="C89" s="593"/>
      <c r="D89" s="593"/>
      <c r="E89" s="593"/>
      <c r="F89" s="613"/>
      <c r="G89" s="613"/>
      <c r="H89" s="613"/>
      <c r="I89" s="626"/>
      <c r="J89" s="613"/>
      <c r="K89" s="613"/>
      <c r="L89" s="613"/>
      <c r="M89" s="495"/>
      <c r="N89" s="495"/>
      <c r="O89" s="495"/>
      <c r="P89" s="495"/>
      <c r="Q89" s="593"/>
      <c r="R89" s="593"/>
      <c r="S89" s="593"/>
    </row>
    <row r="90" spans="2:19" ht="13.7">
      <c r="B90" s="627" t="s">
        <v>1705</v>
      </c>
      <c r="C90" s="593"/>
      <c r="D90" s="593"/>
      <c r="E90" s="593"/>
      <c r="F90" s="619"/>
      <c r="G90" s="619"/>
      <c r="H90" s="619"/>
      <c r="I90" s="628"/>
      <c r="J90" s="619"/>
      <c r="K90" s="619"/>
      <c r="L90" s="619"/>
      <c r="M90" s="500"/>
      <c r="N90" s="500"/>
      <c r="O90" s="500"/>
      <c r="P90" s="500"/>
      <c r="Q90" s="593"/>
      <c r="R90" s="593"/>
      <c r="S90" s="593"/>
    </row>
    <row r="91" spans="2:19">
      <c r="B91" s="593"/>
      <c r="C91" s="593"/>
      <c r="D91" s="593"/>
      <c r="E91" s="593"/>
      <c r="F91" s="593"/>
      <c r="G91" s="593"/>
      <c r="H91" s="593"/>
      <c r="I91" s="605"/>
      <c r="J91" s="593"/>
      <c r="K91" s="593"/>
      <c r="L91" s="593"/>
      <c r="M91" s="629"/>
      <c r="N91" s="629"/>
      <c r="O91" s="629"/>
      <c r="P91" s="629"/>
      <c r="Q91" s="593"/>
      <c r="R91" s="593"/>
      <c r="S91" s="593"/>
    </row>
    <row r="92" spans="2:19">
      <c r="B92" s="623" t="s">
        <v>1718</v>
      </c>
      <c r="C92" s="593"/>
      <c r="D92" s="593"/>
      <c r="E92" s="593"/>
      <c r="F92" s="593"/>
      <c r="G92" s="593"/>
      <c r="H92" s="593"/>
      <c r="I92" s="605"/>
      <c r="J92" s="593"/>
      <c r="K92" s="593"/>
      <c r="L92" s="593"/>
      <c r="M92" s="629"/>
      <c r="N92" s="629"/>
      <c r="O92" s="629"/>
      <c r="P92" s="629"/>
      <c r="Q92" s="593"/>
      <c r="R92" s="593"/>
      <c r="S92" s="593"/>
    </row>
    <row r="93" spans="2:19">
      <c r="B93" s="624"/>
      <c r="C93" s="593"/>
      <c r="D93" s="593"/>
      <c r="E93" s="593"/>
      <c r="F93" s="609"/>
      <c r="G93" s="609"/>
      <c r="H93" s="609"/>
      <c r="I93" s="625"/>
      <c r="J93" s="609"/>
      <c r="K93" s="609"/>
      <c r="L93" s="609"/>
      <c r="M93" s="491"/>
      <c r="N93" s="491"/>
      <c r="O93" s="491"/>
      <c r="P93" s="491"/>
      <c r="Q93" s="593"/>
      <c r="R93" s="593"/>
      <c r="S93" s="593"/>
    </row>
    <row r="94" spans="2:19">
      <c r="B94" s="624"/>
      <c r="C94" s="593"/>
      <c r="D94" s="593"/>
      <c r="E94" s="593"/>
      <c r="F94" s="609"/>
      <c r="G94" s="609"/>
      <c r="H94" s="609"/>
      <c r="I94" s="625"/>
      <c r="J94" s="609"/>
      <c r="K94" s="609"/>
      <c r="L94" s="609"/>
      <c r="M94" s="491"/>
      <c r="N94" s="491"/>
      <c r="O94" s="491"/>
      <c r="P94" s="491"/>
      <c r="Q94" s="593"/>
      <c r="R94" s="593"/>
      <c r="S94" s="593"/>
    </row>
    <row r="95" spans="2:19">
      <c r="B95" s="624"/>
      <c r="C95" s="593"/>
      <c r="D95" s="593"/>
      <c r="E95" s="593"/>
      <c r="F95" s="613"/>
      <c r="G95" s="613"/>
      <c r="H95" s="613"/>
      <c r="I95" s="626"/>
      <c r="J95" s="613"/>
      <c r="K95" s="613"/>
      <c r="L95" s="613"/>
      <c r="M95" s="495"/>
      <c r="N95" s="495"/>
      <c r="O95" s="495"/>
      <c r="P95" s="495"/>
      <c r="Q95" s="593"/>
      <c r="R95" s="593"/>
      <c r="S95" s="593"/>
    </row>
    <row r="96" spans="2:19" ht="13.7">
      <c r="B96" s="651" t="s">
        <v>1717</v>
      </c>
      <c r="C96" s="615"/>
      <c r="D96" s="615"/>
      <c r="E96" s="615"/>
      <c r="F96" s="619"/>
      <c r="G96" s="619"/>
      <c r="H96" s="619"/>
      <c r="I96" s="628"/>
      <c r="J96" s="619"/>
      <c r="K96" s="619"/>
      <c r="L96" s="619"/>
      <c r="M96" s="500"/>
      <c r="N96" s="500"/>
      <c r="O96" s="500"/>
      <c r="P96" s="500"/>
      <c r="Q96" s="615"/>
      <c r="R96" s="615"/>
      <c r="S96" s="615"/>
    </row>
    <row r="97" spans="2:19">
      <c r="B97" s="624"/>
      <c r="C97" s="593"/>
      <c r="D97" s="593"/>
      <c r="E97" s="593"/>
      <c r="F97" s="609"/>
      <c r="G97" s="609"/>
      <c r="H97" s="609"/>
      <c r="I97" s="625"/>
      <c r="J97" s="609"/>
      <c r="K97" s="609"/>
      <c r="L97" s="609"/>
      <c r="M97" s="491"/>
      <c r="N97" s="491"/>
      <c r="O97" s="491"/>
      <c r="P97" s="491"/>
      <c r="Q97" s="593"/>
      <c r="R97" s="593"/>
      <c r="S97" s="593"/>
    </row>
    <row r="98" spans="2:19">
      <c r="B98" s="624"/>
      <c r="C98" s="593"/>
      <c r="D98" s="593"/>
      <c r="E98" s="593"/>
      <c r="F98" s="609"/>
      <c r="G98" s="609"/>
      <c r="H98" s="609"/>
      <c r="I98" s="625"/>
      <c r="J98" s="609"/>
      <c r="K98" s="609"/>
      <c r="L98" s="609"/>
      <c r="M98" s="491"/>
      <c r="N98" s="491"/>
      <c r="O98" s="491"/>
      <c r="P98" s="491"/>
      <c r="Q98" s="593"/>
      <c r="R98" s="593"/>
      <c r="S98" s="593"/>
    </row>
    <row r="99" spans="2:19">
      <c r="B99" s="624"/>
      <c r="C99" s="593"/>
      <c r="D99" s="593"/>
      <c r="E99" s="593"/>
      <c r="F99" s="609"/>
      <c r="G99" s="609"/>
      <c r="H99" s="609"/>
      <c r="I99" s="625"/>
      <c r="J99" s="609"/>
      <c r="K99" s="609"/>
      <c r="L99" s="609"/>
      <c r="M99" s="491"/>
      <c r="N99" s="491"/>
      <c r="O99" s="491"/>
      <c r="P99" s="491"/>
      <c r="Q99" s="593"/>
      <c r="R99" s="593"/>
      <c r="S99" s="593"/>
    </row>
    <row r="100" spans="2:19">
      <c r="B100" s="624"/>
      <c r="C100" s="593"/>
      <c r="D100" s="593"/>
      <c r="E100" s="593"/>
      <c r="F100" s="609"/>
      <c r="G100" s="609"/>
      <c r="H100" s="609"/>
      <c r="I100" s="625"/>
      <c r="J100" s="609"/>
      <c r="K100" s="609"/>
      <c r="L100" s="609"/>
      <c r="M100" s="491"/>
      <c r="N100" s="491"/>
      <c r="O100" s="491"/>
      <c r="P100" s="491"/>
      <c r="Q100" s="593"/>
      <c r="R100" s="593"/>
      <c r="S100" s="593"/>
    </row>
    <row r="101" spans="2:19">
      <c r="B101" s="624"/>
      <c r="C101" s="593"/>
      <c r="D101" s="593"/>
      <c r="E101" s="593"/>
      <c r="F101" s="609"/>
      <c r="G101" s="609"/>
      <c r="H101" s="609"/>
      <c r="I101" s="625"/>
      <c r="J101" s="609"/>
      <c r="K101" s="609"/>
      <c r="L101" s="609"/>
      <c r="M101" s="491"/>
      <c r="N101" s="491"/>
      <c r="O101" s="491"/>
      <c r="P101" s="491"/>
      <c r="Q101" s="593"/>
      <c r="R101" s="593"/>
      <c r="S101" s="593"/>
    </row>
    <row r="102" spans="2:19">
      <c r="B102" s="623" t="s">
        <v>1719</v>
      </c>
      <c r="C102" s="593"/>
      <c r="D102" s="593"/>
      <c r="E102" s="593"/>
      <c r="F102" s="609"/>
      <c r="G102" s="609"/>
      <c r="H102" s="609"/>
      <c r="I102" s="625"/>
      <c r="J102" s="609"/>
      <c r="K102" s="609"/>
      <c r="L102" s="609"/>
      <c r="M102" s="491"/>
      <c r="N102" s="491"/>
      <c r="O102" s="491"/>
      <c r="P102" s="491"/>
      <c r="Q102" s="593"/>
      <c r="R102" s="593"/>
      <c r="S102" s="593"/>
    </row>
    <row r="103" spans="2:19">
      <c r="B103" s="624"/>
      <c r="C103" s="593"/>
      <c r="D103" s="593"/>
      <c r="E103" s="593"/>
      <c r="F103" s="609"/>
      <c r="G103" s="609"/>
      <c r="H103" s="609"/>
      <c r="I103" s="625"/>
      <c r="J103" s="609"/>
      <c r="K103" s="609"/>
      <c r="L103" s="609"/>
      <c r="M103" s="491"/>
      <c r="N103" s="491"/>
      <c r="O103" s="491"/>
      <c r="P103" s="491"/>
      <c r="Q103" s="593"/>
      <c r="R103" s="593"/>
      <c r="S103" s="593"/>
    </row>
    <row r="104" spans="2:19">
      <c r="B104" s="624"/>
      <c r="C104" s="593"/>
      <c r="D104" s="593"/>
      <c r="E104" s="593"/>
      <c r="F104" s="609"/>
      <c r="G104" s="609"/>
      <c r="H104" s="609"/>
      <c r="I104" s="625"/>
      <c r="J104" s="609"/>
      <c r="K104" s="609"/>
      <c r="L104" s="609"/>
      <c r="M104" s="491"/>
      <c r="N104" s="491"/>
      <c r="O104" s="491"/>
      <c r="P104" s="491"/>
      <c r="Q104" s="593"/>
      <c r="R104" s="593"/>
      <c r="S104" s="593"/>
    </row>
    <row r="105" spans="2:19">
      <c r="B105" s="624"/>
      <c r="C105" s="593"/>
      <c r="D105" s="593"/>
      <c r="E105" s="593"/>
      <c r="F105" s="613"/>
      <c r="G105" s="613"/>
      <c r="H105" s="613"/>
      <c r="I105" s="626"/>
      <c r="J105" s="613"/>
      <c r="K105" s="613"/>
      <c r="L105" s="613"/>
      <c r="M105" s="495"/>
      <c r="N105" s="495"/>
      <c r="O105" s="495"/>
      <c r="P105" s="495"/>
      <c r="Q105" s="593"/>
      <c r="R105" s="593"/>
      <c r="S105" s="593"/>
    </row>
    <row r="106" spans="2:19" ht="13.7">
      <c r="B106" s="627" t="s">
        <v>1717</v>
      </c>
      <c r="C106" s="615"/>
      <c r="D106" s="615"/>
      <c r="E106" s="615"/>
      <c r="F106" s="619"/>
      <c r="G106" s="619"/>
      <c r="H106" s="619"/>
      <c r="I106" s="628"/>
      <c r="J106" s="619"/>
      <c r="K106" s="619"/>
      <c r="L106" s="619"/>
      <c r="M106" s="500"/>
      <c r="N106" s="500"/>
      <c r="O106" s="500"/>
      <c r="P106" s="500"/>
      <c r="Q106" s="615"/>
      <c r="R106" s="615"/>
      <c r="S106" s="615"/>
    </row>
    <row r="107" spans="2:19">
      <c r="B107" s="593"/>
      <c r="C107" s="593"/>
      <c r="D107" s="593"/>
      <c r="E107" s="593"/>
      <c r="F107" s="652"/>
      <c r="G107" s="652"/>
      <c r="H107" s="652"/>
      <c r="I107" s="605"/>
      <c r="J107" s="593"/>
      <c r="K107" s="593"/>
      <c r="L107" s="593"/>
      <c r="M107" s="629"/>
      <c r="N107" s="629"/>
      <c r="O107" s="629"/>
      <c r="P107" s="629"/>
      <c r="Q107" s="593"/>
      <c r="R107" s="593"/>
      <c r="S107" s="593"/>
    </row>
    <row r="108" spans="2:19">
      <c r="B108" s="639" t="s">
        <v>1706</v>
      </c>
      <c r="C108" s="593"/>
      <c r="D108" s="593"/>
      <c r="E108" s="593"/>
      <c r="F108" s="593"/>
      <c r="G108" s="593"/>
      <c r="H108" s="593"/>
      <c r="I108" s="605"/>
      <c r="J108" s="593"/>
      <c r="K108" s="593"/>
      <c r="L108" s="593"/>
      <c r="M108" s="629"/>
      <c r="N108" s="629"/>
      <c r="O108" s="629"/>
      <c r="P108" s="629"/>
      <c r="Q108" s="593"/>
      <c r="R108" s="593"/>
      <c r="S108" s="593"/>
    </row>
    <row r="109" spans="2:19">
      <c r="B109" s="653"/>
      <c r="C109" s="593"/>
      <c r="D109" s="593"/>
      <c r="E109" s="593"/>
      <c r="F109" s="609"/>
      <c r="G109" s="609"/>
      <c r="H109" s="609"/>
      <c r="I109" s="492"/>
      <c r="J109" s="491"/>
      <c r="K109" s="491"/>
      <c r="L109" s="491"/>
      <c r="M109" s="491"/>
      <c r="N109" s="491"/>
      <c r="O109" s="491"/>
      <c r="P109" s="491"/>
      <c r="Q109" s="593"/>
      <c r="R109" s="494"/>
      <c r="S109" s="494"/>
    </row>
    <row r="110" spans="2:19">
      <c r="B110" s="653"/>
      <c r="C110" s="593"/>
      <c r="D110" s="593"/>
      <c r="E110" s="593"/>
      <c r="F110" s="609"/>
      <c r="G110" s="609"/>
      <c r="H110" s="609"/>
      <c r="I110" s="492"/>
      <c r="J110" s="491"/>
      <c r="K110" s="491"/>
      <c r="L110" s="491"/>
      <c r="M110" s="491"/>
      <c r="N110" s="491"/>
      <c r="O110" s="491"/>
      <c r="P110" s="491"/>
      <c r="Q110" s="593"/>
      <c r="R110" s="494"/>
      <c r="S110" s="494"/>
    </row>
    <row r="111" spans="2:19" ht="15.15">
      <c r="B111" s="653"/>
      <c r="C111" s="593"/>
      <c r="D111" s="593"/>
      <c r="E111" s="593"/>
      <c r="F111" s="613"/>
      <c r="G111" s="613"/>
      <c r="H111" s="613"/>
      <c r="I111" s="496"/>
      <c r="J111" s="495"/>
      <c r="K111" s="495"/>
      <c r="L111" s="495"/>
      <c r="M111" s="495"/>
      <c r="N111" s="495"/>
      <c r="O111" s="495"/>
      <c r="P111" s="495"/>
      <c r="Q111" s="593"/>
      <c r="R111" s="498"/>
      <c r="S111" s="498"/>
    </row>
    <row r="112" spans="2:19" ht="13.7">
      <c r="B112" s="654" t="s">
        <v>1707</v>
      </c>
      <c r="C112" s="593"/>
      <c r="D112" s="593"/>
      <c r="E112" s="593"/>
      <c r="F112" s="619"/>
      <c r="G112" s="619"/>
      <c r="H112" s="619"/>
      <c r="I112" s="501"/>
      <c r="J112" s="500"/>
      <c r="K112" s="500"/>
      <c r="L112" s="500"/>
      <c r="M112" s="500"/>
      <c r="N112" s="500"/>
      <c r="O112" s="500"/>
      <c r="P112" s="500"/>
      <c r="Q112" s="593"/>
      <c r="R112" s="503"/>
      <c r="S112" s="503"/>
    </row>
  </sheetData>
  <phoneticPr fontId="52" type="noConversion"/>
  <printOptions horizontalCentered="1"/>
  <pageMargins left="0.2" right="0.2" top="0.2" bottom="0.2" header="0.2" footer="0.2"/>
  <pageSetup paperSize="9" scale="53" fitToHeight="0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S289"/>
  <sheetViews>
    <sheetView showGridLines="0" view="pageBreakPreview" topLeftCell="A46" zoomScaleNormal="100" zoomScaleSheetLayoutView="100" workbookViewId="0">
      <selection activeCell="B3" sqref="A1:XFD1048576"/>
    </sheetView>
  </sheetViews>
  <sheetFormatPr defaultColWidth="9.28515625" defaultRowHeight="13" outlineLevelRow="1" outlineLevelCol="1"/>
  <cols>
    <col min="1" max="1" width="1.85546875" style="457" customWidth="1"/>
    <col min="2" max="2" width="40.85546875" style="457" customWidth="1"/>
    <col min="3" max="4" width="9.28515625" style="457"/>
    <col min="5" max="15" width="10.85546875" style="457" customWidth="1"/>
    <col min="16" max="16" width="9.28515625" style="457"/>
    <col min="17" max="18" width="10.85546875" style="457" hidden="1" customWidth="1" outlineLevel="1"/>
    <col min="19" max="19" width="9.28515625" style="457" collapsed="1"/>
    <col min="20" max="16384" width="9.28515625" style="457"/>
  </cols>
  <sheetData>
    <row r="2" spans="2:18">
      <c r="B2" s="454"/>
      <c r="C2" s="455"/>
      <c r="D2" s="455"/>
      <c r="E2" s="455"/>
      <c r="F2" s="455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4"/>
      <c r="R2" s="454"/>
    </row>
    <row r="3" spans="2:18" ht="16.600000000000001" thickBot="1">
      <c r="B3" s="458"/>
      <c r="C3" s="459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60"/>
      <c r="R3" s="461"/>
    </row>
    <row r="4" spans="2:18" ht="13.7" thickTop="1">
      <c r="B4" s="454"/>
      <c r="C4" s="455"/>
      <c r="D4" s="455"/>
      <c r="E4" s="455"/>
      <c r="F4" s="455"/>
      <c r="G4" s="455"/>
      <c r="H4" s="462"/>
      <c r="I4" s="455"/>
      <c r="J4" s="455"/>
      <c r="K4" s="455"/>
      <c r="L4" s="455"/>
      <c r="M4" s="455"/>
      <c r="N4" s="455"/>
      <c r="O4" s="455"/>
      <c r="P4" s="455"/>
      <c r="Q4" s="454"/>
      <c r="R4" s="463"/>
    </row>
    <row r="5" spans="2:18" ht="15.85">
      <c r="B5" s="455"/>
      <c r="C5" s="455"/>
      <c r="D5" s="455"/>
      <c r="E5" s="455"/>
      <c r="F5" s="455"/>
      <c r="G5" s="455"/>
      <c r="H5" s="456"/>
      <c r="I5" s="455"/>
      <c r="J5" s="455"/>
      <c r="K5" s="455"/>
      <c r="L5" s="455"/>
      <c r="M5" s="455"/>
      <c r="N5" s="455"/>
      <c r="O5" s="455"/>
      <c r="P5" s="455"/>
      <c r="Q5" s="464"/>
      <c r="R5" s="464"/>
    </row>
    <row r="6" spans="2:18" ht="15.85">
      <c r="B6" s="465"/>
      <c r="C6" s="455"/>
      <c r="D6" s="455"/>
      <c r="E6" s="466"/>
      <c r="F6" s="466"/>
      <c r="G6" s="466"/>
      <c r="H6" s="467"/>
      <c r="I6" s="468"/>
      <c r="J6" s="468"/>
      <c r="K6" s="468"/>
      <c r="L6" s="468"/>
      <c r="M6" s="468"/>
      <c r="N6" s="468"/>
      <c r="O6" s="468"/>
      <c r="P6" s="455"/>
      <c r="Q6" s="469"/>
      <c r="R6" s="469"/>
    </row>
    <row r="7" spans="2:18" ht="13.7">
      <c r="B7" s="470"/>
      <c r="C7" s="471"/>
      <c r="D7" s="472"/>
      <c r="E7" s="473"/>
      <c r="F7" s="474"/>
      <c r="G7" s="474"/>
      <c r="H7" s="475"/>
      <c r="I7" s="474"/>
      <c r="J7" s="474"/>
      <c r="K7" s="474"/>
      <c r="L7" s="474"/>
      <c r="M7" s="474"/>
      <c r="N7" s="474"/>
      <c r="O7" s="474"/>
      <c r="P7" s="476"/>
      <c r="Q7" s="477"/>
      <c r="R7" s="477"/>
    </row>
    <row r="8" spans="2:18">
      <c r="B8" s="465"/>
      <c r="C8" s="455"/>
      <c r="D8" s="472"/>
      <c r="E8" s="478"/>
      <c r="F8" s="478"/>
      <c r="G8" s="478"/>
      <c r="H8" s="479"/>
      <c r="I8" s="478"/>
      <c r="J8" s="478"/>
      <c r="K8" s="478"/>
      <c r="L8" s="478"/>
      <c r="M8" s="478"/>
      <c r="N8" s="478"/>
      <c r="O8" s="478"/>
      <c r="P8" s="476"/>
      <c r="Q8" s="480"/>
      <c r="R8" s="480"/>
    </row>
    <row r="9" spans="2:18">
      <c r="B9" s="465"/>
      <c r="C9" s="476"/>
      <c r="D9" s="472"/>
      <c r="E9" s="478"/>
      <c r="F9" s="478"/>
      <c r="G9" s="478"/>
      <c r="H9" s="479"/>
      <c r="I9" s="478"/>
      <c r="J9" s="478"/>
      <c r="K9" s="478"/>
      <c r="L9" s="478"/>
      <c r="M9" s="478"/>
      <c r="N9" s="478"/>
      <c r="O9" s="478"/>
      <c r="P9" s="476"/>
      <c r="Q9" s="480"/>
      <c r="R9" s="480"/>
    </row>
    <row r="10" spans="2:18" ht="15.15">
      <c r="B10" s="465"/>
      <c r="C10" s="454"/>
      <c r="D10" s="481"/>
      <c r="E10" s="482"/>
      <c r="F10" s="482"/>
      <c r="G10" s="482"/>
      <c r="H10" s="483"/>
      <c r="I10" s="482"/>
      <c r="J10" s="482"/>
      <c r="K10" s="482"/>
      <c r="L10" s="482"/>
      <c r="M10" s="482"/>
      <c r="N10" s="482"/>
      <c r="O10" s="482"/>
      <c r="P10" s="476"/>
      <c r="Q10" s="484"/>
      <c r="R10" s="484"/>
    </row>
    <row r="11" spans="2:18" ht="13.7">
      <c r="B11" s="485"/>
      <c r="C11" s="454"/>
      <c r="D11" s="486"/>
      <c r="E11" s="487"/>
      <c r="F11" s="487"/>
      <c r="G11" s="487"/>
      <c r="H11" s="488"/>
      <c r="I11" s="487"/>
      <c r="J11" s="487"/>
      <c r="K11" s="487"/>
      <c r="L11" s="487"/>
      <c r="M11" s="487"/>
      <c r="N11" s="487"/>
      <c r="O11" s="487"/>
      <c r="P11" s="476"/>
      <c r="Q11" s="477"/>
      <c r="R11" s="477"/>
    </row>
    <row r="12" spans="2:18" ht="13.7">
      <c r="B12" s="476"/>
      <c r="C12" s="455"/>
      <c r="D12" s="455"/>
      <c r="E12" s="474"/>
      <c r="F12" s="474"/>
      <c r="G12" s="474"/>
      <c r="H12" s="475"/>
      <c r="I12" s="474"/>
      <c r="J12" s="474"/>
      <c r="K12" s="474"/>
      <c r="L12" s="474"/>
      <c r="M12" s="474"/>
      <c r="N12" s="474"/>
      <c r="O12" s="474"/>
      <c r="P12" s="476"/>
      <c r="Q12" s="477"/>
      <c r="R12" s="477"/>
    </row>
    <row r="13" spans="2:18" ht="13.7">
      <c r="B13" s="489"/>
      <c r="C13" s="455"/>
      <c r="D13" s="455"/>
      <c r="E13" s="474"/>
      <c r="F13" s="474"/>
      <c r="G13" s="474"/>
      <c r="H13" s="475"/>
      <c r="I13" s="474"/>
      <c r="J13" s="474"/>
      <c r="K13" s="474"/>
      <c r="L13" s="474"/>
      <c r="M13" s="474"/>
      <c r="N13" s="474"/>
      <c r="O13" s="474"/>
      <c r="P13" s="476"/>
      <c r="Q13" s="477"/>
      <c r="R13" s="477"/>
    </row>
    <row r="14" spans="2:18">
      <c r="B14" s="490"/>
      <c r="C14" s="455"/>
      <c r="D14" s="455"/>
      <c r="E14" s="491"/>
      <c r="F14" s="491"/>
      <c r="G14" s="491"/>
      <c r="H14" s="492"/>
      <c r="I14" s="491"/>
      <c r="J14" s="491"/>
      <c r="K14" s="491"/>
      <c r="L14" s="491"/>
      <c r="M14" s="491"/>
      <c r="N14" s="491"/>
      <c r="O14" s="491"/>
      <c r="P14" s="476"/>
      <c r="Q14" s="493"/>
      <c r="R14" s="494"/>
    </row>
    <row r="15" spans="2:18">
      <c r="B15" s="490"/>
      <c r="C15" s="455"/>
      <c r="D15" s="455"/>
      <c r="E15" s="491"/>
      <c r="F15" s="491"/>
      <c r="G15" s="491"/>
      <c r="H15" s="492"/>
      <c r="I15" s="491"/>
      <c r="J15" s="491"/>
      <c r="K15" s="491"/>
      <c r="L15" s="491"/>
      <c r="M15" s="491"/>
      <c r="N15" s="491"/>
      <c r="O15" s="491"/>
      <c r="P15" s="476"/>
      <c r="Q15" s="493"/>
      <c r="R15" s="494"/>
    </row>
    <row r="16" spans="2:18" ht="15.15">
      <c r="B16" s="490"/>
      <c r="C16" s="455"/>
      <c r="D16" s="455"/>
      <c r="E16" s="495"/>
      <c r="F16" s="495"/>
      <c r="G16" s="495"/>
      <c r="H16" s="496"/>
      <c r="I16" s="495"/>
      <c r="J16" s="495"/>
      <c r="K16" s="495"/>
      <c r="L16" s="495"/>
      <c r="M16" s="495"/>
      <c r="N16" s="495"/>
      <c r="O16" s="495"/>
      <c r="P16" s="476"/>
      <c r="Q16" s="497"/>
      <c r="R16" s="498"/>
    </row>
    <row r="17" spans="2:18" ht="13.7">
      <c r="B17" s="499"/>
      <c r="C17" s="476"/>
      <c r="D17" s="476"/>
      <c r="E17" s="500"/>
      <c r="F17" s="500"/>
      <c r="G17" s="500"/>
      <c r="H17" s="501"/>
      <c r="I17" s="500"/>
      <c r="J17" s="500"/>
      <c r="K17" s="500"/>
      <c r="L17" s="500"/>
      <c r="M17" s="500"/>
      <c r="N17" s="500"/>
      <c r="O17" s="500"/>
      <c r="P17" s="476"/>
      <c r="Q17" s="502"/>
      <c r="R17" s="503"/>
    </row>
    <row r="18" spans="2:18" ht="13.7">
      <c r="B18" s="476"/>
      <c r="C18" s="455"/>
      <c r="D18" s="455"/>
      <c r="E18" s="474"/>
      <c r="F18" s="474"/>
      <c r="G18" s="474"/>
      <c r="H18" s="475"/>
      <c r="I18" s="474"/>
      <c r="J18" s="474"/>
      <c r="K18" s="474"/>
      <c r="L18" s="474"/>
      <c r="M18" s="474"/>
      <c r="N18" s="474"/>
      <c r="O18" s="474"/>
      <c r="P18" s="476"/>
      <c r="Q18" s="477"/>
      <c r="R18" s="477"/>
    </row>
    <row r="19" spans="2:18" ht="13.7">
      <c r="B19" s="470"/>
      <c r="C19" s="471"/>
      <c r="D19" s="455"/>
      <c r="E19" s="474"/>
      <c r="F19" s="474"/>
      <c r="G19" s="474"/>
      <c r="H19" s="475"/>
      <c r="I19" s="474"/>
      <c r="J19" s="474"/>
      <c r="K19" s="474"/>
      <c r="L19" s="474"/>
      <c r="M19" s="474"/>
      <c r="N19" s="474"/>
      <c r="O19" s="474"/>
      <c r="P19" s="476"/>
      <c r="Q19" s="477"/>
      <c r="R19" s="477"/>
    </row>
    <row r="20" spans="2:18">
      <c r="B20" s="465"/>
      <c r="C20" s="455"/>
      <c r="D20" s="455"/>
      <c r="E20" s="478"/>
      <c r="F20" s="478"/>
      <c r="G20" s="478"/>
      <c r="H20" s="479"/>
      <c r="I20" s="478"/>
      <c r="J20" s="478"/>
      <c r="K20" s="478"/>
      <c r="L20" s="478"/>
      <c r="M20" s="478"/>
      <c r="N20" s="478"/>
      <c r="O20" s="478"/>
      <c r="P20" s="476"/>
      <c r="Q20" s="480"/>
      <c r="R20" s="480"/>
    </row>
    <row r="21" spans="2:18">
      <c r="B21" s="465"/>
      <c r="C21" s="455"/>
      <c r="D21" s="455"/>
      <c r="E21" s="478"/>
      <c r="F21" s="478"/>
      <c r="G21" s="478"/>
      <c r="H21" s="479"/>
      <c r="I21" s="478"/>
      <c r="J21" s="478"/>
      <c r="K21" s="478"/>
      <c r="L21" s="478"/>
      <c r="M21" s="478"/>
      <c r="N21" s="478"/>
      <c r="O21" s="478"/>
      <c r="P21" s="476"/>
      <c r="Q21" s="480"/>
      <c r="R21" s="480"/>
    </row>
    <row r="22" spans="2:18" ht="15.15">
      <c r="B22" s="465"/>
      <c r="C22" s="455"/>
      <c r="D22" s="455"/>
      <c r="E22" s="482"/>
      <c r="F22" s="482"/>
      <c r="G22" s="482"/>
      <c r="H22" s="483"/>
      <c r="I22" s="482"/>
      <c r="J22" s="482"/>
      <c r="K22" s="482"/>
      <c r="L22" s="482"/>
      <c r="M22" s="482"/>
      <c r="N22" s="482"/>
      <c r="O22" s="482"/>
      <c r="P22" s="476"/>
      <c r="Q22" s="484"/>
      <c r="R22" s="484"/>
    </row>
    <row r="23" spans="2:18" ht="13.7">
      <c r="B23" s="485"/>
      <c r="C23" s="455"/>
      <c r="D23" s="455"/>
      <c r="E23" s="487"/>
      <c r="F23" s="487"/>
      <c r="G23" s="487"/>
      <c r="H23" s="488"/>
      <c r="I23" s="487"/>
      <c r="J23" s="487"/>
      <c r="K23" s="487"/>
      <c r="L23" s="487"/>
      <c r="M23" s="487"/>
      <c r="N23" s="487"/>
      <c r="O23" s="487"/>
      <c r="P23" s="476"/>
      <c r="Q23" s="477"/>
      <c r="R23" s="477"/>
    </row>
    <row r="24" spans="2:18">
      <c r="B24" s="504"/>
      <c r="C24" s="455"/>
      <c r="D24" s="455"/>
      <c r="E24" s="478"/>
      <c r="F24" s="478"/>
      <c r="G24" s="478"/>
      <c r="H24" s="479"/>
      <c r="I24" s="478"/>
      <c r="J24" s="478"/>
      <c r="K24" s="478"/>
      <c r="L24" s="478"/>
      <c r="M24" s="478"/>
      <c r="N24" s="478"/>
      <c r="O24" s="478"/>
      <c r="P24" s="476"/>
      <c r="Q24" s="480"/>
      <c r="R24" s="480"/>
    </row>
    <row r="25" spans="2:18">
      <c r="B25" s="504"/>
      <c r="C25" s="465"/>
      <c r="D25" s="465"/>
      <c r="E25" s="478"/>
      <c r="F25" s="478"/>
      <c r="G25" s="478"/>
      <c r="H25" s="479"/>
      <c r="I25" s="478"/>
      <c r="J25" s="478"/>
      <c r="K25" s="478"/>
      <c r="L25" s="478"/>
      <c r="M25" s="478"/>
      <c r="N25" s="478"/>
      <c r="O25" s="478"/>
      <c r="P25" s="465"/>
      <c r="Q25" s="480"/>
      <c r="R25" s="480"/>
    </row>
    <row r="26" spans="2:18">
      <c r="B26" s="504"/>
      <c r="C26" s="465"/>
      <c r="D26" s="465"/>
      <c r="E26" s="478"/>
      <c r="F26" s="478"/>
      <c r="G26" s="478"/>
      <c r="H26" s="479"/>
      <c r="I26" s="478"/>
      <c r="J26" s="478"/>
      <c r="K26" s="478"/>
      <c r="L26" s="478"/>
      <c r="M26" s="478"/>
      <c r="N26" s="478"/>
      <c r="O26" s="478"/>
      <c r="P26" s="465"/>
      <c r="Q26" s="480"/>
      <c r="R26" s="480"/>
    </row>
    <row r="27" spans="2:18">
      <c r="B27" s="504"/>
      <c r="C27" s="465"/>
      <c r="D27" s="465"/>
      <c r="E27" s="478"/>
      <c r="F27" s="478"/>
      <c r="G27" s="478"/>
      <c r="H27" s="479"/>
      <c r="I27" s="478"/>
      <c r="J27" s="478"/>
      <c r="K27" s="478"/>
      <c r="L27" s="478"/>
      <c r="M27" s="478"/>
      <c r="N27" s="478"/>
      <c r="O27" s="478"/>
      <c r="P27" s="465"/>
      <c r="Q27" s="480"/>
      <c r="R27" s="480"/>
    </row>
    <row r="28" spans="2:18" ht="15.15">
      <c r="B28" s="504"/>
      <c r="C28" s="465"/>
      <c r="D28" s="465"/>
      <c r="E28" s="482"/>
      <c r="F28" s="482"/>
      <c r="G28" s="482"/>
      <c r="H28" s="483"/>
      <c r="I28" s="482"/>
      <c r="J28" s="482"/>
      <c r="K28" s="482"/>
      <c r="L28" s="482"/>
      <c r="M28" s="482"/>
      <c r="N28" s="482"/>
      <c r="O28" s="482"/>
      <c r="P28" s="465"/>
      <c r="Q28" s="505"/>
      <c r="R28" s="484"/>
    </row>
    <row r="29" spans="2:18">
      <c r="B29" s="485"/>
      <c r="C29" s="455"/>
      <c r="D29" s="455"/>
      <c r="E29" s="487"/>
      <c r="F29" s="487"/>
      <c r="G29" s="487"/>
      <c r="H29" s="488"/>
      <c r="I29" s="487"/>
      <c r="J29" s="487"/>
      <c r="K29" s="487"/>
      <c r="L29" s="487"/>
      <c r="M29" s="487"/>
      <c r="N29" s="487"/>
      <c r="O29" s="487"/>
      <c r="P29" s="476"/>
      <c r="Q29" s="480"/>
      <c r="R29" s="480"/>
    </row>
    <row r="30" spans="2:18">
      <c r="B30" s="506"/>
      <c r="C30" s="465"/>
      <c r="D30" s="465"/>
      <c r="E30" s="507"/>
      <c r="F30" s="507"/>
      <c r="G30" s="507"/>
      <c r="H30" s="508"/>
      <c r="I30" s="507"/>
      <c r="J30" s="507"/>
      <c r="K30" s="507"/>
      <c r="L30" s="507"/>
      <c r="M30" s="507"/>
      <c r="N30" s="507"/>
      <c r="O30" s="507"/>
      <c r="P30" s="465"/>
      <c r="Q30" s="480"/>
      <c r="R30" s="480"/>
    </row>
    <row r="31" spans="2:18" ht="13.7">
      <c r="B31" s="509"/>
      <c r="C31" s="455"/>
      <c r="D31" s="455"/>
      <c r="E31" s="510"/>
      <c r="F31" s="510"/>
      <c r="G31" s="510"/>
      <c r="H31" s="475"/>
      <c r="I31" s="474"/>
      <c r="J31" s="474"/>
      <c r="K31" s="474"/>
      <c r="L31" s="474"/>
      <c r="M31" s="474"/>
      <c r="N31" s="474"/>
      <c r="O31" s="474"/>
      <c r="P31" s="476"/>
      <c r="Q31" s="477"/>
      <c r="R31" s="477"/>
    </row>
    <row r="32" spans="2:18" ht="13.7">
      <c r="B32" s="489"/>
      <c r="C32" s="455"/>
      <c r="D32" s="455"/>
      <c r="E32" s="474"/>
      <c r="F32" s="474"/>
      <c r="G32" s="474"/>
      <c r="H32" s="475"/>
      <c r="I32" s="474"/>
      <c r="J32" s="474"/>
      <c r="K32" s="474"/>
      <c r="L32" s="474"/>
      <c r="M32" s="474"/>
      <c r="N32" s="474"/>
      <c r="O32" s="474"/>
      <c r="P32" s="476"/>
      <c r="Q32" s="477"/>
      <c r="R32" s="477"/>
    </row>
    <row r="33" spans="2:18">
      <c r="B33" s="490"/>
      <c r="C33" s="455"/>
      <c r="D33" s="455"/>
      <c r="E33" s="491"/>
      <c r="F33" s="491"/>
      <c r="G33" s="491"/>
      <c r="H33" s="492"/>
      <c r="I33" s="491"/>
      <c r="J33" s="491"/>
      <c r="K33" s="491"/>
      <c r="L33" s="491"/>
      <c r="M33" s="491"/>
      <c r="N33" s="491"/>
      <c r="O33" s="491"/>
      <c r="P33" s="476"/>
      <c r="Q33" s="493"/>
      <c r="R33" s="494"/>
    </row>
    <row r="34" spans="2:18">
      <c r="B34" s="490"/>
      <c r="C34" s="455"/>
      <c r="D34" s="455"/>
      <c r="E34" s="491"/>
      <c r="F34" s="491"/>
      <c r="G34" s="491"/>
      <c r="H34" s="492"/>
      <c r="I34" s="491"/>
      <c r="J34" s="491"/>
      <c r="K34" s="491"/>
      <c r="L34" s="491"/>
      <c r="M34" s="491"/>
      <c r="N34" s="491"/>
      <c r="O34" s="491"/>
      <c r="P34" s="476"/>
      <c r="Q34" s="493"/>
      <c r="R34" s="494"/>
    </row>
    <row r="35" spans="2:18">
      <c r="B35" s="490"/>
      <c r="C35" s="455"/>
      <c r="D35" s="455"/>
      <c r="E35" s="495"/>
      <c r="F35" s="495"/>
      <c r="G35" s="495"/>
      <c r="H35" s="496"/>
      <c r="I35" s="495"/>
      <c r="J35" s="495"/>
      <c r="K35" s="495"/>
      <c r="L35" s="495"/>
      <c r="M35" s="495"/>
      <c r="N35" s="495"/>
      <c r="O35" s="495"/>
      <c r="P35" s="476"/>
      <c r="Q35" s="493"/>
      <c r="R35" s="494"/>
    </row>
    <row r="36" spans="2:18" ht="13.7">
      <c r="B36" s="499"/>
      <c r="C36" s="476"/>
      <c r="D36" s="476"/>
      <c r="E36" s="500"/>
      <c r="F36" s="500"/>
      <c r="G36" s="500"/>
      <c r="H36" s="501"/>
      <c r="I36" s="500"/>
      <c r="J36" s="500"/>
      <c r="K36" s="500"/>
      <c r="L36" s="500"/>
      <c r="M36" s="500"/>
      <c r="N36" s="500"/>
      <c r="O36" s="500"/>
      <c r="P36" s="465"/>
      <c r="Q36" s="493"/>
      <c r="R36" s="494"/>
    </row>
    <row r="37" spans="2:18">
      <c r="B37" s="490"/>
      <c r="C37" s="476"/>
      <c r="D37" s="476"/>
      <c r="E37" s="491"/>
      <c r="F37" s="491"/>
      <c r="G37" s="491"/>
      <c r="H37" s="492"/>
      <c r="I37" s="491"/>
      <c r="J37" s="491"/>
      <c r="K37" s="491"/>
      <c r="L37" s="491"/>
      <c r="M37" s="491"/>
      <c r="N37" s="491"/>
      <c r="O37" s="491"/>
      <c r="P37" s="511"/>
      <c r="Q37" s="493"/>
      <c r="R37" s="494"/>
    </row>
    <row r="38" spans="2:18">
      <c r="B38" s="490"/>
      <c r="C38" s="465"/>
      <c r="D38" s="465"/>
      <c r="E38" s="491"/>
      <c r="F38" s="491"/>
      <c r="G38" s="491"/>
      <c r="H38" s="492"/>
      <c r="I38" s="491"/>
      <c r="J38" s="491"/>
      <c r="K38" s="491"/>
      <c r="L38" s="491"/>
      <c r="M38" s="491"/>
      <c r="N38" s="491"/>
      <c r="O38" s="491"/>
      <c r="P38" s="465"/>
      <c r="Q38" s="493"/>
      <c r="R38" s="494"/>
    </row>
    <row r="39" spans="2:18" ht="15.15">
      <c r="B39" s="490"/>
      <c r="C39" s="465"/>
      <c r="D39" s="465"/>
      <c r="E39" s="491"/>
      <c r="F39" s="491"/>
      <c r="G39" s="491"/>
      <c r="H39" s="492"/>
      <c r="I39" s="491"/>
      <c r="J39" s="491"/>
      <c r="K39" s="491"/>
      <c r="L39" s="491"/>
      <c r="M39" s="491"/>
      <c r="N39" s="491"/>
      <c r="O39" s="491"/>
      <c r="P39" s="465"/>
      <c r="Q39" s="497"/>
      <c r="R39" s="498"/>
    </row>
    <row r="40" spans="2:18" ht="15.15">
      <c r="B40" s="490"/>
      <c r="C40" s="465"/>
      <c r="D40" s="465"/>
      <c r="E40" s="495"/>
      <c r="F40" s="495"/>
      <c r="G40" s="495"/>
      <c r="H40" s="496"/>
      <c r="I40" s="495"/>
      <c r="J40" s="495"/>
      <c r="K40" s="495"/>
      <c r="L40" s="495"/>
      <c r="M40" s="495"/>
      <c r="N40" s="495"/>
      <c r="O40" s="495"/>
      <c r="P40" s="465"/>
      <c r="Q40" s="497"/>
      <c r="R40" s="498"/>
    </row>
    <row r="41" spans="2:18" ht="13.7">
      <c r="B41" s="499"/>
      <c r="C41" s="476"/>
      <c r="D41" s="476"/>
      <c r="E41" s="500"/>
      <c r="F41" s="500"/>
      <c r="G41" s="500"/>
      <c r="H41" s="501"/>
      <c r="I41" s="500"/>
      <c r="J41" s="500"/>
      <c r="K41" s="500"/>
      <c r="L41" s="500"/>
      <c r="M41" s="500"/>
      <c r="N41" s="500"/>
      <c r="O41" s="500"/>
      <c r="P41" s="465"/>
      <c r="Q41" s="502"/>
      <c r="R41" s="503"/>
    </row>
    <row r="42" spans="2:18">
      <c r="B42" s="506"/>
      <c r="C42" s="465"/>
      <c r="D42" s="465"/>
      <c r="E42" s="491"/>
      <c r="F42" s="491"/>
      <c r="G42" s="491"/>
      <c r="H42" s="492"/>
      <c r="I42" s="491"/>
      <c r="J42" s="491"/>
      <c r="K42" s="491"/>
      <c r="L42" s="491"/>
      <c r="M42" s="491"/>
      <c r="N42" s="491"/>
      <c r="O42" s="491"/>
      <c r="P42" s="465"/>
      <c r="Q42" s="480"/>
      <c r="R42" s="480"/>
    </row>
    <row r="43" spans="2:18" ht="13.7">
      <c r="B43" s="489"/>
      <c r="C43" s="455"/>
      <c r="D43" s="455"/>
      <c r="E43" s="474"/>
      <c r="F43" s="474"/>
      <c r="G43" s="474"/>
      <c r="H43" s="475"/>
      <c r="I43" s="474"/>
      <c r="J43" s="474"/>
      <c r="K43" s="474"/>
      <c r="L43" s="474"/>
      <c r="M43" s="474"/>
      <c r="N43" s="474"/>
      <c r="O43" s="474"/>
      <c r="P43" s="476"/>
      <c r="Q43" s="477"/>
      <c r="R43" s="477"/>
    </row>
    <row r="44" spans="2:18">
      <c r="B44" s="490"/>
      <c r="C44" s="455"/>
      <c r="D44" s="455"/>
      <c r="E44" s="491"/>
      <c r="F44" s="491"/>
      <c r="G44" s="491"/>
      <c r="H44" s="492"/>
      <c r="I44" s="491"/>
      <c r="J44" s="491"/>
      <c r="K44" s="491"/>
      <c r="L44" s="491"/>
      <c r="M44" s="491"/>
      <c r="N44" s="491"/>
      <c r="O44" s="491"/>
      <c r="P44" s="476"/>
      <c r="Q44" s="494"/>
      <c r="R44" s="494"/>
    </row>
    <row r="45" spans="2:18">
      <c r="B45" s="490"/>
      <c r="C45" s="455"/>
      <c r="D45" s="455"/>
      <c r="E45" s="491"/>
      <c r="F45" s="491"/>
      <c r="G45" s="491"/>
      <c r="H45" s="492"/>
      <c r="I45" s="491"/>
      <c r="J45" s="491"/>
      <c r="K45" s="491"/>
      <c r="L45" s="491"/>
      <c r="M45" s="491"/>
      <c r="N45" s="491"/>
      <c r="O45" s="491"/>
      <c r="P45" s="476"/>
      <c r="Q45" s="494"/>
      <c r="R45" s="494"/>
    </row>
    <row r="46" spans="2:18" ht="15.15">
      <c r="B46" s="490"/>
      <c r="C46" s="455"/>
      <c r="D46" s="455"/>
      <c r="E46" s="495"/>
      <c r="F46" s="495"/>
      <c r="G46" s="495"/>
      <c r="H46" s="496"/>
      <c r="I46" s="495"/>
      <c r="J46" s="495"/>
      <c r="K46" s="495"/>
      <c r="L46" s="495"/>
      <c r="M46" s="495"/>
      <c r="N46" s="495"/>
      <c r="O46" s="495"/>
      <c r="P46" s="476"/>
      <c r="Q46" s="498"/>
      <c r="R46" s="498"/>
    </row>
    <row r="47" spans="2:18" ht="13.7">
      <c r="B47" s="499"/>
      <c r="C47" s="476"/>
      <c r="D47" s="476"/>
      <c r="E47" s="500"/>
      <c r="F47" s="500"/>
      <c r="G47" s="500"/>
      <c r="H47" s="501"/>
      <c r="I47" s="500"/>
      <c r="J47" s="500"/>
      <c r="K47" s="500"/>
      <c r="L47" s="500"/>
      <c r="M47" s="500"/>
      <c r="N47" s="500"/>
      <c r="O47" s="500"/>
      <c r="P47" s="476"/>
      <c r="Q47" s="503"/>
      <c r="R47" s="503"/>
    </row>
    <row r="48" spans="2:18">
      <c r="B48" s="506"/>
      <c r="C48" s="476"/>
      <c r="D48" s="476"/>
      <c r="E48" s="491"/>
      <c r="F48" s="491"/>
      <c r="G48" s="491"/>
      <c r="H48" s="492"/>
      <c r="I48" s="491"/>
      <c r="J48" s="491"/>
      <c r="K48" s="491"/>
      <c r="L48" s="491"/>
      <c r="M48" s="491"/>
      <c r="N48" s="491"/>
      <c r="O48" s="491"/>
      <c r="P48" s="476"/>
      <c r="Q48" s="493"/>
      <c r="R48" s="494"/>
    </row>
    <row r="49" spans="2:18" ht="13.7">
      <c r="B49" s="512"/>
      <c r="C49" s="455"/>
      <c r="D49" s="455"/>
      <c r="E49" s="474"/>
      <c r="F49" s="474"/>
      <c r="G49" s="474"/>
      <c r="H49" s="475"/>
      <c r="I49" s="474"/>
      <c r="J49" s="474"/>
      <c r="K49" s="474"/>
      <c r="L49" s="474"/>
      <c r="M49" s="474"/>
      <c r="N49" s="474"/>
      <c r="O49" s="474"/>
      <c r="P49" s="476"/>
      <c r="Q49" s="477"/>
      <c r="R49" s="477"/>
    </row>
    <row r="50" spans="2:18">
      <c r="B50" s="490"/>
      <c r="C50" s="455"/>
      <c r="D50" s="455"/>
      <c r="E50" s="474"/>
      <c r="F50" s="491"/>
      <c r="G50" s="491"/>
      <c r="H50" s="492"/>
      <c r="I50" s="491"/>
      <c r="J50" s="491"/>
      <c r="K50" s="491"/>
      <c r="L50" s="491"/>
      <c r="M50" s="491"/>
      <c r="N50" s="491"/>
      <c r="O50" s="491"/>
      <c r="P50" s="476"/>
      <c r="Q50" s="513"/>
      <c r="R50" s="513"/>
    </row>
    <row r="51" spans="2:18">
      <c r="B51" s="490"/>
      <c r="C51" s="455"/>
      <c r="D51" s="455"/>
      <c r="E51" s="474"/>
      <c r="F51" s="491"/>
      <c r="G51" s="491"/>
      <c r="H51" s="492"/>
      <c r="I51" s="491"/>
      <c r="J51" s="491"/>
      <c r="K51" s="491"/>
      <c r="L51" s="491"/>
      <c r="M51" s="491"/>
      <c r="N51" s="491"/>
      <c r="O51" s="491"/>
      <c r="P51" s="476"/>
      <c r="Q51" s="513"/>
      <c r="R51" s="513"/>
    </row>
    <row r="52" spans="2:18">
      <c r="B52" s="506"/>
      <c r="C52" s="455"/>
      <c r="D52" s="455"/>
      <c r="E52" s="491"/>
      <c r="F52" s="491"/>
      <c r="G52" s="491"/>
      <c r="H52" s="492"/>
      <c r="I52" s="491"/>
      <c r="J52" s="491"/>
      <c r="K52" s="491"/>
      <c r="L52" s="491"/>
      <c r="M52" s="491"/>
      <c r="N52" s="491"/>
      <c r="O52" s="491"/>
      <c r="P52" s="476"/>
      <c r="Q52" s="513"/>
      <c r="R52" s="513"/>
    </row>
    <row r="53" spans="2:18" ht="13.7">
      <c r="B53" s="476"/>
      <c r="C53" s="455"/>
      <c r="D53" s="455"/>
      <c r="E53" s="474"/>
      <c r="F53" s="474"/>
      <c r="G53" s="474"/>
      <c r="H53" s="475"/>
      <c r="I53" s="474"/>
      <c r="J53" s="474"/>
      <c r="K53" s="474"/>
      <c r="L53" s="474"/>
      <c r="M53" s="474"/>
      <c r="N53" s="474"/>
      <c r="O53" s="474"/>
      <c r="P53" s="476"/>
      <c r="Q53" s="477"/>
      <c r="R53" s="477"/>
    </row>
    <row r="54" spans="2:18" ht="13.7">
      <c r="B54" s="470"/>
      <c r="C54" s="471"/>
      <c r="D54" s="455"/>
      <c r="E54" s="474"/>
      <c r="F54" s="474"/>
      <c r="G54" s="514"/>
      <c r="H54" s="475"/>
      <c r="I54" s="474"/>
      <c r="J54" s="474"/>
      <c r="K54" s="474"/>
      <c r="L54" s="474"/>
      <c r="M54" s="474"/>
      <c r="N54" s="474"/>
      <c r="O54" s="474"/>
      <c r="P54" s="476"/>
      <c r="Q54" s="477"/>
      <c r="R54" s="477"/>
    </row>
    <row r="55" spans="2:18">
      <c r="B55" s="465"/>
      <c r="C55" s="465"/>
      <c r="D55" s="465"/>
      <c r="E55" s="478"/>
      <c r="F55" s="478"/>
      <c r="G55" s="478"/>
      <c r="H55" s="479"/>
      <c r="I55" s="478"/>
      <c r="J55" s="478"/>
      <c r="K55" s="478"/>
      <c r="L55" s="478"/>
      <c r="M55" s="478"/>
      <c r="N55" s="478"/>
      <c r="O55" s="478"/>
      <c r="P55" s="465"/>
      <c r="Q55" s="480"/>
      <c r="R55" s="480"/>
    </row>
    <row r="56" spans="2:18">
      <c r="B56" s="465"/>
      <c r="C56" s="465"/>
      <c r="D56" s="465"/>
      <c r="E56" s="478"/>
      <c r="F56" s="478"/>
      <c r="G56" s="478"/>
      <c r="H56" s="479"/>
      <c r="I56" s="478"/>
      <c r="J56" s="478"/>
      <c r="K56" s="478"/>
      <c r="L56" s="478"/>
      <c r="M56" s="478"/>
      <c r="N56" s="478"/>
      <c r="O56" s="478"/>
      <c r="P56" s="465"/>
      <c r="Q56" s="480"/>
      <c r="R56" s="480"/>
    </row>
    <row r="57" spans="2:18">
      <c r="B57" s="465"/>
      <c r="C57" s="465"/>
      <c r="D57" s="465"/>
      <c r="E57" s="478"/>
      <c r="F57" s="478"/>
      <c r="G57" s="478"/>
      <c r="H57" s="479"/>
      <c r="I57" s="478"/>
      <c r="J57" s="478"/>
      <c r="K57" s="478"/>
      <c r="L57" s="478"/>
      <c r="M57" s="478"/>
      <c r="N57" s="478"/>
      <c r="O57" s="478"/>
      <c r="P57" s="465"/>
      <c r="Q57" s="480"/>
      <c r="R57" s="480"/>
    </row>
    <row r="58" spans="2:18">
      <c r="B58" s="504"/>
      <c r="C58" s="465"/>
      <c r="D58" s="465"/>
      <c r="E58" s="478"/>
      <c r="F58" s="478"/>
      <c r="G58" s="478"/>
      <c r="H58" s="479"/>
      <c r="I58" s="478"/>
      <c r="J58" s="478"/>
      <c r="K58" s="478"/>
      <c r="L58" s="478"/>
      <c r="M58" s="478"/>
      <c r="N58" s="478"/>
      <c r="O58" s="478"/>
      <c r="P58" s="465"/>
      <c r="Q58" s="480"/>
      <c r="R58" s="480"/>
    </row>
    <row r="59" spans="2:18" ht="15.15">
      <c r="B59" s="465"/>
      <c r="C59" s="465"/>
      <c r="D59" s="465"/>
      <c r="E59" s="482"/>
      <c r="F59" s="482"/>
      <c r="G59" s="482"/>
      <c r="H59" s="483"/>
      <c r="I59" s="482"/>
      <c r="J59" s="482"/>
      <c r="K59" s="482"/>
      <c r="L59" s="482"/>
      <c r="M59" s="482"/>
      <c r="N59" s="482"/>
      <c r="O59" s="482"/>
      <c r="P59" s="515"/>
      <c r="Q59" s="516"/>
      <c r="R59" s="516"/>
    </row>
    <row r="60" spans="2:18" ht="13.7">
      <c r="B60" s="485"/>
      <c r="C60" s="476"/>
      <c r="D60" s="476"/>
      <c r="E60" s="487"/>
      <c r="F60" s="487"/>
      <c r="G60" s="487"/>
      <c r="H60" s="488"/>
      <c r="I60" s="487"/>
      <c r="J60" s="487"/>
      <c r="K60" s="487"/>
      <c r="L60" s="487"/>
      <c r="M60" s="487"/>
      <c r="N60" s="487"/>
      <c r="O60" s="487"/>
      <c r="P60" s="476"/>
      <c r="Q60" s="477"/>
      <c r="R60" s="477"/>
    </row>
    <row r="61" spans="2:18">
      <c r="B61" s="465"/>
      <c r="C61" s="465"/>
      <c r="D61" s="465"/>
      <c r="E61" s="478"/>
      <c r="F61" s="478"/>
      <c r="G61" s="478"/>
      <c r="H61" s="479"/>
      <c r="I61" s="478"/>
      <c r="J61" s="478"/>
      <c r="K61" s="478"/>
      <c r="L61" s="478"/>
      <c r="M61" s="478"/>
      <c r="N61" s="478"/>
      <c r="O61" s="478"/>
      <c r="P61" s="465"/>
      <c r="Q61" s="480"/>
      <c r="R61" s="480"/>
    </row>
    <row r="62" spans="2:18">
      <c r="B62" s="465"/>
      <c r="C62" s="465"/>
      <c r="D62" s="465"/>
      <c r="E62" s="478"/>
      <c r="F62" s="478"/>
      <c r="G62" s="478"/>
      <c r="H62" s="479"/>
      <c r="I62" s="478"/>
      <c r="J62" s="478"/>
      <c r="K62" s="478"/>
      <c r="L62" s="478"/>
      <c r="M62" s="478"/>
      <c r="N62" s="478"/>
      <c r="O62" s="478"/>
      <c r="P62" s="465"/>
      <c r="Q62" s="480"/>
      <c r="R62" s="480"/>
    </row>
    <row r="63" spans="2:18">
      <c r="B63" s="465"/>
      <c r="C63" s="465"/>
      <c r="D63" s="465"/>
      <c r="E63" s="478"/>
      <c r="F63" s="478"/>
      <c r="G63" s="478"/>
      <c r="H63" s="479"/>
      <c r="I63" s="478"/>
      <c r="J63" s="478"/>
      <c r="K63" s="478"/>
      <c r="L63" s="478"/>
      <c r="M63" s="478"/>
      <c r="N63" s="478"/>
      <c r="O63" s="478"/>
      <c r="P63" s="465"/>
      <c r="Q63" s="480"/>
      <c r="R63" s="480"/>
    </row>
    <row r="64" spans="2:18">
      <c r="B64" s="465"/>
      <c r="C64" s="465"/>
      <c r="D64" s="465"/>
      <c r="E64" s="478"/>
      <c r="F64" s="478"/>
      <c r="G64" s="478"/>
      <c r="H64" s="479"/>
      <c r="I64" s="478"/>
      <c r="J64" s="478"/>
      <c r="K64" s="478"/>
      <c r="L64" s="478"/>
      <c r="M64" s="478"/>
      <c r="N64" s="478"/>
      <c r="O64" s="478"/>
      <c r="P64" s="465"/>
      <c r="Q64" s="480"/>
      <c r="R64" s="480"/>
    </row>
    <row r="65" spans="2:18" ht="15.15">
      <c r="B65" s="465"/>
      <c r="C65" s="465"/>
      <c r="D65" s="465"/>
      <c r="E65" s="482"/>
      <c r="F65" s="482"/>
      <c r="G65" s="482"/>
      <c r="H65" s="483"/>
      <c r="I65" s="482"/>
      <c r="J65" s="482"/>
      <c r="K65" s="482"/>
      <c r="L65" s="482"/>
      <c r="M65" s="482"/>
      <c r="N65" s="482"/>
      <c r="O65" s="482"/>
      <c r="P65" s="465"/>
      <c r="Q65" s="484"/>
      <c r="R65" s="484"/>
    </row>
    <row r="66" spans="2:18" ht="13.7">
      <c r="B66" s="485"/>
      <c r="C66" s="465"/>
      <c r="D66" s="517"/>
      <c r="E66" s="487"/>
      <c r="F66" s="487"/>
      <c r="G66" s="487"/>
      <c r="H66" s="488"/>
      <c r="I66" s="487"/>
      <c r="J66" s="487"/>
      <c r="K66" s="487"/>
      <c r="L66" s="487"/>
      <c r="M66" s="487"/>
      <c r="N66" s="487"/>
      <c r="O66" s="487"/>
      <c r="P66" s="465"/>
      <c r="Q66" s="477"/>
      <c r="R66" s="477"/>
    </row>
    <row r="67" spans="2:18" ht="15.15">
      <c r="B67" s="465"/>
      <c r="C67" s="465"/>
      <c r="D67" s="465"/>
      <c r="E67" s="482"/>
      <c r="F67" s="482"/>
      <c r="G67" s="482"/>
      <c r="H67" s="483"/>
      <c r="I67" s="482"/>
      <c r="J67" s="482"/>
      <c r="K67" s="482"/>
      <c r="L67" s="482"/>
      <c r="M67" s="482"/>
      <c r="N67" s="482"/>
      <c r="O67" s="482"/>
      <c r="P67" s="465"/>
      <c r="Q67" s="484"/>
      <c r="R67" s="484"/>
    </row>
    <row r="68" spans="2:18" ht="13.7">
      <c r="B68" s="485"/>
      <c r="C68" s="476"/>
      <c r="D68" s="476"/>
      <c r="E68" s="487"/>
      <c r="F68" s="487"/>
      <c r="G68" s="487"/>
      <c r="H68" s="488"/>
      <c r="I68" s="487"/>
      <c r="J68" s="487"/>
      <c r="K68" s="487"/>
      <c r="L68" s="487"/>
      <c r="M68" s="487"/>
      <c r="N68" s="487"/>
      <c r="O68" s="487"/>
      <c r="P68" s="476"/>
      <c r="Q68" s="477"/>
      <c r="R68" s="477"/>
    </row>
    <row r="69" spans="2:18">
      <c r="B69" s="490"/>
      <c r="C69" s="454"/>
      <c r="D69" s="454"/>
      <c r="E69" s="507"/>
      <c r="F69" s="507"/>
      <c r="G69" s="507"/>
      <c r="H69" s="508"/>
      <c r="I69" s="507"/>
      <c r="J69" s="507"/>
      <c r="K69" s="507"/>
      <c r="L69" s="507"/>
      <c r="M69" s="507"/>
      <c r="N69" s="507"/>
      <c r="O69" s="507"/>
      <c r="P69" s="454"/>
      <c r="Q69" s="480"/>
      <c r="R69" s="480"/>
    </row>
    <row r="70" spans="2:18">
      <c r="B70" s="465"/>
      <c r="C70" s="465"/>
      <c r="D70" s="465"/>
      <c r="E70" s="473"/>
      <c r="F70" s="473"/>
      <c r="G70" s="473"/>
      <c r="H70" s="518"/>
      <c r="I70" s="519"/>
      <c r="J70" s="519"/>
      <c r="K70" s="519"/>
      <c r="L70" s="519"/>
      <c r="M70" s="519"/>
      <c r="N70" s="473"/>
      <c r="O70" s="473"/>
      <c r="P70" s="465"/>
      <c r="Q70" s="480"/>
      <c r="R70" s="480"/>
    </row>
    <row r="71" spans="2:18">
      <c r="B71" s="489"/>
      <c r="C71" s="465"/>
      <c r="D71" s="465"/>
      <c r="E71" s="473"/>
      <c r="F71" s="473"/>
      <c r="G71" s="473"/>
      <c r="H71" s="520"/>
      <c r="I71" s="473"/>
      <c r="J71" s="473"/>
      <c r="K71" s="473"/>
      <c r="L71" s="473"/>
      <c r="M71" s="473"/>
      <c r="N71" s="473"/>
      <c r="O71" s="473"/>
      <c r="P71" s="465"/>
      <c r="Q71" s="480"/>
      <c r="R71" s="480"/>
    </row>
    <row r="72" spans="2:18">
      <c r="B72" s="490"/>
      <c r="C72" s="465"/>
      <c r="D72" s="465"/>
      <c r="E72" s="491"/>
      <c r="F72" s="491"/>
      <c r="G72" s="491"/>
      <c r="H72" s="492"/>
      <c r="I72" s="491"/>
      <c r="J72" s="491"/>
      <c r="K72" s="491"/>
      <c r="L72" s="491"/>
      <c r="M72" s="491"/>
      <c r="N72" s="491"/>
      <c r="O72" s="491"/>
      <c r="P72" s="465"/>
      <c r="Q72" s="494"/>
      <c r="R72" s="494"/>
    </row>
    <row r="73" spans="2:18" ht="15.15">
      <c r="B73" s="490"/>
      <c r="C73" s="465"/>
      <c r="D73" s="465"/>
      <c r="E73" s="495"/>
      <c r="F73" s="495"/>
      <c r="G73" s="495"/>
      <c r="H73" s="496"/>
      <c r="I73" s="495"/>
      <c r="J73" s="495"/>
      <c r="K73" s="495"/>
      <c r="L73" s="495"/>
      <c r="M73" s="495"/>
      <c r="N73" s="495"/>
      <c r="O73" s="495"/>
      <c r="P73" s="465"/>
      <c r="Q73" s="498"/>
      <c r="R73" s="498"/>
    </row>
    <row r="74" spans="2:18" ht="13.7">
      <c r="B74" s="499"/>
      <c r="C74" s="476"/>
      <c r="D74" s="476"/>
      <c r="E74" s="500"/>
      <c r="F74" s="500"/>
      <c r="G74" s="500"/>
      <c r="H74" s="501"/>
      <c r="I74" s="500"/>
      <c r="J74" s="500"/>
      <c r="K74" s="500"/>
      <c r="L74" s="500"/>
      <c r="M74" s="500"/>
      <c r="N74" s="500"/>
      <c r="O74" s="500"/>
      <c r="P74" s="476"/>
      <c r="Q74" s="503"/>
      <c r="R74" s="503"/>
    </row>
    <row r="75" spans="2:18">
      <c r="B75" s="490"/>
      <c r="C75" s="465"/>
      <c r="D75" s="465"/>
      <c r="E75" s="491"/>
      <c r="F75" s="491"/>
      <c r="G75" s="491"/>
      <c r="H75" s="492"/>
      <c r="I75" s="491"/>
      <c r="J75" s="491"/>
      <c r="K75" s="491"/>
      <c r="L75" s="491"/>
      <c r="M75" s="491"/>
      <c r="N75" s="491"/>
      <c r="O75" s="491"/>
      <c r="P75" s="465"/>
      <c r="Q75" s="494"/>
      <c r="R75" s="494"/>
    </row>
    <row r="76" spans="2:18">
      <c r="B76" s="490"/>
      <c r="C76" s="465"/>
      <c r="D76" s="465"/>
      <c r="E76" s="491"/>
      <c r="F76" s="491"/>
      <c r="G76" s="491"/>
      <c r="H76" s="492"/>
      <c r="I76" s="491"/>
      <c r="J76" s="491"/>
      <c r="K76" s="491"/>
      <c r="L76" s="491"/>
      <c r="M76" s="491"/>
      <c r="N76" s="491"/>
      <c r="O76" s="491"/>
      <c r="P76" s="465"/>
      <c r="Q76" s="494"/>
      <c r="R76" s="494"/>
    </row>
    <row r="77" spans="2:18" ht="15.15">
      <c r="B77" s="490"/>
      <c r="C77" s="465"/>
      <c r="D77" s="465"/>
      <c r="E77" s="495"/>
      <c r="F77" s="495"/>
      <c r="G77" s="495"/>
      <c r="H77" s="496"/>
      <c r="I77" s="495"/>
      <c r="J77" s="495"/>
      <c r="K77" s="495"/>
      <c r="L77" s="495"/>
      <c r="M77" s="495"/>
      <c r="N77" s="495"/>
      <c r="O77" s="495"/>
      <c r="P77" s="465"/>
      <c r="Q77" s="498"/>
      <c r="R77" s="498"/>
    </row>
    <row r="78" spans="2:18" ht="13.7">
      <c r="B78" s="499"/>
      <c r="C78" s="476"/>
      <c r="D78" s="476"/>
      <c r="E78" s="500"/>
      <c r="F78" s="500"/>
      <c r="G78" s="500"/>
      <c r="H78" s="501"/>
      <c r="I78" s="500"/>
      <c r="J78" s="500"/>
      <c r="K78" s="500"/>
      <c r="L78" s="500"/>
      <c r="M78" s="500"/>
      <c r="N78" s="500"/>
      <c r="O78" s="500"/>
      <c r="P78" s="476"/>
      <c r="Q78" s="503"/>
      <c r="R78" s="503"/>
    </row>
    <row r="79" spans="2:18">
      <c r="B79" s="490"/>
      <c r="C79" s="465"/>
      <c r="D79" s="465"/>
      <c r="E79" s="491"/>
      <c r="F79" s="491"/>
      <c r="G79" s="491"/>
      <c r="H79" s="492"/>
      <c r="I79" s="491"/>
      <c r="J79" s="491"/>
      <c r="K79" s="491"/>
      <c r="L79" s="491"/>
      <c r="M79" s="491"/>
      <c r="N79" s="491"/>
      <c r="O79" s="491"/>
      <c r="P79" s="465"/>
      <c r="Q79" s="494"/>
      <c r="R79" s="494"/>
    </row>
    <row r="80" spans="2:18">
      <c r="B80" s="490"/>
      <c r="C80" s="465"/>
      <c r="D80" s="465"/>
      <c r="E80" s="491"/>
      <c r="F80" s="491"/>
      <c r="G80" s="491"/>
      <c r="H80" s="492"/>
      <c r="I80" s="491"/>
      <c r="J80" s="491"/>
      <c r="K80" s="491"/>
      <c r="L80" s="491"/>
      <c r="M80" s="491"/>
      <c r="N80" s="491"/>
      <c r="O80" s="491"/>
      <c r="P80" s="465"/>
      <c r="Q80" s="494"/>
      <c r="R80" s="494"/>
    </row>
    <row r="81" spans="2:18">
      <c r="B81" s="490"/>
      <c r="C81" s="465"/>
      <c r="D81" s="465"/>
      <c r="E81" s="491"/>
      <c r="F81" s="491"/>
      <c r="G81" s="491"/>
      <c r="H81" s="492"/>
      <c r="I81" s="491"/>
      <c r="J81" s="491"/>
      <c r="K81" s="491"/>
      <c r="L81" s="491"/>
      <c r="M81" s="491"/>
      <c r="N81" s="491"/>
      <c r="O81" s="491"/>
      <c r="P81" s="465"/>
      <c r="Q81" s="494"/>
      <c r="R81" s="494"/>
    </row>
    <row r="82" spans="2:18" ht="15.15">
      <c r="B82" s="490"/>
      <c r="C82" s="465"/>
      <c r="D82" s="465"/>
      <c r="E82" s="495"/>
      <c r="F82" s="495"/>
      <c r="G82" s="495"/>
      <c r="H82" s="496"/>
      <c r="I82" s="495"/>
      <c r="J82" s="495"/>
      <c r="K82" s="495"/>
      <c r="L82" s="495"/>
      <c r="M82" s="495"/>
      <c r="N82" s="495"/>
      <c r="O82" s="495"/>
      <c r="P82" s="465"/>
      <c r="Q82" s="498"/>
      <c r="R82" s="498"/>
    </row>
    <row r="83" spans="2:18" ht="13.7">
      <c r="B83" s="499"/>
      <c r="C83" s="476"/>
      <c r="D83" s="476"/>
      <c r="E83" s="500"/>
      <c r="F83" s="500"/>
      <c r="G83" s="500"/>
      <c r="H83" s="501"/>
      <c r="I83" s="500"/>
      <c r="J83" s="500"/>
      <c r="K83" s="500"/>
      <c r="L83" s="500"/>
      <c r="M83" s="500"/>
      <c r="N83" s="500"/>
      <c r="O83" s="500"/>
      <c r="P83" s="476"/>
      <c r="Q83" s="503"/>
      <c r="R83" s="503"/>
    </row>
    <row r="84" spans="2:18" ht="13.7">
      <c r="B84" s="499"/>
      <c r="C84" s="476"/>
      <c r="D84" s="476"/>
      <c r="E84" s="500"/>
      <c r="F84" s="500"/>
      <c r="G84" s="500"/>
      <c r="H84" s="501"/>
      <c r="I84" s="500"/>
      <c r="J84" s="500"/>
      <c r="K84" s="500"/>
      <c r="L84" s="500"/>
      <c r="M84" s="500"/>
      <c r="N84" s="500"/>
      <c r="O84" s="500"/>
      <c r="P84" s="476"/>
      <c r="Q84" s="503"/>
      <c r="R84" s="503"/>
    </row>
    <row r="85" spans="2:18">
      <c r="B85" s="490"/>
      <c r="C85" s="465"/>
      <c r="D85" s="465"/>
      <c r="E85" s="473"/>
      <c r="F85" s="473"/>
      <c r="G85" s="473"/>
      <c r="H85" s="520"/>
      <c r="I85" s="473"/>
      <c r="J85" s="473"/>
      <c r="K85" s="473"/>
      <c r="L85" s="473"/>
      <c r="M85" s="473"/>
      <c r="N85" s="473"/>
      <c r="O85" s="473"/>
      <c r="P85" s="465"/>
      <c r="Q85" s="455"/>
      <c r="R85" s="455"/>
    </row>
    <row r="86" spans="2:18" hidden="1" outlineLevel="1">
      <c r="B86" s="489"/>
      <c r="C86" s="465"/>
      <c r="D86" s="465"/>
      <c r="E86" s="473"/>
      <c r="F86" s="521"/>
      <c r="G86" s="521"/>
      <c r="H86" s="520"/>
      <c r="I86" s="473"/>
      <c r="J86" s="473"/>
      <c r="K86" s="473"/>
      <c r="L86" s="473"/>
      <c r="M86" s="473"/>
      <c r="N86" s="473"/>
      <c r="O86" s="473"/>
      <c r="P86" s="465"/>
      <c r="Q86" s="455"/>
      <c r="R86" s="455"/>
    </row>
    <row r="87" spans="2:18" hidden="1" outlineLevel="1">
      <c r="B87" s="490"/>
      <c r="C87" s="465"/>
      <c r="D87" s="465"/>
      <c r="E87" s="491"/>
      <c r="F87" s="491"/>
      <c r="G87" s="491"/>
      <c r="H87" s="492"/>
      <c r="I87" s="491"/>
      <c r="J87" s="491"/>
      <c r="K87" s="491"/>
      <c r="L87" s="491"/>
      <c r="M87" s="491"/>
      <c r="N87" s="491"/>
      <c r="O87" s="491"/>
      <c r="P87" s="465"/>
      <c r="Q87" s="493"/>
      <c r="R87" s="494"/>
    </row>
    <row r="88" spans="2:18" hidden="1" outlineLevel="1">
      <c r="B88" s="490"/>
      <c r="C88" s="465"/>
      <c r="D88" s="465"/>
      <c r="E88" s="495"/>
      <c r="F88" s="495"/>
      <c r="G88" s="495"/>
      <c r="H88" s="496"/>
      <c r="I88" s="495"/>
      <c r="J88" s="495"/>
      <c r="K88" s="495"/>
      <c r="L88" s="495"/>
      <c r="M88" s="495"/>
      <c r="N88" s="495"/>
      <c r="O88" s="495"/>
      <c r="P88" s="465"/>
      <c r="Q88" s="493"/>
      <c r="R88" s="494"/>
    </row>
    <row r="89" spans="2:18" ht="13.7" hidden="1" outlineLevel="1">
      <c r="B89" s="499"/>
      <c r="C89" s="476"/>
      <c r="D89" s="476"/>
      <c r="E89" s="500"/>
      <c r="F89" s="500"/>
      <c r="G89" s="500"/>
      <c r="H89" s="501"/>
      <c r="I89" s="500"/>
      <c r="J89" s="500"/>
      <c r="K89" s="500"/>
      <c r="L89" s="500"/>
      <c r="M89" s="500"/>
      <c r="N89" s="500"/>
      <c r="O89" s="500"/>
      <c r="P89" s="476"/>
      <c r="Q89" s="502"/>
      <c r="R89" s="503"/>
    </row>
    <row r="90" spans="2:18" hidden="1" outlineLevel="1">
      <c r="B90" s="490"/>
      <c r="C90" s="465"/>
      <c r="D90" s="465"/>
      <c r="E90" s="491"/>
      <c r="F90" s="491"/>
      <c r="G90" s="491"/>
      <c r="H90" s="492"/>
      <c r="I90" s="491"/>
      <c r="J90" s="491"/>
      <c r="K90" s="491"/>
      <c r="L90" s="491"/>
      <c r="M90" s="491"/>
      <c r="N90" s="491"/>
      <c r="O90" s="491"/>
      <c r="P90" s="465"/>
      <c r="Q90" s="493"/>
      <c r="R90" s="494"/>
    </row>
    <row r="91" spans="2:18" hidden="1" outlineLevel="1">
      <c r="B91" s="490"/>
      <c r="C91" s="465"/>
      <c r="D91" s="465"/>
      <c r="E91" s="491"/>
      <c r="F91" s="491"/>
      <c r="G91" s="491"/>
      <c r="H91" s="492"/>
      <c r="I91" s="491"/>
      <c r="J91" s="491"/>
      <c r="K91" s="491"/>
      <c r="L91" s="491"/>
      <c r="M91" s="491"/>
      <c r="N91" s="491"/>
      <c r="O91" s="491"/>
      <c r="P91" s="465"/>
      <c r="Q91" s="493"/>
      <c r="R91" s="494"/>
    </row>
    <row r="92" spans="2:18" ht="15.15" hidden="1" outlineLevel="1">
      <c r="B92" s="490"/>
      <c r="C92" s="465"/>
      <c r="D92" s="465"/>
      <c r="E92" s="495"/>
      <c r="F92" s="495"/>
      <c r="G92" s="495"/>
      <c r="H92" s="496"/>
      <c r="I92" s="495"/>
      <c r="J92" s="495"/>
      <c r="K92" s="495"/>
      <c r="L92" s="495"/>
      <c r="M92" s="495"/>
      <c r="N92" s="495"/>
      <c r="O92" s="495"/>
      <c r="P92" s="465"/>
      <c r="Q92" s="497"/>
      <c r="R92" s="498"/>
    </row>
    <row r="93" spans="2:18" ht="13.7" hidden="1" outlineLevel="1">
      <c r="B93" s="499"/>
      <c r="C93" s="476"/>
      <c r="D93" s="476"/>
      <c r="E93" s="500"/>
      <c r="F93" s="500"/>
      <c r="G93" s="500"/>
      <c r="H93" s="501"/>
      <c r="I93" s="500"/>
      <c r="J93" s="500"/>
      <c r="K93" s="500"/>
      <c r="L93" s="500"/>
      <c r="M93" s="500"/>
      <c r="N93" s="500"/>
      <c r="O93" s="500"/>
      <c r="P93" s="465"/>
      <c r="Q93" s="502"/>
      <c r="R93" s="503"/>
    </row>
    <row r="94" spans="2:18" hidden="1" outlineLevel="1">
      <c r="B94" s="490"/>
      <c r="C94" s="465"/>
      <c r="D94" s="465"/>
      <c r="E94" s="491"/>
      <c r="F94" s="491"/>
      <c r="G94" s="491"/>
      <c r="H94" s="492"/>
      <c r="I94" s="491"/>
      <c r="J94" s="491"/>
      <c r="K94" s="491"/>
      <c r="L94" s="491"/>
      <c r="M94" s="491"/>
      <c r="N94" s="491"/>
      <c r="O94" s="491"/>
      <c r="P94" s="465"/>
      <c r="Q94" s="493"/>
      <c r="R94" s="494"/>
    </row>
    <row r="95" spans="2:18" hidden="1" outlineLevel="1">
      <c r="B95" s="490"/>
      <c r="C95" s="465"/>
      <c r="D95" s="465"/>
      <c r="E95" s="491"/>
      <c r="F95" s="491"/>
      <c r="G95" s="491"/>
      <c r="H95" s="492"/>
      <c r="I95" s="491"/>
      <c r="J95" s="491"/>
      <c r="K95" s="491"/>
      <c r="L95" s="491"/>
      <c r="M95" s="491"/>
      <c r="N95" s="491"/>
      <c r="O95" s="491"/>
      <c r="P95" s="465"/>
      <c r="Q95" s="493"/>
      <c r="R95" s="494"/>
    </row>
    <row r="96" spans="2:18" hidden="1" outlineLevel="1">
      <c r="B96" s="490"/>
      <c r="C96" s="465"/>
      <c r="D96" s="465"/>
      <c r="E96" s="491"/>
      <c r="F96" s="491"/>
      <c r="G96" s="491"/>
      <c r="H96" s="492"/>
      <c r="I96" s="491"/>
      <c r="J96" s="491"/>
      <c r="K96" s="491"/>
      <c r="L96" s="491"/>
      <c r="M96" s="491"/>
      <c r="N96" s="491"/>
      <c r="O96" s="491"/>
      <c r="P96" s="465"/>
      <c r="Q96" s="493"/>
      <c r="R96" s="494"/>
    </row>
    <row r="97" spans="2:18" hidden="1" outlineLevel="1">
      <c r="B97" s="490"/>
      <c r="C97" s="465"/>
      <c r="D97" s="465"/>
      <c r="E97" s="495"/>
      <c r="F97" s="495"/>
      <c r="G97" s="495"/>
      <c r="H97" s="496"/>
      <c r="I97" s="495"/>
      <c r="J97" s="495"/>
      <c r="K97" s="495"/>
      <c r="L97" s="495"/>
      <c r="M97" s="495"/>
      <c r="N97" s="495"/>
      <c r="O97" s="495"/>
      <c r="P97" s="465"/>
      <c r="Q97" s="493"/>
      <c r="R97" s="494"/>
    </row>
    <row r="98" spans="2:18" ht="13.7" hidden="1" outlineLevel="1">
      <c r="B98" s="499"/>
      <c r="C98" s="465"/>
      <c r="D98" s="465"/>
      <c r="E98" s="500"/>
      <c r="F98" s="500"/>
      <c r="G98" s="500"/>
      <c r="H98" s="501"/>
      <c r="I98" s="500"/>
      <c r="J98" s="500"/>
      <c r="K98" s="500"/>
      <c r="L98" s="500"/>
      <c r="M98" s="500"/>
      <c r="N98" s="500"/>
      <c r="O98" s="500"/>
      <c r="P98" s="465"/>
      <c r="Q98" s="493"/>
      <c r="R98" s="494"/>
    </row>
    <row r="99" spans="2:18" ht="13.7" hidden="1" outlineLevel="1">
      <c r="B99" s="499"/>
      <c r="C99" s="465"/>
      <c r="D99" s="465"/>
      <c r="E99" s="500"/>
      <c r="F99" s="500"/>
      <c r="G99" s="500"/>
      <c r="H99" s="501"/>
      <c r="I99" s="500"/>
      <c r="J99" s="500"/>
      <c r="K99" s="500"/>
      <c r="L99" s="500"/>
      <c r="M99" s="500"/>
      <c r="N99" s="500"/>
      <c r="O99" s="500"/>
      <c r="P99" s="465"/>
      <c r="Q99" s="493"/>
      <c r="R99" s="494"/>
    </row>
    <row r="100" spans="2:18" ht="13.7" hidden="1" outlineLevel="1">
      <c r="B100" s="522"/>
      <c r="C100" s="523"/>
      <c r="D100" s="523"/>
      <c r="E100" s="500"/>
      <c r="F100" s="500"/>
      <c r="G100" s="500"/>
      <c r="H100" s="501"/>
      <c r="I100" s="500"/>
      <c r="J100" s="500"/>
      <c r="K100" s="500"/>
      <c r="L100" s="500"/>
      <c r="M100" s="500"/>
      <c r="N100" s="473"/>
      <c r="O100" s="473"/>
      <c r="P100" s="523"/>
      <c r="Q100" s="491"/>
      <c r="R100" s="491"/>
    </row>
    <row r="101" spans="2:18" ht="13.7" hidden="1" outlineLevel="1" collapsed="1">
      <c r="B101" s="524"/>
      <c r="C101" s="465"/>
      <c r="D101" s="465"/>
      <c r="E101" s="473"/>
      <c r="F101" s="473"/>
      <c r="G101" s="473"/>
      <c r="H101" s="520"/>
      <c r="I101" s="473"/>
      <c r="J101" s="473"/>
      <c r="K101" s="473"/>
      <c r="L101" s="473"/>
      <c r="M101" s="473"/>
      <c r="N101" s="473"/>
      <c r="O101" s="473"/>
      <c r="P101" s="465"/>
      <c r="Q101" s="480"/>
      <c r="R101" s="480"/>
    </row>
    <row r="102" spans="2:18" hidden="1" outlineLevel="1">
      <c r="B102" s="525"/>
      <c r="C102" s="490"/>
      <c r="D102" s="490"/>
      <c r="E102" s="526"/>
      <c r="F102" s="526"/>
      <c r="G102" s="526"/>
      <c r="H102" s="492"/>
      <c r="I102" s="491"/>
      <c r="J102" s="491"/>
      <c r="K102" s="491"/>
      <c r="L102" s="491"/>
      <c r="M102" s="491"/>
      <c r="N102" s="491"/>
      <c r="O102" s="491"/>
      <c r="P102" s="490"/>
      <c r="Q102" s="513"/>
      <c r="R102" s="513"/>
    </row>
    <row r="103" spans="2:18" hidden="1" outlineLevel="1">
      <c r="B103" s="490"/>
      <c r="C103" s="465"/>
      <c r="D103" s="527"/>
      <c r="E103" s="507"/>
      <c r="F103" s="507"/>
      <c r="G103" s="507"/>
      <c r="H103" s="508"/>
      <c r="I103" s="507"/>
      <c r="J103" s="507"/>
      <c r="K103" s="507"/>
      <c r="L103" s="507"/>
      <c r="M103" s="507"/>
      <c r="N103" s="507"/>
      <c r="O103" s="507"/>
      <c r="P103" s="490"/>
      <c r="Q103" s="513"/>
      <c r="R103" s="480"/>
    </row>
    <row r="104" spans="2:18" hidden="1" outlineLevel="1">
      <c r="B104" s="506"/>
      <c r="C104" s="465"/>
      <c r="D104" s="465"/>
      <c r="E104" s="491"/>
      <c r="F104" s="491"/>
      <c r="G104" s="491"/>
      <c r="H104" s="492"/>
      <c r="I104" s="491"/>
      <c r="J104" s="491"/>
      <c r="K104" s="491"/>
      <c r="L104" s="491"/>
      <c r="M104" s="491"/>
      <c r="N104" s="491"/>
      <c r="O104" s="491"/>
      <c r="P104" s="490"/>
      <c r="Q104" s="513"/>
      <c r="R104" s="513"/>
    </row>
    <row r="105" spans="2:18" hidden="1" outlineLevel="1">
      <c r="B105" s="525"/>
      <c r="C105" s="528"/>
      <c r="D105" s="528"/>
      <c r="E105" s="473"/>
      <c r="F105" s="473"/>
      <c r="G105" s="473"/>
      <c r="H105" s="529"/>
      <c r="I105" s="473"/>
      <c r="J105" s="473"/>
      <c r="K105" s="473"/>
      <c r="L105" s="473"/>
      <c r="M105" s="473"/>
      <c r="N105" s="491"/>
      <c r="O105" s="491"/>
      <c r="P105" s="490"/>
      <c r="Q105" s="513"/>
      <c r="R105" s="513"/>
    </row>
    <row r="106" spans="2:18" hidden="1" outlineLevel="1">
      <c r="B106" s="506"/>
      <c r="C106" s="528"/>
      <c r="D106" s="530"/>
      <c r="E106" s="491"/>
      <c r="F106" s="491"/>
      <c r="G106" s="491"/>
      <c r="H106" s="492"/>
      <c r="I106" s="491"/>
      <c r="J106" s="491"/>
      <c r="K106" s="491"/>
      <c r="L106" s="491"/>
      <c r="M106" s="491"/>
      <c r="N106" s="491"/>
      <c r="O106" s="491"/>
      <c r="P106" s="490"/>
      <c r="Q106" s="513"/>
      <c r="R106" s="513"/>
    </row>
    <row r="107" spans="2:18" hidden="1" outlineLevel="1">
      <c r="B107" s="506"/>
      <c r="C107" s="489"/>
      <c r="D107" s="489"/>
      <c r="E107" s="495"/>
      <c r="F107" s="495"/>
      <c r="G107" s="495"/>
      <c r="H107" s="496"/>
      <c r="I107" s="495"/>
      <c r="J107" s="495"/>
      <c r="K107" s="495"/>
      <c r="L107" s="495"/>
      <c r="M107" s="495"/>
      <c r="N107" s="495"/>
      <c r="O107" s="495"/>
      <c r="P107" s="490"/>
      <c r="Q107" s="531"/>
      <c r="R107" s="531"/>
    </row>
    <row r="108" spans="2:18" ht="13.7" hidden="1" outlineLevel="1">
      <c r="B108" s="532"/>
      <c r="C108" s="528"/>
      <c r="D108" s="528"/>
      <c r="E108" s="500"/>
      <c r="F108" s="500"/>
      <c r="G108" s="500"/>
      <c r="H108" s="501"/>
      <c r="I108" s="500"/>
      <c r="J108" s="500"/>
      <c r="K108" s="500"/>
      <c r="L108" s="500"/>
      <c r="M108" s="500"/>
      <c r="N108" s="500"/>
      <c r="O108" s="500"/>
      <c r="P108" s="490"/>
      <c r="Q108" s="533"/>
      <c r="R108" s="533"/>
    </row>
    <row r="109" spans="2:18" hidden="1" outlineLevel="1">
      <c r="B109" s="506"/>
      <c r="C109" s="490"/>
      <c r="D109" s="490"/>
      <c r="E109" s="491"/>
      <c r="F109" s="491"/>
      <c r="G109" s="491"/>
      <c r="H109" s="492"/>
      <c r="I109" s="491"/>
      <c r="J109" s="491"/>
      <c r="K109" s="491"/>
      <c r="L109" s="491"/>
      <c r="M109" s="491"/>
      <c r="N109" s="491"/>
      <c r="O109" s="491"/>
      <c r="P109" s="490"/>
      <c r="Q109" s="513"/>
      <c r="R109" s="513"/>
    </row>
    <row r="110" spans="2:18" hidden="1" outlineLevel="1">
      <c r="B110" s="525"/>
      <c r="C110" s="465"/>
      <c r="D110" s="465"/>
      <c r="E110" s="473"/>
      <c r="F110" s="534"/>
      <c r="G110" s="534"/>
      <c r="H110" s="535"/>
      <c r="I110" s="521"/>
      <c r="J110" s="521"/>
      <c r="K110" s="521"/>
      <c r="L110" s="521"/>
      <c r="M110" s="521"/>
      <c r="N110" s="473"/>
      <c r="O110" s="473"/>
      <c r="P110" s="465"/>
      <c r="Q110" s="480"/>
      <c r="R110" s="480"/>
    </row>
    <row r="111" spans="2:18" hidden="1" outlineLevel="1">
      <c r="B111" s="506"/>
      <c r="C111" s="465"/>
      <c r="D111" s="465"/>
      <c r="E111" s="491"/>
      <c r="F111" s="491"/>
      <c r="G111" s="491"/>
      <c r="H111" s="492"/>
      <c r="I111" s="491"/>
      <c r="J111" s="491"/>
      <c r="K111" s="491"/>
      <c r="L111" s="491"/>
      <c r="M111" s="491"/>
      <c r="N111" s="491"/>
      <c r="O111" s="491"/>
      <c r="P111" s="536"/>
      <c r="Q111" s="513"/>
      <c r="R111" s="513"/>
    </row>
    <row r="112" spans="2:18" hidden="1" outlineLevel="1">
      <c r="B112" s="506"/>
      <c r="C112" s="528"/>
      <c r="D112" s="528"/>
      <c r="E112" s="495"/>
      <c r="F112" s="495"/>
      <c r="G112" s="495"/>
      <c r="H112" s="496"/>
      <c r="I112" s="495"/>
      <c r="J112" s="495"/>
      <c r="K112" s="495"/>
      <c r="L112" s="495"/>
      <c r="M112" s="495"/>
      <c r="N112" s="495"/>
      <c r="O112" s="495"/>
      <c r="P112" s="536"/>
      <c r="Q112" s="484"/>
      <c r="R112" s="484"/>
    </row>
    <row r="113" spans="2:18" ht="13.7" hidden="1" outlineLevel="1">
      <c r="B113" s="532"/>
      <c r="C113" s="537"/>
      <c r="D113" s="538"/>
      <c r="E113" s="500"/>
      <c r="F113" s="500"/>
      <c r="G113" s="500"/>
      <c r="H113" s="501"/>
      <c r="I113" s="500"/>
      <c r="J113" s="500"/>
      <c r="K113" s="500"/>
      <c r="L113" s="500"/>
      <c r="M113" s="500"/>
      <c r="N113" s="500"/>
      <c r="O113" s="500"/>
      <c r="P113" s="465"/>
      <c r="Q113" s="477"/>
      <c r="R113" s="477"/>
    </row>
    <row r="114" spans="2:18" hidden="1" outlineLevel="1">
      <c r="B114" s="539"/>
      <c r="C114" s="537"/>
      <c r="D114" s="538"/>
      <c r="E114" s="491"/>
      <c r="F114" s="491"/>
      <c r="G114" s="491"/>
      <c r="H114" s="492"/>
      <c r="I114" s="491"/>
      <c r="J114" s="491"/>
      <c r="K114" s="491"/>
      <c r="L114" s="491"/>
      <c r="M114" s="491"/>
      <c r="N114" s="491"/>
      <c r="O114" s="491"/>
      <c r="P114" s="465"/>
      <c r="Q114" s="513"/>
      <c r="R114" s="513"/>
    </row>
    <row r="115" spans="2:18" hidden="1" outlineLevel="1">
      <c r="B115" s="540"/>
      <c r="C115" s="465"/>
      <c r="D115" s="465"/>
      <c r="E115" s="473"/>
      <c r="F115" s="541"/>
      <c r="G115" s="541"/>
      <c r="H115" s="520"/>
      <c r="I115" s="473"/>
      <c r="J115" s="473"/>
      <c r="K115" s="473"/>
      <c r="L115" s="473"/>
      <c r="M115" s="473"/>
      <c r="N115" s="473"/>
      <c r="O115" s="473"/>
      <c r="P115" s="465"/>
      <c r="Q115" s="480"/>
      <c r="R115" s="480"/>
    </row>
    <row r="116" spans="2:18" hidden="1" outlineLevel="1">
      <c r="B116" s="525"/>
      <c r="C116" s="465"/>
      <c r="D116" s="465"/>
      <c r="E116" s="473"/>
      <c r="F116" s="473"/>
      <c r="G116" s="473"/>
      <c r="H116" s="520"/>
      <c r="I116" s="473"/>
      <c r="J116" s="473"/>
      <c r="K116" s="473"/>
      <c r="L116" s="473"/>
      <c r="M116" s="473"/>
      <c r="N116" s="473"/>
      <c r="O116" s="473"/>
      <c r="P116" s="465"/>
      <c r="Q116" s="480"/>
      <c r="R116" s="480"/>
    </row>
    <row r="117" spans="2:18" hidden="1" outlineLevel="1">
      <c r="B117" s="506"/>
      <c r="C117" s="465"/>
      <c r="D117" s="465"/>
      <c r="E117" s="491"/>
      <c r="F117" s="491"/>
      <c r="G117" s="491"/>
      <c r="H117" s="492"/>
      <c r="I117" s="491"/>
      <c r="J117" s="491"/>
      <c r="K117" s="491"/>
      <c r="L117" s="491"/>
      <c r="M117" s="491"/>
      <c r="N117" s="491"/>
      <c r="O117" s="491"/>
      <c r="P117" s="465"/>
      <c r="Q117" s="480"/>
      <c r="R117" s="480"/>
    </row>
    <row r="118" spans="2:18" hidden="1" outlineLevel="1">
      <c r="B118" s="506"/>
      <c r="C118" s="465"/>
      <c r="D118" s="465"/>
      <c r="E118" s="491"/>
      <c r="F118" s="491"/>
      <c r="G118" s="491"/>
      <c r="H118" s="492"/>
      <c r="I118" s="491"/>
      <c r="J118" s="491"/>
      <c r="K118" s="491"/>
      <c r="L118" s="491"/>
      <c r="M118" s="491"/>
      <c r="N118" s="491"/>
      <c r="O118" s="491"/>
      <c r="P118" s="511"/>
      <c r="Q118" s="480"/>
      <c r="R118" s="480"/>
    </row>
    <row r="119" spans="2:18" hidden="1" outlineLevel="1">
      <c r="B119" s="455"/>
      <c r="C119" s="455"/>
      <c r="D119" s="455"/>
      <c r="E119" s="523"/>
      <c r="F119" s="523"/>
      <c r="G119" s="523"/>
      <c r="H119" s="542"/>
      <c r="I119" s="523"/>
      <c r="J119" s="523"/>
      <c r="K119" s="523"/>
      <c r="L119" s="523"/>
      <c r="M119" s="523"/>
      <c r="N119" s="523"/>
      <c r="O119" s="523"/>
      <c r="P119" s="455"/>
      <c r="Q119" s="455"/>
      <c r="R119" s="455"/>
    </row>
    <row r="120" spans="2:18" ht="13.7" hidden="1" outlineLevel="1">
      <c r="B120" s="524"/>
      <c r="C120" s="455"/>
      <c r="D120" s="455"/>
      <c r="E120" s="523"/>
      <c r="F120" s="523"/>
      <c r="G120" s="523"/>
      <c r="H120" s="492"/>
      <c r="I120" s="491"/>
      <c r="J120" s="491"/>
      <c r="K120" s="491"/>
      <c r="L120" s="491"/>
      <c r="M120" s="491"/>
      <c r="N120" s="523"/>
      <c r="O120" s="523"/>
      <c r="P120" s="455"/>
      <c r="Q120" s="455"/>
      <c r="R120" s="455"/>
    </row>
    <row r="121" spans="2:18" hidden="1" outlineLevel="1">
      <c r="B121" s="490"/>
      <c r="C121" s="455"/>
      <c r="D121" s="455"/>
      <c r="E121" s="523"/>
      <c r="F121" s="491"/>
      <c r="G121" s="491"/>
      <c r="H121" s="492"/>
      <c r="I121" s="491"/>
      <c r="J121" s="491"/>
      <c r="K121" s="491"/>
      <c r="L121" s="491"/>
      <c r="M121" s="491"/>
      <c r="N121" s="491"/>
      <c r="O121" s="491"/>
      <c r="P121" s="455"/>
      <c r="Q121" s="513"/>
      <c r="R121" s="513"/>
    </row>
    <row r="122" spans="2:18" hidden="1" outlineLevel="1">
      <c r="B122" s="490"/>
      <c r="C122" s="455"/>
      <c r="D122" s="455"/>
      <c r="E122" s="523"/>
      <c r="F122" s="523"/>
      <c r="G122" s="523"/>
      <c r="H122" s="492"/>
      <c r="I122" s="491"/>
      <c r="J122" s="491"/>
      <c r="K122" s="491"/>
      <c r="L122" s="491"/>
      <c r="M122" s="491"/>
      <c r="N122" s="491"/>
      <c r="O122" s="491"/>
      <c r="P122" s="455"/>
      <c r="Q122" s="513"/>
      <c r="R122" s="513"/>
    </row>
    <row r="123" spans="2:18" hidden="1" outlineLevel="1">
      <c r="B123" s="455"/>
      <c r="C123" s="455"/>
      <c r="D123" s="455"/>
      <c r="E123" s="523"/>
      <c r="F123" s="523"/>
      <c r="G123" s="523"/>
      <c r="H123" s="542"/>
      <c r="I123" s="523"/>
      <c r="J123" s="523"/>
      <c r="K123" s="523"/>
      <c r="L123" s="523"/>
      <c r="M123" s="523"/>
      <c r="N123" s="523"/>
      <c r="O123" s="523"/>
      <c r="P123" s="455"/>
      <c r="Q123" s="455"/>
      <c r="R123" s="455"/>
    </row>
    <row r="124" spans="2:18" ht="13.7" hidden="1" outlineLevel="1">
      <c r="B124" s="524"/>
      <c r="C124" s="455"/>
      <c r="D124" s="455"/>
      <c r="E124" s="523"/>
      <c r="F124" s="523"/>
      <c r="G124" s="523"/>
      <c r="H124" s="542"/>
      <c r="I124" s="523"/>
      <c r="J124" s="523"/>
      <c r="K124" s="523"/>
      <c r="L124" s="523"/>
      <c r="M124" s="523"/>
      <c r="N124" s="523"/>
      <c r="O124" s="523"/>
      <c r="P124" s="455"/>
      <c r="Q124" s="455"/>
      <c r="R124" s="455"/>
    </row>
    <row r="125" spans="2:18" hidden="1" outlineLevel="1">
      <c r="B125" s="490"/>
      <c r="C125" s="455"/>
      <c r="D125" s="455"/>
      <c r="E125" s="507"/>
      <c r="F125" s="507"/>
      <c r="G125" s="507"/>
      <c r="H125" s="508"/>
      <c r="I125" s="507"/>
      <c r="J125" s="507"/>
      <c r="K125" s="507"/>
      <c r="L125" s="507"/>
      <c r="M125" s="507"/>
      <c r="N125" s="507"/>
      <c r="O125" s="507"/>
      <c r="P125" s="455"/>
      <c r="Q125" s="480"/>
      <c r="R125" s="480"/>
    </row>
    <row r="126" spans="2:18" hidden="1" outlineLevel="1">
      <c r="B126" s="506"/>
      <c r="C126" s="465"/>
      <c r="D126" s="465"/>
      <c r="E126" s="491"/>
      <c r="F126" s="491"/>
      <c r="G126" s="491"/>
      <c r="H126" s="492"/>
      <c r="I126" s="491"/>
      <c r="J126" s="491"/>
      <c r="K126" s="491"/>
      <c r="L126" s="491"/>
      <c r="M126" s="491"/>
      <c r="N126" s="491"/>
      <c r="O126" s="491"/>
      <c r="P126" s="465"/>
      <c r="Q126" s="455"/>
      <c r="R126" s="455"/>
    </row>
    <row r="127" spans="2:18" collapsed="1">
      <c r="B127" s="455"/>
      <c r="C127" s="455"/>
      <c r="D127" s="455"/>
      <c r="E127" s="523"/>
      <c r="F127" s="523"/>
      <c r="G127" s="523"/>
      <c r="H127" s="542"/>
      <c r="I127" s="523"/>
      <c r="J127" s="523"/>
      <c r="K127" s="523"/>
      <c r="L127" s="523"/>
      <c r="M127" s="523"/>
      <c r="N127" s="523"/>
      <c r="O127" s="523"/>
      <c r="P127" s="455"/>
      <c r="Q127" s="455"/>
      <c r="R127" s="455"/>
    </row>
    <row r="128" spans="2:18" ht="13.7">
      <c r="B128" s="524"/>
      <c r="C128" s="454"/>
      <c r="D128" s="454"/>
      <c r="E128" s="528"/>
      <c r="F128" s="528"/>
      <c r="G128" s="528"/>
      <c r="H128" s="543"/>
      <c r="I128" s="521"/>
      <c r="J128" s="528"/>
      <c r="K128" s="528"/>
      <c r="L128" s="528"/>
      <c r="M128" s="528"/>
      <c r="N128" s="528"/>
      <c r="O128" s="528"/>
      <c r="P128" s="454"/>
      <c r="Q128" s="454"/>
      <c r="R128" s="454"/>
    </row>
    <row r="129" spans="2:18" ht="13.7">
      <c r="B129" s="544"/>
      <c r="C129" s="454"/>
      <c r="D129" s="454"/>
      <c r="E129" s="528"/>
      <c r="F129" s="528"/>
      <c r="G129" s="528"/>
      <c r="H129" s="543"/>
      <c r="I129" s="521"/>
      <c r="J129" s="528"/>
      <c r="K129" s="528"/>
      <c r="L129" s="528"/>
      <c r="M129" s="528"/>
      <c r="N129" s="528"/>
      <c r="O129" s="528"/>
      <c r="P129" s="454"/>
      <c r="Q129" s="454"/>
      <c r="R129" s="454"/>
    </row>
    <row r="130" spans="2:18">
      <c r="B130" s="490"/>
      <c r="C130" s="490"/>
      <c r="D130" s="490"/>
      <c r="E130" s="545"/>
      <c r="F130" s="545"/>
      <c r="G130" s="545"/>
      <c r="H130" s="546"/>
      <c r="I130" s="545"/>
      <c r="J130" s="545"/>
      <c r="K130" s="545"/>
      <c r="L130" s="545"/>
      <c r="M130" s="545"/>
      <c r="N130" s="545"/>
      <c r="O130" s="545"/>
      <c r="P130" s="490"/>
      <c r="Q130" s="480"/>
      <c r="R130" s="480"/>
    </row>
    <row r="131" spans="2:18">
      <c r="B131" s="506"/>
      <c r="C131" s="490"/>
      <c r="D131" s="490"/>
      <c r="E131" s="491"/>
      <c r="F131" s="491"/>
      <c r="G131" s="491"/>
      <c r="H131" s="492"/>
      <c r="I131" s="491"/>
      <c r="J131" s="491"/>
      <c r="K131" s="491"/>
      <c r="L131" s="491"/>
      <c r="M131" s="491"/>
      <c r="N131" s="491"/>
      <c r="O131" s="491"/>
      <c r="P131" s="490"/>
      <c r="Q131" s="513"/>
      <c r="R131" s="513"/>
    </row>
    <row r="132" spans="2:18">
      <c r="B132" s="506"/>
      <c r="C132" s="490"/>
      <c r="D132" s="490"/>
      <c r="E132" s="547"/>
      <c r="F132" s="548"/>
      <c r="G132" s="548"/>
      <c r="H132" s="549"/>
      <c r="I132" s="537"/>
      <c r="J132" s="537"/>
      <c r="K132" s="537"/>
      <c r="L132" s="537"/>
      <c r="M132" s="537"/>
      <c r="N132" s="537"/>
      <c r="O132" s="537"/>
      <c r="P132" s="490"/>
      <c r="Q132" s="480"/>
      <c r="R132" s="480"/>
    </row>
    <row r="133" spans="2:18">
      <c r="B133" s="506"/>
      <c r="C133" s="490"/>
      <c r="D133" s="490"/>
      <c r="E133" s="545"/>
      <c r="F133" s="545"/>
      <c r="G133" s="545"/>
      <c r="H133" s="546"/>
      <c r="I133" s="545"/>
      <c r="J133" s="545"/>
      <c r="K133" s="545"/>
      <c r="L133" s="545"/>
      <c r="M133" s="545"/>
      <c r="N133" s="545"/>
      <c r="O133" s="545"/>
      <c r="P133" s="490"/>
      <c r="Q133" s="480"/>
      <c r="R133" s="480"/>
    </row>
    <row r="134" spans="2:18">
      <c r="B134" s="539"/>
      <c r="C134" s="490"/>
      <c r="D134" s="490"/>
      <c r="E134" s="491"/>
      <c r="F134" s="491"/>
      <c r="G134" s="491"/>
      <c r="H134" s="492"/>
      <c r="I134" s="491"/>
      <c r="J134" s="491"/>
      <c r="K134" s="491"/>
      <c r="L134" s="491"/>
      <c r="M134" s="491"/>
      <c r="N134" s="491"/>
      <c r="O134" s="491"/>
      <c r="P134" s="490"/>
      <c r="Q134" s="513"/>
      <c r="R134" s="513"/>
    </row>
    <row r="135" spans="2:18">
      <c r="B135" s="539"/>
      <c r="C135" s="490"/>
      <c r="D135" s="490"/>
      <c r="E135" s="491"/>
      <c r="F135" s="491"/>
      <c r="G135" s="491"/>
      <c r="H135" s="492"/>
      <c r="I135" s="491"/>
      <c r="J135" s="491"/>
      <c r="K135" s="491"/>
      <c r="L135" s="491"/>
      <c r="M135" s="491"/>
      <c r="N135" s="491"/>
      <c r="O135" s="491"/>
      <c r="P135" s="490"/>
      <c r="Q135" s="513"/>
      <c r="R135" s="513"/>
    </row>
    <row r="136" spans="2:18" ht="13.7">
      <c r="B136" s="544"/>
      <c r="C136" s="490"/>
      <c r="D136" s="490"/>
      <c r="E136" s="491"/>
      <c r="F136" s="491"/>
      <c r="G136" s="491"/>
      <c r="H136" s="492"/>
      <c r="I136" s="491"/>
      <c r="J136" s="491"/>
      <c r="K136" s="491"/>
      <c r="L136" s="491"/>
      <c r="M136" s="491"/>
      <c r="N136" s="491"/>
      <c r="O136" s="491"/>
      <c r="P136" s="490"/>
      <c r="Q136" s="513"/>
      <c r="R136" s="513"/>
    </row>
    <row r="137" spans="2:18">
      <c r="B137" s="490"/>
      <c r="C137" s="465"/>
      <c r="D137" s="465"/>
      <c r="E137" s="526"/>
      <c r="F137" s="526"/>
      <c r="G137" s="526"/>
      <c r="H137" s="550"/>
      <c r="I137" s="551"/>
      <c r="J137" s="551"/>
      <c r="K137" s="551"/>
      <c r="L137" s="551"/>
      <c r="M137" s="551"/>
      <c r="N137" s="551"/>
      <c r="O137" s="551"/>
      <c r="P137" s="465"/>
      <c r="Q137" s="480"/>
      <c r="R137" s="480"/>
    </row>
    <row r="138" spans="2:18">
      <c r="B138" s="506"/>
      <c r="C138" s="490"/>
      <c r="D138" s="490"/>
      <c r="E138" s="491"/>
      <c r="F138" s="491"/>
      <c r="G138" s="491"/>
      <c r="H138" s="492"/>
      <c r="I138" s="491"/>
      <c r="J138" s="491"/>
      <c r="K138" s="491"/>
      <c r="L138" s="491"/>
      <c r="M138" s="491"/>
      <c r="N138" s="491"/>
      <c r="O138" s="491"/>
      <c r="P138" s="552"/>
      <c r="Q138" s="513"/>
      <c r="R138" s="513"/>
    </row>
    <row r="139" spans="2:18">
      <c r="B139" s="506"/>
      <c r="C139" s="490"/>
      <c r="D139" s="490"/>
      <c r="E139" s="491"/>
      <c r="F139" s="491"/>
      <c r="G139" s="491"/>
      <c r="H139" s="492"/>
      <c r="I139" s="491"/>
      <c r="J139" s="491"/>
      <c r="K139" s="491"/>
      <c r="L139" s="491"/>
      <c r="M139" s="491"/>
      <c r="N139" s="491"/>
      <c r="O139" s="491"/>
      <c r="P139" s="552"/>
      <c r="Q139" s="513"/>
      <c r="R139" s="513"/>
    </row>
    <row r="140" spans="2:18">
      <c r="B140" s="490"/>
      <c r="C140" s="465"/>
      <c r="D140" s="465"/>
      <c r="E140" s="526"/>
      <c r="F140" s="526"/>
      <c r="G140" s="526"/>
      <c r="H140" s="550"/>
      <c r="I140" s="551"/>
      <c r="J140" s="551"/>
      <c r="K140" s="551"/>
      <c r="L140" s="551"/>
      <c r="M140" s="551"/>
      <c r="N140" s="551"/>
      <c r="O140" s="551"/>
      <c r="P140" s="465"/>
      <c r="Q140" s="480"/>
      <c r="R140" s="480"/>
    </row>
    <row r="141" spans="2:18">
      <c r="B141" s="506"/>
      <c r="C141" s="490"/>
      <c r="D141" s="490"/>
      <c r="E141" s="491"/>
      <c r="F141" s="491"/>
      <c r="G141" s="491"/>
      <c r="H141" s="492"/>
      <c r="I141" s="491"/>
      <c r="J141" s="491"/>
      <c r="K141" s="491"/>
      <c r="L141" s="491"/>
      <c r="M141" s="491"/>
      <c r="N141" s="491"/>
      <c r="O141" s="491"/>
      <c r="P141" s="552"/>
      <c r="Q141" s="513"/>
      <c r="R141" s="513"/>
    </row>
    <row r="142" spans="2:18">
      <c r="B142" s="506"/>
      <c r="C142" s="465"/>
      <c r="D142" s="465"/>
      <c r="E142" s="491"/>
      <c r="F142" s="491"/>
      <c r="G142" s="491"/>
      <c r="H142" s="492"/>
      <c r="I142" s="491"/>
      <c r="J142" s="491"/>
      <c r="K142" s="491"/>
      <c r="L142" s="491"/>
      <c r="M142" s="491"/>
      <c r="N142" s="491"/>
      <c r="O142" s="491"/>
      <c r="P142" s="465"/>
      <c r="Q142" s="480"/>
      <c r="R142" s="480"/>
    </row>
    <row r="143" spans="2:18" ht="13.7">
      <c r="B143" s="544"/>
      <c r="C143" s="544"/>
      <c r="D143" s="544"/>
      <c r="E143" s="553"/>
      <c r="F143" s="553"/>
      <c r="G143" s="553"/>
      <c r="H143" s="554"/>
      <c r="I143" s="553"/>
      <c r="J143" s="553"/>
      <c r="K143" s="553"/>
      <c r="L143" s="553"/>
      <c r="M143" s="553"/>
      <c r="N143" s="553"/>
      <c r="O143" s="553"/>
      <c r="P143" s="544"/>
      <c r="Q143" s="477"/>
      <c r="R143" s="477"/>
    </row>
    <row r="144" spans="2:18">
      <c r="B144" s="506"/>
      <c r="C144" s="490"/>
      <c r="D144" s="490"/>
      <c r="E144" s="491"/>
      <c r="F144" s="491"/>
      <c r="G144" s="491"/>
      <c r="H144" s="492"/>
      <c r="I144" s="491"/>
      <c r="J144" s="491"/>
      <c r="K144" s="491"/>
      <c r="L144" s="491"/>
      <c r="M144" s="491"/>
      <c r="N144" s="491"/>
      <c r="O144" s="491"/>
      <c r="P144" s="552"/>
      <c r="Q144" s="513"/>
      <c r="R144" s="513"/>
    </row>
    <row r="145" spans="2:18">
      <c r="B145" s="506"/>
      <c r="C145" s="465"/>
      <c r="D145" s="465"/>
      <c r="E145" s="526"/>
      <c r="F145" s="526"/>
      <c r="G145" s="526"/>
      <c r="H145" s="492"/>
      <c r="I145" s="491"/>
      <c r="J145" s="491"/>
      <c r="K145" s="491"/>
      <c r="L145" s="491"/>
      <c r="M145" s="491"/>
      <c r="N145" s="473"/>
      <c r="O145" s="473"/>
      <c r="P145" s="465"/>
      <c r="Q145" s="480"/>
      <c r="R145" s="480"/>
    </row>
    <row r="146" spans="2:18" ht="13.7">
      <c r="B146" s="544"/>
      <c r="C146" s="490"/>
      <c r="D146" s="490"/>
      <c r="E146" s="491"/>
      <c r="F146" s="491"/>
      <c r="G146" s="491"/>
      <c r="H146" s="492"/>
      <c r="I146" s="491"/>
      <c r="J146" s="491"/>
      <c r="K146" s="491"/>
      <c r="L146" s="491"/>
      <c r="M146" s="491"/>
      <c r="N146" s="491"/>
      <c r="O146" s="491"/>
      <c r="P146" s="552"/>
      <c r="Q146" s="513"/>
      <c r="R146" s="513"/>
    </row>
    <row r="147" spans="2:18">
      <c r="B147" s="490"/>
      <c r="C147" s="490"/>
      <c r="D147" s="490"/>
      <c r="E147" s="526"/>
      <c r="F147" s="526"/>
      <c r="G147" s="526"/>
      <c r="H147" s="555"/>
      <c r="I147" s="526"/>
      <c r="J147" s="526"/>
      <c r="K147" s="526"/>
      <c r="L147" s="526"/>
      <c r="M147" s="526"/>
      <c r="N147" s="526"/>
      <c r="O147" s="526"/>
      <c r="P147" s="552"/>
      <c r="Q147" s="480"/>
      <c r="R147" s="480"/>
    </row>
    <row r="148" spans="2:18">
      <c r="B148" s="506"/>
      <c r="C148" s="490"/>
      <c r="D148" s="490"/>
      <c r="E148" s="491"/>
      <c r="F148" s="491"/>
      <c r="G148" s="491"/>
      <c r="H148" s="492"/>
      <c r="I148" s="491"/>
      <c r="J148" s="491"/>
      <c r="K148" s="491"/>
      <c r="L148" s="491"/>
      <c r="M148" s="491"/>
      <c r="N148" s="491"/>
      <c r="O148" s="491"/>
      <c r="P148" s="552"/>
      <c r="Q148" s="513"/>
      <c r="R148" s="513"/>
    </row>
    <row r="149" spans="2:18">
      <c r="B149" s="506"/>
      <c r="C149" s="490"/>
      <c r="D149" s="490"/>
      <c r="E149" s="491"/>
      <c r="F149" s="491"/>
      <c r="G149" s="491"/>
      <c r="H149" s="492"/>
      <c r="I149" s="491"/>
      <c r="J149" s="491"/>
      <c r="K149" s="491"/>
      <c r="L149" s="491"/>
      <c r="M149" s="491"/>
      <c r="N149" s="491"/>
      <c r="O149" s="491"/>
      <c r="P149" s="490"/>
      <c r="Q149" s="513"/>
      <c r="R149" s="513"/>
    </row>
    <row r="150" spans="2:18" ht="13.7">
      <c r="B150" s="544"/>
      <c r="C150" s="490"/>
      <c r="D150" s="490"/>
      <c r="E150" s="491"/>
      <c r="F150" s="491"/>
      <c r="G150" s="491"/>
      <c r="H150" s="492"/>
      <c r="I150" s="491"/>
      <c r="J150" s="491"/>
      <c r="K150" s="491"/>
      <c r="L150" s="491"/>
      <c r="M150" s="491"/>
      <c r="N150" s="491"/>
      <c r="O150" s="491"/>
      <c r="P150" s="490"/>
      <c r="Q150" s="513"/>
      <c r="R150" s="513"/>
    </row>
    <row r="151" spans="2:18">
      <c r="B151" s="490"/>
      <c r="C151" s="490"/>
      <c r="D151" s="490"/>
      <c r="E151" s="507"/>
      <c r="F151" s="507"/>
      <c r="G151" s="507"/>
      <c r="H151" s="508"/>
      <c r="I151" s="507"/>
      <c r="J151" s="507"/>
      <c r="K151" s="507"/>
      <c r="L151" s="507"/>
      <c r="M151" s="507"/>
      <c r="N151" s="507"/>
      <c r="O151" s="507"/>
      <c r="P151" s="490"/>
      <c r="Q151" s="480"/>
      <c r="R151" s="480"/>
    </row>
    <row r="152" spans="2:18" ht="15.15">
      <c r="B152" s="490"/>
      <c r="C152" s="465"/>
      <c r="D152" s="465"/>
      <c r="E152" s="556"/>
      <c r="F152" s="556"/>
      <c r="G152" s="556"/>
      <c r="H152" s="557"/>
      <c r="I152" s="556"/>
      <c r="J152" s="556"/>
      <c r="K152" s="556"/>
      <c r="L152" s="556"/>
      <c r="M152" s="556"/>
      <c r="N152" s="556"/>
      <c r="O152" s="556"/>
      <c r="P152" s="465"/>
      <c r="Q152" s="484"/>
      <c r="R152" s="484"/>
    </row>
    <row r="153" spans="2:18" ht="13.7">
      <c r="B153" s="499"/>
      <c r="C153" s="476"/>
      <c r="D153" s="476"/>
      <c r="E153" s="558"/>
      <c r="F153" s="558"/>
      <c r="G153" s="558"/>
      <c r="H153" s="559"/>
      <c r="I153" s="558"/>
      <c r="J153" s="558"/>
      <c r="K153" s="558"/>
      <c r="L153" s="558"/>
      <c r="M153" s="558"/>
      <c r="N153" s="558"/>
      <c r="O153" s="558"/>
      <c r="P153" s="476"/>
      <c r="Q153" s="477"/>
      <c r="R153" s="477"/>
    </row>
    <row r="154" spans="2:18" ht="13.7">
      <c r="B154" s="506"/>
      <c r="C154" s="476"/>
      <c r="D154" s="476"/>
      <c r="E154" s="491"/>
      <c r="F154" s="491"/>
      <c r="G154" s="491"/>
      <c r="H154" s="492"/>
      <c r="I154" s="491"/>
      <c r="J154" s="491"/>
      <c r="K154" s="491"/>
      <c r="L154" s="491"/>
      <c r="M154" s="491"/>
      <c r="N154" s="491"/>
      <c r="O154" s="491"/>
      <c r="P154" s="476"/>
      <c r="Q154" s="503"/>
      <c r="R154" s="503"/>
    </row>
    <row r="155" spans="2:18" ht="13.7">
      <c r="B155" s="524"/>
      <c r="C155" s="465"/>
      <c r="D155" s="465"/>
      <c r="E155" s="560"/>
      <c r="F155" s="560"/>
      <c r="G155" s="491"/>
      <c r="H155" s="492"/>
      <c r="I155" s="491"/>
      <c r="J155" s="560"/>
      <c r="K155" s="560"/>
      <c r="L155" s="560"/>
      <c r="M155" s="560"/>
      <c r="N155" s="473"/>
      <c r="O155" s="473"/>
      <c r="P155" s="465"/>
      <c r="Q155" s="480"/>
      <c r="R155" s="480"/>
    </row>
    <row r="156" spans="2:18" ht="13.7">
      <c r="B156" s="524"/>
      <c r="C156" s="465"/>
      <c r="D156" s="465"/>
      <c r="E156" s="491"/>
      <c r="F156" s="491"/>
      <c r="G156" s="491"/>
      <c r="H156" s="492"/>
      <c r="I156" s="491"/>
      <c r="J156" s="491"/>
      <c r="K156" s="491"/>
      <c r="L156" s="491"/>
      <c r="M156" s="491"/>
      <c r="N156" s="473"/>
      <c r="O156" s="473"/>
      <c r="P156" s="465"/>
      <c r="Q156" s="480"/>
      <c r="R156" s="480"/>
    </row>
    <row r="157" spans="2:18">
      <c r="B157" s="490"/>
      <c r="C157" s="465"/>
      <c r="D157" s="465"/>
      <c r="E157" s="507"/>
      <c r="F157" s="507"/>
      <c r="G157" s="507"/>
      <c r="H157" s="508"/>
      <c r="I157" s="507"/>
      <c r="J157" s="507"/>
      <c r="K157" s="507"/>
      <c r="L157" s="507"/>
      <c r="M157" s="507"/>
      <c r="N157" s="507"/>
      <c r="O157" s="507"/>
      <c r="P157" s="465"/>
      <c r="Q157" s="480"/>
      <c r="R157" s="480"/>
    </row>
    <row r="158" spans="2:18">
      <c r="B158" s="490"/>
      <c r="C158" s="465"/>
      <c r="D158" s="465"/>
      <c r="E158" s="507"/>
      <c r="F158" s="507"/>
      <c r="G158" s="507"/>
      <c r="H158" s="508"/>
      <c r="I158" s="507"/>
      <c r="J158" s="507"/>
      <c r="K158" s="507"/>
      <c r="L158" s="507"/>
      <c r="M158" s="507"/>
      <c r="N158" s="507"/>
      <c r="O158" s="507"/>
      <c r="P158" s="465"/>
      <c r="Q158" s="480"/>
      <c r="R158" s="480"/>
    </row>
    <row r="159" spans="2:18">
      <c r="B159" s="506"/>
      <c r="C159" s="465"/>
      <c r="D159" s="465"/>
      <c r="E159" s="491"/>
      <c r="F159" s="491"/>
      <c r="G159" s="491"/>
      <c r="H159" s="492"/>
      <c r="I159" s="491"/>
      <c r="J159" s="491"/>
      <c r="K159" s="491"/>
      <c r="L159" s="491"/>
      <c r="M159" s="491"/>
      <c r="N159" s="491"/>
      <c r="O159" s="491"/>
      <c r="P159" s="465"/>
      <c r="Q159" s="480"/>
      <c r="R159" s="480"/>
    </row>
    <row r="160" spans="2:18">
      <c r="B160" s="465"/>
      <c r="C160" s="465"/>
      <c r="D160" s="465"/>
      <c r="E160" s="491"/>
      <c r="F160" s="491"/>
      <c r="G160" s="491"/>
      <c r="H160" s="492"/>
      <c r="I160" s="491"/>
      <c r="J160" s="491"/>
      <c r="K160" s="491"/>
      <c r="L160" s="491"/>
      <c r="M160" s="491"/>
      <c r="N160" s="473"/>
      <c r="O160" s="473"/>
      <c r="P160" s="465"/>
      <c r="Q160" s="480"/>
      <c r="R160" s="480"/>
    </row>
    <row r="161" spans="2:18" ht="13.7">
      <c r="B161" s="476"/>
      <c r="C161" s="476"/>
      <c r="D161" s="476"/>
      <c r="E161" s="487"/>
      <c r="F161" s="487"/>
      <c r="G161" s="487"/>
      <c r="H161" s="488"/>
      <c r="I161" s="487"/>
      <c r="J161" s="487"/>
      <c r="K161" s="487"/>
      <c r="L161" s="487"/>
      <c r="M161" s="487"/>
      <c r="N161" s="487"/>
      <c r="O161" s="487"/>
      <c r="P161" s="476"/>
      <c r="Q161" s="477"/>
      <c r="R161" s="477"/>
    </row>
    <row r="162" spans="2:18">
      <c r="B162" s="490"/>
      <c r="C162" s="465"/>
      <c r="D162" s="465"/>
      <c r="E162" s="491"/>
      <c r="F162" s="491"/>
      <c r="G162" s="491"/>
      <c r="H162" s="492"/>
      <c r="I162" s="491"/>
      <c r="J162" s="491"/>
      <c r="K162" s="491"/>
      <c r="L162" s="491"/>
      <c r="M162" s="491"/>
      <c r="N162" s="491"/>
      <c r="O162" s="491"/>
      <c r="P162" s="465"/>
      <c r="Q162" s="493"/>
      <c r="R162" s="494"/>
    </row>
    <row r="163" spans="2:18">
      <c r="B163" s="490"/>
      <c r="C163" s="465"/>
      <c r="D163" s="465"/>
      <c r="E163" s="491"/>
      <c r="F163" s="491"/>
      <c r="G163" s="491"/>
      <c r="H163" s="492"/>
      <c r="I163" s="491"/>
      <c r="J163" s="491"/>
      <c r="K163" s="491"/>
      <c r="L163" s="491"/>
      <c r="M163" s="491"/>
      <c r="N163" s="491"/>
      <c r="O163" s="491"/>
      <c r="P163" s="465"/>
      <c r="Q163" s="493"/>
      <c r="R163" s="494"/>
    </row>
    <row r="164" spans="2:18">
      <c r="B164" s="490"/>
      <c r="C164" s="465"/>
      <c r="D164" s="465"/>
      <c r="E164" s="491"/>
      <c r="F164" s="491"/>
      <c r="G164" s="491"/>
      <c r="H164" s="492"/>
      <c r="I164" s="491"/>
      <c r="J164" s="491"/>
      <c r="K164" s="491"/>
      <c r="L164" s="491"/>
      <c r="M164" s="491"/>
      <c r="N164" s="491"/>
      <c r="O164" s="491"/>
      <c r="P164" s="465"/>
      <c r="Q164" s="493"/>
      <c r="R164" s="494"/>
    </row>
    <row r="165" spans="2:18" ht="13.7" hidden="1" outlineLevel="1">
      <c r="B165" s="544"/>
      <c r="C165" s="476"/>
      <c r="D165" s="476"/>
      <c r="E165" s="558"/>
      <c r="F165" s="558"/>
      <c r="G165" s="558"/>
      <c r="H165" s="559"/>
      <c r="I165" s="558"/>
      <c r="J165" s="558"/>
      <c r="K165" s="558"/>
      <c r="L165" s="558"/>
      <c r="M165" s="558"/>
      <c r="N165" s="558"/>
      <c r="O165" s="558"/>
      <c r="P165" s="476"/>
      <c r="Q165" s="477"/>
      <c r="R165" s="477"/>
    </row>
    <row r="166" spans="2:18" hidden="1" outlineLevel="1">
      <c r="B166" s="506"/>
      <c r="C166" s="465"/>
      <c r="D166" s="465"/>
      <c r="E166" s="491"/>
      <c r="F166" s="491"/>
      <c r="G166" s="491"/>
      <c r="H166" s="492"/>
      <c r="I166" s="491"/>
      <c r="J166" s="491"/>
      <c r="K166" s="491"/>
      <c r="L166" s="491"/>
      <c r="M166" s="491"/>
      <c r="N166" s="491"/>
      <c r="O166" s="491"/>
      <c r="P166" s="465"/>
      <c r="Q166" s="493"/>
      <c r="R166" s="493"/>
    </row>
    <row r="167" spans="2:18" hidden="1" outlineLevel="1">
      <c r="B167" s="506"/>
      <c r="C167" s="465"/>
      <c r="D167" s="465"/>
      <c r="E167" s="491"/>
      <c r="F167" s="491"/>
      <c r="G167" s="491"/>
      <c r="H167" s="492"/>
      <c r="I167" s="491"/>
      <c r="J167" s="491"/>
      <c r="K167" s="491"/>
      <c r="L167" s="491"/>
      <c r="M167" s="491"/>
      <c r="N167" s="491"/>
      <c r="O167" s="491"/>
      <c r="P167" s="465"/>
      <c r="Q167" s="493"/>
      <c r="R167" s="494"/>
    </row>
    <row r="168" spans="2:18" hidden="1" outlineLevel="1">
      <c r="B168" s="465"/>
      <c r="C168" s="465"/>
      <c r="D168" s="465"/>
      <c r="E168" s="473"/>
      <c r="F168" s="473"/>
      <c r="G168" s="473"/>
      <c r="H168" s="520"/>
      <c r="I168" s="473"/>
      <c r="J168" s="473"/>
      <c r="K168" s="473"/>
      <c r="L168" s="473"/>
      <c r="M168" s="473"/>
      <c r="N168" s="473"/>
      <c r="O168" s="473"/>
      <c r="P168" s="465"/>
      <c r="Q168" s="480"/>
      <c r="R168" s="480"/>
    </row>
    <row r="169" spans="2:18" hidden="1" outlineLevel="1" collapsed="1">
      <c r="B169" s="470"/>
      <c r="C169" s="471"/>
      <c r="D169" s="465"/>
      <c r="E169" s="473"/>
      <c r="F169" s="473"/>
      <c r="G169" s="473"/>
      <c r="H169" s="520"/>
      <c r="I169" s="473"/>
      <c r="J169" s="473"/>
      <c r="K169" s="473"/>
      <c r="L169" s="473"/>
      <c r="M169" s="473"/>
      <c r="N169" s="473"/>
      <c r="O169" s="473"/>
      <c r="P169" s="465"/>
      <c r="Q169" s="480"/>
      <c r="R169" s="480"/>
    </row>
    <row r="170" spans="2:18" hidden="1" outlineLevel="1">
      <c r="B170" s="465"/>
      <c r="C170" s="465"/>
      <c r="D170" s="465"/>
      <c r="E170" s="478"/>
      <c r="F170" s="478"/>
      <c r="G170" s="478"/>
      <c r="H170" s="479"/>
      <c r="I170" s="478"/>
      <c r="J170" s="478"/>
      <c r="K170" s="478"/>
      <c r="L170" s="478"/>
      <c r="M170" s="478"/>
      <c r="N170" s="478"/>
      <c r="O170" s="478"/>
      <c r="P170" s="465"/>
      <c r="Q170" s="480"/>
      <c r="R170" s="480"/>
    </row>
    <row r="171" spans="2:18" hidden="1" outlineLevel="1">
      <c r="B171" s="465"/>
      <c r="C171" s="465"/>
      <c r="D171" s="465"/>
      <c r="E171" s="478"/>
      <c r="F171" s="478"/>
      <c r="G171" s="478"/>
      <c r="H171" s="479"/>
      <c r="I171" s="478"/>
      <c r="J171" s="478"/>
      <c r="K171" s="478"/>
      <c r="L171" s="478"/>
      <c r="M171" s="478"/>
      <c r="N171" s="478"/>
      <c r="O171" s="478"/>
      <c r="P171" s="465"/>
      <c r="Q171" s="480"/>
      <c r="R171" s="480"/>
    </row>
    <row r="172" spans="2:18" hidden="1" outlineLevel="1">
      <c r="B172" s="465"/>
      <c r="C172" s="465"/>
      <c r="D172" s="465"/>
      <c r="E172" s="478"/>
      <c r="F172" s="478"/>
      <c r="G172" s="478"/>
      <c r="H172" s="479"/>
      <c r="I172" s="478"/>
      <c r="J172" s="478"/>
      <c r="K172" s="478"/>
      <c r="L172" s="478"/>
      <c r="M172" s="478"/>
      <c r="N172" s="478"/>
      <c r="O172" s="478"/>
      <c r="P172" s="465"/>
      <c r="Q172" s="480"/>
      <c r="R172" s="480"/>
    </row>
    <row r="173" spans="2:18" hidden="1" outlineLevel="1">
      <c r="B173" s="523"/>
      <c r="C173" s="561"/>
      <c r="D173" s="465"/>
      <c r="E173" s="478"/>
      <c r="F173" s="478"/>
      <c r="G173" s="478"/>
      <c r="H173" s="479"/>
      <c r="I173" s="478"/>
      <c r="J173" s="478"/>
      <c r="K173" s="478"/>
      <c r="L173" s="478"/>
      <c r="M173" s="478"/>
      <c r="N173" s="478"/>
      <c r="O173" s="478"/>
      <c r="P173" s="465"/>
      <c r="Q173" s="480"/>
      <c r="R173" s="480"/>
    </row>
    <row r="174" spans="2:18" hidden="1" outlineLevel="1">
      <c r="B174" s="523"/>
      <c r="C174" s="465"/>
      <c r="D174" s="523"/>
      <c r="E174" s="478"/>
      <c r="F174" s="478"/>
      <c r="G174" s="478"/>
      <c r="H174" s="479"/>
      <c r="I174" s="478"/>
      <c r="J174" s="478"/>
      <c r="K174" s="478"/>
      <c r="L174" s="478"/>
      <c r="M174" s="478"/>
      <c r="N174" s="478"/>
      <c r="O174" s="478"/>
      <c r="P174" s="465"/>
      <c r="Q174" s="480"/>
      <c r="R174" s="480"/>
    </row>
    <row r="175" spans="2:18" hidden="1" outlineLevel="1">
      <c r="B175" s="523"/>
      <c r="C175" s="465"/>
      <c r="D175" s="465"/>
      <c r="E175" s="478"/>
      <c r="F175" s="478"/>
      <c r="G175" s="478"/>
      <c r="H175" s="479"/>
      <c r="I175" s="478"/>
      <c r="J175" s="478"/>
      <c r="K175" s="478"/>
      <c r="L175" s="478"/>
      <c r="M175" s="478"/>
      <c r="N175" s="478"/>
      <c r="O175" s="478"/>
      <c r="P175" s="465"/>
      <c r="Q175" s="480"/>
      <c r="R175" s="480"/>
    </row>
    <row r="176" spans="2:18" ht="15.15" hidden="1" outlineLevel="1">
      <c r="B176" s="523"/>
      <c r="C176" s="465"/>
      <c r="D176" s="465"/>
      <c r="E176" s="482"/>
      <c r="F176" s="482"/>
      <c r="G176" s="482"/>
      <c r="H176" s="483"/>
      <c r="I176" s="482"/>
      <c r="J176" s="482"/>
      <c r="K176" s="482"/>
      <c r="L176" s="482"/>
      <c r="M176" s="482"/>
      <c r="N176" s="482"/>
      <c r="O176" s="482"/>
      <c r="P176" s="465"/>
      <c r="Q176" s="484"/>
      <c r="R176" s="484"/>
    </row>
    <row r="177" spans="2:18" ht="13.7" hidden="1" outlineLevel="1">
      <c r="B177" s="562"/>
      <c r="C177" s="465"/>
      <c r="D177" s="465"/>
      <c r="E177" s="487"/>
      <c r="F177" s="487"/>
      <c r="G177" s="487"/>
      <c r="H177" s="488"/>
      <c r="I177" s="487"/>
      <c r="J177" s="487"/>
      <c r="K177" s="487"/>
      <c r="L177" s="487"/>
      <c r="M177" s="487"/>
      <c r="N177" s="487"/>
      <c r="O177" s="487"/>
      <c r="P177" s="465"/>
      <c r="Q177" s="477"/>
      <c r="R177" s="477"/>
    </row>
    <row r="178" spans="2:18" ht="15.15" hidden="1" outlineLevel="1">
      <c r="B178" s="465"/>
      <c r="C178" s="465"/>
      <c r="D178" s="465"/>
      <c r="E178" s="482"/>
      <c r="F178" s="482"/>
      <c r="G178" s="482"/>
      <c r="H178" s="483"/>
      <c r="I178" s="482"/>
      <c r="J178" s="482"/>
      <c r="K178" s="482"/>
      <c r="L178" s="482"/>
      <c r="M178" s="482"/>
      <c r="N178" s="482"/>
      <c r="O178" s="482"/>
      <c r="P178" s="465"/>
      <c r="Q178" s="477"/>
      <c r="R178" s="477"/>
    </row>
    <row r="179" spans="2:18" ht="13.7" hidden="1" outlineLevel="1">
      <c r="B179" s="562"/>
      <c r="C179" s="465"/>
      <c r="D179" s="465"/>
      <c r="E179" s="487"/>
      <c r="F179" s="487"/>
      <c r="G179" s="487"/>
      <c r="H179" s="488"/>
      <c r="I179" s="487"/>
      <c r="J179" s="487"/>
      <c r="K179" s="487"/>
      <c r="L179" s="487"/>
      <c r="M179" s="487"/>
      <c r="N179" s="487"/>
      <c r="O179" s="487"/>
      <c r="P179" s="465"/>
      <c r="Q179" s="477"/>
      <c r="R179" s="477"/>
    </row>
    <row r="180" spans="2:18" hidden="1" outlineLevel="1">
      <c r="B180" s="465"/>
      <c r="C180" s="465"/>
      <c r="D180" s="465"/>
      <c r="E180" s="473"/>
      <c r="F180" s="473"/>
      <c r="G180" s="473"/>
      <c r="H180" s="520"/>
      <c r="I180" s="473"/>
      <c r="J180" s="473"/>
      <c r="K180" s="473"/>
      <c r="L180" s="473"/>
      <c r="M180" s="473"/>
      <c r="N180" s="473"/>
      <c r="O180" s="473"/>
      <c r="P180" s="465"/>
      <c r="Q180" s="480"/>
      <c r="R180" s="480"/>
    </row>
    <row r="181" spans="2:18" hidden="1" outlineLevel="1">
      <c r="B181" s="489"/>
      <c r="C181" s="465"/>
      <c r="D181" s="465"/>
      <c r="E181" s="473"/>
      <c r="F181" s="473"/>
      <c r="G181" s="473"/>
      <c r="H181" s="520"/>
      <c r="I181" s="473"/>
      <c r="J181" s="473"/>
      <c r="K181" s="473"/>
      <c r="L181" s="473"/>
      <c r="M181" s="473"/>
      <c r="N181" s="473"/>
      <c r="O181" s="473"/>
      <c r="P181" s="465"/>
      <c r="Q181" s="480"/>
      <c r="R181" s="480"/>
    </row>
    <row r="182" spans="2:18" hidden="1" outlineLevel="1">
      <c r="B182" s="490"/>
      <c r="C182" s="465"/>
      <c r="D182" s="465"/>
      <c r="E182" s="491"/>
      <c r="F182" s="491"/>
      <c r="G182" s="491"/>
      <c r="H182" s="492"/>
      <c r="I182" s="491"/>
      <c r="J182" s="491"/>
      <c r="K182" s="491"/>
      <c r="L182" s="491"/>
      <c r="M182" s="491"/>
      <c r="N182" s="491"/>
      <c r="O182" s="491"/>
      <c r="P182" s="465"/>
      <c r="Q182" s="494"/>
      <c r="R182" s="494"/>
    </row>
    <row r="183" spans="2:18" hidden="1" outlineLevel="1">
      <c r="B183" s="490"/>
      <c r="C183" s="465"/>
      <c r="D183" s="465"/>
      <c r="E183" s="491"/>
      <c r="F183" s="491"/>
      <c r="G183" s="491"/>
      <c r="H183" s="492"/>
      <c r="I183" s="491"/>
      <c r="J183" s="491"/>
      <c r="K183" s="491"/>
      <c r="L183" s="491"/>
      <c r="M183" s="491"/>
      <c r="N183" s="491"/>
      <c r="O183" s="491"/>
      <c r="P183" s="465"/>
      <c r="Q183" s="494"/>
      <c r="R183" s="494"/>
    </row>
    <row r="184" spans="2:18" hidden="1" outlineLevel="1">
      <c r="B184" s="490"/>
      <c r="C184" s="465"/>
      <c r="D184" s="465"/>
      <c r="E184" s="491"/>
      <c r="F184" s="491"/>
      <c r="G184" s="491"/>
      <c r="H184" s="492"/>
      <c r="I184" s="491"/>
      <c r="J184" s="491"/>
      <c r="K184" s="491"/>
      <c r="L184" s="491"/>
      <c r="M184" s="491"/>
      <c r="N184" s="491"/>
      <c r="O184" s="491"/>
      <c r="P184" s="465"/>
      <c r="Q184" s="494"/>
      <c r="R184" s="494"/>
    </row>
    <row r="185" spans="2:18" hidden="1" outlineLevel="1">
      <c r="B185" s="490"/>
      <c r="C185" s="465"/>
      <c r="D185" s="465"/>
      <c r="E185" s="491"/>
      <c r="F185" s="491"/>
      <c r="G185" s="491"/>
      <c r="H185" s="492"/>
      <c r="I185" s="491"/>
      <c r="J185" s="491"/>
      <c r="K185" s="491"/>
      <c r="L185" s="491"/>
      <c r="M185" s="491"/>
      <c r="N185" s="491"/>
      <c r="O185" s="491"/>
      <c r="P185" s="465"/>
      <c r="Q185" s="494"/>
      <c r="R185" s="494"/>
    </row>
    <row r="186" spans="2:18" hidden="1" outlineLevel="1">
      <c r="B186" s="490"/>
      <c r="C186" s="465"/>
      <c r="D186" s="465"/>
      <c r="E186" s="491"/>
      <c r="F186" s="491"/>
      <c r="G186" s="491"/>
      <c r="H186" s="492"/>
      <c r="I186" s="491"/>
      <c r="J186" s="491"/>
      <c r="K186" s="491"/>
      <c r="L186" s="491"/>
      <c r="M186" s="491"/>
      <c r="N186" s="491"/>
      <c r="O186" s="491"/>
      <c r="P186" s="465"/>
      <c r="Q186" s="494"/>
      <c r="R186" s="494"/>
    </row>
    <row r="187" spans="2:18" hidden="1" outlineLevel="1">
      <c r="B187" s="490"/>
      <c r="C187" s="465"/>
      <c r="D187" s="465"/>
      <c r="E187" s="491"/>
      <c r="F187" s="491"/>
      <c r="G187" s="491"/>
      <c r="H187" s="492"/>
      <c r="I187" s="491"/>
      <c r="J187" s="491"/>
      <c r="K187" s="491"/>
      <c r="L187" s="491"/>
      <c r="M187" s="491"/>
      <c r="N187" s="491"/>
      <c r="O187" s="491"/>
      <c r="P187" s="465"/>
      <c r="Q187" s="494"/>
      <c r="R187" s="494"/>
    </row>
    <row r="188" spans="2:18" ht="15.15" hidden="1" outlineLevel="1">
      <c r="B188" s="490"/>
      <c r="C188" s="465"/>
      <c r="D188" s="465"/>
      <c r="E188" s="495"/>
      <c r="F188" s="495"/>
      <c r="G188" s="495"/>
      <c r="H188" s="496"/>
      <c r="I188" s="495"/>
      <c r="J188" s="495"/>
      <c r="K188" s="495"/>
      <c r="L188" s="495"/>
      <c r="M188" s="495"/>
      <c r="N188" s="495"/>
      <c r="O188" s="495"/>
      <c r="P188" s="465"/>
      <c r="Q188" s="498"/>
      <c r="R188" s="498"/>
    </row>
    <row r="189" spans="2:18" ht="13.7" hidden="1" outlineLevel="1">
      <c r="B189" s="499"/>
      <c r="C189" s="465"/>
      <c r="D189" s="465"/>
      <c r="E189" s="500"/>
      <c r="F189" s="500"/>
      <c r="G189" s="500"/>
      <c r="H189" s="501"/>
      <c r="I189" s="500"/>
      <c r="J189" s="500"/>
      <c r="K189" s="500"/>
      <c r="L189" s="500"/>
      <c r="M189" s="500"/>
      <c r="N189" s="500"/>
      <c r="O189" s="500"/>
      <c r="P189" s="465"/>
      <c r="Q189" s="503"/>
      <c r="R189" s="503"/>
    </row>
    <row r="190" spans="2:18" ht="13.7" hidden="1" outlineLevel="1">
      <c r="B190" s="499"/>
      <c r="C190" s="476"/>
      <c r="D190" s="476"/>
      <c r="E190" s="500"/>
      <c r="F190" s="500"/>
      <c r="G190" s="500"/>
      <c r="H190" s="501"/>
      <c r="I190" s="500"/>
      <c r="J190" s="500"/>
      <c r="K190" s="500"/>
      <c r="L190" s="500"/>
      <c r="M190" s="500"/>
      <c r="N190" s="500"/>
      <c r="O190" s="500"/>
      <c r="P190" s="563"/>
      <c r="Q190" s="503"/>
      <c r="R190" s="503"/>
    </row>
    <row r="191" spans="2:18" hidden="1" outlineLevel="1">
      <c r="B191" s="465"/>
      <c r="C191" s="465"/>
      <c r="D191" s="465"/>
      <c r="E191" s="473"/>
      <c r="F191" s="473"/>
      <c r="G191" s="473"/>
      <c r="H191" s="520"/>
      <c r="I191" s="473"/>
      <c r="J191" s="473"/>
      <c r="K191" s="473"/>
      <c r="L191" s="473"/>
      <c r="M191" s="473"/>
      <c r="N191" s="473"/>
      <c r="O191" s="473"/>
      <c r="P191" s="465"/>
      <c r="Q191" s="480"/>
      <c r="R191" s="480"/>
    </row>
    <row r="192" spans="2:18" hidden="1" outlineLevel="1">
      <c r="B192" s="489"/>
      <c r="C192" s="465"/>
      <c r="D192" s="465"/>
      <c r="E192" s="473"/>
      <c r="F192" s="473"/>
      <c r="G192" s="473"/>
      <c r="H192" s="520"/>
      <c r="I192" s="473"/>
      <c r="J192" s="473"/>
      <c r="K192" s="473"/>
      <c r="L192" s="473"/>
      <c r="M192" s="473"/>
      <c r="N192" s="473"/>
      <c r="O192" s="473"/>
      <c r="P192" s="465"/>
      <c r="Q192" s="480"/>
      <c r="R192" s="480"/>
    </row>
    <row r="193" spans="2:18" hidden="1" outlineLevel="1">
      <c r="B193" s="490"/>
      <c r="C193" s="465"/>
      <c r="D193" s="465"/>
      <c r="E193" s="491"/>
      <c r="F193" s="491"/>
      <c r="G193" s="491"/>
      <c r="H193" s="492"/>
      <c r="I193" s="491"/>
      <c r="J193" s="491"/>
      <c r="K193" s="491"/>
      <c r="L193" s="491"/>
      <c r="M193" s="491"/>
      <c r="N193" s="491"/>
      <c r="O193" s="491"/>
      <c r="P193" s="465"/>
      <c r="Q193" s="493"/>
      <c r="R193" s="493"/>
    </row>
    <row r="194" spans="2:18" hidden="1" outlineLevel="1">
      <c r="B194" s="490"/>
      <c r="C194" s="465"/>
      <c r="D194" s="465"/>
      <c r="E194" s="491"/>
      <c r="F194" s="491"/>
      <c r="G194" s="491"/>
      <c r="H194" s="492"/>
      <c r="I194" s="491"/>
      <c r="J194" s="491"/>
      <c r="K194" s="491"/>
      <c r="L194" s="491"/>
      <c r="M194" s="491"/>
      <c r="N194" s="491"/>
      <c r="O194" s="491"/>
      <c r="P194" s="465"/>
      <c r="Q194" s="493"/>
      <c r="R194" s="493"/>
    </row>
    <row r="195" spans="2:18" hidden="1" outlineLevel="1">
      <c r="B195" s="490"/>
      <c r="C195" s="465"/>
      <c r="D195" s="465"/>
      <c r="E195" s="491"/>
      <c r="F195" s="491"/>
      <c r="G195" s="491"/>
      <c r="H195" s="492"/>
      <c r="I195" s="491"/>
      <c r="J195" s="491"/>
      <c r="K195" s="491"/>
      <c r="L195" s="491"/>
      <c r="M195" s="491"/>
      <c r="N195" s="491"/>
      <c r="O195" s="491"/>
      <c r="P195" s="465"/>
      <c r="Q195" s="493"/>
      <c r="R195" s="493"/>
    </row>
    <row r="196" spans="2:18" hidden="1" outlineLevel="1">
      <c r="B196" s="490"/>
      <c r="C196" s="465"/>
      <c r="D196" s="465"/>
      <c r="E196" s="491"/>
      <c r="F196" s="491"/>
      <c r="G196" s="491"/>
      <c r="H196" s="492"/>
      <c r="I196" s="491"/>
      <c r="J196" s="491"/>
      <c r="K196" s="491"/>
      <c r="L196" s="491"/>
      <c r="M196" s="491"/>
      <c r="N196" s="491"/>
      <c r="O196" s="491"/>
      <c r="P196" s="465"/>
      <c r="Q196" s="493"/>
      <c r="R196" s="493"/>
    </row>
    <row r="197" spans="2:18" hidden="1" outlineLevel="1">
      <c r="B197" s="490"/>
      <c r="C197" s="465"/>
      <c r="D197" s="465"/>
      <c r="E197" s="491"/>
      <c r="F197" s="491"/>
      <c r="G197" s="491"/>
      <c r="H197" s="492"/>
      <c r="I197" s="491"/>
      <c r="J197" s="491"/>
      <c r="K197" s="491"/>
      <c r="L197" s="491"/>
      <c r="M197" s="491"/>
      <c r="N197" s="491"/>
      <c r="O197" s="491"/>
      <c r="P197" s="465"/>
      <c r="Q197" s="493"/>
      <c r="R197" s="493"/>
    </row>
    <row r="198" spans="2:18" hidden="1" outlineLevel="1">
      <c r="B198" s="490"/>
      <c r="C198" s="465"/>
      <c r="D198" s="465"/>
      <c r="E198" s="491"/>
      <c r="F198" s="491"/>
      <c r="G198" s="491"/>
      <c r="H198" s="492"/>
      <c r="I198" s="491"/>
      <c r="J198" s="491"/>
      <c r="K198" s="491"/>
      <c r="L198" s="491"/>
      <c r="M198" s="491"/>
      <c r="N198" s="491"/>
      <c r="O198" s="491"/>
      <c r="P198" s="465"/>
      <c r="Q198" s="493"/>
      <c r="R198" s="493"/>
    </row>
    <row r="199" spans="2:18" ht="15.15" hidden="1" outlineLevel="1">
      <c r="B199" s="490"/>
      <c r="C199" s="564"/>
      <c r="D199" s="564"/>
      <c r="E199" s="495"/>
      <c r="F199" s="495"/>
      <c r="G199" s="495"/>
      <c r="H199" s="496"/>
      <c r="I199" s="495"/>
      <c r="J199" s="495"/>
      <c r="K199" s="495"/>
      <c r="L199" s="495"/>
      <c r="M199" s="495"/>
      <c r="N199" s="495"/>
      <c r="O199" s="495"/>
      <c r="P199" s="465"/>
      <c r="Q199" s="565"/>
      <c r="R199" s="497"/>
    </row>
    <row r="200" spans="2:18" ht="15.15" hidden="1" outlineLevel="1">
      <c r="B200" s="499"/>
      <c r="C200" s="564"/>
      <c r="D200" s="564"/>
      <c r="E200" s="500"/>
      <c r="F200" s="500"/>
      <c r="G200" s="500"/>
      <c r="H200" s="501"/>
      <c r="I200" s="500"/>
      <c r="J200" s="500"/>
      <c r="K200" s="500"/>
      <c r="L200" s="500"/>
      <c r="M200" s="500"/>
      <c r="N200" s="500"/>
      <c r="O200" s="500"/>
      <c r="P200" s="465"/>
      <c r="Q200" s="565"/>
      <c r="R200" s="497"/>
    </row>
    <row r="201" spans="2:18" ht="13.7" hidden="1" outlineLevel="1">
      <c r="B201" s="499"/>
      <c r="C201" s="476"/>
      <c r="D201" s="476"/>
      <c r="E201" s="500"/>
      <c r="F201" s="500"/>
      <c r="G201" s="500"/>
      <c r="H201" s="501"/>
      <c r="I201" s="500"/>
      <c r="J201" s="500"/>
      <c r="K201" s="500"/>
      <c r="L201" s="500"/>
      <c r="M201" s="500"/>
      <c r="N201" s="500"/>
      <c r="O201" s="500"/>
      <c r="P201" s="465"/>
      <c r="Q201" s="502"/>
      <c r="R201" s="502"/>
    </row>
    <row r="202" spans="2:18" hidden="1" outlineLevel="1">
      <c r="B202" s="465"/>
      <c r="C202" s="465"/>
      <c r="D202" s="465"/>
      <c r="E202" s="473"/>
      <c r="F202" s="473"/>
      <c r="G202" s="473"/>
      <c r="H202" s="520"/>
      <c r="I202" s="473"/>
      <c r="J202" s="473"/>
      <c r="K202" s="473"/>
      <c r="L202" s="473"/>
      <c r="M202" s="473"/>
      <c r="N202" s="473"/>
      <c r="O202" s="473"/>
      <c r="P202" s="465"/>
      <c r="Q202" s="480"/>
      <c r="R202" s="480"/>
    </row>
    <row r="203" spans="2:18" ht="13.7" hidden="1" outlineLevel="1">
      <c r="B203" s="524"/>
      <c r="C203" s="465"/>
      <c r="D203" s="465"/>
      <c r="E203" s="473"/>
      <c r="F203" s="473"/>
      <c r="G203" s="473"/>
      <c r="H203" s="520"/>
      <c r="I203" s="473"/>
      <c r="J203" s="473"/>
      <c r="K203" s="473"/>
      <c r="L203" s="473"/>
      <c r="M203" s="473"/>
      <c r="N203" s="473"/>
      <c r="O203" s="473"/>
      <c r="P203" s="465"/>
      <c r="Q203" s="480"/>
      <c r="R203" s="480"/>
    </row>
    <row r="204" spans="2:18" hidden="1" outlineLevel="1">
      <c r="B204" s="490"/>
      <c r="C204" s="465"/>
      <c r="D204" s="465"/>
      <c r="E204" s="507"/>
      <c r="F204" s="507"/>
      <c r="G204" s="507"/>
      <c r="H204" s="508"/>
      <c r="I204" s="507"/>
      <c r="J204" s="507"/>
      <c r="K204" s="507"/>
      <c r="L204" s="507"/>
      <c r="M204" s="507"/>
      <c r="N204" s="507"/>
      <c r="O204" s="507"/>
      <c r="P204" s="465"/>
      <c r="Q204" s="480"/>
      <c r="R204" s="480"/>
    </row>
    <row r="205" spans="2:18" hidden="1" outlineLevel="1">
      <c r="B205" s="506"/>
      <c r="C205" s="465"/>
      <c r="D205" s="465"/>
      <c r="E205" s="491"/>
      <c r="F205" s="491"/>
      <c r="G205" s="491"/>
      <c r="H205" s="492"/>
      <c r="I205" s="491"/>
      <c r="J205" s="491"/>
      <c r="K205" s="491"/>
      <c r="L205" s="491"/>
      <c r="M205" s="491"/>
      <c r="N205" s="491"/>
      <c r="O205" s="491"/>
      <c r="P205" s="465"/>
      <c r="Q205" s="480"/>
      <c r="R205" s="480"/>
    </row>
    <row r="206" spans="2:18" hidden="1" outlineLevel="1">
      <c r="B206" s="465"/>
      <c r="C206" s="465"/>
      <c r="D206" s="465"/>
      <c r="E206" s="473"/>
      <c r="F206" s="473"/>
      <c r="G206" s="473"/>
      <c r="H206" s="520"/>
      <c r="I206" s="473"/>
      <c r="J206" s="473"/>
      <c r="K206" s="473"/>
      <c r="L206" s="473"/>
      <c r="M206" s="473"/>
      <c r="N206" s="473"/>
      <c r="O206" s="473"/>
      <c r="P206" s="465"/>
      <c r="Q206" s="480"/>
      <c r="R206" s="480"/>
    </row>
    <row r="207" spans="2:18" hidden="1" outlineLevel="1">
      <c r="B207" s="465"/>
      <c r="C207" s="465"/>
      <c r="D207" s="465"/>
      <c r="E207" s="473"/>
      <c r="F207" s="473"/>
      <c r="G207" s="473"/>
      <c r="H207" s="520"/>
      <c r="I207" s="473"/>
      <c r="J207" s="473"/>
      <c r="K207" s="473"/>
      <c r="L207" s="473"/>
      <c r="M207" s="473"/>
      <c r="N207" s="473"/>
      <c r="O207" s="473"/>
      <c r="P207" s="465"/>
      <c r="Q207" s="480"/>
      <c r="R207" s="480"/>
    </row>
    <row r="208" spans="2:18" hidden="1" outlineLevel="1">
      <c r="B208" s="490"/>
      <c r="C208" s="465"/>
      <c r="D208" s="465"/>
      <c r="E208" s="491"/>
      <c r="F208" s="491"/>
      <c r="G208" s="491"/>
      <c r="H208" s="492"/>
      <c r="I208" s="491"/>
      <c r="J208" s="491"/>
      <c r="K208" s="491"/>
      <c r="L208" s="491"/>
      <c r="M208" s="491"/>
      <c r="N208" s="491"/>
      <c r="O208" s="491"/>
      <c r="P208" s="465"/>
      <c r="Q208" s="493"/>
      <c r="R208" s="493"/>
    </row>
    <row r="209" spans="2:18" hidden="1" outlineLevel="1">
      <c r="B209" s="490"/>
      <c r="C209" s="465"/>
      <c r="D209" s="465"/>
      <c r="E209" s="491"/>
      <c r="F209" s="491"/>
      <c r="G209" s="491"/>
      <c r="H209" s="492"/>
      <c r="I209" s="491"/>
      <c r="J209" s="491"/>
      <c r="K209" s="491"/>
      <c r="L209" s="491"/>
      <c r="M209" s="491"/>
      <c r="N209" s="491"/>
      <c r="O209" s="491"/>
      <c r="P209" s="465"/>
      <c r="Q209" s="493"/>
      <c r="R209" s="493"/>
    </row>
    <row r="210" spans="2:18" hidden="1" outlineLevel="1">
      <c r="B210" s="490"/>
      <c r="C210" s="465"/>
      <c r="D210" s="465"/>
      <c r="E210" s="473"/>
      <c r="F210" s="473"/>
      <c r="G210" s="473"/>
      <c r="H210" s="520"/>
      <c r="I210" s="473"/>
      <c r="J210" s="473"/>
      <c r="K210" s="473"/>
      <c r="L210" s="473"/>
      <c r="M210" s="473"/>
      <c r="N210" s="473"/>
      <c r="O210" s="473"/>
      <c r="P210" s="465"/>
      <c r="Q210" s="480"/>
      <c r="R210" s="480"/>
    </row>
    <row r="211" spans="2:18" ht="13.7" hidden="1" outlineLevel="1">
      <c r="B211" s="476"/>
      <c r="C211" s="465"/>
      <c r="D211" s="465"/>
      <c r="E211" s="487"/>
      <c r="F211" s="487"/>
      <c r="G211" s="487"/>
      <c r="H211" s="488"/>
      <c r="I211" s="487"/>
      <c r="J211" s="487"/>
      <c r="K211" s="487"/>
      <c r="L211" s="487"/>
      <c r="M211" s="487"/>
      <c r="N211" s="487"/>
      <c r="O211" s="487"/>
      <c r="P211" s="465"/>
      <c r="Q211" s="477"/>
      <c r="R211" s="477"/>
    </row>
    <row r="212" spans="2:18" hidden="1" outlineLevel="1">
      <c r="B212" s="490"/>
      <c r="C212" s="465"/>
      <c r="D212" s="465"/>
      <c r="E212" s="491"/>
      <c r="F212" s="491"/>
      <c r="G212" s="491"/>
      <c r="H212" s="492"/>
      <c r="I212" s="491"/>
      <c r="J212" s="491"/>
      <c r="K212" s="491"/>
      <c r="L212" s="491"/>
      <c r="M212" s="491"/>
      <c r="N212" s="491"/>
      <c r="O212" s="491"/>
      <c r="P212" s="465"/>
      <c r="Q212" s="493"/>
      <c r="R212" s="493"/>
    </row>
    <row r="213" spans="2:18" hidden="1" outlineLevel="1">
      <c r="B213" s="490"/>
      <c r="C213" s="465"/>
      <c r="D213" s="465"/>
      <c r="E213" s="491"/>
      <c r="F213" s="491"/>
      <c r="G213" s="491"/>
      <c r="H213" s="492"/>
      <c r="I213" s="491"/>
      <c r="J213" s="491"/>
      <c r="K213" s="491"/>
      <c r="L213" s="491"/>
      <c r="M213" s="491"/>
      <c r="N213" s="491"/>
      <c r="O213" s="491"/>
      <c r="P213" s="465"/>
      <c r="Q213" s="493"/>
      <c r="R213" s="493"/>
    </row>
    <row r="214" spans="2:18" hidden="1" outlineLevel="1">
      <c r="B214" s="490"/>
      <c r="C214" s="465"/>
      <c r="D214" s="465"/>
      <c r="E214" s="491"/>
      <c r="F214" s="491"/>
      <c r="G214" s="491"/>
      <c r="H214" s="492"/>
      <c r="I214" s="491"/>
      <c r="J214" s="491"/>
      <c r="K214" s="491"/>
      <c r="L214" s="491"/>
      <c r="M214" s="491"/>
      <c r="N214" s="491"/>
      <c r="O214" s="491"/>
      <c r="P214" s="465"/>
      <c r="Q214" s="493"/>
      <c r="R214" s="493"/>
    </row>
    <row r="215" spans="2:18" ht="13.7" hidden="1" outlineLevel="1">
      <c r="B215" s="544"/>
      <c r="C215" s="476"/>
      <c r="D215" s="476"/>
      <c r="E215" s="558"/>
      <c r="F215" s="558"/>
      <c r="G215" s="558"/>
      <c r="H215" s="559"/>
      <c r="I215" s="558"/>
      <c r="J215" s="558"/>
      <c r="K215" s="558"/>
      <c r="L215" s="558"/>
      <c r="M215" s="558"/>
      <c r="N215" s="558"/>
      <c r="O215" s="558"/>
      <c r="P215" s="476"/>
      <c r="Q215" s="477"/>
      <c r="R215" s="477"/>
    </row>
    <row r="216" spans="2:18" hidden="1" outlineLevel="1">
      <c r="B216" s="490"/>
      <c r="C216" s="465"/>
      <c r="D216" s="465"/>
      <c r="E216" s="491"/>
      <c r="F216" s="491"/>
      <c r="G216" s="491"/>
      <c r="H216" s="492"/>
      <c r="I216" s="491"/>
      <c r="J216" s="491"/>
      <c r="K216" s="491"/>
      <c r="L216" s="491"/>
      <c r="M216" s="491"/>
      <c r="N216" s="491"/>
      <c r="O216" s="491"/>
      <c r="P216" s="465"/>
      <c r="Q216" s="493"/>
      <c r="R216" s="493"/>
    </row>
    <row r="217" spans="2:18" hidden="1" outlineLevel="1">
      <c r="B217" s="490"/>
      <c r="C217" s="465"/>
      <c r="D217" s="465"/>
      <c r="E217" s="491"/>
      <c r="F217" s="491"/>
      <c r="G217" s="491"/>
      <c r="H217" s="492"/>
      <c r="I217" s="491"/>
      <c r="J217" s="491"/>
      <c r="K217" s="491"/>
      <c r="L217" s="491"/>
      <c r="M217" s="491"/>
      <c r="N217" s="491"/>
      <c r="O217" s="491"/>
      <c r="P217" s="465"/>
      <c r="Q217" s="493"/>
      <c r="R217" s="493"/>
    </row>
    <row r="218" spans="2:18" hidden="1" outlineLevel="1">
      <c r="B218" s="465"/>
      <c r="C218" s="465"/>
      <c r="D218" s="465"/>
      <c r="E218" s="473"/>
      <c r="F218" s="473"/>
      <c r="G218" s="473"/>
      <c r="H218" s="520"/>
      <c r="I218" s="473"/>
      <c r="J218" s="473"/>
      <c r="K218" s="473"/>
      <c r="L218" s="473"/>
      <c r="M218" s="473"/>
      <c r="N218" s="473"/>
      <c r="O218" s="473"/>
      <c r="P218" s="465"/>
      <c r="Q218" s="480"/>
      <c r="R218" s="480"/>
    </row>
    <row r="219" spans="2:18" hidden="1" outlineLevel="1">
      <c r="B219" s="465"/>
      <c r="C219" s="465"/>
      <c r="D219" s="465"/>
      <c r="E219" s="478"/>
      <c r="F219" s="478"/>
      <c r="G219" s="478"/>
      <c r="H219" s="479"/>
      <c r="I219" s="478"/>
      <c r="J219" s="478"/>
      <c r="K219" s="478"/>
      <c r="L219" s="478"/>
      <c r="M219" s="478"/>
      <c r="N219" s="478"/>
      <c r="O219" s="478"/>
      <c r="P219" s="465"/>
      <c r="Q219" s="480"/>
      <c r="R219" s="480"/>
    </row>
    <row r="220" spans="2:18" hidden="1" outlineLevel="1">
      <c r="B220" s="465"/>
      <c r="C220" s="465"/>
      <c r="D220" s="465"/>
      <c r="E220" s="478"/>
      <c r="F220" s="478"/>
      <c r="G220" s="478"/>
      <c r="H220" s="479"/>
      <c r="I220" s="478"/>
      <c r="J220" s="478"/>
      <c r="K220" s="478"/>
      <c r="L220" s="478"/>
      <c r="M220" s="478"/>
      <c r="N220" s="478"/>
      <c r="O220" s="478"/>
      <c r="P220" s="465"/>
      <c r="Q220" s="480"/>
      <c r="R220" s="480"/>
    </row>
    <row r="221" spans="2:18" hidden="1" outlineLevel="1">
      <c r="B221" s="465"/>
      <c r="C221" s="465"/>
      <c r="D221" s="465"/>
      <c r="E221" s="478"/>
      <c r="F221" s="478"/>
      <c r="G221" s="478"/>
      <c r="H221" s="479"/>
      <c r="I221" s="478"/>
      <c r="J221" s="478"/>
      <c r="K221" s="478"/>
      <c r="L221" s="478"/>
      <c r="M221" s="478"/>
      <c r="N221" s="478"/>
      <c r="O221" s="478"/>
      <c r="P221" s="465"/>
      <c r="Q221" s="480"/>
      <c r="R221" s="480"/>
    </row>
    <row r="222" spans="2:18" ht="15.15" hidden="1" outlineLevel="1">
      <c r="B222" s="465"/>
      <c r="C222" s="465"/>
      <c r="D222" s="465"/>
      <c r="E222" s="482"/>
      <c r="F222" s="482"/>
      <c r="G222" s="482"/>
      <c r="H222" s="483"/>
      <c r="I222" s="482"/>
      <c r="J222" s="482"/>
      <c r="K222" s="482"/>
      <c r="L222" s="482"/>
      <c r="M222" s="482"/>
      <c r="N222" s="482"/>
      <c r="O222" s="482"/>
      <c r="P222" s="465"/>
      <c r="Q222" s="480"/>
      <c r="R222" s="480"/>
    </row>
    <row r="223" spans="2:18" ht="13.7" hidden="1" outlineLevel="1">
      <c r="B223" s="485"/>
      <c r="C223" s="476"/>
      <c r="D223" s="476"/>
      <c r="E223" s="487"/>
      <c r="F223" s="487"/>
      <c r="G223" s="487"/>
      <c r="H223" s="488"/>
      <c r="I223" s="487"/>
      <c r="J223" s="487"/>
      <c r="K223" s="487"/>
      <c r="L223" s="487"/>
      <c r="M223" s="487"/>
      <c r="N223" s="474"/>
      <c r="O223" s="474"/>
      <c r="P223" s="476"/>
      <c r="Q223" s="477"/>
      <c r="R223" s="477"/>
    </row>
    <row r="224" spans="2:18" ht="15.15" hidden="1" outlineLevel="1">
      <c r="B224" s="566"/>
      <c r="C224" s="465"/>
      <c r="D224" s="465"/>
      <c r="E224" s="567"/>
      <c r="F224" s="567"/>
      <c r="G224" s="474"/>
      <c r="H224" s="475"/>
      <c r="I224" s="567"/>
      <c r="J224" s="567"/>
      <c r="K224" s="567"/>
      <c r="L224" s="567"/>
      <c r="M224" s="567"/>
      <c r="N224" s="567"/>
      <c r="O224" s="567"/>
      <c r="P224" s="465"/>
      <c r="Q224" s="480"/>
      <c r="R224" s="480"/>
    </row>
    <row r="225" spans="2:18" ht="13.7" hidden="1" outlineLevel="1">
      <c r="B225" s="485"/>
      <c r="C225" s="465"/>
      <c r="D225" s="465"/>
      <c r="E225" s="487"/>
      <c r="F225" s="487"/>
      <c r="G225" s="487"/>
      <c r="H225" s="488"/>
      <c r="I225" s="487"/>
      <c r="J225" s="487"/>
      <c r="K225" s="487"/>
      <c r="L225" s="487"/>
      <c r="M225" s="487"/>
      <c r="N225" s="487"/>
      <c r="O225" s="487"/>
      <c r="P225" s="465"/>
      <c r="Q225" s="477"/>
      <c r="R225" s="477"/>
    </row>
    <row r="226" spans="2:18" hidden="1" outlineLevel="1">
      <c r="B226" s="506"/>
      <c r="C226" s="465"/>
      <c r="D226" s="465"/>
      <c r="E226" s="491"/>
      <c r="F226" s="491"/>
      <c r="G226" s="491"/>
      <c r="H226" s="492"/>
      <c r="I226" s="491"/>
      <c r="J226" s="491"/>
      <c r="K226" s="491"/>
      <c r="L226" s="491"/>
      <c r="M226" s="491"/>
      <c r="N226" s="491"/>
      <c r="O226" s="491"/>
      <c r="P226" s="465"/>
      <c r="Q226" s="493"/>
      <c r="R226" s="493"/>
    </row>
    <row r="227" spans="2:18" hidden="1" outlineLevel="1">
      <c r="B227" s="506"/>
      <c r="C227" s="465"/>
      <c r="D227" s="465"/>
      <c r="E227" s="491"/>
      <c r="F227" s="491"/>
      <c r="G227" s="491"/>
      <c r="H227" s="492"/>
      <c r="I227" s="491"/>
      <c r="J227" s="491"/>
      <c r="K227" s="491"/>
      <c r="L227" s="491"/>
      <c r="M227" s="491"/>
      <c r="N227" s="491"/>
      <c r="O227" s="491"/>
      <c r="P227" s="465"/>
      <c r="Q227" s="493"/>
      <c r="R227" s="493"/>
    </row>
    <row r="228" spans="2:18" ht="13.7" hidden="1" outlineLevel="1">
      <c r="B228" s="568"/>
      <c r="C228" s="569"/>
      <c r="D228" s="569"/>
      <c r="E228" s="570"/>
      <c r="F228" s="570"/>
      <c r="G228" s="570"/>
      <c r="H228" s="492"/>
      <c r="I228" s="491"/>
      <c r="J228" s="491"/>
      <c r="K228" s="491"/>
      <c r="L228" s="491"/>
      <c r="M228" s="491"/>
      <c r="N228" s="491"/>
      <c r="O228" s="491"/>
      <c r="P228" s="465"/>
      <c r="Q228" s="493"/>
      <c r="R228" s="493"/>
    </row>
    <row r="229" spans="2:18" ht="13.7" hidden="1" outlineLevel="1">
      <c r="B229" s="544"/>
      <c r="C229" s="465"/>
      <c r="D229" s="465"/>
      <c r="E229" s="558"/>
      <c r="F229" s="558"/>
      <c r="G229" s="558"/>
      <c r="H229" s="559"/>
      <c r="I229" s="558"/>
      <c r="J229" s="558"/>
      <c r="K229" s="558"/>
      <c r="L229" s="558"/>
      <c r="M229" s="558"/>
      <c r="N229" s="558"/>
      <c r="O229" s="558"/>
      <c r="P229" s="465"/>
      <c r="Q229" s="477"/>
      <c r="R229" s="477"/>
    </row>
    <row r="230" spans="2:18" hidden="1" outlineLevel="1">
      <c r="B230" s="490"/>
      <c r="C230" s="465"/>
      <c r="D230" s="465"/>
      <c r="E230" s="491"/>
      <c r="F230" s="491"/>
      <c r="G230" s="491"/>
      <c r="H230" s="492"/>
      <c r="I230" s="491"/>
      <c r="J230" s="491"/>
      <c r="K230" s="491"/>
      <c r="L230" s="491"/>
      <c r="M230" s="491"/>
      <c r="N230" s="491"/>
      <c r="O230" s="491"/>
      <c r="P230" s="465"/>
      <c r="Q230" s="493"/>
      <c r="R230" s="493"/>
    </row>
    <row r="231" spans="2:18" hidden="1" outlineLevel="1">
      <c r="B231" s="490"/>
      <c r="C231" s="465"/>
      <c r="D231" s="465"/>
      <c r="E231" s="491"/>
      <c r="F231" s="491"/>
      <c r="G231" s="491"/>
      <c r="H231" s="492"/>
      <c r="I231" s="491"/>
      <c r="J231" s="491"/>
      <c r="K231" s="491"/>
      <c r="L231" s="491"/>
      <c r="M231" s="491"/>
      <c r="N231" s="491"/>
      <c r="O231" s="491"/>
      <c r="P231" s="465"/>
      <c r="Q231" s="493"/>
      <c r="R231" s="493"/>
    </row>
    <row r="232" spans="2:18" hidden="1" outlineLevel="1">
      <c r="B232" s="455"/>
      <c r="C232" s="455"/>
      <c r="D232" s="455"/>
      <c r="E232" s="523"/>
      <c r="F232" s="523"/>
      <c r="G232" s="487"/>
      <c r="H232" s="488"/>
      <c r="I232" s="487"/>
      <c r="J232" s="523"/>
      <c r="K232" s="523"/>
      <c r="L232" s="523"/>
      <c r="M232" s="523"/>
      <c r="N232" s="523"/>
      <c r="O232" s="523"/>
      <c r="P232" s="455"/>
      <c r="Q232" s="455"/>
      <c r="R232" s="455"/>
    </row>
    <row r="233" spans="2:18" ht="13.7" hidden="1" outlineLevel="1">
      <c r="B233" s="485"/>
      <c r="C233" s="476"/>
      <c r="D233" s="476"/>
      <c r="E233" s="487"/>
      <c r="F233" s="487"/>
      <c r="G233" s="487"/>
      <c r="H233" s="488"/>
      <c r="I233" s="487"/>
      <c r="J233" s="487"/>
      <c r="K233" s="487"/>
      <c r="L233" s="487"/>
      <c r="M233" s="487"/>
      <c r="N233" s="487"/>
      <c r="O233" s="487"/>
      <c r="P233" s="476"/>
      <c r="Q233" s="477"/>
      <c r="R233" s="477"/>
    </row>
    <row r="234" spans="2:18" hidden="1" outlineLevel="1">
      <c r="B234" s="490"/>
      <c r="C234" s="465"/>
      <c r="D234" s="465"/>
      <c r="E234" s="491"/>
      <c r="F234" s="491"/>
      <c r="G234" s="491"/>
      <c r="H234" s="492"/>
      <c r="I234" s="491"/>
      <c r="J234" s="491"/>
      <c r="K234" s="491"/>
      <c r="L234" s="491"/>
      <c r="M234" s="491"/>
      <c r="N234" s="491"/>
      <c r="O234" s="491"/>
      <c r="P234" s="465"/>
      <c r="Q234" s="480"/>
      <c r="R234" s="480"/>
    </row>
    <row r="235" spans="2:18" hidden="1" outlineLevel="1">
      <c r="B235" s="465"/>
      <c r="C235" s="465"/>
      <c r="D235" s="465"/>
      <c r="E235" s="473"/>
      <c r="F235" s="473"/>
      <c r="G235" s="473"/>
      <c r="H235" s="492"/>
      <c r="I235" s="491"/>
      <c r="J235" s="491"/>
      <c r="K235" s="491"/>
      <c r="L235" s="491"/>
      <c r="M235" s="491"/>
      <c r="N235" s="473"/>
      <c r="O235" s="473"/>
      <c r="P235" s="465"/>
      <c r="Q235" s="480"/>
      <c r="R235" s="480"/>
    </row>
    <row r="236" spans="2:18" ht="13.7" hidden="1" outlineLevel="1">
      <c r="B236" s="476"/>
      <c r="C236" s="465"/>
      <c r="D236" s="465"/>
      <c r="E236" s="487"/>
      <c r="F236" s="487"/>
      <c r="G236" s="487"/>
      <c r="H236" s="488"/>
      <c r="I236" s="487"/>
      <c r="J236" s="487"/>
      <c r="K236" s="487"/>
      <c r="L236" s="487"/>
      <c r="M236" s="487"/>
      <c r="N236" s="487"/>
      <c r="O236" s="487"/>
      <c r="P236" s="465"/>
      <c r="Q236" s="477"/>
      <c r="R236" s="477"/>
    </row>
    <row r="237" spans="2:18" hidden="1" outlineLevel="1">
      <c r="B237" s="490"/>
      <c r="C237" s="465"/>
      <c r="D237" s="465"/>
      <c r="E237" s="491"/>
      <c r="F237" s="491"/>
      <c r="G237" s="491"/>
      <c r="H237" s="492"/>
      <c r="I237" s="491"/>
      <c r="J237" s="491"/>
      <c r="K237" s="491"/>
      <c r="L237" s="491"/>
      <c r="M237" s="491"/>
      <c r="N237" s="491"/>
      <c r="O237" s="491"/>
      <c r="P237" s="465"/>
      <c r="Q237" s="493"/>
      <c r="R237" s="493"/>
    </row>
    <row r="238" spans="2:18" hidden="1" outlineLevel="1">
      <c r="B238" s="490"/>
      <c r="C238" s="465"/>
      <c r="D238" s="465"/>
      <c r="E238" s="491"/>
      <c r="F238" s="491"/>
      <c r="G238" s="491"/>
      <c r="H238" s="492"/>
      <c r="I238" s="491"/>
      <c r="J238" s="491"/>
      <c r="K238" s="491"/>
      <c r="L238" s="491"/>
      <c r="M238" s="491"/>
      <c r="N238" s="491"/>
      <c r="O238" s="491"/>
      <c r="P238" s="465"/>
      <c r="Q238" s="493"/>
      <c r="R238" s="493"/>
    </row>
    <row r="239" spans="2:18" hidden="1" outlineLevel="1">
      <c r="B239" s="465"/>
      <c r="C239" s="465"/>
      <c r="D239" s="465"/>
      <c r="E239" s="473"/>
      <c r="F239" s="473"/>
      <c r="G239" s="473"/>
      <c r="H239" s="520"/>
      <c r="I239" s="473"/>
      <c r="J239" s="473"/>
      <c r="K239" s="473"/>
      <c r="L239" s="473"/>
      <c r="M239" s="473"/>
      <c r="N239" s="473"/>
      <c r="O239" s="473"/>
      <c r="P239" s="465"/>
      <c r="Q239" s="480"/>
      <c r="R239" s="480"/>
    </row>
    <row r="240" spans="2:18" hidden="1" outlineLevel="1">
      <c r="B240" s="470"/>
      <c r="C240" s="471"/>
      <c r="D240" s="465"/>
      <c r="E240" s="473"/>
      <c r="F240" s="473"/>
      <c r="G240" s="473"/>
      <c r="H240" s="520"/>
      <c r="I240" s="473"/>
      <c r="J240" s="473"/>
      <c r="K240" s="473"/>
      <c r="L240" s="473"/>
      <c r="M240" s="473"/>
      <c r="N240" s="473"/>
      <c r="O240" s="473"/>
      <c r="P240" s="465"/>
      <c r="Q240" s="480"/>
      <c r="R240" s="480"/>
    </row>
    <row r="241" spans="2:18" hidden="1" outlineLevel="1">
      <c r="B241" s="465"/>
      <c r="C241" s="465"/>
      <c r="D241" s="465"/>
      <c r="E241" s="478"/>
      <c r="F241" s="478"/>
      <c r="G241" s="478"/>
      <c r="H241" s="479"/>
      <c r="I241" s="478"/>
      <c r="J241" s="478"/>
      <c r="K241" s="478"/>
      <c r="L241" s="478"/>
      <c r="M241" s="478"/>
      <c r="N241" s="473"/>
      <c r="O241" s="473"/>
      <c r="P241" s="465"/>
      <c r="Q241" s="480"/>
      <c r="R241" s="480"/>
    </row>
    <row r="242" spans="2:18" hidden="1" outlineLevel="1">
      <c r="B242" s="465"/>
      <c r="C242" s="465"/>
      <c r="D242" s="465"/>
      <c r="E242" s="478"/>
      <c r="F242" s="478"/>
      <c r="G242" s="478"/>
      <c r="H242" s="479"/>
      <c r="I242" s="478"/>
      <c r="J242" s="478"/>
      <c r="K242" s="478"/>
      <c r="L242" s="478"/>
      <c r="M242" s="478"/>
      <c r="N242" s="478"/>
      <c r="O242" s="478"/>
      <c r="P242" s="465"/>
      <c r="Q242" s="480"/>
      <c r="R242" s="480"/>
    </row>
    <row r="243" spans="2:18" ht="15.15" hidden="1" outlineLevel="1">
      <c r="B243" s="465"/>
      <c r="C243" s="465"/>
      <c r="D243" s="465"/>
      <c r="E243" s="482"/>
      <c r="F243" s="482"/>
      <c r="G243" s="482"/>
      <c r="H243" s="483"/>
      <c r="I243" s="482"/>
      <c r="J243" s="482"/>
      <c r="K243" s="482"/>
      <c r="L243" s="482"/>
      <c r="M243" s="482"/>
      <c r="N243" s="482"/>
      <c r="O243" s="482"/>
      <c r="P243" s="465"/>
      <c r="Q243" s="480"/>
      <c r="R243" s="480"/>
    </row>
    <row r="244" spans="2:18" ht="13.7" hidden="1" outlineLevel="1">
      <c r="B244" s="485"/>
      <c r="C244" s="476"/>
      <c r="D244" s="476"/>
      <c r="E244" s="487"/>
      <c r="F244" s="487"/>
      <c r="G244" s="487"/>
      <c r="H244" s="488"/>
      <c r="I244" s="487"/>
      <c r="J244" s="487"/>
      <c r="K244" s="487"/>
      <c r="L244" s="487"/>
      <c r="M244" s="487"/>
      <c r="N244" s="487"/>
      <c r="O244" s="487"/>
      <c r="P244" s="476"/>
      <c r="Q244" s="477"/>
      <c r="R244" s="477"/>
    </row>
    <row r="245" spans="2:18" hidden="1" outlineLevel="1">
      <c r="B245" s="523"/>
      <c r="C245" s="465"/>
      <c r="D245" s="465"/>
      <c r="E245" s="478"/>
      <c r="F245" s="478"/>
      <c r="G245" s="478"/>
      <c r="H245" s="479"/>
      <c r="I245" s="478"/>
      <c r="J245" s="478"/>
      <c r="K245" s="478"/>
      <c r="L245" s="478"/>
      <c r="M245" s="478"/>
      <c r="N245" s="478"/>
      <c r="O245" s="478"/>
      <c r="P245" s="465"/>
      <c r="Q245" s="480"/>
      <c r="R245" s="480"/>
    </row>
    <row r="246" spans="2:18" hidden="1" outlineLevel="1">
      <c r="B246" s="465"/>
      <c r="C246" s="465"/>
      <c r="D246" s="465"/>
      <c r="E246" s="478"/>
      <c r="F246" s="478"/>
      <c r="G246" s="478"/>
      <c r="H246" s="479"/>
      <c r="I246" s="478"/>
      <c r="J246" s="478"/>
      <c r="K246" s="478"/>
      <c r="L246" s="478"/>
      <c r="M246" s="478"/>
      <c r="N246" s="478"/>
      <c r="O246" s="478"/>
      <c r="P246" s="465"/>
      <c r="Q246" s="480"/>
      <c r="R246" s="480"/>
    </row>
    <row r="247" spans="2:18" hidden="1" outlineLevel="1">
      <c r="B247" s="465"/>
      <c r="C247" s="465"/>
      <c r="D247" s="465"/>
      <c r="E247" s="478"/>
      <c r="F247" s="478"/>
      <c r="G247" s="478"/>
      <c r="H247" s="479"/>
      <c r="I247" s="478"/>
      <c r="J247" s="478"/>
      <c r="K247" s="478"/>
      <c r="L247" s="478"/>
      <c r="M247" s="478"/>
      <c r="N247" s="478"/>
      <c r="O247" s="478"/>
      <c r="P247" s="465"/>
      <c r="Q247" s="480"/>
      <c r="R247" s="480"/>
    </row>
    <row r="248" spans="2:18" hidden="1" outlineLevel="1">
      <c r="B248" s="465"/>
      <c r="C248" s="465"/>
      <c r="D248" s="465"/>
      <c r="E248" s="478"/>
      <c r="F248" s="478"/>
      <c r="G248" s="478"/>
      <c r="H248" s="479"/>
      <c r="I248" s="478"/>
      <c r="J248" s="478"/>
      <c r="K248" s="478"/>
      <c r="L248" s="478"/>
      <c r="M248" s="478"/>
      <c r="N248" s="478"/>
      <c r="O248" s="478"/>
      <c r="P248" s="465"/>
      <c r="Q248" s="480"/>
      <c r="R248" s="480"/>
    </row>
    <row r="249" spans="2:18" hidden="1" outlineLevel="1">
      <c r="B249" s="465"/>
      <c r="C249" s="465"/>
      <c r="D249" s="465"/>
      <c r="E249" s="478"/>
      <c r="F249" s="478"/>
      <c r="G249" s="478"/>
      <c r="H249" s="479"/>
      <c r="I249" s="478"/>
      <c r="J249" s="478"/>
      <c r="K249" s="478"/>
      <c r="L249" s="478"/>
      <c r="M249" s="478"/>
      <c r="N249" s="478"/>
      <c r="O249" s="478"/>
      <c r="P249" s="465"/>
      <c r="Q249" s="480"/>
      <c r="R249" s="480"/>
    </row>
    <row r="250" spans="2:18" hidden="1" outlineLevel="1">
      <c r="B250" s="465"/>
      <c r="C250" s="465"/>
      <c r="D250" s="465"/>
      <c r="E250" s="478"/>
      <c r="F250" s="478"/>
      <c r="G250" s="478"/>
      <c r="H250" s="479"/>
      <c r="I250" s="478"/>
      <c r="J250" s="478"/>
      <c r="K250" s="478"/>
      <c r="L250" s="478"/>
      <c r="M250" s="478"/>
      <c r="N250" s="478"/>
      <c r="O250" s="478"/>
      <c r="P250" s="465"/>
      <c r="Q250" s="480"/>
      <c r="R250" s="480"/>
    </row>
    <row r="251" spans="2:18" ht="15.15" hidden="1" outlineLevel="1">
      <c r="B251" s="465"/>
      <c r="C251" s="465"/>
      <c r="D251" s="465"/>
      <c r="E251" s="482"/>
      <c r="F251" s="482"/>
      <c r="G251" s="482"/>
      <c r="H251" s="483"/>
      <c r="I251" s="482"/>
      <c r="J251" s="482"/>
      <c r="K251" s="482"/>
      <c r="L251" s="482"/>
      <c r="M251" s="482"/>
      <c r="N251" s="482"/>
      <c r="O251" s="482"/>
      <c r="P251" s="465"/>
      <c r="Q251" s="480"/>
      <c r="R251" s="480"/>
    </row>
    <row r="252" spans="2:18" hidden="1" outlineLevel="1">
      <c r="B252" s="571"/>
      <c r="C252" s="465"/>
      <c r="D252" s="465"/>
      <c r="E252" s="487"/>
      <c r="F252" s="487"/>
      <c r="G252" s="487"/>
      <c r="H252" s="488"/>
      <c r="I252" s="487"/>
      <c r="J252" s="487"/>
      <c r="K252" s="487"/>
      <c r="L252" s="487"/>
      <c r="M252" s="487"/>
      <c r="N252" s="487"/>
      <c r="O252" s="487"/>
      <c r="P252" s="465"/>
      <c r="Q252" s="480"/>
      <c r="R252" s="480"/>
    </row>
    <row r="253" spans="2:18" ht="13.7" hidden="1" outlineLevel="1">
      <c r="B253" s="572"/>
      <c r="C253" s="465"/>
      <c r="D253" s="465"/>
      <c r="E253" s="473"/>
      <c r="F253" s="558"/>
      <c r="G253" s="558"/>
      <c r="H253" s="559"/>
      <c r="I253" s="510"/>
      <c r="J253" s="510"/>
      <c r="K253" s="510"/>
      <c r="L253" s="510"/>
      <c r="M253" s="510"/>
      <c r="N253" s="510"/>
      <c r="O253" s="510"/>
      <c r="P253" s="465"/>
      <c r="Q253" s="480"/>
      <c r="R253" s="480"/>
    </row>
    <row r="254" spans="2:18" hidden="1" outlineLevel="1">
      <c r="B254" s="573"/>
      <c r="C254" s="465"/>
      <c r="D254" s="465"/>
      <c r="E254" s="507"/>
      <c r="F254" s="507"/>
      <c r="G254" s="507"/>
      <c r="H254" s="508"/>
      <c r="I254" s="507"/>
      <c r="J254" s="507"/>
      <c r="K254" s="507"/>
      <c r="L254" s="507"/>
      <c r="M254" s="507"/>
      <c r="N254" s="507"/>
      <c r="O254" s="507"/>
      <c r="P254" s="465"/>
      <c r="Q254" s="480"/>
      <c r="R254" s="480"/>
    </row>
    <row r="255" spans="2:18" ht="13.7" hidden="1" outlineLevel="1">
      <c r="B255" s="574"/>
      <c r="C255" s="465"/>
      <c r="D255" s="465"/>
      <c r="E255" s="473"/>
      <c r="F255" s="510"/>
      <c r="G255" s="510"/>
      <c r="H255" s="575"/>
      <c r="I255" s="510"/>
      <c r="J255" s="510"/>
      <c r="K255" s="510"/>
      <c r="L255" s="510"/>
      <c r="M255" s="510"/>
      <c r="N255" s="510"/>
      <c r="O255" s="510"/>
      <c r="P255" s="465"/>
      <c r="Q255" s="480"/>
      <c r="R255" s="480"/>
    </row>
    <row r="256" spans="2:18" hidden="1" outlineLevel="1">
      <c r="B256" s="576"/>
      <c r="C256" s="465"/>
      <c r="D256" s="465"/>
      <c r="E256" s="473"/>
      <c r="F256" s="473"/>
      <c r="G256" s="473"/>
      <c r="H256" s="520"/>
      <c r="I256" s="473"/>
      <c r="J256" s="473"/>
      <c r="K256" s="473"/>
      <c r="L256" s="473"/>
      <c r="M256" s="473"/>
      <c r="N256" s="473"/>
      <c r="O256" s="473"/>
      <c r="P256" s="465"/>
      <c r="Q256" s="480"/>
      <c r="R256" s="480"/>
    </row>
    <row r="257" spans="2:18" hidden="1" outlineLevel="1">
      <c r="B257" s="573"/>
      <c r="C257" s="465"/>
      <c r="D257" s="465"/>
      <c r="E257" s="507"/>
      <c r="F257" s="507"/>
      <c r="G257" s="507"/>
      <c r="H257" s="577"/>
      <c r="I257" s="578"/>
      <c r="J257" s="578"/>
      <c r="K257" s="578"/>
      <c r="L257" s="578"/>
      <c r="M257" s="578"/>
      <c r="N257" s="578"/>
      <c r="O257" s="578"/>
      <c r="P257" s="465"/>
      <c r="Q257" s="480"/>
      <c r="R257" s="480"/>
    </row>
    <row r="258" spans="2:18" hidden="1" outlineLevel="1">
      <c r="B258" s="573"/>
      <c r="C258" s="465"/>
      <c r="D258" s="465"/>
      <c r="E258" s="507"/>
      <c r="F258" s="507"/>
      <c r="G258" s="507"/>
      <c r="H258" s="577"/>
      <c r="I258" s="578"/>
      <c r="J258" s="578"/>
      <c r="K258" s="578"/>
      <c r="L258" s="578"/>
      <c r="M258" s="578"/>
      <c r="N258" s="578"/>
      <c r="O258" s="578"/>
      <c r="P258" s="465"/>
      <c r="Q258" s="480"/>
      <c r="R258" s="480"/>
    </row>
    <row r="259" spans="2:18" ht="15.15" hidden="1" outlineLevel="1">
      <c r="B259" s="573"/>
      <c r="C259" s="465"/>
      <c r="D259" s="465"/>
      <c r="E259" s="556"/>
      <c r="F259" s="556"/>
      <c r="G259" s="556"/>
      <c r="H259" s="579"/>
      <c r="I259" s="580"/>
      <c r="J259" s="580"/>
      <c r="K259" s="580"/>
      <c r="L259" s="580"/>
      <c r="M259" s="580"/>
      <c r="N259" s="580"/>
      <c r="O259" s="580"/>
      <c r="P259" s="465"/>
      <c r="Q259" s="480"/>
      <c r="R259" s="480"/>
    </row>
    <row r="260" spans="2:18" ht="13.7" hidden="1" outlineLevel="1">
      <c r="B260" s="581"/>
      <c r="C260" s="476"/>
      <c r="D260" s="476"/>
      <c r="E260" s="558"/>
      <c r="F260" s="558"/>
      <c r="G260" s="558"/>
      <c r="H260" s="559"/>
      <c r="I260" s="558"/>
      <c r="J260" s="558"/>
      <c r="K260" s="558"/>
      <c r="L260" s="558"/>
      <c r="M260" s="558"/>
      <c r="N260" s="558"/>
      <c r="O260" s="558"/>
      <c r="P260" s="476"/>
      <c r="Q260" s="477"/>
      <c r="R260" s="477"/>
    </row>
    <row r="261" spans="2:18" hidden="1" outlineLevel="1">
      <c r="B261" s="573"/>
      <c r="C261" s="465"/>
      <c r="D261" s="465"/>
      <c r="E261" s="491"/>
      <c r="F261" s="491"/>
      <c r="G261" s="491"/>
      <c r="H261" s="492"/>
      <c r="I261" s="491"/>
      <c r="J261" s="491"/>
      <c r="K261" s="491"/>
      <c r="L261" s="491"/>
      <c r="M261" s="491"/>
      <c r="N261" s="491"/>
      <c r="O261" s="491"/>
      <c r="P261" s="465"/>
      <c r="Q261" s="480"/>
      <c r="R261" s="480"/>
    </row>
    <row r="262" spans="2:18" hidden="1" outlineLevel="1">
      <c r="B262" s="573"/>
      <c r="C262" s="465"/>
      <c r="D262" s="465"/>
      <c r="E262" s="491"/>
      <c r="F262" s="491"/>
      <c r="G262" s="491"/>
      <c r="H262" s="492"/>
      <c r="I262" s="491"/>
      <c r="J262" s="491"/>
      <c r="K262" s="491"/>
      <c r="L262" s="491"/>
      <c r="M262" s="491"/>
      <c r="N262" s="491"/>
      <c r="O262" s="491"/>
      <c r="P262" s="465"/>
      <c r="Q262" s="480"/>
      <c r="R262" s="480"/>
    </row>
    <row r="263" spans="2:18" hidden="1" outlineLevel="1">
      <c r="B263" s="573"/>
      <c r="C263" s="465"/>
      <c r="D263" s="465"/>
      <c r="E263" s="507"/>
      <c r="F263" s="507"/>
      <c r="G263" s="507"/>
      <c r="H263" s="577"/>
      <c r="I263" s="578"/>
      <c r="J263" s="578"/>
      <c r="K263" s="578"/>
      <c r="L263" s="578"/>
      <c r="M263" s="578"/>
      <c r="N263" s="578"/>
      <c r="O263" s="578"/>
      <c r="P263" s="465"/>
      <c r="Q263" s="480"/>
      <c r="R263" s="480"/>
    </row>
    <row r="264" spans="2:18" hidden="1" outlineLevel="1">
      <c r="B264" s="573"/>
      <c r="C264" s="465"/>
      <c r="D264" s="465"/>
      <c r="E264" s="491"/>
      <c r="F264" s="491"/>
      <c r="G264" s="491"/>
      <c r="H264" s="492"/>
      <c r="I264" s="491"/>
      <c r="J264" s="491"/>
      <c r="K264" s="491"/>
      <c r="L264" s="491"/>
      <c r="M264" s="491"/>
      <c r="N264" s="491"/>
      <c r="O264" s="491"/>
      <c r="P264" s="465"/>
      <c r="Q264" s="480"/>
      <c r="R264" s="480"/>
    </row>
    <row r="265" spans="2:18" hidden="1" outlineLevel="1">
      <c r="B265" s="573"/>
      <c r="C265" s="465"/>
      <c r="D265" s="465"/>
      <c r="E265" s="491"/>
      <c r="F265" s="491"/>
      <c r="G265" s="491"/>
      <c r="H265" s="492"/>
      <c r="I265" s="491"/>
      <c r="J265" s="491"/>
      <c r="K265" s="491"/>
      <c r="L265" s="491"/>
      <c r="M265" s="491"/>
      <c r="N265" s="491"/>
      <c r="O265" s="491"/>
      <c r="P265" s="465"/>
      <c r="Q265" s="480"/>
      <c r="R265" s="480"/>
    </row>
    <row r="266" spans="2:18" hidden="1" outlineLevel="1">
      <c r="B266" s="465"/>
      <c r="C266" s="465"/>
      <c r="D266" s="465"/>
      <c r="E266" s="473"/>
      <c r="F266" s="473"/>
      <c r="G266" s="473"/>
      <c r="H266" s="520"/>
      <c r="I266" s="473"/>
      <c r="J266" s="473"/>
      <c r="K266" s="473"/>
      <c r="L266" s="473"/>
      <c r="M266" s="473"/>
      <c r="N266" s="473"/>
      <c r="O266" s="473"/>
      <c r="P266" s="465"/>
      <c r="Q266" s="480"/>
      <c r="R266" s="480"/>
    </row>
    <row r="267" spans="2:18" hidden="1" outlineLevel="1">
      <c r="B267" s="470"/>
      <c r="C267" s="471"/>
      <c r="D267" s="465"/>
      <c r="E267" s="473"/>
      <c r="F267" s="473"/>
      <c r="G267" s="473"/>
      <c r="H267" s="520"/>
      <c r="I267" s="473"/>
      <c r="J267" s="473"/>
      <c r="K267" s="473"/>
      <c r="L267" s="473"/>
      <c r="M267" s="473"/>
      <c r="N267" s="473"/>
      <c r="O267" s="473"/>
      <c r="P267" s="465"/>
      <c r="Q267" s="480"/>
      <c r="R267" s="480"/>
    </row>
    <row r="268" spans="2:18" hidden="1" outlineLevel="1">
      <c r="B268" s="582"/>
      <c r="C268" s="465"/>
      <c r="D268" s="465"/>
      <c r="E268" s="478"/>
      <c r="F268" s="478"/>
      <c r="G268" s="478"/>
      <c r="H268" s="479"/>
      <c r="I268" s="478"/>
      <c r="J268" s="478"/>
      <c r="K268" s="478"/>
      <c r="L268" s="478"/>
      <c r="M268" s="478"/>
      <c r="N268" s="473"/>
      <c r="O268" s="473"/>
      <c r="P268" s="465"/>
      <c r="Q268" s="480"/>
      <c r="R268" s="480"/>
    </row>
    <row r="269" spans="2:18" hidden="1" outlineLevel="1">
      <c r="B269" s="582"/>
      <c r="C269" s="465"/>
      <c r="D269" s="465"/>
      <c r="E269" s="478"/>
      <c r="F269" s="478"/>
      <c r="G269" s="478"/>
      <c r="H269" s="479"/>
      <c r="I269" s="478"/>
      <c r="J269" s="478"/>
      <c r="K269" s="478"/>
      <c r="L269" s="478"/>
      <c r="M269" s="478"/>
      <c r="N269" s="473"/>
      <c r="O269" s="473"/>
      <c r="P269" s="465"/>
      <c r="Q269" s="480"/>
      <c r="R269" s="480"/>
    </row>
    <row r="270" spans="2:18" hidden="1" outlineLevel="1">
      <c r="B270" s="582"/>
      <c r="C270" s="465"/>
      <c r="D270" s="465"/>
      <c r="E270" s="478"/>
      <c r="F270" s="478"/>
      <c r="G270" s="478"/>
      <c r="H270" s="479"/>
      <c r="I270" s="478"/>
      <c r="J270" s="478"/>
      <c r="K270" s="478"/>
      <c r="L270" s="478"/>
      <c r="M270" s="478"/>
      <c r="N270" s="478"/>
      <c r="O270" s="478"/>
      <c r="P270" s="465"/>
      <c r="Q270" s="480"/>
      <c r="R270" s="480"/>
    </row>
    <row r="271" spans="2:18" hidden="1" outlineLevel="1">
      <c r="B271" s="582"/>
      <c r="C271" s="465"/>
      <c r="D271" s="465"/>
      <c r="E271" s="478"/>
      <c r="F271" s="478"/>
      <c r="G271" s="478"/>
      <c r="H271" s="479"/>
      <c r="I271" s="478"/>
      <c r="J271" s="478"/>
      <c r="K271" s="478"/>
      <c r="L271" s="478"/>
      <c r="M271" s="478"/>
      <c r="N271" s="478"/>
      <c r="O271" s="478"/>
      <c r="P271" s="465"/>
      <c r="Q271" s="480"/>
      <c r="R271" s="480"/>
    </row>
    <row r="272" spans="2:18" ht="15.15" hidden="1" outlineLevel="1">
      <c r="B272" s="582"/>
      <c r="C272" s="465"/>
      <c r="D272" s="465"/>
      <c r="E272" s="482"/>
      <c r="F272" s="482"/>
      <c r="G272" s="482"/>
      <c r="H272" s="483"/>
      <c r="I272" s="482"/>
      <c r="J272" s="482"/>
      <c r="K272" s="482"/>
      <c r="L272" s="482"/>
      <c r="M272" s="482"/>
      <c r="N272" s="482"/>
      <c r="O272" s="482"/>
      <c r="P272" s="465"/>
      <c r="Q272" s="480"/>
      <c r="R272" s="480"/>
    </row>
    <row r="273" spans="2:18" ht="13.7" hidden="1" outlineLevel="1">
      <c r="B273" s="583"/>
      <c r="C273" s="476"/>
      <c r="D273" s="476"/>
      <c r="E273" s="487"/>
      <c r="F273" s="487"/>
      <c r="G273" s="487"/>
      <c r="H273" s="488"/>
      <c r="I273" s="487"/>
      <c r="J273" s="487"/>
      <c r="K273" s="487"/>
      <c r="L273" s="487"/>
      <c r="M273" s="487"/>
      <c r="N273" s="487"/>
      <c r="O273" s="487"/>
      <c r="P273" s="476"/>
      <c r="Q273" s="477"/>
      <c r="R273" s="477"/>
    </row>
    <row r="274" spans="2:18" hidden="1" outlineLevel="1">
      <c r="B274" s="465"/>
      <c r="C274" s="465"/>
      <c r="D274" s="465"/>
      <c r="E274" s="473"/>
      <c r="F274" s="473"/>
      <c r="G274" s="473"/>
      <c r="H274" s="520"/>
      <c r="I274" s="473"/>
      <c r="J274" s="473"/>
      <c r="K274" s="473"/>
      <c r="L274" s="473"/>
      <c r="M274" s="473"/>
      <c r="N274" s="473"/>
      <c r="O274" s="473"/>
      <c r="P274" s="465"/>
      <c r="Q274" s="480"/>
      <c r="R274" s="480"/>
    </row>
    <row r="275" spans="2:18" hidden="1" outlineLevel="1">
      <c r="B275" s="584"/>
      <c r="C275" s="465"/>
      <c r="D275" s="465"/>
      <c r="E275" s="473"/>
      <c r="F275" s="473"/>
      <c r="G275" s="473"/>
      <c r="H275" s="585"/>
      <c r="I275" s="473"/>
      <c r="J275" s="473"/>
      <c r="K275" s="473"/>
      <c r="L275" s="473"/>
      <c r="M275" s="473"/>
      <c r="N275" s="473"/>
      <c r="O275" s="473"/>
      <c r="P275" s="465"/>
      <c r="Q275" s="480"/>
      <c r="R275" s="480"/>
    </row>
    <row r="276" spans="2:18" hidden="1" outlineLevel="1">
      <c r="B276" s="490"/>
      <c r="C276" s="465"/>
      <c r="D276" s="465"/>
      <c r="E276" s="491"/>
      <c r="F276" s="491"/>
      <c r="G276" s="491"/>
      <c r="H276" s="492"/>
      <c r="I276" s="491"/>
      <c r="J276" s="491"/>
      <c r="K276" s="491"/>
      <c r="L276" s="491"/>
      <c r="M276" s="491"/>
      <c r="N276" s="491"/>
      <c r="O276" s="491"/>
      <c r="P276" s="465"/>
      <c r="Q276" s="480"/>
      <c r="R276" s="480"/>
    </row>
    <row r="277" spans="2:18" hidden="1" outlineLevel="1">
      <c r="B277" s="490"/>
      <c r="C277" s="465"/>
      <c r="D277" s="465"/>
      <c r="E277" s="491"/>
      <c r="F277" s="491"/>
      <c r="G277" s="491"/>
      <c r="H277" s="492"/>
      <c r="I277" s="491"/>
      <c r="J277" s="491"/>
      <c r="K277" s="491"/>
      <c r="L277" s="491"/>
      <c r="M277" s="491"/>
      <c r="N277" s="491"/>
      <c r="O277" s="491"/>
      <c r="P277" s="465"/>
      <c r="Q277" s="480"/>
      <c r="R277" s="480"/>
    </row>
    <row r="278" spans="2:18" hidden="1" outlineLevel="1">
      <c r="B278" s="490"/>
      <c r="C278" s="465"/>
      <c r="D278" s="465"/>
      <c r="E278" s="491"/>
      <c r="F278" s="491"/>
      <c r="G278" s="491"/>
      <c r="H278" s="492"/>
      <c r="I278" s="491"/>
      <c r="J278" s="491"/>
      <c r="K278" s="491"/>
      <c r="L278" s="491"/>
      <c r="M278" s="491"/>
      <c r="N278" s="491"/>
      <c r="O278" s="491"/>
      <c r="P278" s="465"/>
      <c r="Q278" s="480"/>
      <c r="R278" s="480"/>
    </row>
    <row r="279" spans="2:18" hidden="1" outlineLevel="1">
      <c r="B279" s="490"/>
      <c r="C279" s="465"/>
      <c r="D279" s="465"/>
      <c r="E279" s="491"/>
      <c r="F279" s="491"/>
      <c r="G279" s="491"/>
      <c r="H279" s="492"/>
      <c r="I279" s="491"/>
      <c r="J279" s="491"/>
      <c r="K279" s="491"/>
      <c r="L279" s="491"/>
      <c r="M279" s="491"/>
      <c r="N279" s="491"/>
      <c r="O279" s="491"/>
      <c r="P279" s="465"/>
      <c r="Q279" s="480"/>
      <c r="R279" s="480"/>
    </row>
    <row r="280" spans="2:18" hidden="1" outlineLevel="1">
      <c r="B280" s="490"/>
      <c r="C280" s="465"/>
      <c r="D280" s="465"/>
      <c r="E280" s="495"/>
      <c r="F280" s="495"/>
      <c r="G280" s="495"/>
      <c r="H280" s="496"/>
      <c r="I280" s="495"/>
      <c r="J280" s="495"/>
      <c r="K280" s="495"/>
      <c r="L280" s="495"/>
      <c r="M280" s="495"/>
      <c r="N280" s="495"/>
      <c r="O280" s="495"/>
      <c r="P280" s="465"/>
      <c r="Q280" s="480"/>
      <c r="R280" s="480"/>
    </row>
    <row r="281" spans="2:18" ht="13.7" hidden="1" outlineLevel="1">
      <c r="B281" s="499"/>
      <c r="C281" s="476"/>
      <c r="D281" s="476"/>
      <c r="E281" s="500"/>
      <c r="F281" s="500"/>
      <c r="G281" s="500"/>
      <c r="H281" s="501"/>
      <c r="I281" s="500"/>
      <c r="J281" s="500"/>
      <c r="K281" s="500"/>
      <c r="L281" s="500"/>
      <c r="M281" s="500"/>
      <c r="N281" s="500"/>
      <c r="O281" s="500"/>
      <c r="P281" s="476"/>
      <c r="Q281" s="477"/>
      <c r="R281" s="477"/>
    </row>
    <row r="282" spans="2:18" hidden="1" outlineLevel="1">
      <c r="B282" s="506"/>
      <c r="C282" s="465"/>
      <c r="D282" s="465"/>
      <c r="E282" s="491"/>
      <c r="F282" s="491"/>
      <c r="G282" s="491"/>
      <c r="H282" s="492"/>
      <c r="I282" s="491"/>
      <c r="J282" s="491"/>
      <c r="K282" s="491"/>
      <c r="L282" s="491"/>
      <c r="M282" s="491"/>
      <c r="N282" s="491"/>
      <c r="O282" s="491"/>
      <c r="P282" s="465"/>
      <c r="Q282" s="480"/>
      <c r="R282" s="480"/>
    </row>
    <row r="283" spans="2:18" ht="13.7" hidden="1" outlineLevel="1">
      <c r="B283" s="470"/>
      <c r="C283" s="471"/>
      <c r="D283" s="476"/>
      <c r="E283" s="500"/>
      <c r="F283" s="500"/>
      <c r="G283" s="500"/>
      <c r="H283" s="501"/>
      <c r="I283" s="500"/>
      <c r="J283" s="500"/>
      <c r="K283" s="500"/>
      <c r="L283" s="500"/>
      <c r="M283" s="500"/>
      <c r="N283" s="500"/>
      <c r="O283" s="500"/>
      <c r="P283" s="476"/>
      <c r="Q283" s="477"/>
      <c r="R283" s="477"/>
    </row>
    <row r="284" spans="2:18" hidden="1" outlineLevel="1">
      <c r="B284" s="523"/>
      <c r="C284" s="523"/>
      <c r="D284" s="465"/>
      <c r="E284" s="473"/>
      <c r="F284" s="473"/>
      <c r="G284" s="478"/>
      <c r="H284" s="479"/>
      <c r="I284" s="478"/>
      <c r="J284" s="478"/>
      <c r="K284" s="478"/>
      <c r="L284" s="478"/>
      <c r="M284" s="478"/>
      <c r="N284" s="478"/>
      <c r="O284" s="478"/>
      <c r="P284" s="465"/>
      <c r="Q284" s="480"/>
      <c r="R284" s="480"/>
    </row>
    <row r="285" spans="2:18" hidden="1" outlineLevel="1">
      <c r="B285" s="523"/>
      <c r="C285" s="523"/>
      <c r="D285" s="465"/>
      <c r="E285" s="473"/>
      <c r="F285" s="473"/>
      <c r="G285" s="478"/>
      <c r="H285" s="479"/>
      <c r="I285" s="478"/>
      <c r="J285" s="478"/>
      <c r="K285" s="478"/>
      <c r="L285" s="478"/>
      <c r="M285" s="478"/>
      <c r="N285" s="478"/>
      <c r="O285" s="478"/>
      <c r="P285" s="465"/>
      <c r="Q285" s="480"/>
      <c r="R285" s="480"/>
    </row>
    <row r="286" spans="2:18" hidden="1" outlineLevel="1">
      <c r="B286" s="523"/>
      <c r="C286" s="465"/>
      <c r="D286" s="465"/>
      <c r="E286" s="473"/>
      <c r="F286" s="473"/>
      <c r="G286" s="507"/>
      <c r="H286" s="508"/>
      <c r="I286" s="507"/>
      <c r="J286" s="507"/>
      <c r="K286" s="507"/>
      <c r="L286" s="507"/>
      <c r="M286" s="507"/>
      <c r="N286" s="507"/>
      <c r="O286" s="507"/>
      <c r="P286" s="465"/>
      <c r="Q286" s="586"/>
      <c r="R286" s="480"/>
    </row>
    <row r="287" spans="2:18" hidden="1" outlineLevel="1">
      <c r="B287" s="522"/>
      <c r="C287" s="465"/>
      <c r="D287" s="465"/>
      <c r="E287" s="473"/>
      <c r="F287" s="473"/>
      <c r="G287" s="587"/>
      <c r="H287" s="588"/>
      <c r="I287" s="587"/>
      <c r="J287" s="587"/>
      <c r="K287" s="587"/>
      <c r="L287" s="587"/>
      <c r="M287" s="587"/>
      <c r="N287" s="587"/>
      <c r="O287" s="587"/>
      <c r="P287" s="465"/>
      <c r="Q287" s="480"/>
      <c r="R287" s="480"/>
    </row>
    <row r="288" spans="2:18" hidden="1" outlineLevel="1">
      <c r="B288" s="589"/>
      <c r="C288" s="476"/>
      <c r="D288" s="476"/>
      <c r="E288" s="474"/>
      <c r="F288" s="474"/>
      <c r="G288" s="590"/>
      <c r="H288" s="591"/>
      <c r="I288" s="590"/>
      <c r="J288" s="590"/>
      <c r="K288" s="590"/>
      <c r="L288" s="590"/>
      <c r="M288" s="590"/>
      <c r="N288" s="590"/>
      <c r="O288" s="590"/>
      <c r="P288" s="476"/>
      <c r="Q288" s="493"/>
      <c r="R288" s="493"/>
    </row>
    <row r="289" spans="2:18" collapsed="1">
      <c r="B289" s="589"/>
      <c r="C289" s="476"/>
      <c r="D289" s="476"/>
      <c r="E289" s="474"/>
      <c r="F289" s="474"/>
      <c r="G289" s="590"/>
      <c r="H289" s="590"/>
      <c r="I289" s="590"/>
      <c r="J289" s="590"/>
      <c r="K289" s="590"/>
      <c r="L289" s="590"/>
      <c r="M289" s="590"/>
      <c r="N289" s="590"/>
      <c r="O289" s="590"/>
      <c r="P289" s="476"/>
      <c r="Q289" s="493"/>
      <c r="R289" s="493"/>
    </row>
  </sheetData>
  <phoneticPr fontId="52" type="noConversion"/>
  <printOptions horizontalCentered="1"/>
  <pageMargins left="0.2" right="0.2" top="0.2" bottom="0.2" header="0.2" footer="0.2"/>
  <pageSetup paperSize="9" scale="59" fitToHeight="0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S112"/>
  <sheetViews>
    <sheetView showGridLines="0" view="pageBreakPreview" topLeftCell="A16" zoomScaleNormal="100" zoomScaleSheetLayoutView="100" workbookViewId="0">
      <selection activeCell="M44" sqref="M44"/>
    </sheetView>
  </sheetViews>
  <sheetFormatPr defaultRowHeight="13"/>
  <cols>
    <col min="1" max="1" width="5.85546875" style="594" customWidth="1"/>
    <col min="2" max="2" width="30.85546875" style="594" customWidth="1"/>
    <col min="3" max="5" width="9.140625" style="594"/>
    <col min="6" max="19" width="10.85546875" style="594" customWidth="1"/>
    <col min="20" max="16384" width="9.140625" style="594"/>
  </cols>
  <sheetData>
    <row r="2" spans="2:19">
      <c r="B2" s="592"/>
      <c r="C2" s="593"/>
      <c r="D2" s="593"/>
      <c r="E2" s="593"/>
      <c r="F2" s="593"/>
      <c r="G2" s="593"/>
      <c r="H2" s="593"/>
      <c r="I2" s="593"/>
      <c r="J2" s="593"/>
      <c r="K2" s="593"/>
      <c r="L2" s="593"/>
      <c r="M2" s="593"/>
      <c r="N2" s="593"/>
      <c r="O2" s="593"/>
      <c r="P2" s="593"/>
      <c r="Q2" s="593"/>
      <c r="R2" s="593"/>
      <c r="S2" s="593"/>
    </row>
    <row r="3" spans="2:19" ht="18.75" thickBot="1">
      <c r="B3" s="595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</row>
    <row r="4" spans="2:19" ht="13.7" thickTop="1">
      <c r="B4" s="592"/>
      <c r="C4" s="593"/>
      <c r="D4" s="593"/>
      <c r="E4" s="593"/>
      <c r="F4" s="593"/>
      <c r="G4" s="593"/>
      <c r="H4" s="593"/>
      <c r="I4" s="593"/>
      <c r="J4" s="593"/>
      <c r="K4" s="593"/>
      <c r="L4" s="593"/>
      <c r="M4" s="593"/>
      <c r="N4" s="593"/>
      <c r="O4" s="593"/>
      <c r="P4" s="593"/>
      <c r="Q4" s="593"/>
      <c r="R4" s="593"/>
      <c r="S4" s="593"/>
    </row>
    <row r="5" spans="2:19" ht="15.85">
      <c r="B5" s="592"/>
      <c r="C5" s="593"/>
      <c r="D5" s="593"/>
      <c r="E5" s="593"/>
      <c r="F5" s="593"/>
      <c r="G5" s="593"/>
      <c r="H5" s="593"/>
      <c r="I5" s="593"/>
      <c r="J5" s="593"/>
      <c r="K5" s="593"/>
      <c r="L5" s="593"/>
      <c r="M5" s="593"/>
      <c r="N5" s="593"/>
      <c r="O5" s="593"/>
      <c r="P5" s="593"/>
      <c r="Q5" s="593"/>
      <c r="R5" s="597"/>
      <c r="S5" s="597"/>
    </row>
    <row r="6" spans="2:19" ht="15.85">
      <c r="B6" s="593"/>
      <c r="C6" s="593"/>
      <c r="D6" s="593"/>
      <c r="E6" s="593"/>
      <c r="F6" s="598"/>
      <c r="G6" s="598"/>
      <c r="H6" s="598"/>
      <c r="I6" s="599"/>
      <c r="J6" s="600"/>
      <c r="K6" s="600"/>
      <c r="L6" s="600"/>
      <c r="M6" s="600"/>
      <c r="N6" s="600"/>
      <c r="O6" s="600"/>
      <c r="P6" s="600"/>
      <c r="Q6" s="593"/>
      <c r="R6" s="601"/>
      <c r="S6" s="601"/>
    </row>
    <row r="7" spans="2:19">
      <c r="B7" s="602"/>
      <c r="C7" s="603"/>
      <c r="D7" s="604"/>
      <c r="E7" s="593"/>
      <c r="F7" s="593"/>
      <c r="G7" s="593"/>
      <c r="H7" s="593"/>
      <c r="I7" s="605"/>
      <c r="J7" s="593"/>
      <c r="K7" s="593"/>
      <c r="L7" s="593"/>
      <c r="M7" s="593"/>
      <c r="N7" s="593"/>
      <c r="O7" s="593"/>
      <c r="P7" s="593"/>
      <c r="Q7" s="593"/>
      <c r="R7" s="593"/>
      <c r="S7" s="593"/>
    </row>
    <row r="8" spans="2:19">
      <c r="B8" s="593"/>
      <c r="C8" s="593"/>
      <c r="D8" s="593"/>
      <c r="E8" s="593"/>
      <c r="F8" s="606"/>
      <c r="G8" s="607"/>
      <c r="H8" s="607"/>
      <c r="I8" s="608"/>
      <c r="J8" s="607"/>
      <c r="K8" s="607"/>
      <c r="L8" s="607"/>
      <c r="M8" s="607"/>
      <c r="N8" s="607"/>
      <c r="O8" s="607"/>
      <c r="P8" s="607"/>
      <c r="Q8" s="593"/>
      <c r="R8" s="609"/>
      <c r="S8" s="609"/>
    </row>
    <row r="9" spans="2:19">
      <c r="B9" s="593"/>
      <c r="C9" s="593"/>
      <c r="D9" s="593"/>
      <c r="E9" s="593"/>
      <c r="F9" s="606"/>
      <c r="G9" s="607"/>
      <c r="H9" s="607"/>
      <c r="I9" s="608"/>
      <c r="J9" s="607"/>
      <c r="K9" s="607"/>
      <c r="L9" s="607"/>
      <c r="M9" s="607"/>
      <c r="N9" s="607"/>
      <c r="O9" s="607"/>
      <c r="P9" s="607"/>
      <c r="Q9" s="593"/>
      <c r="R9" s="609"/>
      <c r="S9" s="609"/>
    </row>
    <row r="10" spans="2:19">
      <c r="B10" s="593"/>
      <c r="C10" s="593"/>
      <c r="D10" s="593"/>
      <c r="E10" s="593"/>
      <c r="F10" s="606"/>
      <c r="G10" s="607"/>
      <c r="H10" s="607"/>
      <c r="I10" s="608"/>
      <c r="J10" s="607"/>
      <c r="K10" s="607"/>
      <c r="L10" s="607"/>
      <c r="M10" s="607"/>
      <c r="N10" s="607"/>
      <c r="O10" s="607"/>
      <c r="P10" s="607"/>
      <c r="Q10" s="593"/>
      <c r="R10" s="609"/>
      <c r="S10" s="609"/>
    </row>
    <row r="11" spans="2:19">
      <c r="B11" s="593"/>
      <c r="C11" s="593"/>
      <c r="D11" s="593"/>
      <c r="E11" s="593"/>
      <c r="F11" s="606"/>
      <c r="G11" s="607"/>
      <c r="H11" s="607"/>
      <c r="I11" s="608"/>
      <c r="J11" s="607"/>
      <c r="K11" s="607"/>
      <c r="L11" s="607"/>
      <c r="M11" s="607"/>
      <c r="N11" s="607"/>
      <c r="O11" s="607"/>
      <c r="P11" s="607"/>
      <c r="Q11" s="593"/>
      <c r="R11" s="609"/>
      <c r="S11" s="609"/>
    </row>
    <row r="12" spans="2:19" ht="15.15">
      <c r="B12" s="593"/>
      <c r="C12" s="593"/>
      <c r="D12" s="593"/>
      <c r="E12" s="593"/>
      <c r="F12" s="610"/>
      <c r="G12" s="611"/>
      <c r="H12" s="611"/>
      <c r="I12" s="612"/>
      <c r="J12" s="611"/>
      <c r="K12" s="611"/>
      <c r="L12" s="611"/>
      <c r="M12" s="611"/>
      <c r="N12" s="611"/>
      <c r="O12" s="611"/>
      <c r="P12" s="611"/>
      <c r="Q12" s="593"/>
      <c r="R12" s="613"/>
      <c r="S12" s="613"/>
    </row>
    <row r="13" spans="2:19" ht="13.7">
      <c r="B13" s="614"/>
      <c r="C13" s="615"/>
      <c r="D13" s="615"/>
      <c r="E13" s="615"/>
      <c r="F13" s="616"/>
      <c r="G13" s="617"/>
      <c r="H13" s="617"/>
      <c r="I13" s="618"/>
      <c r="J13" s="618"/>
      <c r="K13" s="617"/>
      <c r="L13" s="617"/>
      <c r="M13" s="617"/>
      <c r="N13" s="617"/>
      <c r="O13" s="617"/>
      <c r="P13" s="617"/>
      <c r="Q13" s="615"/>
      <c r="R13" s="619"/>
      <c r="S13" s="619"/>
    </row>
    <row r="14" spans="2:19">
      <c r="B14" s="620"/>
      <c r="C14" s="593"/>
      <c r="D14" s="593"/>
      <c r="E14" s="593"/>
      <c r="F14" s="606"/>
      <c r="G14" s="607"/>
      <c r="H14" s="607"/>
      <c r="I14" s="608"/>
      <c r="J14" s="607"/>
      <c r="K14" s="607"/>
      <c r="L14" s="607"/>
      <c r="M14" s="607"/>
      <c r="N14" s="607"/>
      <c r="O14" s="607"/>
      <c r="P14" s="607"/>
      <c r="Q14" s="593"/>
      <c r="R14" s="609"/>
      <c r="S14" s="609"/>
    </row>
    <row r="15" spans="2:19">
      <c r="B15" s="620"/>
      <c r="C15" s="615"/>
      <c r="D15" s="615"/>
      <c r="E15" s="615"/>
      <c r="F15" s="606"/>
      <c r="G15" s="607"/>
      <c r="H15" s="607"/>
      <c r="I15" s="608"/>
      <c r="J15" s="607"/>
      <c r="K15" s="607"/>
      <c r="L15" s="607"/>
      <c r="M15" s="607"/>
      <c r="N15" s="607"/>
      <c r="O15" s="607"/>
      <c r="P15" s="607"/>
      <c r="Q15" s="615"/>
      <c r="R15" s="609"/>
      <c r="S15" s="609"/>
    </row>
    <row r="16" spans="2:19" ht="15.15">
      <c r="B16" s="593"/>
      <c r="C16" s="593"/>
      <c r="D16" s="593"/>
      <c r="E16" s="593"/>
      <c r="F16" s="610"/>
      <c r="G16" s="611"/>
      <c r="H16" s="611"/>
      <c r="I16" s="612"/>
      <c r="J16" s="611"/>
      <c r="K16" s="611"/>
      <c r="L16" s="611"/>
      <c r="M16" s="611"/>
      <c r="N16" s="611"/>
      <c r="O16" s="611"/>
      <c r="P16" s="611"/>
      <c r="Q16" s="593"/>
      <c r="R16" s="613"/>
      <c r="S16" s="613"/>
    </row>
    <row r="17" spans="2:19" ht="13.7">
      <c r="B17" s="614"/>
      <c r="C17" s="593"/>
      <c r="D17" s="593"/>
      <c r="E17" s="593"/>
      <c r="F17" s="616"/>
      <c r="G17" s="617"/>
      <c r="H17" s="617"/>
      <c r="I17" s="618"/>
      <c r="J17" s="617"/>
      <c r="K17" s="617"/>
      <c r="L17" s="617"/>
      <c r="M17" s="617"/>
      <c r="N17" s="617"/>
      <c r="O17" s="617"/>
      <c r="P17" s="617"/>
      <c r="Q17" s="593"/>
      <c r="R17" s="619"/>
      <c r="S17" s="619"/>
    </row>
    <row r="18" spans="2:19">
      <c r="B18" s="593"/>
      <c r="C18" s="593"/>
      <c r="D18" s="593"/>
      <c r="E18" s="593"/>
      <c r="F18" s="606"/>
      <c r="G18" s="607"/>
      <c r="H18" s="607"/>
      <c r="I18" s="608"/>
      <c r="J18" s="607"/>
      <c r="K18" s="607"/>
      <c r="L18" s="607"/>
      <c r="M18" s="607"/>
      <c r="N18" s="607"/>
      <c r="O18" s="607"/>
      <c r="P18" s="607"/>
      <c r="Q18" s="593"/>
      <c r="R18" s="609"/>
      <c r="S18" s="609"/>
    </row>
    <row r="19" spans="2:19">
      <c r="B19" s="593"/>
      <c r="C19" s="593"/>
      <c r="D19" s="593"/>
      <c r="E19" s="593"/>
      <c r="F19" s="606"/>
      <c r="G19" s="607"/>
      <c r="H19" s="607"/>
      <c r="I19" s="608"/>
      <c r="J19" s="607"/>
      <c r="K19" s="607"/>
      <c r="L19" s="607"/>
      <c r="M19" s="607"/>
      <c r="N19" s="607"/>
      <c r="O19" s="607"/>
      <c r="P19" s="607"/>
      <c r="Q19" s="593"/>
      <c r="R19" s="609"/>
      <c r="S19" s="609"/>
    </row>
    <row r="20" spans="2:19">
      <c r="B20" s="593"/>
      <c r="C20" s="593"/>
      <c r="D20" s="593"/>
      <c r="E20" s="593"/>
      <c r="F20" s="606"/>
      <c r="G20" s="607"/>
      <c r="H20" s="607"/>
      <c r="I20" s="608"/>
      <c r="J20" s="607"/>
      <c r="K20" s="607"/>
      <c r="L20" s="607"/>
      <c r="M20" s="607"/>
      <c r="N20" s="607"/>
      <c r="O20" s="607"/>
      <c r="P20" s="607"/>
      <c r="Q20" s="593"/>
      <c r="R20" s="609"/>
      <c r="S20" s="609"/>
    </row>
    <row r="21" spans="2:19" ht="15.15">
      <c r="B21" s="593"/>
      <c r="C21" s="593"/>
      <c r="D21" s="593"/>
      <c r="E21" s="593"/>
      <c r="F21" s="606"/>
      <c r="G21" s="607"/>
      <c r="H21" s="607"/>
      <c r="I21" s="608"/>
      <c r="J21" s="607"/>
      <c r="K21" s="607"/>
      <c r="L21" s="607"/>
      <c r="M21" s="607"/>
      <c r="N21" s="607"/>
      <c r="O21" s="607"/>
      <c r="P21" s="607"/>
      <c r="Q21" s="621"/>
      <c r="R21" s="609"/>
      <c r="S21" s="609"/>
    </row>
    <row r="22" spans="2:19" ht="15.15">
      <c r="B22" s="593"/>
      <c r="C22" s="593"/>
      <c r="D22" s="593"/>
      <c r="E22" s="593"/>
      <c r="F22" s="610"/>
      <c r="G22" s="611"/>
      <c r="H22" s="611"/>
      <c r="I22" s="612"/>
      <c r="J22" s="611"/>
      <c r="K22" s="611"/>
      <c r="L22" s="611"/>
      <c r="M22" s="611"/>
      <c r="N22" s="611"/>
      <c r="O22" s="611"/>
      <c r="P22" s="611"/>
      <c r="Q22" s="593"/>
      <c r="R22" s="613"/>
      <c r="S22" s="613"/>
    </row>
    <row r="23" spans="2:19" ht="13.7">
      <c r="B23" s="614"/>
      <c r="C23" s="615"/>
      <c r="D23" s="615"/>
      <c r="E23" s="615"/>
      <c r="F23" s="616"/>
      <c r="G23" s="617"/>
      <c r="H23" s="617"/>
      <c r="I23" s="618"/>
      <c r="J23" s="617"/>
      <c r="K23" s="617"/>
      <c r="L23" s="617"/>
      <c r="M23" s="617"/>
      <c r="N23" s="617"/>
      <c r="O23" s="617"/>
      <c r="P23" s="617"/>
      <c r="Q23" s="615"/>
      <c r="R23" s="619"/>
      <c r="S23" s="619"/>
    </row>
    <row r="24" spans="2:19">
      <c r="B24" s="593"/>
      <c r="C24" s="593"/>
      <c r="D24" s="593"/>
      <c r="E24" s="593"/>
      <c r="F24" s="593"/>
      <c r="G24" s="593"/>
      <c r="H24" s="593"/>
      <c r="I24" s="605"/>
      <c r="J24" s="593"/>
      <c r="K24" s="593"/>
      <c r="L24" s="593"/>
      <c r="M24" s="593"/>
      <c r="N24" s="593"/>
      <c r="O24" s="593"/>
      <c r="P24" s="593"/>
      <c r="Q24" s="593"/>
      <c r="R24" s="593"/>
      <c r="S24" s="622"/>
    </row>
    <row r="25" spans="2:19">
      <c r="B25" s="623"/>
      <c r="C25" s="593"/>
      <c r="D25" s="593"/>
      <c r="E25" s="593"/>
      <c r="F25" s="593"/>
      <c r="G25" s="593"/>
      <c r="H25" s="593"/>
      <c r="I25" s="605"/>
      <c r="J25" s="593"/>
      <c r="K25" s="593"/>
      <c r="L25" s="593"/>
      <c r="M25" s="593"/>
      <c r="N25" s="593"/>
      <c r="O25" s="593"/>
      <c r="P25" s="593"/>
      <c r="Q25" s="593"/>
      <c r="R25" s="593"/>
      <c r="S25" s="593"/>
    </row>
    <row r="26" spans="2:19">
      <c r="B26" s="624"/>
      <c r="C26" s="593"/>
      <c r="D26" s="593"/>
      <c r="E26" s="593"/>
      <c r="F26" s="609"/>
      <c r="G26" s="609"/>
      <c r="H26" s="609"/>
      <c r="I26" s="625"/>
      <c r="J26" s="609"/>
      <c r="K26" s="609"/>
      <c r="L26" s="609"/>
      <c r="M26" s="609"/>
      <c r="N26" s="609"/>
      <c r="O26" s="609"/>
      <c r="P26" s="609"/>
      <c r="Q26" s="593"/>
      <c r="R26" s="593"/>
      <c r="S26" s="593"/>
    </row>
    <row r="27" spans="2:19">
      <c r="B27" s="624"/>
      <c r="C27" s="593"/>
      <c r="D27" s="593"/>
      <c r="E27" s="593"/>
      <c r="F27" s="609"/>
      <c r="G27" s="609"/>
      <c r="H27" s="609"/>
      <c r="I27" s="625"/>
      <c r="J27" s="609"/>
      <c r="K27" s="609"/>
      <c r="L27" s="609"/>
      <c r="M27" s="609"/>
      <c r="N27" s="609"/>
      <c r="O27" s="609"/>
      <c r="P27" s="609"/>
      <c r="Q27" s="593"/>
      <c r="R27" s="593"/>
      <c r="S27" s="593"/>
    </row>
    <row r="28" spans="2:19">
      <c r="B28" s="624"/>
      <c r="C28" s="593"/>
      <c r="D28" s="593"/>
      <c r="E28" s="593"/>
      <c r="F28" s="609"/>
      <c r="G28" s="609"/>
      <c r="H28" s="609"/>
      <c r="I28" s="625"/>
      <c r="J28" s="609"/>
      <c r="K28" s="609"/>
      <c r="L28" s="609"/>
      <c r="M28" s="609"/>
      <c r="N28" s="609"/>
      <c r="O28" s="609"/>
      <c r="P28" s="609"/>
      <c r="Q28" s="593"/>
      <c r="R28" s="593"/>
      <c r="S28" s="593"/>
    </row>
    <row r="29" spans="2:19">
      <c r="B29" s="624"/>
      <c r="C29" s="593"/>
      <c r="D29" s="593"/>
      <c r="E29" s="593"/>
      <c r="F29" s="609"/>
      <c r="G29" s="609"/>
      <c r="H29" s="609"/>
      <c r="I29" s="625"/>
      <c r="J29" s="609"/>
      <c r="K29" s="609"/>
      <c r="L29" s="609"/>
      <c r="M29" s="609"/>
      <c r="N29" s="609"/>
      <c r="O29" s="609"/>
      <c r="P29" s="609"/>
      <c r="Q29" s="593"/>
      <c r="R29" s="593"/>
      <c r="S29" s="593"/>
    </row>
    <row r="30" spans="2:19">
      <c r="B30" s="624"/>
      <c r="C30" s="593"/>
      <c r="D30" s="593"/>
      <c r="E30" s="593"/>
      <c r="F30" s="613"/>
      <c r="G30" s="613"/>
      <c r="H30" s="613"/>
      <c r="I30" s="626"/>
      <c r="J30" s="613"/>
      <c r="K30" s="613"/>
      <c r="L30" s="613"/>
      <c r="M30" s="613"/>
      <c r="N30" s="613"/>
      <c r="O30" s="613"/>
      <c r="P30" s="613"/>
      <c r="Q30" s="593"/>
      <c r="R30" s="593"/>
      <c r="S30" s="593"/>
    </row>
    <row r="31" spans="2:19" ht="13.7">
      <c r="B31" s="627"/>
      <c r="C31" s="593"/>
      <c r="D31" s="593"/>
      <c r="E31" s="593"/>
      <c r="F31" s="619"/>
      <c r="G31" s="619"/>
      <c r="H31" s="619"/>
      <c r="I31" s="628"/>
      <c r="J31" s="619"/>
      <c r="K31" s="619"/>
      <c r="L31" s="619"/>
      <c r="M31" s="619"/>
      <c r="N31" s="619"/>
      <c r="O31" s="619"/>
      <c r="P31" s="619"/>
      <c r="Q31" s="593"/>
      <c r="R31" s="593"/>
      <c r="S31" s="593"/>
    </row>
    <row r="32" spans="2:19">
      <c r="B32" s="624"/>
      <c r="C32" s="593"/>
      <c r="D32" s="593"/>
      <c r="E32" s="593"/>
      <c r="F32" s="609"/>
      <c r="G32" s="609"/>
      <c r="H32" s="609"/>
      <c r="I32" s="625"/>
      <c r="J32" s="609"/>
      <c r="K32" s="609"/>
      <c r="L32" s="609"/>
      <c r="M32" s="491"/>
      <c r="N32" s="491"/>
      <c r="O32" s="491"/>
      <c r="P32" s="491"/>
      <c r="Q32" s="593"/>
      <c r="R32" s="593"/>
      <c r="S32" s="593"/>
    </row>
    <row r="33" spans="2:19">
      <c r="B33" s="624"/>
      <c r="C33" s="593"/>
      <c r="D33" s="593"/>
      <c r="E33" s="593"/>
      <c r="F33" s="609"/>
      <c r="G33" s="609"/>
      <c r="H33" s="609"/>
      <c r="I33" s="625"/>
      <c r="J33" s="609"/>
      <c r="K33" s="609"/>
      <c r="L33" s="609"/>
      <c r="M33" s="491"/>
      <c r="N33" s="491"/>
      <c r="O33" s="491"/>
      <c r="P33" s="491"/>
      <c r="Q33" s="593"/>
      <c r="R33" s="593"/>
      <c r="S33" s="593"/>
    </row>
    <row r="34" spans="2:19">
      <c r="B34" s="624"/>
      <c r="C34" s="593"/>
      <c r="D34" s="593"/>
      <c r="E34" s="593"/>
      <c r="F34" s="613"/>
      <c r="G34" s="613"/>
      <c r="H34" s="613"/>
      <c r="I34" s="626"/>
      <c r="J34" s="613"/>
      <c r="K34" s="613"/>
      <c r="L34" s="613"/>
      <c r="M34" s="495"/>
      <c r="N34" s="495"/>
      <c r="O34" s="495"/>
      <c r="P34" s="495"/>
      <c r="Q34" s="593"/>
      <c r="R34" s="593"/>
      <c r="S34" s="593"/>
    </row>
    <row r="35" spans="2:19" ht="13.7">
      <c r="B35" s="627"/>
      <c r="C35" s="593"/>
      <c r="D35" s="593"/>
      <c r="E35" s="593"/>
      <c r="F35" s="619"/>
      <c r="G35" s="619"/>
      <c r="H35" s="619"/>
      <c r="I35" s="628"/>
      <c r="J35" s="619"/>
      <c r="K35" s="619"/>
      <c r="L35" s="619"/>
      <c r="M35" s="500"/>
      <c r="N35" s="500"/>
      <c r="O35" s="500"/>
      <c r="P35" s="500"/>
      <c r="Q35" s="593"/>
      <c r="R35" s="593"/>
      <c r="S35" s="593"/>
    </row>
    <row r="36" spans="2:19">
      <c r="B36" s="624"/>
      <c r="C36" s="593"/>
      <c r="D36" s="593"/>
      <c r="E36" s="593"/>
      <c r="F36" s="609"/>
      <c r="G36" s="609"/>
      <c r="H36" s="609"/>
      <c r="I36" s="625"/>
      <c r="J36" s="609"/>
      <c r="K36" s="609"/>
      <c r="L36" s="609"/>
      <c r="M36" s="491"/>
      <c r="N36" s="491"/>
      <c r="O36" s="491"/>
      <c r="P36" s="491"/>
      <c r="Q36" s="593"/>
      <c r="R36" s="593"/>
      <c r="S36" s="593"/>
    </row>
    <row r="37" spans="2:19">
      <c r="B37" s="624"/>
      <c r="C37" s="593"/>
      <c r="D37" s="593"/>
      <c r="E37" s="593"/>
      <c r="F37" s="609"/>
      <c r="G37" s="609"/>
      <c r="H37" s="609"/>
      <c r="I37" s="625"/>
      <c r="J37" s="609"/>
      <c r="K37" s="609"/>
      <c r="L37" s="609"/>
      <c r="M37" s="491"/>
      <c r="N37" s="491"/>
      <c r="O37" s="491"/>
      <c r="P37" s="491"/>
      <c r="Q37" s="593"/>
      <c r="R37" s="593"/>
      <c r="S37" s="593"/>
    </row>
    <row r="38" spans="2:19">
      <c r="B38" s="624"/>
      <c r="C38" s="593"/>
      <c r="D38" s="593"/>
      <c r="E38" s="593"/>
      <c r="F38" s="609"/>
      <c r="G38" s="609"/>
      <c r="H38" s="609"/>
      <c r="I38" s="625"/>
      <c r="J38" s="609"/>
      <c r="K38" s="609"/>
      <c r="L38" s="609"/>
      <c r="M38" s="491"/>
      <c r="N38" s="491"/>
      <c r="O38" s="491"/>
      <c r="P38" s="491"/>
      <c r="Q38" s="593"/>
      <c r="R38" s="593"/>
      <c r="S38" s="593"/>
    </row>
    <row r="39" spans="2:19">
      <c r="B39" s="624"/>
      <c r="C39" s="593"/>
      <c r="D39" s="593"/>
      <c r="E39" s="593"/>
      <c r="F39" s="613"/>
      <c r="G39" s="613"/>
      <c r="H39" s="613"/>
      <c r="I39" s="626"/>
      <c r="J39" s="613"/>
      <c r="K39" s="613"/>
      <c r="L39" s="613"/>
      <c r="M39" s="495"/>
      <c r="N39" s="495"/>
      <c r="O39" s="495"/>
      <c r="P39" s="495"/>
      <c r="Q39" s="593"/>
      <c r="R39" s="593"/>
      <c r="S39" s="593"/>
    </row>
    <row r="40" spans="2:19" ht="13.7">
      <c r="B40" s="627"/>
      <c r="C40" s="593"/>
      <c r="D40" s="593"/>
      <c r="E40" s="593"/>
      <c r="F40" s="619"/>
      <c r="G40" s="619"/>
      <c r="H40" s="619"/>
      <c r="I40" s="628"/>
      <c r="J40" s="619"/>
      <c r="K40" s="619"/>
      <c r="L40" s="619"/>
      <c r="M40" s="500"/>
      <c r="N40" s="500"/>
      <c r="O40" s="500"/>
      <c r="P40" s="500"/>
      <c r="Q40" s="593"/>
      <c r="R40" s="593"/>
      <c r="S40" s="593"/>
    </row>
    <row r="41" spans="2:19">
      <c r="B41" s="593"/>
      <c r="C41" s="593"/>
      <c r="D41" s="593"/>
      <c r="E41" s="593"/>
      <c r="F41" s="593"/>
      <c r="G41" s="593"/>
      <c r="H41" s="593"/>
      <c r="I41" s="605"/>
      <c r="J41" s="593"/>
      <c r="K41" s="593"/>
      <c r="L41" s="593"/>
      <c r="M41" s="629"/>
      <c r="N41" s="629"/>
      <c r="O41" s="629"/>
      <c r="P41" s="629"/>
      <c r="Q41" s="593"/>
      <c r="R41" s="593"/>
      <c r="S41" s="593"/>
    </row>
    <row r="42" spans="2:19">
      <c r="B42" s="630"/>
      <c r="C42" s="593"/>
      <c r="D42" s="593"/>
      <c r="E42" s="593"/>
      <c r="F42" s="593"/>
      <c r="G42" s="593"/>
      <c r="H42" s="593"/>
      <c r="I42" s="605"/>
      <c r="J42" s="593"/>
      <c r="K42" s="593"/>
      <c r="L42" s="593"/>
      <c r="M42" s="629"/>
      <c r="N42" s="629"/>
      <c r="O42" s="629"/>
      <c r="P42" s="629"/>
      <c r="Q42" s="593"/>
      <c r="R42" s="593"/>
      <c r="S42" s="593"/>
    </row>
    <row r="43" spans="2:19">
      <c r="B43" s="631"/>
      <c r="C43" s="593"/>
      <c r="D43" s="593"/>
      <c r="E43" s="593"/>
      <c r="F43" s="593"/>
      <c r="G43" s="593"/>
      <c r="H43" s="593"/>
      <c r="I43" s="605"/>
      <c r="J43" s="593"/>
      <c r="K43" s="593"/>
      <c r="L43" s="593"/>
      <c r="M43" s="593"/>
      <c r="N43" s="593"/>
      <c r="O43" s="593"/>
      <c r="P43" s="593"/>
      <c r="Q43" s="593"/>
      <c r="R43" s="609"/>
      <c r="S43" s="609"/>
    </row>
    <row r="44" spans="2:19">
      <c r="B44" s="631"/>
      <c r="C44" s="593"/>
      <c r="D44" s="593"/>
      <c r="E44" s="593"/>
      <c r="F44" s="593"/>
      <c r="G44" s="593"/>
      <c r="H44" s="593"/>
      <c r="I44" s="605"/>
      <c r="J44" s="593"/>
      <c r="K44" s="593"/>
      <c r="L44" s="593"/>
      <c r="M44" s="629"/>
      <c r="N44" s="629"/>
      <c r="O44" s="629"/>
      <c r="P44" s="629"/>
      <c r="Q44" s="593"/>
      <c r="R44" s="609"/>
      <c r="S44" s="609"/>
    </row>
    <row r="45" spans="2:19">
      <c r="B45" s="631"/>
      <c r="C45" s="593"/>
      <c r="D45" s="593"/>
      <c r="E45" s="593"/>
      <c r="F45" s="632"/>
      <c r="G45" s="593"/>
      <c r="H45" s="593"/>
      <c r="I45" s="605"/>
      <c r="J45" s="593"/>
      <c r="K45" s="593"/>
      <c r="L45" s="593"/>
      <c r="M45" s="593"/>
      <c r="N45" s="593"/>
      <c r="O45" s="593"/>
      <c r="P45" s="593"/>
      <c r="Q45" s="593"/>
      <c r="R45" s="609"/>
      <c r="S45" s="609"/>
    </row>
    <row r="46" spans="2:19">
      <c r="B46" s="631"/>
      <c r="C46" s="593"/>
      <c r="D46" s="593"/>
      <c r="E46" s="593"/>
      <c r="F46" s="593"/>
      <c r="G46" s="593"/>
      <c r="H46" s="593"/>
      <c r="I46" s="605"/>
      <c r="J46" s="593"/>
      <c r="K46" s="593"/>
      <c r="L46" s="593"/>
      <c r="M46" s="593"/>
      <c r="N46" s="593"/>
      <c r="O46" s="593"/>
      <c r="P46" s="593"/>
      <c r="Q46" s="593"/>
      <c r="R46" s="609"/>
      <c r="S46" s="609"/>
    </row>
    <row r="47" spans="2:19" ht="15.15">
      <c r="B47" s="631"/>
      <c r="C47" s="593"/>
      <c r="D47" s="593"/>
      <c r="E47" s="593"/>
      <c r="F47" s="633"/>
      <c r="G47" s="621"/>
      <c r="H47" s="621"/>
      <c r="I47" s="634"/>
      <c r="J47" s="621"/>
      <c r="K47" s="621"/>
      <c r="L47" s="621"/>
      <c r="M47" s="621"/>
      <c r="N47" s="621"/>
      <c r="O47" s="621"/>
      <c r="P47" s="621"/>
      <c r="Q47" s="593"/>
      <c r="R47" s="613"/>
      <c r="S47" s="609"/>
    </row>
    <row r="48" spans="2:19" ht="13.7">
      <c r="B48" s="636"/>
      <c r="C48" s="615"/>
      <c r="D48" s="615"/>
      <c r="E48" s="615"/>
      <c r="F48" s="615"/>
      <c r="G48" s="615"/>
      <c r="H48" s="615"/>
      <c r="I48" s="637"/>
      <c r="J48" s="615"/>
      <c r="K48" s="615"/>
      <c r="L48" s="615"/>
      <c r="M48" s="615"/>
      <c r="N48" s="615"/>
      <c r="O48" s="615"/>
      <c r="P48" s="615"/>
      <c r="Q48" s="615"/>
      <c r="R48" s="619"/>
      <c r="S48" s="619"/>
    </row>
    <row r="49" spans="2:19">
      <c r="B49" s="631"/>
      <c r="C49" s="593"/>
      <c r="D49" s="593"/>
      <c r="E49" s="593"/>
      <c r="F49" s="593"/>
      <c r="G49" s="593"/>
      <c r="H49" s="593"/>
      <c r="I49" s="605"/>
      <c r="J49" s="593"/>
      <c r="K49" s="593"/>
      <c r="L49" s="593"/>
      <c r="M49" s="629"/>
      <c r="N49" s="629"/>
      <c r="O49" s="629"/>
      <c r="P49" s="629"/>
      <c r="Q49" s="593"/>
      <c r="R49" s="609"/>
      <c r="S49" s="609"/>
    </row>
    <row r="50" spans="2:19">
      <c r="B50" s="593"/>
      <c r="C50" s="593"/>
      <c r="D50" s="593"/>
      <c r="E50" s="593"/>
      <c r="F50" s="593"/>
      <c r="G50" s="593"/>
      <c r="H50" s="593"/>
      <c r="I50" s="605"/>
      <c r="J50" s="593"/>
      <c r="K50" s="593"/>
      <c r="L50" s="593"/>
      <c r="M50" s="629"/>
      <c r="N50" s="629"/>
      <c r="O50" s="629"/>
      <c r="P50" s="629"/>
      <c r="Q50" s="593"/>
      <c r="R50" s="593"/>
      <c r="S50" s="593"/>
    </row>
    <row r="51" spans="2:19">
      <c r="B51" s="639"/>
      <c r="C51" s="593"/>
      <c r="D51" s="593"/>
      <c r="E51" s="593"/>
      <c r="F51" s="593"/>
      <c r="G51" s="593"/>
      <c r="H51" s="593"/>
      <c r="I51" s="605"/>
      <c r="J51" s="593"/>
      <c r="K51" s="593"/>
      <c r="L51" s="593"/>
      <c r="M51" s="629"/>
      <c r="N51" s="629"/>
      <c r="O51" s="629"/>
      <c r="P51" s="629"/>
      <c r="Q51" s="593"/>
      <c r="R51" s="593"/>
      <c r="S51" s="593"/>
    </row>
    <row r="52" spans="2:19">
      <c r="B52" s="624"/>
      <c r="C52" s="593"/>
      <c r="D52" s="593"/>
      <c r="E52" s="593"/>
      <c r="F52" s="480"/>
      <c r="G52" s="480"/>
      <c r="H52" s="480"/>
      <c r="I52" s="492"/>
      <c r="J52" s="480"/>
      <c r="K52" s="480"/>
      <c r="L52" s="480"/>
      <c r="M52" s="491"/>
      <c r="N52" s="491"/>
      <c r="O52" s="491"/>
      <c r="P52" s="491"/>
      <c r="Q52" s="640"/>
      <c r="R52" s="480"/>
      <c r="S52" s="480"/>
    </row>
    <row r="53" spans="2:19">
      <c r="B53" s="624"/>
      <c r="C53" s="593"/>
      <c r="D53" s="593"/>
      <c r="E53" s="593"/>
      <c r="F53" s="491"/>
      <c r="G53" s="480"/>
      <c r="H53" s="480"/>
      <c r="I53" s="492"/>
      <c r="J53" s="480"/>
      <c r="K53" s="480"/>
      <c r="L53" s="480"/>
      <c r="M53" s="491"/>
      <c r="N53" s="491"/>
      <c r="O53" s="491"/>
      <c r="P53" s="491"/>
      <c r="Q53" s="640"/>
      <c r="R53" s="480"/>
      <c r="S53" s="480"/>
    </row>
    <row r="54" spans="2:19">
      <c r="B54" s="624"/>
      <c r="C54" s="593"/>
      <c r="D54" s="593"/>
      <c r="E54" s="593"/>
      <c r="F54" s="491"/>
      <c r="G54" s="480"/>
      <c r="H54" s="480"/>
      <c r="I54" s="492"/>
      <c r="J54" s="480"/>
      <c r="K54" s="480"/>
      <c r="L54" s="480"/>
      <c r="M54" s="491"/>
      <c r="N54" s="491"/>
      <c r="O54" s="491"/>
      <c r="P54" s="491"/>
      <c r="Q54" s="640"/>
      <c r="R54" s="480"/>
      <c r="S54" s="480"/>
    </row>
    <row r="55" spans="2:19">
      <c r="B55" s="624"/>
      <c r="C55" s="593"/>
      <c r="D55" s="593"/>
      <c r="E55" s="593"/>
      <c r="F55" s="491"/>
      <c r="G55" s="480"/>
      <c r="H55" s="480"/>
      <c r="I55" s="492"/>
      <c r="J55" s="480"/>
      <c r="K55" s="480"/>
      <c r="L55" s="480"/>
      <c r="M55" s="491"/>
      <c r="N55" s="491"/>
      <c r="O55" s="491"/>
      <c r="P55" s="491"/>
      <c r="Q55" s="640"/>
      <c r="R55" s="480"/>
      <c r="S55" s="480"/>
    </row>
    <row r="56" spans="2:19">
      <c r="B56" s="624"/>
      <c r="C56" s="593"/>
      <c r="D56" s="593"/>
      <c r="E56" s="593"/>
      <c r="F56" s="495"/>
      <c r="G56" s="484"/>
      <c r="H56" s="484"/>
      <c r="I56" s="496"/>
      <c r="J56" s="484"/>
      <c r="K56" s="484"/>
      <c r="L56" s="484"/>
      <c r="M56" s="495"/>
      <c r="N56" s="495"/>
      <c r="O56" s="495"/>
      <c r="P56" s="495"/>
      <c r="Q56" s="640"/>
      <c r="R56" s="484"/>
      <c r="S56" s="484"/>
    </row>
    <row r="57" spans="2:19" ht="13.7">
      <c r="B57" s="627"/>
      <c r="C57" s="593"/>
      <c r="D57" s="593"/>
      <c r="E57" s="593"/>
      <c r="F57" s="641"/>
      <c r="G57" s="619"/>
      <c r="H57" s="619"/>
      <c r="I57" s="628"/>
      <c r="J57" s="619"/>
      <c r="K57" s="619"/>
      <c r="L57" s="619"/>
      <c r="M57" s="500"/>
      <c r="N57" s="500"/>
      <c r="O57" s="500"/>
      <c r="P57" s="500"/>
      <c r="Q57" s="593"/>
      <c r="R57" s="619"/>
      <c r="S57" s="619"/>
    </row>
    <row r="58" spans="2:19">
      <c r="B58" s="624"/>
      <c r="C58" s="593"/>
      <c r="D58" s="593"/>
      <c r="E58" s="593"/>
      <c r="F58" s="642"/>
      <c r="G58" s="609"/>
      <c r="H58" s="609"/>
      <c r="I58" s="625"/>
      <c r="J58" s="609"/>
      <c r="K58" s="609"/>
      <c r="L58" s="609"/>
      <c r="M58" s="491"/>
      <c r="N58" s="491"/>
      <c r="O58" s="491"/>
      <c r="P58" s="491"/>
      <c r="Q58" s="593"/>
      <c r="R58" s="609"/>
      <c r="S58" s="609"/>
    </row>
    <row r="59" spans="2:19">
      <c r="B59" s="593"/>
      <c r="C59" s="593"/>
      <c r="D59" s="593"/>
      <c r="E59" s="593"/>
      <c r="F59" s="593"/>
      <c r="G59" s="593"/>
      <c r="H59" s="593"/>
      <c r="I59" s="605"/>
      <c r="J59" s="593"/>
      <c r="K59" s="593"/>
      <c r="L59" s="593"/>
      <c r="M59" s="629"/>
      <c r="N59" s="629"/>
      <c r="O59" s="629"/>
      <c r="P59" s="629"/>
      <c r="Q59" s="593"/>
      <c r="R59" s="593"/>
      <c r="S59" s="593"/>
    </row>
    <row r="60" spans="2:19">
      <c r="B60" s="639"/>
      <c r="C60" s="593"/>
      <c r="D60" s="593"/>
      <c r="E60" s="593"/>
      <c r="F60" s="593"/>
      <c r="G60" s="593"/>
      <c r="H60" s="593"/>
      <c r="I60" s="605"/>
      <c r="J60" s="593"/>
      <c r="K60" s="593"/>
      <c r="L60" s="593"/>
      <c r="M60" s="629"/>
      <c r="N60" s="629"/>
      <c r="O60" s="629"/>
      <c r="P60" s="629"/>
      <c r="Q60" s="593"/>
      <c r="R60" s="593"/>
      <c r="S60" s="593"/>
    </row>
    <row r="61" spans="2:19">
      <c r="B61" s="624"/>
      <c r="C61" s="593"/>
      <c r="D61" s="593"/>
      <c r="E61" s="593"/>
      <c r="F61" s="609"/>
      <c r="G61" s="609"/>
      <c r="H61" s="609"/>
      <c r="I61" s="625"/>
      <c r="J61" s="609"/>
      <c r="K61" s="609"/>
      <c r="L61" s="609"/>
      <c r="M61" s="491"/>
      <c r="N61" s="491"/>
      <c r="O61" s="491"/>
      <c r="P61" s="491"/>
      <c r="Q61" s="593"/>
      <c r="R61" s="493"/>
      <c r="S61" s="493"/>
    </row>
    <row r="62" spans="2:19">
      <c r="B62" s="624"/>
      <c r="C62" s="593"/>
      <c r="D62" s="593"/>
      <c r="E62" s="593"/>
      <c r="F62" s="609"/>
      <c r="G62" s="609"/>
      <c r="H62" s="609"/>
      <c r="I62" s="625"/>
      <c r="J62" s="609"/>
      <c r="K62" s="609"/>
      <c r="L62" s="609"/>
      <c r="M62" s="491"/>
      <c r="N62" s="491"/>
      <c r="O62" s="491"/>
      <c r="P62" s="491"/>
      <c r="Q62" s="593"/>
      <c r="R62" s="493"/>
      <c r="S62" s="493"/>
    </row>
    <row r="63" spans="2:19">
      <c r="B63" s="624"/>
      <c r="C63" s="593"/>
      <c r="D63" s="593"/>
      <c r="E63" s="593"/>
      <c r="F63" s="609"/>
      <c r="G63" s="609"/>
      <c r="H63" s="609"/>
      <c r="I63" s="625"/>
      <c r="J63" s="609"/>
      <c r="K63" s="609"/>
      <c r="L63" s="609"/>
      <c r="M63" s="491"/>
      <c r="N63" s="491"/>
      <c r="O63" s="491"/>
      <c r="P63" s="491"/>
      <c r="Q63" s="593"/>
      <c r="R63" s="493"/>
      <c r="S63" s="493"/>
    </row>
    <row r="64" spans="2:19">
      <c r="B64" s="624"/>
      <c r="C64" s="593"/>
      <c r="D64" s="593"/>
      <c r="E64" s="593"/>
      <c r="F64" s="609"/>
      <c r="G64" s="609"/>
      <c r="H64" s="609"/>
      <c r="I64" s="625"/>
      <c r="J64" s="609"/>
      <c r="K64" s="609"/>
      <c r="L64" s="609"/>
      <c r="M64" s="491"/>
      <c r="N64" s="491"/>
      <c r="O64" s="491"/>
      <c r="P64" s="491"/>
      <c r="Q64" s="593"/>
      <c r="R64" s="493"/>
      <c r="S64" s="493"/>
    </row>
    <row r="65" spans="2:19" ht="15.15">
      <c r="B65" s="624"/>
      <c r="C65" s="593"/>
      <c r="D65" s="593"/>
      <c r="E65" s="593"/>
      <c r="F65" s="613"/>
      <c r="G65" s="613"/>
      <c r="H65" s="613"/>
      <c r="I65" s="626"/>
      <c r="J65" s="613"/>
      <c r="K65" s="613"/>
      <c r="L65" s="613"/>
      <c r="M65" s="495"/>
      <c r="N65" s="495"/>
      <c r="O65" s="495"/>
      <c r="P65" s="495"/>
      <c r="Q65" s="593"/>
      <c r="R65" s="497"/>
      <c r="S65" s="497"/>
    </row>
    <row r="66" spans="2:19" ht="13.7">
      <c r="B66" s="627"/>
      <c r="C66" s="593"/>
      <c r="D66" s="593"/>
      <c r="E66" s="593"/>
      <c r="F66" s="619"/>
      <c r="G66" s="619"/>
      <c r="H66" s="619"/>
      <c r="I66" s="628"/>
      <c r="J66" s="619"/>
      <c r="K66" s="619"/>
      <c r="L66" s="619"/>
      <c r="M66" s="500"/>
      <c r="N66" s="500"/>
      <c r="O66" s="500"/>
      <c r="P66" s="500"/>
      <c r="Q66" s="593"/>
      <c r="R66" s="502"/>
      <c r="S66" s="502"/>
    </row>
    <row r="67" spans="2:19">
      <c r="B67" s="624"/>
      <c r="C67" s="593"/>
      <c r="D67" s="593"/>
      <c r="E67" s="593"/>
      <c r="F67" s="609"/>
      <c r="G67" s="609"/>
      <c r="H67" s="609"/>
      <c r="I67" s="625"/>
      <c r="J67" s="609"/>
      <c r="K67" s="609"/>
      <c r="L67" s="609"/>
      <c r="M67" s="491"/>
      <c r="N67" s="491"/>
      <c r="O67" s="491"/>
      <c r="P67" s="491"/>
      <c r="Q67" s="593"/>
      <c r="R67" s="493"/>
      <c r="S67" s="493"/>
    </row>
    <row r="68" spans="2:19">
      <c r="B68" s="593"/>
      <c r="C68" s="593"/>
      <c r="D68" s="593"/>
      <c r="E68" s="593"/>
      <c r="F68" s="593"/>
      <c r="G68" s="593"/>
      <c r="H68" s="593"/>
      <c r="I68" s="605"/>
      <c r="J68" s="593"/>
      <c r="K68" s="593"/>
      <c r="L68" s="593"/>
      <c r="M68" s="629"/>
      <c r="N68" s="629"/>
      <c r="O68" s="629"/>
      <c r="P68" s="629"/>
      <c r="Q68" s="593"/>
      <c r="R68" s="593"/>
      <c r="S68" s="593"/>
    </row>
    <row r="69" spans="2:19">
      <c r="B69" s="602"/>
      <c r="C69" s="603"/>
      <c r="D69" s="604"/>
      <c r="E69" s="593"/>
      <c r="F69" s="593"/>
      <c r="G69" s="593"/>
      <c r="H69" s="593"/>
      <c r="I69" s="605"/>
      <c r="J69" s="593"/>
      <c r="K69" s="593"/>
      <c r="L69" s="593"/>
      <c r="M69" s="629"/>
      <c r="N69" s="629"/>
      <c r="O69" s="629"/>
      <c r="P69" s="629"/>
      <c r="Q69" s="593"/>
      <c r="R69" s="593"/>
      <c r="S69" s="593"/>
    </row>
    <row r="70" spans="2:19">
      <c r="B70" s="620"/>
      <c r="C70" s="593"/>
      <c r="D70" s="593"/>
      <c r="E70" s="593"/>
      <c r="F70" s="606"/>
      <c r="G70" s="607"/>
      <c r="H70" s="607"/>
      <c r="I70" s="608"/>
      <c r="J70" s="607"/>
      <c r="K70" s="607"/>
      <c r="L70" s="607"/>
      <c r="M70" s="607"/>
      <c r="N70" s="607"/>
      <c r="O70" s="607"/>
      <c r="P70" s="607"/>
      <c r="Q70" s="593"/>
      <c r="R70" s="609"/>
      <c r="S70" s="609"/>
    </row>
    <row r="71" spans="2:19">
      <c r="B71" s="620"/>
      <c r="C71" s="593"/>
      <c r="D71" s="593"/>
      <c r="E71" s="593"/>
      <c r="F71" s="643"/>
      <c r="G71" s="643"/>
      <c r="H71" s="643"/>
      <c r="I71" s="644"/>
      <c r="J71" s="643"/>
      <c r="K71" s="643"/>
      <c r="L71" s="643"/>
      <c r="M71" s="607"/>
      <c r="N71" s="607"/>
      <c r="O71" s="607"/>
      <c r="P71" s="607"/>
      <c r="Q71" s="593"/>
      <c r="R71" s="609"/>
      <c r="S71" s="609"/>
    </row>
    <row r="72" spans="2:19" ht="15.15">
      <c r="B72" s="620"/>
      <c r="C72" s="593"/>
      <c r="D72" s="593"/>
      <c r="E72" s="593"/>
      <c r="F72" s="645"/>
      <c r="G72" s="645"/>
      <c r="H72" s="645"/>
      <c r="I72" s="646"/>
      <c r="J72" s="645"/>
      <c r="K72" s="645"/>
      <c r="L72" s="645"/>
      <c r="M72" s="611"/>
      <c r="N72" s="611"/>
      <c r="O72" s="611"/>
      <c r="P72" s="611"/>
      <c r="Q72" s="593"/>
      <c r="R72" s="613"/>
      <c r="S72" s="613"/>
    </row>
    <row r="73" spans="2:19" ht="13.7">
      <c r="B73" s="614"/>
      <c r="C73" s="593"/>
      <c r="D73" s="593"/>
      <c r="E73" s="593"/>
      <c r="F73" s="647"/>
      <c r="G73" s="647"/>
      <c r="H73" s="647"/>
      <c r="I73" s="648"/>
      <c r="J73" s="647"/>
      <c r="K73" s="647"/>
      <c r="L73" s="647"/>
      <c r="M73" s="617"/>
      <c r="N73" s="617"/>
      <c r="O73" s="617"/>
      <c r="P73" s="617"/>
      <c r="Q73" s="593"/>
      <c r="R73" s="619"/>
      <c r="S73" s="619"/>
    </row>
    <row r="74" spans="2:19">
      <c r="B74" s="620"/>
      <c r="C74" s="593"/>
      <c r="D74" s="593"/>
      <c r="E74" s="593"/>
      <c r="F74" s="606"/>
      <c r="G74" s="643"/>
      <c r="H74" s="643"/>
      <c r="I74" s="644"/>
      <c r="J74" s="643"/>
      <c r="K74" s="643"/>
      <c r="L74" s="643"/>
      <c r="M74" s="607"/>
      <c r="N74" s="607"/>
      <c r="O74" s="607"/>
      <c r="P74" s="607"/>
      <c r="Q74" s="593"/>
      <c r="R74" s="609"/>
      <c r="S74" s="609"/>
    </row>
    <row r="75" spans="2:19">
      <c r="B75" s="620"/>
      <c r="C75" s="593"/>
      <c r="D75" s="593"/>
      <c r="E75" s="593"/>
      <c r="F75" s="606"/>
      <c r="G75" s="643"/>
      <c r="H75" s="643"/>
      <c r="I75" s="644"/>
      <c r="J75" s="643"/>
      <c r="K75" s="643"/>
      <c r="L75" s="606"/>
      <c r="M75" s="607"/>
      <c r="N75" s="607"/>
      <c r="O75" s="607"/>
      <c r="P75" s="607"/>
      <c r="Q75" s="593"/>
      <c r="R75" s="609"/>
      <c r="S75" s="609"/>
    </row>
    <row r="76" spans="2:19">
      <c r="B76" s="620"/>
      <c r="C76" s="593"/>
      <c r="D76" s="593"/>
      <c r="E76" s="593"/>
      <c r="F76" s="643"/>
      <c r="G76" s="643"/>
      <c r="H76" s="643"/>
      <c r="I76" s="644"/>
      <c r="J76" s="643"/>
      <c r="K76" s="643"/>
      <c r="L76" s="643"/>
      <c r="M76" s="607"/>
      <c r="N76" s="607"/>
      <c r="O76" s="607"/>
      <c r="P76" s="607"/>
      <c r="Q76" s="593"/>
      <c r="R76" s="609"/>
      <c r="S76" s="609"/>
    </row>
    <row r="77" spans="2:19">
      <c r="B77" s="620"/>
      <c r="C77" s="593"/>
      <c r="D77" s="593"/>
      <c r="E77" s="593"/>
      <c r="F77" s="606"/>
      <c r="G77" s="643"/>
      <c r="H77" s="643"/>
      <c r="I77" s="644"/>
      <c r="J77" s="643"/>
      <c r="K77" s="643"/>
      <c r="L77" s="643"/>
      <c r="M77" s="607"/>
      <c r="N77" s="607"/>
      <c r="O77" s="607"/>
      <c r="P77" s="607"/>
      <c r="Q77" s="593"/>
      <c r="R77" s="609"/>
      <c r="S77" s="609"/>
    </row>
    <row r="78" spans="2:19" ht="15.15">
      <c r="B78" s="593"/>
      <c r="C78" s="593"/>
      <c r="D78" s="593"/>
      <c r="E78" s="593"/>
      <c r="F78" s="645"/>
      <c r="G78" s="645"/>
      <c r="H78" s="645"/>
      <c r="I78" s="646"/>
      <c r="J78" s="645"/>
      <c r="K78" s="645"/>
      <c r="L78" s="645"/>
      <c r="M78" s="611"/>
      <c r="N78" s="611"/>
      <c r="O78" s="611"/>
      <c r="P78" s="611"/>
      <c r="Q78" s="593"/>
      <c r="R78" s="613"/>
      <c r="S78" s="613"/>
    </row>
    <row r="79" spans="2:19" ht="13.7">
      <c r="B79" s="614"/>
      <c r="C79" s="593"/>
      <c r="D79" s="593"/>
      <c r="E79" s="593"/>
      <c r="F79" s="647"/>
      <c r="G79" s="647"/>
      <c r="H79" s="647"/>
      <c r="I79" s="648"/>
      <c r="J79" s="647"/>
      <c r="K79" s="647"/>
      <c r="L79" s="647"/>
      <c r="M79" s="617"/>
      <c r="N79" s="617"/>
      <c r="O79" s="617"/>
      <c r="P79" s="617"/>
      <c r="Q79" s="593"/>
      <c r="R79" s="619"/>
      <c r="S79" s="619"/>
    </row>
    <row r="80" spans="2:19">
      <c r="B80" s="592"/>
      <c r="C80" s="592"/>
      <c r="D80" s="592"/>
      <c r="E80" s="592"/>
      <c r="F80" s="592"/>
      <c r="G80" s="592"/>
      <c r="H80" s="592"/>
      <c r="I80" s="649"/>
      <c r="J80" s="592"/>
      <c r="K80" s="592"/>
      <c r="L80" s="592"/>
      <c r="M80" s="650"/>
      <c r="N80" s="650"/>
      <c r="O80" s="650"/>
      <c r="P80" s="650"/>
      <c r="Q80" s="592"/>
      <c r="R80" s="592"/>
      <c r="S80" s="592"/>
    </row>
    <row r="81" spans="2:19">
      <c r="B81" s="623"/>
      <c r="C81" s="593"/>
      <c r="D81" s="593"/>
      <c r="E81" s="593"/>
      <c r="F81" s="593"/>
      <c r="G81" s="593"/>
      <c r="H81" s="593"/>
      <c r="I81" s="605"/>
      <c r="J81" s="593"/>
      <c r="K81" s="593"/>
      <c r="L81" s="593"/>
      <c r="M81" s="629"/>
      <c r="N81" s="629"/>
      <c r="O81" s="629"/>
      <c r="P81" s="629"/>
      <c r="Q81" s="593"/>
      <c r="R81" s="593"/>
      <c r="S81" s="593"/>
    </row>
    <row r="82" spans="2:19">
      <c r="B82" s="624"/>
      <c r="C82" s="593"/>
      <c r="D82" s="593"/>
      <c r="E82" s="593"/>
      <c r="F82" s="609"/>
      <c r="G82" s="609"/>
      <c r="H82" s="609"/>
      <c r="I82" s="625"/>
      <c r="J82" s="609"/>
      <c r="K82" s="609"/>
      <c r="L82" s="609"/>
      <c r="M82" s="491"/>
      <c r="N82" s="491"/>
      <c r="O82" s="491"/>
      <c r="P82" s="491"/>
      <c r="Q82" s="593"/>
      <c r="R82" s="593"/>
      <c r="S82" s="593"/>
    </row>
    <row r="83" spans="2:19">
      <c r="B83" s="624"/>
      <c r="C83" s="593"/>
      <c r="D83" s="593"/>
      <c r="E83" s="593"/>
      <c r="F83" s="609"/>
      <c r="G83" s="609"/>
      <c r="H83" s="609"/>
      <c r="I83" s="625"/>
      <c r="J83" s="609"/>
      <c r="K83" s="609"/>
      <c r="L83" s="609"/>
      <c r="M83" s="491"/>
      <c r="N83" s="491"/>
      <c r="O83" s="491"/>
      <c r="P83" s="491"/>
      <c r="Q83" s="593"/>
      <c r="R83" s="593"/>
      <c r="S83" s="593"/>
    </row>
    <row r="84" spans="2:19">
      <c r="B84" s="624"/>
      <c r="C84" s="593"/>
      <c r="D84" s="593"/>
      <c r="E84" s="593"/>
      <c r="F84" s="613"/>
      <c r="G84" s="613"/>
      <c r="H84" s="613"/>
      <c r="I84" s="626"/>
      <c r="J84" s="613"/>
      <c r="K84" s="613"/>
      <c r="L84" s="613"/>
      <c r="M84" s="495"/>
      <c r="N84" s="495"/>
      <c r="O84" s="495"/>
      <c r="P84" s="495"/>
      <c r="Q84" s="593"/>
      <c r="R84" s="593"/>
      <c r="S84" s="593"/>
    </row>
    <row r="85" spans="2:19" ht="13.7">
      <c r="B85" s="627"/>
      <c r="C85" s="593"/>
      <c r="D85" s="593"/>
      <c r="E85" s="593"/>
      <c r="F85" s="619"/>
      <c r="G85" s="619"/>
      <c r="H85" s="619"/>
      <c r="I85" s="628"/>
      <c r="J85" s="619"/>
      <c r="K85" s="619"/>
      <c r="L85" s="619"/>
      <c r="M85" s="500"/>
      <c r="N85" s="500"/>
      <c r="O85" s="500"/>
      <c r="P85" s="500"/>
      <c r="Q85" s="593"/>
      <c r="R85" s="593"/>
      <c r="S85" s="593"/>
    </row>
    <row r="86" spans="2:19">
      <c r="B86" s="624"/>
      <c r="C86" s="593"/>
      <c r="D86" s="593"/>
      <c r="E86" s="593"/>
      <c r="F86" s="609"/>
      <c r="G86" s="609"/>
      <c r="H86" s="609"/>
      <c r="I86" s="625"/>
      <c r="J86" s="609"/>
      <c r="K86" s="609"/>
      <c r="L86" s="609"/>
      <c r="M86" s="491"/>
      <c r="N86" s="491"/>
      <c r="O86" s="491"/>
      <c r="P86" s="491"/>
      <c r="Q86" s="593"/>
      <c r="R86" s="593"/>
      <c r="S86" s="593"/>
    </row>
    <row r="87" spans="2:19">
      <c r="B87" s="624"/>
      <c r="C87" s="593"/>
      <c r="D87" s="593"/>
      <c r="E87" s="593"/>
      <c r="F87" s="609"/>
      <c r="G87" s="609"/>
      <c r="H87" s="609"/>
      <c r="I87" s="625"/>
      <c r="J87" s="609"/>
      <c r="K87" s="609"/>
      <c r="L87" s="609"/>
      <c r="M87" s="491"/>
      <c r="N87" s="491"/>
      <c r="O87" s="491"/>
      <c r="P87" s="491"/>
      <c r="Q87" s="593"/>
      <c r="R87" s="593"/>
      <c r="S87" s="593"/>
    </row>
    <row r="88" spans="2:19">
      <c r="B88" s="624"/>
      <c r="C88" s="593"/>
      <c r="D88" s="593"/>
      <c r="E88" s="593"/>
      <c r="F88" s="609"/>
      <c r="G88" s="609"/>
      <c r="H88" s="609"/>
      <c r="I88" s="625"/>
      <c r="J88" s="609"/>
      <c r="K88" s="609"/>
      <c r="L88" s="609"/>
      <c r="M88" s="491"/>
      <c r="N88" s="491"/>
      <c r="O88" s="491"/>
      <c r="P88" s="491"/>
      <c r="Q88" s="593"/>
      <c r="R88" s="593"/>
      <c r="S88" s="593"/>
    </row>
    <row r="89" spans="2:19">
      <c r="B89" s="624"/>
      <c r="C89" s="593"/>
      <c r="D89" s="593"/>
      <c r="E89" s="593"/>
      <c r="F89" s="613"/>
      <c r="G89" s="613"/>
      <c r="H89" s="613"/>
      <c r="I89" s="626"/>
      <c r="J89" s="613"/>
      <c r="K89" s="613"/>
      <c r="L89" s="613"/>
      <c r="M89" s="495"/>
      <c r="N89" s="495"/>
      <c r="O89" s="495"/>
      <c r="P89" s="495"/>
      <c r="Q89" s="593"/>
      <c r="R89" s="593"/>
      <c r="S89" s="593"/>
    </row>
    <row r="90" spans="2:19" ht="13.7">
      <c r="B90" s="627"/>
      <c r="C90" s="593"/>
      <c r="D90" s="593"/>
      <c r="E90" s="593"/>
      <c r="F90" s="619"/>
      <c r="G90" s="619"/>
      <c r="H90" s="619"/>
      <c r="I90" s="628"/>
      <c r="J90" s="619"/>
      <c r="K90" s="619"/>
      <c r="L90" s="619"/>
      <c r="M90" s="500"/>
      <c r="N90" s="500"/>
      <c r="O90" s="500"/>
      <c r="P90" s="500"/>
      <c r="Q90" s="593"/>
      <c r="R90" s="593"/>
      <c r="S90" s="593"/>
    </row>
    <row r="91" spans="2:19">
      <c r="B91" s="593"/>
      <c r="C91" s="593"/>
      <c r="D91" s="593"/>
      <c r="E91" s="593"/>
      <c r="F91" s="593"/>
      <c r="G91" s="593"/>
      <c r="H91" s="593"/>
      <c r="I91" s="605"/>
      <c r="J91" s="593"/>
      <c r="K91" s="593"/>
      <c r="L91" s="593"/>
      <c r="M91" s="629"/>
      <c r="N91" s="629"/>
      <c r="O91" s="629"/>
      <c r="P91" s="629"/>
      <c r="Q91" s="593"/>
      <c r="R91" s="593"/>
      <c r="S91" s="593"/>
    </row>
    <row r="92" spans="2:19">
      <c r="B92" s="623"/>
      <c r="C92" s="593"/>
      <c r="D92" s="593"/>
      <c r="E92" s="593"/>
      <c r="F92" s="593"/>
      <c r="G92" s="593"/>
      <c r="H92" s="593"/>
      <c r="I92" s="605"/>
      <c r="J92" s="593"/>
      <c r="K92" s="593"/>
      <c r="L92" s="593"/>
      <c r="M92" s="629"/>
      <c r="N92" s="629"/>
      <c r="O92" s="629"/>
      <c r="P92" s="629"/>
      <c r="Q92" s="593"/>
      <c r="R92" s="593"/>
      <c r="S92" s="593"/>
    </row>
    <row r="93" spans="2:19">
      <c r="B93" s="624"/>
      <c r="C93" s="593"/>
      <c r="D93" s="593"/>
      <c r="E93" s="593"/>
      <c r="F93" s="609"/>
      <c r="G93" s="609"/>
      <c r="H93" s="609"/>
      <c r="I93" s="625"/>
      <c r="J93" s="609"/>
      <c r="K93" s="609"/>
      <c r="L93" s="609"/>
      <c r="M93" s="491"/>
      <c r="N93" s="491"/>
      <c r="O93" s="491"/>
      <c r="P93" s="491"/>
      <c r="Q93" s="593"/>
      <c r="R93" s="593"/>
      <c r="S93" s="593"/>
    </row>
    <row r="94" spans="2:19">
      <c r="B94" s="624"/>
      <c r="C94" s="593"/>
      <c r="D94" s="593"/>
      <c r="E94" s="593"/>
      <c r="F94" s="609"/>
      <c r="G94" s="609"/>
      <c r="H94" s="609"/>
      <c r="I94" s="625"/>
      <c r="J94" s="609"/>
      <c r="K94" s="609"/>
      <c r="L94" s="609"/>
      <c r="M94" s="491"/>
      <c r="N94" s="491"/>
      <c r="O94" s="491"/>
      <c r="P94" s="491"/>
      <c r="Q94" s="593"/>
      <c r="R94" s="593"/>
      <c r="S94" s="593"/>
    </row>
    <row r="95" spans="2:19">
      <c r="B95" s="624"/>
      <c r="C95" s="593"/>
      <c r="D95" s="593"/>
      <c r="E95" s="593"/>
      <c r="F95" s="613"/>
      <c r="G95" s="613"/>
      <c r="H95" s="613"/>
      <c r="I95" s="626"/>
      <c r="J95" s="613"/>
      <c r="K95" s="613"/>
      <c r="L95" s="613"/>
      <c r="M95" s="495"/>
      <c r="N95" s="495"/>
      <c r="O95" s="495"/>
      <c r="P95" s="495"/>
      <c r="Q95" s="593"/>
      <c r="R95" s="593"/>
      <c r="S95" s="593"/>
    </row>
    <row r="96" spans="2:19" ht="13.7">
      <c r="B96" s="651"/>
      <c r="C96" s="615"/>
      <c r="D96" s="615"/>
      <c r="E96" s="615"/>
      <c r="F96" s="619"/>
      <c r="G96" s="619"/>
      <c r="H96" s="619"/>
      <c r="I96" s="628"/>
      <c r="J96" s="619"/>
      <c r="K96" s="619"/>
      <c r="L96" s="619"/>
      <c r="M96" s="500"/>
      <c r="N96" s="500"/>
      <c r="O96" s="500"/>
      <c r="P96" s="500"/>
      <c r="Q96" s="615"/>
      <c r="R96" s="615"/>
      <c r="S96" s="615"/>
    </row>
    <row r="97" spans="2:19">
      <c r="B97" s="624"/>
      <c r="C97" s="593"/>
      <c r="D97" s="593"/>
      <c r="E97" s="593"/>
      <c r="F97" s="609"/>
      <c r="G97" s="609"/>
      <c r="H97" s="609"/>
      <c r="I97" s="625"/>
      <c r="J97" s="609"/>
      <c r="K97" s="609"/>
      <c r="L97" s="609"/>
      <c r="M97" s="491"/>
      <c r="N97" s="491"/>
      <c r="O97" s="491"/>
      <c r="P97" s="491"/>
      <c r="Q97" s="593"/>
      <c r="R97" s="593"/>
      <c r="S97" s="593"/>
    </row>
    <row r="98" spans="2:19">
      <c r="B98" s="624"/>
      <c r="C98" s="593"/>
      <c r="D98" s="593"/>
      <c r="E98" s="593"/>
      <c r="F98" s="609"/>
      <c r="G98" s="609"/>
      <c r="H98" s="609"/>
      <c r="I98" s="625"/>
      <c r="J98" s="609"/>
      <c r="K98" s="609"/>
      <c r="L98" s="609"/>
      <c r="M98" s="491"/>
      <c r="N98" s="491"/>
      <c r="O98" s="491"/>
      <c r="P98" s="491"/>
      <c r="Q98" s="593"/>
      <c r="R98" s="593"/>
      <c r="S98" s="593"/>
    </row>
    <row r="99" spans="2:19">
      <c r="B99" s="624"/>
      <c r="C99" s="593"/>
      <c r="D99" s="593"/>
      <c r="E99" s="593"/>
      <c r="F99" s="609"/>
      <c r="G99" s="609"/>
      <c r="H99" s="609"/>
      <c r="I99" s="625"/>
      <c r="J99" s="609"/>
      <c r="K99" s="609"/>
      <c r="L99" s="609"/>
      <c r="M99" s="491"/>
      <c r="N99" s="491"/>
      <c r="O99" s="491"/>
      <c r="P99" s="491"/>
      <c r="Q99" s="593"/>
      <c r="R99" s="593"/>
      <c r="S99" s="593"/>
    </row>
    <row r="100" spans="2:19">
      <c r="B100" s="624"/>
      <c r="C100" s="593"/>
      <c r="D100" s="593"/>
      <c r="E100" s="593"/>
      <c r="F100" s="609"/>
      <c r="G100" s="609"/>
      <c r="H100" s="609"/>
      <c r="I100" s="625"/>
      <c r="J100" s="609"/>
      <c r="K100" s="609"/>
      <c r="L100" s="609"/>
      <c r="M100" s="491"/>
      <c r="N100" s="491"/>
      <c r="O100" s="491"/>
      <c r="P100" s="491"/>
      <c r="Q100" s="593"/>
      <c r="R100" s="593"/>
      <c r="S100" s="593"/>
    </row>
    <row r="101" spans="2:19">
      <c r="B101" s="624"/>
      <c r="C101" s="593"/>
      <c r="D101" s="593"/>
      <c r="E101" s="593"/>
      <c r="F101" s="609"/>
      <c r="G101" s="609"/>
      <c r="H101" s="609"/>
      <c r="I101" s="625"/>
      <c r="J101" s="609"/>
      <c r="K101" s="609"/>
      <c r="L101" s="609"/>
      <c r="M101" s="491"/>
      <c r="N101" s="491"/>
      <c r="O101" s="491"/>
      <c r="P101" s="491"/>
      <c r="Q101" s="593"/>
      <c r="R101" s="593"/>
      <c r="S101" s="593"/>
    </row>
    <row r="102" spans="2:19">
      <c r="B102" s="623"/>
      <c r="C102" s="593"/>
      <c r="D102" s="593"/>
      <c r="E102" s="593"/>
      <c r="F102" s="609"/>
      <c r="G102" s="609"/>
      <c r="H102" s="609"/>
      <c r="I102" s="625"/>
      <c r="J102" s="609"/>
      <c r="K102" s="609"/>
      <c r="L102" s="609"/>
      <c r="M102" s="491"/>
      <c r="N102" s="491"/>
      <c r="O102" s="491"/>
      <c r="P102" s="491"/>
      <c r="Q102" s="593"/>
      <c r="R102" s="593"/>
      <c r="S102" s="593"/>
    </row>
    <row r="103" spans="2:19">
      <c r="B103" s="624"/>
      <c r="C103" s="593"/>
      <c r="D103" s="593"/>
      <c r="E103" s="593"/>
      <c r="F103" s="609"/>
      <c r="G103" s="609"/>
      <c r="H103" s="609"/>
      <c r="I103" s="625"/>
      <c r="J103" s="609"/>
      <c r="K103" s="609"/>
      <c r="L103" s="609"/>
      <c r="M103" s="491"/>
      <c r="N103" s="491"/>
      <c r="O103" s="491"/>
      <c r="P103" s="491"/>
      <c r="Q103" s="593"/>
      <c r="R103" s="593"/>
      <c r="S103" s="593"/>
    </row>
    <row r="104" spans="2:19">
      <c r="B104" s="624"/>
      <c r="C104" s="593"/>
      <c r="D104" s="593"/>
      <c r="E104" s="593"/>
      <c r="F104" s="609"/>
      <c r="G104" s="609"/>
      <c r="H104" s="609"/>
      <c r="I104" s="625"/>
      <c r="J104" s="609"/>
      <c r="K104" s="609"/>
      <c r="L104" s="609"/>
      <c r="M104" s="491"/>
      <c r="N104" s="491"/>
      <c r="O104" s="491"/>
      <c r="P104" s="491"/>
      <c r="Q104" s="593"/>
      <c r="R104" s="593"/>
      <c r="S104" s="593"/>
    </row>
    <row r="105" spans="2:19">
      <c r="B105" s="624"/>
      <c r="C105" s="593"/>
      <c r="D105" s="593"/>
      <c r="E105" s="593"/>
      <c r="F105" s="613"/>
      <c r="G105" s="613"/>
      <c r="H105" s="613"/>
      <c r="I105" s="626"/>
      <c r="J105" s="613"/>
      <c r="K105" s="613"/>
      <c r="L105" s="613"/>
      <c r="M105" s="495"/>
      <c r="N105" s="495"/>
      <c r="O105" s="495"/>
      <c r="P105" s="495"/>
      <c r="Q105" s="593"/>
      <c r="R105" s="593"/>
      <c r="S105" s="593"/>
    </row>
    <row r="106" spans="2:19" ht="13.7">
      <c r="B106" s="627"/>
      <c r="C106" s="615"/>
      <c r="D106" s="615"/>
      <c r="E106" s="615"/>
      <c r="F106" s="619"/>
      <c r="G106" s="619"/>
      <c r="H106" s="619"/>
      <c r="I106" s="628"/>
      <c r="J106" s="619"/>
      <c r="K106" s="619"/>
      <c r="L106" s="619"/>
      <c r="M106" s="500"/>
      <c r="N106" s="500"/>
      <c r="O106" s="500"/>
      <c r="P106" s="500"/>
      <c r="Q106" s="615"/>
      <c r="R106" s="615"/>
      <c r="S106" s="615"/>
    </row>
    <row r="107" spans="2:19">
      <c r="B107" s="593"/>
      <c r="C107" s="593"/>
      <c r="D107" s="593"/>
      <c r="E107" s="593"/>
      <c r="F107" s="652"/>
      <c r="G107" s="652"/>
      <c r="H107" s="652"/>
      <c r="I107" s="605"/>
      <c r="J107" s="593"/>
      <c r="K107" s="593"/>
      <c r="L107" s="593"/>
      <c r="M107" s="629"/>
      <c r="N107" s="629"/>
      <c r="O107" s="629"/>
      <c r="P107" s="629"/>
      <c r="Q107" s="593"/>
      <c r="R107" s="593"/>
      <c r="S107" s="593"/>
    </row>
    <row r="108" spans="2:19">
      <c r="B108" s="639"/>
      <c r="C108" s="593"/>
      <c r="D108" s="593"/>
      <c r="E108" s="593"/>
      <c r="F108" s="593"/>
      <c r="G108" s="593"/>
      <c r="H108" s="593"/>
      <c r="I108" s="605"/>
      <c r="J108" s="593"/>
      <c r="K108" s="593"/>
      <c r="L108" s="593"/>
      <c r="M108" s="629"/>
      <c r="N108" s="629"/>
      <c r="O108" s="629"/>
      <c r="P108" s="629"/>
      <c r="Q108" s="593"/>
      <c r="R108" s="593"/>
      <c r="S108" s="593"/>
    </row>
    <row r="109" spans="2:19">
      <c r="B109" s="653"/>
      <c r="C109" s="593"/>
      <c r="D109" s="593"/>
      <c r="E109" s="593"/>
      <c r="F109" s="609"/>
      <c r="G109" s="609"/>
      <c r="H109" s="609"/>
      <c r="I109" s="492"/>
      <c r="J109" s="491"/>
      <c r="K109" s="491"/>
      <c r="L109" s="491"/>
      <c r="M109" s="491"/>
      <c r="N109" s="491"/>
      <c r="O109" s="491"/>
      <c r="P109" s="491"/>
      <c r="Q109" s="593"/>
      <c r="R109" s="494"/>
      <c r="S109" s="494"/>
    </row>
    <row r="110" spans="2:19">
      <c r="B110" s="653"/>
      <c r="C110" s="593"/>
      <c r="D110" s="593"/>
      <c r="E110" s="593"/>
      <c r="F110" s="609"/>
      <c r="G110" s="609"/>
      <c r="H110" s="609"/>
      <c r="I110" s="492"/>
      <c r="J110" s="491"/>
      <c r="K110" s="491"/>
      <c r="L110" s="491"/>
      <c r="M110" s="491"/>
      <c r="N110" s="491"/>
      <c r="O110" s="491"/>
      <c r="P110" s="491"/>
      <c r="Q110" s="593"/>
      <c r="R110" s="494"/>
      <c r="S110" s="494"/>
    </row>
    <row r="111" spans="2:19" ht="15.15">
      <c r="B111" s="653"/>
      <c r="C111" s="593"/>
      <c r="D111" s="593"/>
      <c r="E111" s="593"/>
      <c r="F111" s="613"/>
      <c r="G111" s="613"/>
      <c r="H111" s="613"/>
      <c r="I111" s="496"/>
      <c r="J111" s="495"/>
      <c r="K111" s="495"/>
      <c r="L111" s="495"/>
      <c r="M111" s="495"/>
      <c r="N111" s="495"/>
      <c r="O111" s="495"/>
      <c r="P111" s="495"/>
      <c r="Q111" s="593"/>
      <c r="R111" s="498"/>
      <c r="S111" s="498"/>
    </row>
    <row r="112" spans="2:19" ht="13.7">
      <c r="B112" s="654"/>
      <c r="C112" s="593"/>
      <c r="D112" s="593"/>
      <c r="E112" s="593"/>
      <c r="F112" s="619"/>
      <c r="G112" s="619"/>
      <c r="H112" s="619"/>
      <c r="I112" s="501"/>
      <c r="J112" s="500"/>
      <c r="K112" s="500"/>
      <c r="L112" s="500"/>
      <c r="M112" s="500"/>
      <c r="N112" s="500"/>
      <c r="O112" s="500"/>
      <c r="P112" s="500"/>
      <c r="Q112" s="593"/>
      <c r="R112" s="503"/>
      <c r="S112" s="503"/>
    </row>
  </sheetData>
  <phoneticPr fontId="52" type="noConversion"/>
  <printOptions horizontalCentered="1"/>
  <pageMargins left="0.2" right="0.2" top="0.2" bottom="0.2" header="0.2" footer="0.2"/>
  <pageSetup paperSize="9" scale="53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53</vt:i4>
      </vt:variant>
      <vt:variant>
        <vt:lpstr>已命名的範圍</vt:lpstr>
      </vt:variant>
      <vt:variant>
        <vt:i4>65</vt:i4>
      </vt:variant>
    </vt:vector>
  </HeadingPairs>
  <TitlesOfParts>
    <vt:vector size="118" baseType="lpstr">
      <vt:lpstr>Financial summary</vt:lpstr>
      <vt:lpstr>Control Panel</vt:lpstr>
      <vt:lpstr>S&amp;U</vt:lpstr>
      <vt:lpstr>Acquisition BS adjustments</vt:lpstr>
      <vt:lpstr>Consolidated --&gt;</vt:lpstr>
      <vt:lpstr>IS consol</vt:lpstr>
      <vt:lpstr>BS consol</vt:lpstr>
      <vt:lpstr>CF consol</vt:lpstr>
      <vt:lpstr>Covenants Consolidated</vt:lpstr>
      <vt:lpstr>Holdco --&gt;</vt:lpstr>
      <vt:lpstr>Assumptions Holdco</vt:lpstr>
      <vt:lpstr>Financing assumptions Holdco</vt:lpstr>
      <vt:lpstr>IS Holdco</vt:lpstr>
      <vt:lpstr>BS Holdco</vt:lpstr>
      <vt:lpstr>CF Holdco</vt:lpstr>
      <vt:lpstr>Cash sweep &amp; dividend Holdco</vt:lpstr>
      <vt:lpstr>Covenants Holdco</vt:lpstr>
      <vt:lpstr>Financial Quarterly Holdco</vt:lpstr>
      <vt:lpstr>Operating quarterly Holdco</vt:lpstr>
      <vt:lpstr>Offshore trading --&gt;</vt:lpstr>
      <vt:lpstr>Scenarios offshore</vt:lpstr>
      <vt:lpstr>Financing assumptions offshore</vt:lpstr>
      <vt:lpstr>IS offshore</vt:lpstr>
      <vt:lpstr>BS offshore</vt:lpstr>
      <vt:lpstr>CF offshore</vt:lpstr>
      <vt:lpstr>dropdown menu</vt:lpstr>
      <vt:lpstr>Cash sweep &amp; dividend offshore</vt:lpstr>
      <vt:lpstr>Covenants offshore</vt:lpstr>
      <vt:lpstr>Financial Quarterly offshore</vt:lpstr>
      <vt:lpstr>Operating quarterly offshore</vt:lpstr>
      <vt:lpstr>Onshore --&gt;</vt:lpstr>
      <vt:lpstr>Scenarios onshore</vt:lpstr>
      <vt:lpstr>Financing assumptions onshore</vt:lpstr>
      <vt:lpstr>IS onshore</vt:lpstr>
      <vt:lpstr>BS onshore</vt:lpstr>
      <vt:lpstr>CF onshore</vt:lpstr>
      <vt:lpstr>Cash sweep &amp; dividend onshore</vt:lpstr>
      <vt:lpstr>Covenants onshore</vt:lpstr>
      <vt:lpstr>Financial Quarterly onshore</vt:lpstr>
      <vt:lpstr>Operating quarterly onshore</vt:lpstr>
      <vt:lpstr>Historicals --&gt;</vt:lpstr>
      <vt:lpstr>Consolidated historicals</vt:lpstr>
      <vt:lpstr>Consolidation adjustments</vt:lpstr>
      <vt:lpstr>Historical Holdco</vt:lpstr>
      <vt:lpstr>Historical BU1</vt:lpstr>
      <vt:lpstr>Historical BU2</vt:lpstr>
      <vt:lpstr>Historical other</vt:lpstr>
      <vt:lpstr>Flow Schedule</vt:lpstr>
      <vt:lpstr>To do projection</vt:lpstr>
      <vt:lpstr>Sponsor Operating Model</vt:lpstr>
      <vt:lpstr>Sponsor Revenue Summary</vt:lpstr>
      <vt:lpstr>Base case Operating Model</vt:lpstr>
      <vt:lpstr>Base Case Revenue Summary</vt:lpstr>
      <vt:lpstr>'Consolidation adjustments'!_FilterDatabase</vt:lpstr>
      <vt:lpstr>'Historical BU1'!_FilterDatabase</vt:lpstr>
      <vt:lpstr>'Historical BU2'!_FilterDatabase</vt:lpstr>
      <vt:lpstr>'Historical Holdco'!_FilterDatabase</vt:lpstr>
      <vt:lpstr>'Historical other'!_FilterDatabase</vt:lpstr>
      <vt:lpstr>'To do projection'!BU1_currency_balance</vt:lpstr>
      <vt:lpstr>BU1_currency_balance</vt:lpstr>
      <vt:lpstr>'To do projection'!BU1_currency_cashflow</vt:lpstr>
      <vt:lpstr>BU1_currency_cashflow</vt:lpstr>
      <vt:lpstr>'To do projection'!BU1_name</vt:lpstr>
      <vt:lpstr>BU1_name</vt:lpstr>
      <vt:lpstr>'To do projection'!BU2_name</vt:lpstr>
      <vt:lpstr>BU2_name</vt:lpstr>
      <vt:lpstr>'Financing assumptions Holdco'!cash_int</vt:lpstr>
      <vt:lpstr>'To do projection'!cash_int</vt:lpstr>
      <vt:lpstr>cash_int</vt:lpstr>
      <vt:lpstr>cash_int_holdco</vt:lpstr>
      <vt:lpstr>cash_sweep_consol</vt:lpstr>
      <vt:lpstr>'To do projection'!Currency_conversion_BU1</vt:lpstr>
      <vt:lpstr>Currency_conversion_BU1</vt:lpstr>
      <vt:lpstr>Currency_conversion_BU2</vt:lpstr>
      <vt:lpstr>'To do projection'!Currency_conversion_rate_BU2</vt:lpstr>
      <vt:lpstr>Currency_conversion_rate_BU2</vt:lpstr>
      <vt:lpstr>'To do projection'!Currency_conversion_rate_other</vt:lpstr>
      <vt:lpstr>Currency_conversion_rate_other</vt:lpstr>
      <vt:lpstr>'To do projection'!depr_inc</vt:lpstr>
      <vt:lpstr>depr_inc</vt:lpstr>
      <vt:lpstr>'To do projection'!dropdown_ratio</vt:lpstr>
      <vt:lpstr>dropdown_ratio</vt:lpstr>
      <vt:lpstr>Input_unit</vt:lpstr>
      <vt:lpstr>'Financing assumptions Holdco'!int_pay_trigger</vt:lpstr>
      <vt:lpstr>int_pay_trigger</vt:lpstr>
      <vt:lpstr>'To do projection'!model_curr</vt:lpstr>
      <vt:lpstr>model_curr</vt:lpstr>
      <vt:lpstr>'Base case Operating Model'!Print_Area</vt:lpstr>
      <vt:lpstr>'Base Case Revenue Summary'!Print_Area</vt:lpstr>
      <vt:lpstr>'BS consol'!Print_Area</vt:lpstr>
      <vt:lpstr>'BS onshore'!Print_Area</vt:lpstr>
      <vt:lpstr>'CF consol'!Print_Area</vt:lpstr>
      <vt:lpstr>'CF Holdco'!Print_Area</vt:lpstr>
      <vt:lpstr>'Financial summary'!Print_Area</vt:lpstr>
      <vt:lpstr>'Financing assumptions Holdco'!Print_Area</vt:lpstr>
      <vt:lpstr>'Financing assumptions offshore'!Print_Area</vt:lpstr>
      <vt:lpstr>'Financing assumptions onshore'!Print_Area</vt:lpstr>
      <vt:lpstr>'IS consol'!Print_Area</vt:lpstr>
      <vt:lpstr>'IS Holdco'!Print_Area</vt:lpstr>
      <vt:lpstr>'IS offshore'!Print_Area</vt:lpstr>
      <vt:lpstr>'IS onshore'!Print_Area</vt:lpstr>
      <vt:lpstr>'Sponsor Operating Model'!Print_Area</vt:lpstr>
      <vt:lpstr>'Sponsor Revenue Summary'!Print_Area</vt:lpstr>
      <vt:lpstr>'To do projection'!project_name</vt:lpstr>
      <vt:lpstr>project_name</vt:lpstr>
      <vt:lpstr>Stake_Bu1</vt:lpstr>
      <vt:lpstr>Stake_Bu2</vt:lpstr>
      <vt:lpstr>Stake_other</vt:lpstr>
      <vt:lpstr>stub_quarter</vt:lpstr>
      <vt:lpstr>'To do projection'!stub_switch</vt:lpstr>
      <vt:lpstr>stub_switch</vt:lpstr>
      <vt:lpstr>'Financing assumptions Holdco'!Sweep_adj_repay_trigger</vt:lpstr>
      <vt:lpstr>'To do projection'!Sweep_adj_repay_trigger</vt:lpstr>
      <vt:lpstr>Sweep_adj_repay_trigger</vt:lpstr>
      <vt:lpstr>'To do projection'!Withholding_tax_BU1</vt:lpstr>
      <vt:lpstr>Withholding_tax_BU1</vt:lpstr>
      <vt:lpstr>Withholding_tax_BU2</vt:lpstr>
      <vt:lpstr>Withholding_tax_other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Matthias Witt</dc:creator>
  <cp:lastModifiedBy>黎藍平</cp:lastModifiedBy>
  <cp:lastPrinted>2017-08-25T10:45:59Z</cp:lastPrinted>
  <dcterms:created xsi:type="dcterms:W3CDTF">2017-03-07T09:12:35Z</dcterms:created>
  <dcterms:modified xsi:type="dcterms:W3CDTF">2019-07-25T10:40:09Z</dcterms:modified>
  <cp:contentStatus/>
</cp:coreProperties>
</file>